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ЭтаКнига" defaultThemeVersion="124226"/>
  <mc:AlternateContent xmlns:mc="http://schemas.openxmlformats.org/markup-compatibility/2006">
    <mc:Choice Requires="x15">
      <x15ac:absPath xmlns:x15ac="http://schemas.microsoft.com/office/spreadsheetml/2010/11/ac" url="E:\work\2026\май\"/>
    </mc:Choice>
  </mc:AlternateContent>
  <xr:revisionPtr revIDLastSave="0" documentId="13_ncr:1_{7FFADD51-6979-481C-9BDD-6ECEDAE00374}" xr6:coauthVersionLast="47" xr6:coauthVersionMax="47" xr10:uidLastSave="{00000000-0000-0000-0000-000000000000}"/>
  <bookViews>
    <workbookView xWindow="-120" yWindow="-120" windowWidth="29040" windowHeight="15840" tabRatio="562" xr2:uid="{00000000-000D-0000-FFFF-FFFF00000000}"/>
  </bookViews>
  <sheets>
    <sheet name="Заказ" sheetId="1" r:id="rId1"/>
    <sheet name="Предварительный Счет" sheetId="7" r:id="rId2"/>
    <sheet name="!" sheetId="6" r:id="rId3"/>
  </sheets>
  <definedNames>
    <definedName name="_28seeds">Заказ!$D$1251</definedName>
    <definedName name="_xlnm._FilterDatabase" localSheetId="2" hidden="1">'!'!#REF!</definedName>
    <definedName name="_xlnm._FilterDatabase" localSheetId="0" hidden="1">Заказ!$B$2:$Q$3208</definedName>
    <definedName name="Am_food">Заказ!$D$196</definedName>
    <definedName name="Bezglutini">Заказ!$D$2108</definedName>
    <definedName name="GreenVill">Заказ!$D$2760</definedName>
    <definedName name="Holy_Corn">Заказ!$D$2833</definedName>
    <definedName name="iki">Заказ!$D$176</definedName>
    <definedName name="KICK">Заказ!$D$1396</definedName>
    <definedName name="Mi_Ko">Заказ!#REF!</definedName>
    <definedName name="Missis">Заказ!$D$1524</definedName>
    <definedName name="Multibar">Заказ!#REF!</definedName>
    <definedName name="NeoNaturata">Заказ!#REF!</definedName>
    <definedName name="Royal_Forest">Заказ!$D$1380</definedName>
    <definedName name="Sibereco">Заказ!$D$958</definedName>
    <definedName name="Take_a_Bite">Заказ!$D$1011</definedName>
    <definedName name="Vegan_Food">Заказ!$D$2792</definedName>
    <definedName name="Vitlen">Заказ!$D$1435</definedName>
    <definedName name="Vitro_Naturals">Заказ!$D$220</definedName>
    <definedName name="Zero">Заказ!$D$1954</definedName>
    <definedName name="Алвитта">Заказ!#REF!</definedName>
    <definedName name="АлтайФитПром">Заказ!$D$2421</definedName>
    <definedName name="Алтын_бай">Заказ!$D$1893</definedName>
    <definedName name="Андатель">Заказ!#REF!</definedName>
    <definedName name="Арт_ам">Заказ!$D$2990</definedName>
    <definedName name="Белов">Заказ!#REF!</definedName>
    <definedName name="Белое_дерево">Заказ!$D$2660</definedName>
    <definedName name="Биолоджик">Заказ!$D$354</definedName>
    <definedName name="Биопродукты">Заказ!$D$2301</definedName>
    <definedName name="Ботаника_ароматехнологии">Заказ!$D$3160</definedName>
    <definedName name="Быстрый_поиск">Заказ!$O$12</definedName>
    <definedName name="Вастэко">Заказ!$D$1164</definedName>
    <definedName name="Вкусное_дело">Заказ!#REF!</definedName>
    <definedName name="Грин_Злак">Заказ!$D$1508</definedName>
    <definedName name="Гурмайор">Заказ!$D$2371</definedName>
    <definedName name="Ди_энд_Ди">Заказ!$D$833</definedName>
    <definedName name="Диал_экспорт">Заказ!$D$2716</definedName>
    <definedName name="Дивинка">Заказ!$D$766</definedName>
    <definedName name="Диетика">Заказ!$D$2065</definedName>
    <definedName name="Домашний_погребок">Заказ!$D$2937</definedName>
    <definedName name="Дон_Шеллдон">Заказ!$D$2258</definedName>
    <definedName name="Древо_Жизни">Заказ!$D$1123</definedName>
    <definedName name="Емельяновская_биофабрика">Заказ!$D$2466</definedName>
    <definedName name="Живая_еда">Заказ!$D$2290</definedName>
    <definedName name="Живая_каша">Заказ!$D$2497</definedName>
    <definedName name="Живые_соки">Заказ!$D$1305</definedName>
    <definedName name="Здороведа_и_Вкусное_дело">Заказ!$D$1732</definedName>
    <definedName name="Здоровей">Заказ!$D$2872</definedName>
    <definedName name="Здоровые_вкусы">Заказ!$D$2699</definedName>
    <definedName name="Иван_да">Заказ!$D$2731</definedName>
    <definedName name="Иван_да_марья">Заказ!#REF!</definedName>
    <definedName name="Изомальто">Заказ!$D$2959</definedName>
    <definedName name="Инфарма">Заказ!$D$3116</definedName>
    <definedName name="Компас_Здоровья">Заказ!$D$417</definedName>
    <definedName name="Косметическая_продукция">Заказ!$D$3115</definedName>
    <definedName name="Кронидов">Заказ!$D$2522</definedName>
    <definedName name="Купецкий_посад">Заказ!$D$2818</definedName>
    <definedName name="Лучикс">Заказ!$D$3125</definedName>
    <definedName name="Любэль">Заказ!$D$1649</definedName>
    <definedName name="Масляный_король">Заказ!$D$2117</definedName>
    <definedName name="Молекола">Заказ!$D$2579</definedName>
    <definedName name="Нат_Виноград">Заказ!$D$2270</definedName>
    <definedName name="Новапродукт">Заказ!$D$2165</definedName>
    <definedName name="_xlnm.Print_Area" localSheetId="1">'Предварительный Счет'!$A$1:$H$510</definedName>
    <definedName name="Образ_жизни">Заказ!$D$1459</definedName>
    <definedName name="Оргтиум">Заказ!$D$2635</definedName>
    <definedName name="Петербургский_кондитеръ">Заказ!$D$1571</definedName>
    <definedName name="Пища_богов">Заказ!$D$1359</definedName>
    <definedName name="Предприятие_МС">Заказ!$D$2982</definedName>
    <definedName name="Пур_пур">Заказ!$D$1689</definedName>
    <definedName name="Радоград">Заказ!$D$1832</definedName>
    <definedName name="Реалкапс">Заказ!$D$3020</definedName>
    <definedName name="Региональный_центр_фиточаёв">Заказ!$D$3072</definedName>
    <definedName name="РусКвас">Заказ!$D$1342</definedName>
    <definedName name="Русский_лес">Заказ!$D$2909</definedName>
    <definedName name="Сибирио">Заказ!$D$1668</definedName>
    <definedName name="Сибирская_клетчатка">Заказ!$D$2609</definedName>
    <definedName name="Сибирский_кедр">Заказ!$D$234</definedName>
    <definedName name="Сибтар">Заказ!$D$2033</definedName>
    <definedName name="СиЭко_Фудс">Заказ!$D$2567</definedName>
    <definedName name="Смоква">Заказ!$D$2945</definedName>
    <definedName name="Соик">Заказ!#REF!</definedName>
    <definedName name="Соймик">Заказ!$D$2865</definedName>
    <definedName name="Сокровища_сезам">Заказ!$D$2802</definedName>
    <definedName name="Специалист">Заказ!$D$636</definedName>
    <definedName name="Сташевское">Заказ!$D$2012</definedName>
    <definedName name="Стевия_групп">Заказ!$D$2899</definedName>
    <definedName name="Таёжный_тайник">Заказ!$D$1590</definedName>
    <definedName name="Тай_стайл">Заказ!$D$1784</definedName>
    <definedName name="ТвердоХлеб">Заказ!$D$1105</definedName>
    <definedName name="Твёрдый_мёд">Заказ!$D$3006</definedName>
    <definedName name="Томская_кедровая_фабрика">Заказ!#REF!</definedName>
    <definedName name="Тор_Спирулина">Заказ!$D$2458</definedName>
    <definedName name="Туррон_Duke_Almond">Заказ!$D$1558</definedName>
    <definedName name="Фило">Заказ!$D$2235</definedName>
    <definedName name="Фитокод">Заказ!$D$2348</definedName>
    <definedName name="Фитосила">Заказ!$D$3040</definedName>
    <definedName name="ФитПарад">Заказ!$D$564</definedName>
    <definedName name="Чайные_напитки">Заказ!$D$3071</definedName>
    <definedName name="Эко_про">Заказ!$D$2892</definedName>
    <definedName name="Эко_продукт">Заказ!#REF!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34" i="6" l="1"/>
  <c r="H3035" i="6"/>
  <c r="H3036" i="6"/>
  <c r="H3037" i="6"/>
  <c r="AV145" i="1"/>
  <c r="AV146" i="1"/>
  <c r="AV147" i="1"/>
  <c r="AV148" i="1"/>
  <c r="AV149" i="1"/>
  <c r="AV150" i="1"/>
  <c r="AV151" i="1"/>
  <c r="AV152" i="1"/>
  <c r="AV153" i="1"/>
  <c r="AV154" i="1"/>
  <c r="AV156" i="1"/>
  <c r="AV157" i="1"/>
  <c r="AV158" i="1"/>
  <c r="AV159" i="1"/>
  <c r="AV160" i="1"/>
  <c r="AV161" i="1"/>
  <c r="AV162" i="1"/>
  <c r="AV163" i="1"/>
  <c r="AV164" i="1"/>
  <c r="AV165" i="1"/>
  <c r="AV166" i="1"/>
  <c r="AV167" i="1"/>
  <c r="AV168" i="1"/>
  <c r="AV169" i="1" s="1"/>
  <c r="AV170" i="1"/>
  <c r="AV171" i="1"/>
  <c r="AV172" i="1"/>
  <c r="AV173" i="1"/>
  <c r="AV174" i="1"/>
  <c r="AV175" i="1"/>
  <c r="AV176" i="1"/>
  <c r="AV177" i="1"/>
  <c r="AV178" i="1"/>
  <c r="AV179" i="1"/>
  <c r="AV180" i="1"/>
  <c r="AV181" i="1"/>
  <c r="AV182" i="1"/>
  <c r="AL167" i="1"/>
  <c r="AM167" i="1"/>
  <c r="AN167" i="1"/>
  <c r="AL168" i="1"/>
  <c r="AM168" i="1"/>
  <c r="AN168" i="1"/>
  <c r="AL169" i="1"/>
  <c r="AM169" i="1"/>
  <c r="AN169" i="1"/>
  <c r="AL170" i="1"/>
  <c r="AM170" i="1"/>
  <c r="AN170" i="1"/>
  <c r="I168" i="1"/>
  <c r="I169" i="1"/>
  <c r="Q166" i="1"/>
  <c r="Q167" i="1"/>
  <c r="I3034" i="6" s="1"/>
  <c r="Q168" i="1"/>
  <c r="I3035" i="6" s="1"/>
  <c r="Q169" i="1"/>
  <c r="I3036" i="6" s="1"/>
  <c r="Q170" i="1"/>
  <c r="Q171" i="1"/>
  <c r="I379" i="1"/>
  <c r="H379" i="1"/>
  <c r="G379" i="1"/>
  <c r="I400" i="1"/>
  <c r="H400" i="1"/>
  <c r="G400" i="1"/>
  <c r="I398" i="1"/>
  <c r="H398" i="1"/>
  <c r="G398" i="1"/>
  <c r="I396" i="1"/>
  <c r="H396" i="1"/>
  <c r="G396" i="1"/>
  <c r="I392" i="1"/>
  <c r="H392" i="1"/>
  <c r="G392" i="1"/>
  <c r="I380" i="1"/>
  <c r="H380" i="1"/>
  <c r="G380" i="1"/>
  <c r="I359" i="1"/>
  <c r="H359" i="1"/>
  <c r="G359" i="1"/>
  <c r="I365" i="1"/>
  <c r="H365" i="1"/>
  <c r="G365" i="1"/>
  <c r="I374" i="1"/>
  <c r="H374" i="1"/>
  <c r="G374" i="1"/>
  <c r="I394" i="1"/>
  <c r="H394" i="1"/>
  <c r="G394" i="1"/>
  <c r="I377" i="1"/>
  <c r="H377" i="1"/>
  <c r="G377" i="1"/>
  <c r="I367" i="1"/>
  <c r="H367" i="1"/>
  <c r="G367" i="1"/>
  <c r="O400" i="1"/>
  <c r="O398" i="1"/>
  <c r="O396" i="1"/>
  <c r="O394" i="1"/>
  <c r="O392" i="1"/>
  <c r="O377" i="1"/>
  <c r="O359" i="1"/>
  <c r="O380" i="1"/>
  <c r="O379" i="1"/>
  <c r="O374" i="1"/>
  <c r="O367" i="1"/>
  <c r="O365" i="1"/>
  <c r="D3034" i="6" l="1"/>
  <c r="D3035" i="6"/>
  <c r="D3036" i="6"/>
  <c r="H3033" i="6"/>
  <c r="H3032" i="6"/>
  <c r="H3031" i="6"/>
  <c r="H3030" i="6"/>
  <c r="Q165" i="1"/>
  <c r="I3032" i="6" s="1"/>
  <c r="I3033" i="6"/>
  <c r="AL159" i="1"/>
  <c r="AM159" i="1"/>
  <c r="AN159" i="1"/>
  <c r="AL160" i="1"/>
  <c r="AM160" i="1"/>
  <c r="AN160" i="1"/>
  <c r="AL161" i="1"/>
  <c r="AM161" i="1"/>
  <c r="AN161" i="1"/>
  <c r="AL162" i="1"/>
  <c r="AM162" i="1"/>
  <c r="AN162" i="1"/>
  <c r="AL163" i="1"/>
  <c r="AM163" i="1"/>
  <c r="AN163" i="1"/>
  <c r="AL164" i="1"/>
  <c r="AM164" i="1"/>
  <c r="AN164" i="1"/>
  <c r="AL165" i="1"/>
  <c r="AM165" i="1"/>
  <c r="AN165" i="1"/>
  <c r="AL166" i="1"/>
  <c r="AM166" i="1"/>
  <c r="AN166" i="1"/>
  <c r="AL171" i="1"/>
  <c r="AM171" i="1"/>
  <c r="AN171" i="1"/>
  <c r="R164" i="1"/>
  <c r="R165" i="1"/>
  <c r="R166" i="1"/>
  <c r="R167" i="1"/>
  <c r="I165" i="1"/>
  <c r="I166" i="1"/>
  <c r="I167" i="1"/>
  <c r="D3033" i="6" l="1"/>
  <c r="D3032" i="6"/>
  <c r="Q120" i="1" l="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I3030" i="6" s="1"/>
  <c r="D3030" i="6" s="1"/>
  <c r="Q163" i="1"/>
  <c r="I3031" i="6" s="1"/>
  <c r="D3031" i="6" s="1"/>
  <c r="Q164" i="1"/>
  <c r="I3037" i="6" s="1"/>
  <c r="D3037" i="6" s="1"/>
  <c r="Q172" i="1"/>
  <c r="Q173" i="1"/>
  <c r="H2987" i="6" l="1"/>
  <c r="H2988" i="6"/>
  <c r="H2989" i="6"/>
  <c r="H2990" i="6"/>
  <c r="H2991" i="6"/>
  <c r="H2992" i="6"/>
  <c r="H2993" i="6"/>
  <c r="H2994" i="6"/>
  <c r="H2995" i="6"/>
  <c r="H2996" i="6"/>
  <c r="H2997" i="6"/>
  <c r="H2998" i="6"/>
  <c r="H2999" i="6"/>
  <c r="H3000" i="6"/>
  <c r="H3001" i="6"/>
  <c r="H3002" i="6"/>
  <c r="H3003" i="6"/>
  <c r="H3004" i="6"/>
  <c r="H3005" i="6"/>
  <c r="H3006" i="6"/>
  <c r="H3007" i="6"/>
  <c r="H3008" i="6"/>
  <c r="H3009" i="6"/>
  <c r="H3010" i="6"/>
  <c r="H3011" i="6"/>
  <c r="H3012" i="6"/>
  <c r="H3013" i="6"/>
  <c r="H3014" i="6"/>
  <c r="H3015" i="6"/>
  <c r="H3016" i="6"/>
  <c r="H3017" i="6"/>
  <c r="H3018" i="6"/>
  <c r="H3019" i="6"/>
  <c r="H3020" i="6"/>
  <c r="H3021" i="6"/>
  <c r="H3022" i="6"/>
  <c r="H3023" i="6"/>
  <c r="H3024" i="6"/>
  <c r="H3025" i="6"/>
  <c r="H3026" i="6"/>
  <c r="H3027" i="6"/>
  <c r="H3028" i="6"/>
  <c r="H3029" i="6"/>
  <c r="H3038" i="6"/>
  <c r="H3039" i="6"/>
  <c r="H3040" i="6"/>
  <c r="H3041" i="6"/>
  <c r="H1269" i="6"/>
  <c r="H1270" i="6"/>
  <c r="H1271" i="6"/>
  <c r="H1272" i="6"/>
  <c r="H1273" i="6"/>
  <c r="H1274" i="6"/>
  <c r="H1275" i="6"/>
  <c r="H1276" i="6"/>
  <c r="H1277" i="6"/>
  <c r="H1278" i="6"/>
  <c r="H1279" i="6"/>
  <c r="H1280" i="6"/>
  <c r="H1281" i="6"/>
  <c r="H1282" i="6"/>
  <c r="H1313" i="6"/>
  <c r="I1313" i="6"/>
  <c r="H1314" i="6"/>
  <c r="I1314" i="6"/>
  <c r="H1315" i="6"/>
  <c r="I1315" i="6"/>
  <c r="H1316" i="6"/>
  <c r="I1316" i="6"/>
  <c r="H1317" i="6"/>
  <c r="I1317" i="6"/>
  <c r="H1318" i="6"/>
  <c r="I1318" i="6"/>
  <c r="H1319" i="6"/>
  <c r="I1319" i="6"/>
  <c r="H1320" i="6"/>
  <c r="I1320" i="6"/>
  <c r="H1321" i="6"/>
  <c r="I1321" i="6"/>
  <c r="H1322" i="6"/>
  <c r="I1322" i="6"/>
  <c r="H1323" i="6"/>
  <c r="I1323" i="6"/>
  <c r="H1324" i="6"/>
  <c r="I1324" i="6"/>
  <c r="H1325" i="6"/>
  <c r="I1325" i="6"/>
  <c r="H1326" i="6"/>
  <c r="I1326" i="6"/>
  <c r="H1327" i="6"/>
  <c r="I1327" i="6"/>
  <c r="H2272" i="6"/>
  <c r="H2273" i="6"/>
  <c r="H2274" i="6"/>
  <c r="H2275" i="6"/>
  <c r="H2276" i="6"/>
  <c r="H2277" i="6"/>
  <c r="H2278" i="6"/>
  <c r="H2279" i="6"/>
  <c r="H2280" i="6"/>
  <c r="H2281" i="6"/>
  <c r="H2282" i="6"/>
  <c r="H2283" i="6"/>
  <c r="H2284" i="6"/>
  <c r="H2285" i="6"/>
  <c r="H2286" i="6"/>
  <c r="H2287" i="6"/>
  <c r="H2288" i="6"/>
  <c r="H2289" i="6"/>
  <c r="H2290" i="6"/>
  <c r="I2290" i="6"/>
  <c r="H2291" i="6"/>
  <c r="H2292" i="6"/>
  <c r="I2292" i="6"/>
  <c r="H2293" i="6"/>
  <c r="H2294" i="6"/>
  <c r="I2294" i="6"/>
  <c r="H2295" i="6"/>
  <c r="H2296" i="6"/>
  <c r="H2297" i="6"/>
  <c r="I2297" i="6"/>
  <c r="H2298" i="6"/>
  <c r="H2299" i="6"/>
  <c r="H2300" i="6"/>
  <c r="H2301" i="6"/>
  <c r="H2302" i="6"/>
  <c r="H2303" i="6"/>
  <c r="I2303" i="6"/>
  <c r="H2304" i="6"/>
  <c r="H2305" i="6"/>
  <c r="H2306" i="6"/>
  <c r="H2307" i="6"/>
  <c r="I2307" i="6"/>
  <c r="H2308" i="6"/>
  <c r="H2309" i="6"/>
  <c r="I2309" i="6"/>
  <c r="H2310" i="6"/>
  <c r="H2311" i="6"/>
  <c r="H2312" i="6"/>
  <c r="H2313" i="6"/>
  <c r="H2314" i="6"/>
  <c r="I145" i="1"/>
  <c r="I146" i="1"/>
  <c r="I147" i="1"/>
  <c r="I148" i="1"/>
  <c r="I149" i="1"/>
  <c r="R145" i="1"/>
  <c r="R146" i="1"/>
  <c r="R147" i="1"/>
  <c r="R148" i="1"/>
  <c r="R149" i="1"/>
  <c r="R150" i="1"/>
  <c r="R151" i="1"/>
  <c r="I3018" i="6"/>
  <c r="I3019" i="6"/>
  <c r="I3020" i="6"/>
  <c r="I3021" i="6"/>
  <c r="I3022" i="6"/>
  <c r="I3023" i="6"/>
  <c r="I3024" i="6"/>
  <c r="I3025" i="6"/>
  <c r="I3026" i="6"/>
  <c r="I3027" i="6"/>
  <c r="I3028" i="6"/>
  <c r="D3019" i="6" l="1"/>
  <c r="D3021" i="6"/>
  <c r="D3024" i="6"/>
  <c r="D3023" i="6"/>
  <c r="D3022" i="6"/>
  <c r="D3028" i="6"/>
  <c r="D3026" i="6"/>
  <c r="D3025" i="6"/>
  <c r="D3018" i="6"/>
  <c r="D3020" i="6"/>
  <c r="D3027" i="6"/>
  <c r="D1314" i="6"/>
  <c r="D1316" i="6"/>
  <c r="D1324" i="6"/>
  <c r="D1321" i="6"/>
  <c r="D1317" i="6"/>
  <c r="D1325" i="6"/>
  <c r="D1318" i="6"/>
  <c r="D1326" i="6"/>
  <c r="D1323" i="6"/>
  <c r="D1322" i="6"/>
  <c r="D1315" i="6"/>
  <c r="D1319" i="6"/>
  <c r="D1327" i="6"/>
  <c r="D1320" i="6"/>
  <c r="D1313" i="6"/>
  <c r="D2309" i="6"/>
  <c r="D2297" i="6"/>
  <c r="D2292" i="6"/>
  <c r="D2290" i="6"/>
  <c r="D2303" i="6"/>
  <c r="D2294" i="6"/>
  <c r="D2307" i="6"/>
  <c r="AL121" i="1" l="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L142" i="1"/>
  <c r="AM142" i="1"/>
  <c r="AN142" i="1"/>
  <c r="AL143" i="1"/>
  <c r="AM143" i="1"/>
  <c r="AN143" i="1"/>
  <c r="AL144" i="1"/>
  <c r="AM144" i="1"/>
  <c r="AN144" i="1"/>
  <c r="R131" i="1"/>
  <c r="R132" i="1"/>
  <c r="R133" i="1"/>
  <c r="R134" i="1"/>
  <c r="R135" i="1"/>
  <c r="R136" i="1"/>
  <c r="R137" i="1"/>
  <c r="R138" i="1"/>
  <c r="R139" i="1"/>
  <c r="R140" i="1"/>
  <c r="R141" i="1"/>
  <c r="R142" i="1"/>
  <c r="R143" i="1"/>
  <c r="R144" i="1"/>
  <c r="R152" i="1"/>
  <c r="R153" i="1"/>
  <c r="R154" i="1"/>
  <c r="R155" i="1"/>
  <c r="R156" i="1"/>
  <c r="R157" i="1"/>
  <c r="R158" i="1"/>
  <c r="R159" i="1"/>
  <c r="R160" i="1"/>
  <c r="R161" i="1"/>
  <c r="R162" i="1"/>
  <c r="R163" i="1"/>
  <c r="R170" i="1"/>
  <c r="R171" i="1"/>
  <c r="R172" i="1"/>
  <c r="R173" i="1"/>
  <c r="R119" i="1"/>
  <c r="R120" i="1"/>
  <c r="R121" i="1"/>
  <c r="R122" i="1"/>
  <c r="R123" i="1"/>
  <c r="R124" i="1"/>
  <c r="R125" i="1"/>
  <c r="R126" i="1"/>
  <c r="R127" i="1"/>
  <c r="R128" i="1"/>
  <c r="R129" i="1"/>
  <c r="R130" i="1"/>
  <c r="I2989" i="6"/>
  <c r="D2989" i="6" s="1"/>
  <c r="I2990" i="6"/>
  <c r="D2990" i="6" s="1"/>
  <c r="I2991" i="6"/>
  <c r="D2991" i="6" s="1"/>
  <c r="I2992" i="6"/>
  <c r="D2992" i="6" s="1"/>
  <c r="I2993" i="6"/>
  <c r="D2993" i="6" s="1"/>
  <c r="I2994" i="6"/>
  <c r="D2994" i="6" s="1"/>
  <c r="I2995" i="6"/>
  <c r="D2995" i="6" s="1"/>
  <c r="I2996" i="6"/>
  <c r="D2996" i="6" s="1"/>
  <c r="I2997" i="6"/>
  <c r="D2997" i="6" s="1"/>
  <c r="I2998" i="6"/>
  <c r="D2998" i="6" s="1"/>
  <c r="I2999" i="6"/>
  <c r="D2999" i="6" s="1"/>
  <c r="I3000" i="6"/>
  <c r="D3000" i="6" s="1"/>
  <c r="I3001" i="6"/>
  <c r="D3001" i="6" s="1"/>
  <c r="I3002" i="6"/>
  <c r="D3002" i="6" s="1"/>
  <c r="I3003" i="6"/>
  <c r="D3003" i="6" s="1"/>
  <c r="I3004" i="6"/>
  <c r="D3004" i="6" s="1"/>
  <c r="I3005" i="6"/>
  <c r="D3005" i="6" s="1"/>
  <c r="I3006" i="6"/>
  <c r="D3006" i="6" s="1"/>
  <c r="I3007" i="6"/>
  <c r="D3007" i="6" s="1"/>
  <c r="I3008" i="6"/>
  <c r="D3008" i="6" s="1"/>
  <c r="I3009" i="6"/>
  <c r="D3009" i="6" s="1"/>
  <c r="I3010" i="6"/>
  <c r="D3010" i="6" s="1"/>
  <c r="I3011" i="6"/>
  <c r="D3011" i="6" s="1"/>
  <c r="I3012" i="6"/>
  <c r="D3012" i="6" s="1"/>
  <c r="I3013" i="6"/>
  <c r="D3013" i="6" s="1"/>
  <c r="I131" i="1"/>
  <c r="I132" i="1"/>
  <c r="I124" i="1"/>
  <c r="I125" i="1"/>
  <c r="I126" i="1"/>
  <c r="I127" i="1"/>
  <c r="I128" i="1"/>
  <c r="I129" i="1"/>
  <c r="I130" i="1"/>
  <c r="I133" i="1"/>
  <c r="I134" i="1"/>
  <c r="I135" i="1"/>
  <c r="H1657" i="6" l="1"/>
  <c r="H1658" i="6"/>
  <c r="H1659" i="6"/>
  <c r="H1660" i="6"/>
  <c r="H1661" i="6"/>
  <c r="H1662" i="6"/>
  <c r="H1663" i="6"/>
  <c r="H1664" i="6"/>
  <c r="H1665" i="6"/>
  <c r="H1666" i="6"/>
  <c r="H1667" i="6"/>
  <c r="H1668" i="6"/>
  <c r="H1669" i="6"/>
  <c r="H1670" i="6"/>
  <c r="H1671" i="6"/>
  <c r="H1672" i="6"/>
  <c r="H1673" i="6"/>
  <c r="H1674" i="6"/>
  <c r="H1675" i="6"/>
  <c r="H1676" i="6"/>
  <c r="AL553" i="1" l="1"/>
  <c r="AM553" i="1"/>
  <c r="AN553" i="1"/>
  <c r="AL554" i="1"/>
  <c r="AM554" i="1"/>
  <c r="AN554" i="1"/>
  <c r="AL555" i="1"/>
  <c r="AM555" i="1"/>
  <c r="AN555" i="1"/>
  <c r="AL556" i="1"/>
  <c r="AM556" i="1"/>
  <c r="AN556" i="1"/>
  <c r="AL557" i="1"/>
  <c r="AM557" i="1"/>
  <c r="AN557" i="1"/>
  <c r="AL558" i="1"/>
  <c r="AM558" i="1"/>
  <c r="AN558" i="1"/>
  <c r="AL559" i="1"/>
  <c r="AM559" i="1"/>
  <c r="AN559" i="1"/>
  <c r="AL560" i="1"/>
  <c r="AM560" i="1"/>
  <c r="AN560" i="1"/>
  <c r="AL561" i="1"/>
  <c r="AM561" i="1"/>
  <c r="AN561" i="1"/>
  <c r="R555" i="1"/>
  <c r="R556" i="1"/>
  <c r="R557" i="1"/>
  <c r="R558" i="1"/>
  <c r="R559" i="1"/>
  <c r="AV14" i="1" l="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388" i="1"/>
  <c r="AV389" i="1"/>
  <c r="AV390" i="1"/>
  <c r="AV391" i="1"/>
  <c r="AV392" i="1"/>
  <c r="AV393" i="1"/>
  <c r="AV394" i="1"/>
  <c r="AV395" i="1"/>
  <c r="AV396" i="1"/>
  <c r="AV397" i="1"/>
  <c r="AV398" i="1"/>
  <c r="AV399" i="1"/>
  <c r="AV400" i="1"/>
  <c r="AV401" i="1"/>
  <c r="AV402" i="1"/>
  <c r="AV403" i="1"/>
  <c r="AV404" i="1"/>
  <c r="AV405" i="1"/>
  <c r="AV406" i="1"/>
  <c r="AV407" i="1"/>
  <c r="AV408" i="1"/>
  <c r="AV409" i="1"/>
  <c r="AV410" i="1"/>
  <c r="AV411" i="1"/>
  <c r="AV412" i="1"/>
  <c r="AV413" i="1"/>
  <c r="AV414" i="1"/>
  <c r="AV415" i="1"/>
  <c r="AV416" i="1"/>
  <c r="AV417" i="1"/>
  <c r="AV418" i="1"/>
  <c r="AV419" i="1"/>
  <c r="AV420" i="1"/>
  <c r="AV421" i="1"/>
  <c r="AV422" i="1"/>
  <c r="AV423" i="1"/>
  <c r="AV424" i="1"/>
  <c r="AV425" i="1"/>
  <c r="AV426" i="1"/>
  <c r="AV427" i="1"/>
  <c r="AV428" i="1"/>
  <c r="AV429" i="1"/>
  <c r="AV430" i="1"/>
  <c r="AV431" i="1"/>
  <c r="AV432" i="1"/>
  <c r="AV433" i="1"/>
  <c r="AV434" i="1"/>
  <c r="AV435" i="1"/>
  <c r="AV436" i="1"/>
  <c r="AV437" i="1"/>
  <c r="AV438" i="1"/>
  <c r="AV439" i="1"/>
  <c r="AV440" i="1"/>
  <c r="AV441" i="1"/>
  <c r="AV442" i="1"/>
  <c r="AV443" i="1"/>
  <c r="AV444" i="1"/>
  <c r="AV445" i="1"/>
  <c r="AV446" i="1"/>
  <c r="AV447" i="1"/>
  <c r="AV448" i="1"/>
  <c r="AV449" i="1"/>
  <c r="AV450" i="1"/>
  <c r="AV451" i="1"/>
  <c r="AV452" i="1"/>
  <c r="AV453" i="1"/>
  <c r="AV454" i="1"/>
  <c r="AV455" i="1"/>
  <c r="AV456" i="1"/>
  <c r="AV457" i="1"/>
  <c r="AV458" i="1"/>
  <c r="AV459" i="1"/>
  <c r="AV460" i="1"/>
  <c r="AV461" i="1"/>
  <c r="AV462" i="1"/>
  <c r="AV463" i="1"/>
  <c r="AV464" i="1"/>
  <c r="AV465" i="1"/>
  <c r="AV466" i="1"/>
  <c r="AV467" i="1"/>
  <c r="AV468" i="1"/>
  <c r="AV469" i="1"/>
  <c r="AV470" i="1"/>
  <c r="AV471" i="1"/>
  <c r="AV472" i="1"/>
  <c r="AV473" i="1"/>
  <c r="AV474" i="1"/>
  <c r="AV475" i="1"/>
  <c r="AV476" i="1"/>
  <c r="AV477" i="1"/>
  <c r="AV478" i="1"/>
  <c r="AV479" i="1"/>
  <c r="AV480" i="1"/>
  <c r="AV481" i="1"/>
  <c r="AV482" i="1"/>
  <c r="AV483" i="1"/>
  <c r="AV484" i="1"/>
  <c r="AV485" i="1"/>
  <c r="AV486" i="1"/>
  <c r="AV487" i="1"/>
  <c r="AV488" i="1"/>
  <c r="AV489" i="1"/>
  <c r="AV490" i="1"/>
  <c r="AV491" i="1"/>
  <c r="AV492" i="1"/>
  <c r="AV493" i="1"/>
  <c r="AV494" i="1"/>
  <c r="AV495" i="1"/>
  <c r="AV496" i="1"/>
  <c r="AV497" i="1"/>
  <c r="AV498" i="1"/>
  <c r="AV499" i="1"/>
  <c r="AV500" i="1"/>
  <c r="AV501" i="1"/>
  <c r="AV502" i="1"/>
  <c r="AV503" i="1"/>
  <c r="AV504" i="1"/>
  <c r="AV505" i="1"/>
  <c r="AV506" i="1"/>
  <c r="AV507" i="1"/>
  <c r="AV508" i="1"/>
  <c r="AV509" i="1"/>
  <c r="AV510" i="1"/>
  <c r="AV511" i="1"/>
  <c r="AV512" i="1"/>
  <c r="AV513" i="1"/>
  <c r="AV514" i="1"/>
  <c r="AV515" i="1"/>
  <c r="AV516" i="1"/>
  <c r="AV517" i="1"/>
  <c r="AV518" i="1"/>
  <c r="AV519" i="1"/>
  <c r="AV520" i="1"/>
  <c r="AV521" i="1"/>
  <c r="AV522" i="1"/>
  <c r="AV523" i="1"/>
  <c r="AV524" i="1"/>
  <c r="AV525" i="1"/>
  <c r="AV526" i="1"/>
  <c r="AV527" i="1"/>
  <c r="AV528" i="1"/>
  <c r="AV529" i="1"/>
  <c r="AV530" i="1"/>
  <c r="AV531" i="1"/>
  <c r="AV532" i="1"/>
  <c r="AV533" i="1"/>
  <c r="AV534" i="1"/>
  <c r="AV535" i="1"/>
  <c r="AV536" i="1"/>
  <c r="AV537" i="1"/>
  <c r="AV538" i="1"/>
  <c r="AV539" i="1"/>
  <c r="AV540" i="1"/>
  <c r="AV541" i="1"/>
  <c r="AV542" i="1"/>
  <c r="AV543" i="1"/>
  <c r="AV544" i="1"/>
  <c r="AV545" i="1"/>
  <c r="AV546" i="1"/>
  <c r="AV547" i="1"/>
  <c r="AV548" i="1"/>
  <c r="AV549" i="1"/>
  <c r="AV550" i="1"/>
  <c r="AV551" i="1"/>
  <c r="AV552" i="1"/>
  <c r="AV553" i="1"/>
  <c r="AV554" i="1"/>
  <c r="AV556" i="1"/>
  <c r="AV557" i="1"/>
  <c r="AV558" i="1"/>
  <c r="AV560" i="1"/>
  <c r="AV561" i="1"/>
  <c r="AV562" i="1"/>
  <c r="AV563" i="1"/>
  <c r="AV564" i="1"/>
  <c r="AV565" i="1"/>
  <c r="AV566" i="1"/>
  <c r="AV567" i="1"/>
  <c r="AV568" i="1"/>
  <c r="AV569" i="1"/>
  <c r="AV570" i="1"/>
  <c r="AV571" i="1"/>
  <c r="AV572" i="1"/>
  <c r="AV573" i="1"/>
  <c r="AV574" i="1"/>
  <c r="AV575" i="1"/>
  <c r="AV576" i="1"/>
  <c r="AV577" i="1"/>
  <c r="AV578" i="1"/>
  <c r="AV579" i="1"/>
  <c r="AV580" i="1"/>
  <c r="AV581" i="1"/>
  <c r="AV582" i="1"/>
  <c r="AV583" i="1"/>
  <c r="AV584" i="1"/>
  <c r="AV585" i="1"/>
  <c r="AV586" i="1"/>
  <c r="AV587" i="1"/>
  <c r="AV588" i="1"/>
  <c r="AV589" i="1"/>
  <c r="AV590" i="1"/>
  <c r="AV591" i="1"/>
  <c r="AV592" i="1"/>
  <c r="AV593" i="1"/>
  <c r="AV594" i="1"/>
  <c r="AV595" i="1"/>
  <c r="AV596" i="1"/>
  <c r="AV597" i="1"/>
  <c r="AV598" i="1"/>
  <c r="AV599" i="1"/>
  <c r="AV600" i="1"/>
  <c r="AV601" i="1"/>
  <c r="AV602" i="1"/>
  <c r="AV603" i="1"/>
  <c r="AV604" i="1"/>
  <c r="AV605" i="1"/>
  <c r="AV606" i="1"/>
  <c r="AV607" i="1"/>
  <c r="AV608" i="1"/>
  <c r="AV609" i="1"/>
  <c r="AV610" i="1"/>
  <c r="AV611" i="1"/>
  <c r="AV612" i="1"/>
  <c r="AV613" i="1"/>
  <c r="AV614" i="1"/>
  <c r="AV615" i="1"/>
  <c r="AV616" i="1"/>
  <c r="AV617" i="1"/>
  <c r="AV618" i="1"/>
  <c r="AV619" i="1"/>
  <c r="AV620" i="1"/>
  <c r="AV621" i="1"/>
  <c r="AV622" i="1"/>
  <c r="AV623" i="1"/>
  <c r="AV624" i="1"/>
  <c r="AV625" i="1"/>
  <c r="AV626" i="1"/>
  <c r="AV627" i="1"/>
  <c r="AV628" i="1"/>
  <c r="AV629" i="1"/>
  <c r="AV630" i="1"/>
  <c r="AV631" i="1"/>
  <c r="AV632" i="1"/>
  <c r="AV633" i="1"/>
  <c r="AV634" i="1"/>
  <c r="AV635" i="1"/>
  <c r="AV636" i="1"/>
  <c r="AV637" i="1"/>
  <c r="AV638" i="1"/>
  <c r="AV639" i="1"/>
  <c r="AV645" i="1" s="1"/>
  <c r="AV640" i="1"/>
  <c r="AV641" i="1"/>
  <c r="AV642" i="1"/>
  <c r="AV643" i="1"/>
  <c r="AV644" i="1"/>
  <c r="AV650" i="1"/>
  <c r="AV651" i="1"/>
  <c r="AV652" i="1"/>
  <c r="AV655" i="1"/>
  <c r="AV656" i="1"/>
  <c r="AV657" i="1"/>
  <c r="AV658" i="1"/>
  <c r="AV659" i="1"/>
  <c r="AV660" i="1"/>
  <c r="AV661" i="1"/>
  <c r="AV662" i="1"/>
  <c r="AV663" i="1"/>
  <c r="AV664" i="1"/>
  <c r="AV665" i="1"/>
  <c r="AV666" i="1"/>
  <c r="AV667" i="1"/>
  <c r="AV668" i="1"/>
  <c r="AV669" i="1"/>
  <c r="AV670" i="1"/>
  <c r="AV671" i="1"/>
  <c r="AV672" i="1"/>
  <c r="AV673" i="1"/>
  <c r="AV674" i="1"/>
  <c r="AV675" i="1"/>
  <c r="AV676" i="1"/>
  <c r="AV677" i="1"/>
  <c r="AV678" i="1"/>
  <c r="AV679" i="1"/>
  <c r="AV680" i="1"/>
  <c r="AV681" i="1"/>
  <c r="AV682" i="1"/>
  <c r="AV683" i="1"/>
  <c r="AV684" i="1"/>
  <c r="AV685" i="1"/>
  <c r="AV686" i="1"/>
  <c r="AV687" i="1"/>
  <c r="AV688" i="1"/>
  <c r="AV689" i="1"/>
  <c r="AV690" i="1"/>
  <c r="AV691" i="1"/>
  <c r="AV692" i="1"/>
  <c r="AV693" i="1"/>
  <c r="AV694" i="1"/>
  <c r="AV695" i="1"/>
  <c r="AV696" i="1"/>
  <c r="AV697" i="1"/>
  <c r="AV698" i="1"/>
  <c r="AV699" i="1"/>
  <c r="AV700" i="1"/>
  <c r="AV701" i="1"/>
  <c r="AV702" i="1"/>
  <c r="AV703" i="1"/>
  <c r="AV704" i="1"/>
  <c r="AV705" i="1"/>
  <c r="AV706" i="1"/>
  <c r="AV707" i="1"/>
  <c r="AV708" i="1"/>
  <c r="AV709" i="1"/>
  <c r="AV710" i="1"/>
  <c r="AV711" i="1"/>
  <c r="AV712" i="1"/>
  <c r="AV713" i="1"/>
  <c r="AV714" i="1"/>
  <c r="AV715" i="1"/>
  <c r="AV716" i="1"/>
  <c r="AV717" i="1"/>
  <c r="AV718" i="1"/>
  <c r="AV719" i="1"/>
  <c r="AV720" i="1"/>
  <c r="AV721" i="1"/>
  <c r="AV722" i="1"/>
  <c r="AV723" i="1"/>
  <c r="AV724" i="1"/>
  <c r="AV725" i="1"/>
  <c r="AV726" i="1"/>
  <c r="AV727" i="1"/>
  <c r="AV728" i="1"/>
  <c r="AV729" i="1"/>
  <c r="AV730" i="1"/>
  <c r="AV731" i="1"/>
  <c r="AV732" i="1"/>
  <c r="AV733" i="1"/>
  <c r="AV734" i="1"/>
  <c r="AV735" i="1"/>
  <c r="AV736" i="1"/>
  <c r="AV737" i="1"/>
  <c r="AV738" i="1"/>
  <c r="AV739" i="1"/>
  <c r="AV740" i="1"/>
  <c r="AV741" i="1"/>
  <c r="AV742" i="1"/>
  <c r="AV743" i="1"/>
  <c r="AV744" i="1"/>
  <c r="AV745" i="1"/>
  <c r="AV746" i="1"/>
  <c r="AV747" i="1"/>
  <c r="AV748" i="1"/>
  <c r="AV749" i="1"/>
  <c r="AV750" i="1"/>
  <c r="AV751" i="1"/>
  <c r="AV752" i="1"/>
  <c r="AV753" i="1"/>
  <c r="AV754" i="1"/>
  <c r="AV755" i="1"/>
  <c r="AV756" i="1"/>
  <c r="AV757" i="1"/>
  <c r="AV758" i="1"/>
  <c r="AV759" i="1"/>
  <c r="AV760" i="1"/>
  <c r="AV761" i="1"/>
  <c r="AV762" i="1"/>
  <c r="AV763" i="1"/>
  <c r="AV764" i="1"/>
  <c r="AV765" i="1"/>
  <c r="AV766" i="1"/>
  <c r="AV767" i="1"/>
  <c r="AV768" i="1"/>
  <c r="AV769" i="1"/>
  <c r="AV770" i="1"/>
  <c r="AV771" i="1"/>
  <c r="AV772" i="1"/>
  <c r="AV773" i="1"/>
  <c r="AV774" i="1"/>
  <c r="AV775" i="1"/>
  <c r="AV776" i="1"/>
  <c r="AV777" i="1"/>
  <c r="AV778" i="1"/>
  <c r="AV779" i="1"/>
  <c r="AV780" i="1"/>
  <c r="AV781" i="1"/>
  <c r="AV783" i="1"/>
  <c r="AV784" i="1"/>
  <c r="AV785" i="1"/>
  <c r="AV786" i="1"/>
  <c r="AV787" i="1"/>
  <c r="AV788" i="1"/>
  <c r="AV789" i="1"/>
  <c r="AV790" i="1"/>
  <c r="AV791" i="1"/>
  <c r="AV792" i="1"/>
  <c r="AV793" i="1"/>
  <c r="AV794" i="1"/>
  <c r="AV795" i="1"/>
  <c r="AV796" i="1"/>
  <c r="AV797" i="1"/>
  <c r="AV798" i="1"/>
  <c r="AV799" i="1"/>
  <c r="AV800" i="1"/>
  <c r="AV801" i="1"/>
  <c r="AV802" i="1"/>
  <c r="AV803" i="1"/>
  <c r="AV804" i="1"/>
  <c r="AV805" i="1"/>
  <c r="AV806" i="1"/>
  <c r="AV807" i="1"/>
  <c r="AV808" i="1"/>
  <c r="AV809" i="1"/>
  <c r="AV810" i="1"/>
  <c r="AV811" i="1"/>
  <c r="AV812" i="1"/>
  <c r="AV813" i="1"/>
  <c r="AV814" i="1"/>
  <c r="AV815" i="1"/>
  <c r="AV816" i="1"/>
  <c r="AV817" i="1"/>
  <c r="AV818" i="1"/>
  <c r="AV819" i="1"/>
  <c r="AV820" i="1"/>
  <c r="AV821" i="1"/>
  <c r="AV822" i="1"/>
  <c r="AV823" i="1"/>
  <c r="AV824" i="1"/>
  <c r="AV825" i="1"/>
  <c r="AV826" i="1"/>
  <c r="AV827" i="1"/>
  <c r="AV828" i="1"/>
  <c r="AV829" i="1"/>
  <c r="AV830" i="1"/>
  <c r="AV831" i="1"/>
  <c r="AV832" i="1"/>
  <c r="AV833" i="1"/>
  <c r="AV834" i="1"/>
  <c r="AV835" i="1"/>
  <c r="AV836" i="1"/>
  <c r="AV837" i="1"/>
  <c r="AV838" i="1"/>
  <c r="AV839" i="1"/>
  <c r="AV840" i="1"/>
  <c r="AV841" i="1"/>
  <c r="AV842" i="1"/>
  <c r="AV843" i="1"/>
  <c r="AV844" i="1"/>
  <c r="AV845" i="1"/>
  <c r="AV846" i="1"/>
  <c r="AV847" i="1"/>
  <c r="AV848" i="1"/>
  <c r="AV849" i="1"/>
  <c r="AV850" i="1"/>
  <c r="AV851" i="1"/>
  <c r="AV852" i="1"/>
  <c r="AV853" i="1"/>
  <c r="AV854" i="1"/>
  <c r="AV855" i="1"/>
  <c r="AV856" i="1"/>
  <c r="AV857" i="1"/>
  <c r="AV858" i="1"/>
  <c r="AV859" i="1"/>
  <c r="AV860" i="1"/>
  <c r="AV861" i="1"/>
  <c r="AV862" i="1"/>
  <c r="AV863" i="1"/>
  <c r="AV864" i="1"/>
  <c r="AV865" i="1"/>
  <c r="AV866" i="1"/>
  <c r="AV867" i="1"/>
  <c r="AV868" i="1"/>
  <c r="AV869" i="1"/>
  <c r="AV870" i="1"/>
  <c r="AV871" i="1"/>
  <c r="AV872" i="1"/>
  <c r="AV873" i="1"/>
  <c r="AV874" i="1"/>
  <c r="AV875" i="1"/>
  <c r="AV876" i="1"/>
  <c r="AV877" i="1"/>
  <c r="AV878" i="1"/>
  <c r="AV879" i="1"/>
  <c r="AV880" i="1"/>
  <c r="AV881" i="1"/>
  <c r="AV882" i="1"/>
  <c r="AV883" i="1"/>
  <c r="AV884" i="1"/>
  <c r="AV885" i="1"/>
  <c r="AV886" i="1"/>
  <c r="AV887" i="1"/>
  <c r="AV888" i="1"/>
  <c r="AV889" i="1"/>
  <c r="AV890" i="1"/>
  <c r="AV891" i="1"/>
  <c r="AV892" i="1"/>
  <c r="AV893" i="1"/>
  <c r="AV894" i="1"/>
  <c r="AV895" i="1"/>
  <c r="AV896" i="1"/>
  <c r="AV897" i="1"/>
  <c r="AV898" i="1"/>
  <c r="AV899" i="1"/>
  <c r="AV900" i="1"/>
  <c r="AV901" i="1"/>
  <c r="AV902" i="1"/>
  <c r="AV903" i="1"/>
  <c r="AV904" i="1"/>
  <c r="AV905" i="1"/>
  <c r="AV906" i="1"/>
  <c r="AV907" i="1"/>
  <c r="AV908" i="1"/>
  <c r="AV909" i="1"/>
  <c r="AV910" i="1"/>
  <c r="AV911" i="1"/>
  <c r="AV912" i="1"/>
  <c r="AV913" i="1"/>
  <c r="AV914" i="1"/>
  <c r="AV915" i="1"/>
  <c r="AV916" i="1"/>
  <c r="AV917" i="1"/>
  <c r="AV918" i="1"/>
  <c r="AV919" i="1"/>
  <c r="AV920" i="1"/>
  <c r="AV921" i="1"/>
  <c r="AV922" i="1"/>
  <c r="AV923" i="1"/>
  <c r="AV924" i="1"/>
  <c r="AV925" i="1"/>
  <c r="AV926" i="1"/>
  <c r="AV927" i="1"/>
  <c r="AV928" i="1"/>
  <c r="AV929" i="1"/>
  <c r="AV930" i="1"/>
  <c r="AV931" i="1"/>
  <c r="AV932" i="1"/>
  <c r="AV933" i="1"/>
  <c r="AV934" i="1"/>
  <c r="AV935" i="1"/>
  <c r="AV936" i="1"/>
  <c r="AV937" i="1"/>
  <c r="AV938" i="1"/>
  <c r="AV939" i="1"/>
  <c r="AV940" i="1"/>
  <c r="AV941" i="1"/>
  <c r="AV942" i="1"/>
  <c r="AV943" i="1"/>
  <c r="AV944" i="1"/>
  <c r="AV945" i="1"/>
  <c r="AV946" i="1"/>
  <c r="AV947" i="1"/>
  <c r="AV948" i="1"/>
  <c r="AV949" i="1"/>
  <c r="AV950" i="1"/>
  <c r="AV951" i="1"/>
  <c r="AV952" i="1"/>
  <c r="AV953" i="1"/>
  <c r="AV954" i="1"/>
  <c r="AV955" i="1"/>
  <c r="AV956" i="1"/>
  <c r="AV957" i="1"/>
  <c r="AV958" i="1"/>
  <c r="AV959" i="1"/>
  <c r="AV960" i="1"/>
  <c r="AV961" i="1"/>
  <c r="AV962" i="1"/>
  <c r="AV963" i="1"/>
  <c r="AV964" i="1"/>
  <c r="AV965" i="1"/>
  <c r="AV966" i="1"/>
  <c r="AV967" i="1"/>
  <c r="AV968" i="1"/>
  <c r="AV969" i="1"/>
  <c r="AV970" i="1"/>
  <c r="AV971" i="1"/>
  <c r="AV972" i="1"/>
  <c r="AV973" i="1"/>
  <c r="AV974" i="1"/>
  <c r="AV975" i="1"/>
  <c r="AV976" i="1"/>
  <c r="AV977" i="1"/>
  <c r="AV978" i="1"/>
  <c r="AV979" i="1"/>
  <c r="AV980" i="1"/>
  <c r="AV981" i="1"/>
  <c r="AV982" i="1"/>
  <c r="AV983" i="1"/>
  <c r="AV984" i="1"/>
  <c r="AV985" i="1"/>
  <c r="AV986" i="1"/>
  <c r="AV987" i="1"/>
  <c r="AV988" i="1"/>
  <c r="AV989" i="1"/>
  <c r="AV990" i="1"/>
  <c r="AV991" i="1"/>
  <c r="AV992" i="1"/>
  <c r="AV993" i="1"/>
  <c r="AV994" i="1"/>
  <c r="AV995" i="1"/>
  <c r="AV996" i="1"/>
  <c r="AV997" i="1"/>
  <c r="AV998" i="1"/>
  <c r="AV999" i="1"/>
  <c r="AV1000" i="1"/>
  <c r="AV1001" i="1"/>
  <c r="AV1002" i="1"/>
  <c r="AV1003" i="1"/>
  <c r="AV1004" i="1"/>
  <c r="AV1005" i="1"/>
  <c r="AV1006" i="1"/>
  <c r="AV1007" i="1"/>
  <c r="AV1008" i="1"/>
  <c r="AV1009" i="1"/>
  <c r="AV1010" i="1"/>
  <c r="AV1011" i="1"/>
  <c r="AV1012" i="1"/>
  <c r="AV1013" i="1"/>
  <c r="AV1014" i="1"/>
  <c r="AV1015" i="1"/>
  <c r="AV1016" i="1"/>
  <c r="AV1017" i="1"/>
  <c r="AV1018" i="1"/>
  <c r="AV1019" i="1"/>
  <c r="AV1020" i="1"/>
  <c r="AV1021" i="1"/>
  <c r="AV1022" i="1"/>
  <c r="AV1023" i="1"/>
  <c r="AV1024" i="1"/>
  <c r="AV1025" i="1"/>
  <c r="AV1026" i="1"/>
  <c r="AV1027" i="1"/>
  <c r="AV1028" i="1"/>
  <c r="AV1029" i="1"/>
  <c r="AV1030" i="1"/>
  <c r="AV1031" i="1"/>
  <c r="AV1032" i="1"/>
  <c r="AV1033" i="1"/>
  <c r="AV1034" i="1"/>
  <c r="AV1035" i="1"/>
  <c r="AV1036" i="1"/>
  <c r="AV1037" i="1"/>
  <c r="AV1038" i="1"/>
  <c r="AV1039" i="1"/>
  <c r="AV1040" i="1"/>
  <c r="AV1041" i="1"/>
  <c r="AV1042" i="1"/>
  <c r="AV1043" i="1"/>
  <c r="AV1044" i="1"/>
  <c r="AV1045" i="1"/>
  <c r="AV1046" i="1"/>
  <c r="AV1047" i="1"/>
  <c r="AV1048" i="1"/>
  <c r="AV1049" i="1"/>
  <c r="AV1050" i="1"/>
  <c r="AV1051" i="1"/>
  <c r="AV1052" i="1"/>
  <c r="AV1053" i="1"/>
  <c r="AV1054" i="1"/>
  <c r="AV1055" i="1"/>
  <c r="AV1056" i="1"/>
  <c r="AV1057" i="1"/>
  <c r="AV1058" i="1"/>
  <c r="AV1059" i="1"/>
  <c r="AV1060" i="1"/>
  <c r="AV1061" i="1"/>
  <c r="AV1062" i="1"/>
  <c r="AV1063" i="1"/>
  <c r="AV1064" i="1"/>
  <c r="AV1065" i="1"/>
  <c r="AV1066" i="1"/>
  <c r="AV1067" i="1"/>
  <c r="AV1068" i="1"/>
  <c r="AV1069" i="1"/>
  <c r="AV1070" i="1"/>
  <c r="AV1071" i="1"/>
  <c r="AV1072" i="1"/>
  <c r="AV1073" i="1"/>
  <c r="AV1074" i="1"/>
  <c r="AV1075" i="1"/>
  <c r="AV1076" i="1"/>
  <c r="AV1077" i="1"/>
  <c r="AV1078" i="1"/>
  <c r="AV1079" i="1"/>
  <c r="AV1080" i="1"/>
  <c r="AV1081" i="1"/>
  <c r="AV1082" i="1"/>
  <c r="AV1083" i="1"/>
  <c r="AV1084" i="1"/>
  <c r="AV1085" i="1"/>
  <c r="AV1086" i="1"/>
  <c r="AV1087" i="1"/>
  <c r="AV1088" i="1"/>
  <c r="AV1089" i="1"/>
  <c r="AV1090" i="1"/>
  <c r="AV1091" i="1"/>
  <c r="AV1092" i="1"/>
  <c r="AV1093" i="1"/>
  <c r="AV1094" i="1"/>
  <c r="AV1095" i="1"/>
  <c r="AV1096" i="1"/>
  <c r="AV1097" i="1"/>
  <c r="AV1098" i="1"/>
  <c r="AV1099" i="1"/>
  <c r="AV1100" i="1"/>
  <c r="AV1101" i="1"/>
  <c r="AV1102" i="1"/>
  <c r="AV1103" i="1"/>
  <c r="AV1104" i="1"/>
  <c r="AV1105" i="1"/>
  <c r="AV1106" i="1"/>
  <c r="AV1107" i="1"/>
  <c r="AV1108" i="1"/>
  <c r="AV1109" i="1"/>
  <c r="AV1110" i="1"/>
  <c r="AV1111" i="1"/>
  <c r="AV1112" i="1"/>
  <c r="AV1113" i="1"/>
  <c r="AV1114" i="1"/>
  <c r="AV1115" i="1"/>
  <c r="AV1116" i="1"/>
  <c r="AV1117" i="1"/>
  <c r="AV1118" i="1"/>
  <c r="AV1119" i="1"/>
  <c r="AV1120" i="1"/>
  <c r="AV1121" i="1"/>
  <c r="AV1122" i="1"/>
  <c r="AV1123" i="1"/>
  <c r="AV1124" i="1"/>
  <c r="AV1125" i="1"/>
  <c r="AV1126" i="1"/>
  <c r="AV1127" i="1"/>
  <c r="AV1128" i="1"/>
  <c r="AV1129" i="1"/>
  <c r="AV1130" i="1"/>
  <c r="AV1131" i="1"/>
  <c r="AV1132" i="1"/>
  <c r="AV1133" i="1"/>
  <c r="AV1134" i="1"/>
  <c r="AV1135" i="1"/>
  <c r="AV1136" i="1"/>
  <c r="AV1137" i="1"/>
  <c r="AV1138" i="1"/>
  <c r="AV1139" i="1"/>
  <c r="AV1140" i="1"/>
  <c r="AV1141" i="1"/>
  <c r="AV1142" i="1"/>
  <c r="AV1143" i="1"/>
  <c r="AV1144" i="1"/>
  <c r="AV1145" i="1"/>
  <c r="AV1146" i="1"/>
  <c r="AV1147" i="1"/>
  <c r="AV1148" i="1"/>
  <c r="AV1149" i="1"/>
  <c r="AV1150" i="1"/>
  <c r="AV1151" i="1"/>
  <c r="AV1152" i="1"/>
  <c r="AV1153" i="1"/>
  <c r="AV1154" i="1"/>
  <c r="AV1155" i="1"/>
  <c r="AV1156" i="1"/>
  <c r="AV1157" i="1"/>
  <c r="AV1158" i="1"/>
  <c r="AV1159" i="1"/>
  <c r="AV1160" i="1"/>
  <c r="AV1161" i="1"/>
  <c r="AV1162" i="1"/>
  <c r="AV1163" i="1"/>
  <c r="AV1164" i="1"/>
  <c r="AV1165" i="1"/>
  <c r="AV1166" i="1"/>
  <c r="AV1167" i="1"/>
  <c r="AV1168" i="1"/>
  <c r="AV1169" i="1"/>
  <c r="AV1170" i="1"/>
  <c r="AV1171" i="1"/>
  <c r="AV1172" i="1"/>
  <c r="AV1173" i="1"/>
  <c r="AV1174" i="1"/>
  <c r="AV1175" i="1"/>
  <c r="AV1176" i="1"/>
  <c r="AV1177" i="1"/>
  <c r="AV1178" i="1"/>
  <c r="AV1179" i="1"/>
  <c r="AV1180" i="1"/>
  <c r="AV1181" i="1"/>
  <c r="AV1182" i="1"/>
  <c r="AV1183" i="1"/>
  <c r="AV1184" i="1"/>
  <c r="AV1185" i="1"/>
  <c r="AV1186" i="1"/>
  <c r="AV1187" i="1"/>
  <c r="AV1188" i="1"/>
  <c r="AV1189" i="1"/>
  <c r="AV1190" i="1"/>
  <c r="AV1191" i="1"/>
  <c r="AV1192" i="1"/>
  <c r="AV1193" i="1"/>
  <c r="AV1194" i="1"/>
  <c r="AV1195" i="1"/>
  <c r="AV1196" i="1"/>
  <c r="AV1197" i="1"/>
  <c r="AV1198" i="1"/>
  <c r="AV1199" i="1"/>
  <c r="AV1200" i="1"/>
  <c r="AV1201" i="1"/>
  <c r="AV1202" i="1"/>
  <c r="AV1203" i="1"/>
  <c r="AV1204" i="1"/>
  <c r="AV1205" i="1"/>
  <c r="AV1206" i="1"/>
  <c r="AV1207" i="1"/>
  <c r="AV1208" i="1"/>
  <c r="AV1209" i="1"/>
  <c r="AV1210" i="1"/>
  <c r="AV1211" i="1"/>
  <c r="AV1212" i="1"/>
  <c r="AV1213" i="1"/>
  <c r="AV1214" i="1"/>
  <c r="AV1215" i="1"/>
  <c r="AV1216" i="1"/>
  <c r="AV1217" i="1"/>
  <c r="AV1218" i="1"/>
  <c r="AV1219" i="1"/>
  <c r="AV1220" i="1"/>
  <c r="AV1221" i="1"/>
  <c r="AV1222" i="1"/>
  <c r="AV1223" i="1"/>
  <c r="AV1224" i="1"/>
  <c r="AV1225" i="1"/>
  <c r="AV1226" i="1"/>
  <c r="AV1227" i="1"/>
  <c r="AV1228" i="1"/>
  <c r="AV1229" i="1"/>
  <c r="AV1230" i="1"/>
  <c r="AV1231" i="1"/>
  <c r="AV1232" i="1"/>
  <c r="AV1233" i="1"/>
  <c r="AV1234" i="1"/>
  <c r="AV1235" i="1"/>
  <c r="AV1236" i="1"/>
  <c r="AV1237" i="1"/>
  <c r="AV1238" i="1"/>
  <c r="AV1239" i="1"/>
  <c r="AV1240" i="1"/>
  <c r="AV1241" i="1"/>
  <c r="AV1242" i="1"/>
  <c r="AV1243" i="1"/>
  <c r="AV1244" i="1"/>
  <c r="AV1245" i="1"/>
  <c r="AV1246" i="1"/>
  <c r="AV1247" i="1"/>
  <c r="AV1248" i="1"/>
  <c r="AV1249" i="1"/>
  <c r="AV1250" i="1"/>
  <c r="AV1251" i="1"/>
  <c r="AV1252" i="1"/>
  <c r="AV1253" i="1"/>
  <c r="AV1254" i="1"/>
  <c r="AV1266" i="1" s="1"/>
  <c r="AV1255" i="1"/>
  <c r="AV1256" i="1"/>
  <c r="AV1257" i="1"/>
  <c r="AV1258" i="1"/>
  <c r="AV1259" i="1"/>
  <c r="AV1260" i="1"/>
  <c r="AV1261" i="1"/>
  <c r="AV1262" i="1"/>
  <c r="AV1263" i="1"/>
  <c r="AV1264" i="1"/>
  <c r="AV1265" i="1"/>
  <c r="AV1267" i="1"/>
  <c r="AV1268" i="1"/>
  <c r="AV1269" i="1"/>
  <c r="AV1270" i="1"/>
  <c r="AV1271" i="1"/>
  <c r="AV1272" i="1"/>
  <c r="AV1273" i="1"/>
  <c r="AV1274" i="1"/>
  <c r="AV1275" i="1"/>
  <c r="AV1276" i="1"/>
  <c r="AV1277" i="1"/>
  <c r="AV1278" i="1"/>
  <c r="AV1279" i="1"/>
  <c r="AV1280" i="1"/>
  <c r="AV1281" i="1"/>
  <c r="AV1282" i="1"/>
  <c r="AV1283" i="1"/>
  <c r="AV1284" i="1"/>
  <c r="AV1285" i="1"/>
  <c r="AV1286" i="1"/>
  <c r="AV1287" i="1"/>
  <c r="AV1288" i="1"/>
  <c r="AV1289" i="1"/>
  <c r="AV1290" i="1"/>
  <c r="AV1291" i="1"/>
  <c r="AV1292" i="1"/>
  <c r="AV1293" i="1"/>
  <c r="AV1294" i="1"/>
  <c r="AV1295" i="1"/>
  <c r="AV1296" i="1"/>
  <c r="AV1297" i="1"/>
  <c r="AV1298" i="1"/>
  <c r="AV1299" i="1"/>
  <c r="AV1300" i="1"/>
  <c r="AV1301" i="1"/>
  <c r="AV1302" i="1"/>
  <c r="AV1303" i="1"/>
  <c r="AV1304" i="1"/>
  <c r="AV1305" i="1"/>
  <c r="AV1306" i="1"/>
  <c r="AV1307" i="1"/>
  <c r="AV1308" i="1"/>
  <c r="AV1309" i="1"/>
  <c r="AV1310" i="1"/>
  <c r="AV1311" i="1"/>
  <c r="AV1312" i="1"/>
  <c r="AV1313" i="1"/>
  <c r="AV1314" i="1"/>
  <c r="AV1315" i="1"/>
  <c r="AV1316" i="1"/>
  <c r="AV1317" i="1"/>
  <c r="AV1318" i="1"/>
  <c r="AV1319" i="1"/>
  <c r="AV1320" i="1"/>
  <c r="AV1330" i="1"/>
  <c r="AV1331" i="1"/>
  <c r="AV1332" i="1" s="1"/>
  <c r="AV1334" i="1"/>
  <c r="AV1335" i="1"/>
  <c r="AV1336" i="1"/>
  <c r="AV1337" i="1"/>
  <c r="AV1338" i="1"/>
  <c r="AV1339" i="1"/>
  <c r="AV1340" i="1"/>
  <c r="AV1341" i="1"/>
  <c r="AV1342" i="1"/>
  <c r="AV1343" i="1"/>
  <c r="AV1344" i="1"/>
  <c r="AV1345" i="1"/>
  <c r="AV1346" i="1"/>
  <c r="AV1347" i="1"/>
  <c r="AV1348" i="1"/>
  <c r="AV1349" i="1"/>
  <c r="AV1350" i="1" s="1"/>
  <c r="AV1351" i="1"/>
  <c r="AV1352" i="1"/>
  <c r="AV1353" i="1"/>
  <c r="AV1354" i="1"/>
  <c r="AV1355" i="1"/>
  <c r="AV1356" i="1"/>
  <c r="AV1357" i="1"/>
  <c r="AV1358" i="1"/>
  <c r="AV1359" i="1"/>
  <c r="AV1360" i="1"/>
  <c r="AV1361" i="1"/>
  <c r="AV1362" i="1"/>
  <c r="AV1363" i="1"/>
  <c r="AV1364" i="1"/>
  <c r="AV1365" i="1"/>
  <c r="AV1366" i="1"/>
  <c r="AV1367" i="1"/>
  <c r="AV1368" i="1"/>
  <c r="AV1369" i="1"/>
  <c r="AV1370" i="1"/>
  <c r="AV1371" i="1"/>
  <c r="AV1372" i="1"/>
  <c r="AV1373" i="1"/>
  <c r="AV1374" i="1"/>
  <c r="AV1375" i="1"/>
  <c r="AV1376" i="1"/>
  <c r="AV1377" i="1"/>
  <c r="AV1378" i="1"/>
  <c r="AV1379" i="1"/>
  <c r="AV1380" i="1"/>
  <c r="AV1381" i="1"/>
  <c r="AV1382" i="1"/>
  <c r="AV1383" i="1"/>
  <c r="AV1384" i="1"/>
  <c r="AV1385" i="1"/>
  <c r="AV1386" i="1"/>
  <c r="AV1387" i="1"/>
  <c r="AV1388" i="1"/>
  <c r="AV1389" i="1"/>
  <c r="AV1390" i="1"/>
  <c r="AV1391" i="1"/>
  <c r="AV1392" i="1"/>
  <c r="AV1393" i="1"/>
  <c r="AV1394" i="1"/>
  <c r="AV1395" i="1"/>
  <c r="AV1396" i="1"/>
  <c r="AV1397" i="1"/>
  <c r="AV1398" i="1"/>
  <c r="AV1399" i="1"/>
  <c r="AV1400" i="1"/>
  <c r="AV1401" i="1"/>
  <c r="AV1402" i="1"/>
  <c r="AV1403" i="1"/>
  <c r="AV1404" i="1"/>
  <c r="AV1405" i="1"/>
  <c r="AV1406" i="1"/>
  <c r="AV1407" i="1"/>
  <c r="AV1408" i="1"/>
  <c r="AV1409" i="1"/>
  <c r="AV1410" i="1"/>
  <c r="AV1411" i="1"/>
  <c r="AV1412" i="1"/>
  <c r="AV1413" i="1"/>
  <c r="AV1414" i="1"/>
  <c r="AV1415" i="1"/>
  <c r="AV1416" i="1"/>
  <c r="AV1417" i="1"/>
  <c r="AV1418" i="1"/>
  <c r="AV1419" i="1"/>
  <c r="AV1420" i="1"/>
  <c r="AV1421" i="1"/>
  <c r="AV1422" i="1"/>
  <c r="AV1423" i="1"/>
  <c r="AV1424" i="1"/>
  <c r="AV1425" i="1"/>
  <c r="AV1426" i="1"/>
  <c r="AV1427" i="1"/>
  <c r="AV1428" i="1"/>
  <c r="AV1429" i="1"/>
  <c r="AV1430" i="1"/>
  <c r="AV1431" i="1"/>
  <c r="AV1432" i="1"/>
  <c r="AV1433" i="1"/>
  <c r="AV1434" i="1"/>
  <c r="AV1435" i="1"/>
  <c r="AV1436" i="1"/>
  <c r="AV1437" i="1"/>
  <c r="AV1438" i="1"/>
  <c r="AV1439" i="1"/>
  <c r="AV1440" i="1"/>
  <c r="AV1441" i="1"/>
  <c r="AV1442" i="1"/>
  <c r="AV1443" i="1"/>
  <c r="AV1444" i="1"/>
  <c r="AV1445" i="1"/>
  <c r="AV1446" i="1"/>
  <c r="AV1447" i="1"/>
  <c r="AV1448" i="1"/>
  <c r="AV1449" i="1"/>
  <c r="AV1450" i="1"/>
  <c r="AV1451" i="1"/>
  <c r="AV1452" i="1"/>
  <c r="AV1453" i="1"/>
  <c r="AV1454" i="1"/>
  <c r="AV1455" i="1"/>
  <c r="AV1456" i="1"/>
  <c r="AV1457" i="1"/>
  <c r="AV1458" i="1"/>
  <c r="AV1459" i="1"/>
  <c r="AV1460" i="1"/>
  <c r="AV1461" i="1"/>
  <c r="AV1462" i="1"/>
  <c r="AV1463" i="1"/>
  <c r="AV1464" i="1"/>
  <c r="AV1465" i="1"/>
  <c r="AV1466" i="1"/>
  <c r="AV1467" i="1"/>
  <c r="AV1468" i="1"/>
  <c r="AV1469" i="1"/>
  <c r="AV1470" i="1"/>
  <c r="AV1471" i="1"/>
  <c r="AV1472" i="1"/>
  <c r="AV1473" i="1"/>
  <c r="AV1474" i="1"/>
  <c r="AV1475" i="1"/>
  <c r="AV1476" i="1"/>
  <c r="AV1477" i="1"/>
  <c r="AV1478" i="1"/>
  <c r="AV1479" i="1"/>
  <c r="AV1480" i="1"/>
  <c r="AV1481" i="1"/>
  <c r="AV1482" i="1"/>
  <c r="AV1483" i="1"/>
  <c r="AV1484" i="1"/>
  <c r="AV1485" i="1"/>
  <c r="AV1486" i="1"/>
  <c r="AV1487" i="1"/>
  <c r="AV1488" i="1"/>
  <c r="AV1489" i="1"/>
  <c r="AV1490" i="1"/>
  <c r="AV1491" i="1"/>
  <c r="AV1492" i="1"/>
  <c r="AV1493" i="1"/>
  <c r="AV1494" i="1"/>
  <c r="AV1495" i="1"/>
  <c r="AV1496" i="1"/>
  <c r="AV1497" i="1"/>
  <c r="AV1498" i="1"/>
  <c r="AV1499" i="1"/>
  <c r="AV1500" i="1"/>
  <c r="AV1501" i="1"/>
  <c r="AV1502" i="1"/>
  <c r="AV1503" i="1"/>
  <c r="AV1504" i="1"/>
  <c r="AV1505" i="1"/>
  <c r="AV1506" i="1"/>
  <c r="AV1507" i="1"/>
  <c r="AV1508" i="1"/>
  <c r="AV1509" i="1"/>
  <c r="AV1510" i="1"/>
  <c r="AV1511" i="1"/>
  <c r="AV1512" i="1"/>
  <c r="AV1513" i="1"/>
  <c r="AV1514" i="1" s="1"/>
  <c r="AV1522" i="1"/>
  <c r="AV1523" i="1"/>
  <c r="AV1524" i="1"/>
  <c r="AV1525" i="1"/>
  <c r="AV1526" i="1"/>
  <c r="AV1527" i="1"/>
  <c r="AV1528" i="1"/>
  <c r="AV1529" i="1"/>
  <c r="AV1530" i="1"/>
  <c r="AV1531" i="1"/>
  <c r="AV1532" i="1"/>
  <c r="AV1533" i="1"/>
  <c r="AV1534" i="1"/>
  <c r="AV1535" i="1"/>
  <c r="AV1536" i="1"/>
  <c r="AV1537" i="1"/>
  <c r="AV1538" i="1"/>
  <c r="AV1539" i="1"/>
  <c r="AV1540" i="1"/>
  <c r="AV1541" i="1"/>
  <c r="AV1542" i="1"/>
  <c r="AV1543" i="1"/>
  <c r="AV1544" i="1"/>
  <c r="AV1545" i="1"/>
  <c r="AV1546" i="1"/>
  <c r="AV1547" i="1"/>
  <c r="AV1548" i="1"/>
  <c r="AV1549" i="1"/>
  <c r="AV1550" i="1"/>
  <c r="AV1551" i="1"/>
  <c r="AV1552" i="1"/>
  <c r="AV1553" i="1"/>
  <c r="AV1554" i="1"/>
  <c r="AV1555" i="1"/>
  <c r="AV1556" i="1"/>
  <c r="AV1557" i="1"/>
  <c r="AV1558" i="1"/>
  <c r="AV1559" i="1"/>
  <c r="AV1560" i="1"/>
  <c r="AV1561" i="1"/>
  <c r="AV1562" i="1"/>
  <c r="AV1563" i="1"/>
  <c r="AV1564" i="1"/>
  <c r="AV1565" i="1"/>
  <c r="AV1566" i="1"/>
  <c r="AV1567" i="1"/>
  <c r="AV1568" i="1"/>
  <c r="AV1569" i="1"/>
  <c r="AV1570" i="1"/>
  <c r="AV1571" i="1"/>
  <c r="AV1572" i="1"/>
  <c r="AV1573" i="1"/>
  <c r="AV1574" i="1"/>
  <c r="AV1575" i="1"/>
  <c r="AV1576" i="1"/>
  <c r="AV1577" i="1"/>
  <c r="AV1578" i="1"/>
  <c r="AV1579" i="1" s="1"/>
  <c r="AV1588" i="1"/>
  <c r="AV1589" i="1"/>
  <c r="AV1590" i="1"/>
  <c r="AV1591" i="1"/>
  <c r="AV1592" i="1"/>
  <c r="AV1593" i="1"/>
  <c r="AV1594" i="1"/>
  <c r="AV1595" i="1"/>
  <c r="AV1596" i="1"/>
  <c r="AV1597" i="1"/>
  <c r="AV1598" i="1"/>
  <c r="AV1599" i="1"/>
  <c r="AV1600" i="1"/>
  <c r="AV1601" i="1"/>
  <c r="AV1602" i="1"/>
  <c r="AV1603" i="1"/>
  <c r="AV1604" i="1"/>
  <c r="AV1605" i="1"/>
  <c r="AV1606" i="1"/>
  <c r="AV1607" i="1"/>
  <c r="AV1608" i="1"/>
  <c r="AV1609" i="1"/>
  <c r="AV1610" i="1"/>
  <c r="AV1611" i="1"/>
  <c r="AV1612" i="1"/>
  <c r="AV1613" i="1"/>
  <c r="AV1614" i="1"/>
  <c r="AV1615" i="1"/>
  <c r="AV1616" i="1"/>
  <c r="AV1617" i="1"/>
  <c r="AV1618" i="1"/>
  <c r="AV1619" i="1"/>
  <c r="AV1620" i="1"/>
  <c r="AV1621" i="1"/>
  <c r="AV1622" i="1"/>
  <c r="AV1623" i="1"/>
  <c r="AV1624" i="1"/>
  <c r="AV1625" i="1"/>
  <c r="AV1626" i="1"/>
  <c r="AV1627" i="1"/>
  <c r="AV1628" i="1"/>
  <c r="AV1629" i="1"/>
  <c r="AV1630" i="1"/>
  <c r="AV1631" i="1"/>
  <c r="AV1632" i="1"/>
  <c r="AV1633" i="1"/>
  <c r="AV1634" i="1"/>
  <c r="AV1635" i="1"/>
  <c r="AV1636" i="1"/>
  <c r="AV1637" i="1"/>
  <c r="AV1638" i="1"/>
  <c r="AV1639" i="1"/>
  <c r="AV1640" i="1"/>
  <c r="AV1641" i="1"/>
  <c r="AV1642" i="1"/>
  <c r="AV1643" i="1"/>
  <c r="AV1644" i="1"/>
  <c r="AV1645" i="1"/>
  <c r="AV1646" i="1"/>
  <c r="AV1647" i="1"/>
  <c r="AV1648" i="1"/>
  <c r="AV1649" i="1"/>
  <c r="AV1650" i="1"/>
  <c r="AV1651" i="1"/>
  <c r="AV1652" i="1"/>
  <c r="AV1653" i="1"/>
  <c r="AV1654" i="1"/>
  <c r="AV1655" i="1"/>
  <c r="AV1656" i="1"/>
  <c r="AV1657" i="1"/>
  <c r="AV1658" i="1"/>
  <c r="AV1659" i="1"/>
  <c r="AV1660" i="1"/>
  <c r="AV1661" i="1"/>
  <c r="AV1662" i="1"/>
  <c r="AV1663" i="1"/>
  <c r="AV1664" i="1"/>
  <c r="AV1665" i="1"/>
  <c r="AV1666" i="1"/>
  <c r="AV1667" i="1"/>
  <c r="AV1668" i="1"/>
  <c r="AV1669" i="1"/>
  <c r="AV1670" i="1"/>
  <c r="AV1671" i="1"/>
  <c r="AV1672" i="1"/>
  <c r="AV1673" i="1"/>
  <c r="AV1674" i="1"/>
  <c r="AV1675" i="1"/>
  <c r="AV1676" i="1"/>
  <c r="AV1677" i="1"/>
  <c r="AV1678" i="1"/>
  <c r="AV1679" i="1"/>
  <c r="AV1680" i="1"/>
  <c r="AV1681" i="1"/>
  <c r="AV1682" i="1"/>
  <c r="AV1683" i="1"/>
  <c r="AV1684" i="1"/>
  <c r="AV1685" i="1"/>
  <c r="AV1686" i="1"/>
  <c r="AV1687" i="1"/>
  <c r="AV1688" i="1"/>
  <c r="AV1689" i="1"/>
  <c r="AV1690" i="1"/>
  <c r="AV1691" i="1"/>
  <c r="AV1692" i="1"/>
  <c r="AV1693" i="1"/>
  <c r="AV1694" i="1"/>
  <c r="AV1695" i="1"/>
  <c r="AV1696" i="1"/>
  <c r="AV1697" i="1"/>
  <c r="AV1698" i="1"/>
  <c r="AV1699" i="1"/>
  <c r="AV1700" i="1"/>
  <c r="AV1701" i="1"/>
  <c r="AV1702" i="1"/>
  <c r="AV1703" i="1"/>
  <c r="AV1704" i="1"/>
  <c r="AV1705" i="1"/>
  <c r="AV1706" i="1"/>
  <c r="AV1707" i="1"/>
  <c r="AV1708" i="1"/>
  <c r="AV1709" i="1"/>
  <c r="AV1710" i="1"/>
  <c r="AV1711" i="1"/>
  <c r="AV1712" i="1"/>
  <c r="AV1713" i="1"/>
  <c r="AV1714" i="1"/>
  <c r="AV1715" i="1"/>
  <c r="AV1716" i="1"/>
  <c r="AV1717" i="1"/>
  <c r="AV1718" i="1"/>
  <c r="AV1719" i="1"/>
  <c r="AV1720" i="1"/>
  <c r="AV1721" i="1"/>
  <c r="AV1722" i="1"/>
  <c r="AV1723" i="1"/>
  <c r="AV1724" i="1"/>
  <c r="AV1725" i="1"/>
  <c r="AV1726" i="1"/>
  <c r="AV1727" i="1"/>
  <c r="AV1728" i="1"/>
  <c r="AV1729" i="1"/>
  <c r="AV1730" i="1"/>
  <c r="AV1731" i="1"/>
  <c r="AV1732" i="1"/>
  <c r="AV1733" i="1"/>
  <c r="AV1734" i="1"/>
  <c r="AV1735" i="1"/>
  <c r="AV1736" i="1"/>
  <c r="AV1737" i="1"/>
  <c r="AV1738" i="1"/>
  <c r="AV1739" i="1"/>
  <c r="AV1740" i="1"/>
  <c r="AV1741" i="1"/>
  <c r="AV1742" i="1"/>
  <c r="AV1743" i="1"/>
  <c r="AV1744" i="1"/>
  <c r="AV1745" i="1"/>
  <c r="AV1746" i="1"/>
  <c r="AV1747" i="1"/>
  <c r="AV1748" i="1"/>
  <c r="AV1749" i="1"/>
  <c r="AV1750" i="1"/>
  <c r="AV1751" i="1"/>
  <c r="AV1752" i="1"/>
  <c r="AV1753" i="1"/>
  <c r="AV1754" i="1"/>
  <c r="AV1755" i="1"/>
  <c r="AV1756" i="1"/>
  <c r="AV1757" i="1"/>
  <c r="AV1758" i="1"/>
  <c r="AV1759" i="1"/>
  <c r="AV1760" i="1"/>
  <c r="AV1761" i="1"/>
  <c r="AV1762" i="1"/>
  <c r="AV1763" i="1"/>
  <c r="AV1764" i="1"/>
  <c r="AV1765" i="1"/>
  <c r="AV1766" i="1"/>
  <c r="AV1767" i="1"/>
  <c r="AV1768" i="1"/>
  <c r="AV1769" i="1"/>
  <c r="AV1770" i="1"/>
  <c r="AV1771" i="1"/>
  <c r="AV1772" i="1"/>
  <c r="AV1773" i="1"/>
  <c r="AV1774" i="1"/>
  <c r="AV1775" i="1"/>
  <c r="AV1776" i="1"/>
  <c r="AV1777" i="1"/>
  <c r="AV1778" i="1"/>
  <c r="AV1779" i="1"/>
  <c r="AV1780" i="1"/>
  <c r="AV1781" i="1"/>
  <c r="AV1782" i="1"/>
  <c r="AV1783" i="1"/>
  <c r="AV1784" i="1"/>
  <c r="AV1785" i="1"/>
  <c r="AV1786" i="1"/>
  <c r="AV1787" i="1"/>
  <c r="AV1788" i="1"/>
  <c r="AV1789" i="1"/>
  <c r="AV1790" i="1"/>
  <c r="AV1791" i="1"/>
  <c r="AV1792" i="1"/>
  <c r="AV1793" i="1"/>
  <c r="AV1794" i="1"/>
  <c r="AV1795" i="1"/>
  <c r="AV1796" i="1"/>
  <c r="AV1797" i="1"/>
  <c r="AV1798" i="1"/>
  <c r="AV1799" i="1"/>
  <c r="AV1800" i="1"/>
  <c r="AV1801" i="1"/>
  <c r="AV1802" i="1"/>
  <c r="AV1803" i="1"/>
  <c r="AV1804" i="1"/>
  <c r="AV1805" i="1"/>
  <c r="AV1806" i="1"/>
  <c r="AV1807" i="1"/>
  <c r="AV1808" i="1"/>
  <c r="AV1809" i="1"/>
  <c r="AV1810" i="1"/>
  <c r="AV1811" i="1"/>
  <c r="AV1812" i="1"/>
  <c r="AV1813" i="1"/>
  <c r="AV1814" i="1"/>
  <c r="AV1815" i="1"/>
  <c r="AV1816" i="1"/>
  <c r="AV1817" i="1"/>
  <c r="AV1818" i="1"/>
  <c r="AV1819" i="1"/>
  <c r="AV1820" i="1"/>
  <c r="AV1821" i="1"/>
  <c r="AV1822" i="1"/>
  <c r="AV1823" i="1"/>
  <c r="AV1824" i="1"/>
  <c r="AV1825" i="1"/>
  <c r="AV1826" i="1"/>
  <c r="AV1827" i="1"/>
  <c r="AV1828" i="1"/>
  <c r="AV1829" i="1"/>
  <c r="AV1830" i="1"/>
  <c r="AV1831" i="1"/>
  <c r="AV1832" i="1"/>
  <c r="AV1833" i="1"/>
  <c r="AV1834" i="1"/>
  <c r="AV1835" i="1"/>
  <c r="AV1836" i="1"/>
  <c r="AV1837" i="1"/>
  <c r="AV1838" i="1"/>
  <c r="AV1839" i="1"/>
  <c r="AV1840" i="1"/>
  <c r="AV1841" i="1"/>
  <c r="AV1842" i="1"/>
  <c r="AV1843" i="1"/>
  <c r="AV1844" i="1"/>
  <c r="AV1845" i="1"/>
  <c r="AV1846" i="1"/>
  <c r="AV1847" i="1"/>
  <c r="AV1848" i="1"/>
  <c r="AV1849" i="1"/>
  <c r="AV1850" i="1"/>
  <c r="AV1851" i="1"/>
  <c r="AV1852" i="1"/>
  <c r="AV1853" i="1"/>
  <c r="AV1854" i="1"/>
  <c r="AV1855" i="1"/>
  <c r="AV1856" i="1"/>
  <c r="AV1857" i="1"/>
  <c r="AV1858" i="1"/>
  <c r="AV1859" i="1"/>
  <c r="AV1860" i="1"/>
  <c r="AV1861" i="1"/>
  <c r="AV1862" i="1"/>
  <c r="AV1863" i="1"/>
  <c r="AV1864" i="1"/>
  <c r="AV1865" i="1"/>
  <c r="AV1866" i="1"/>
  <c r="AV1867" i="1"/>
  <c r="AV1868" i="1"/>
  <c r="AV1869" i="1"/>
  <c r="AV1870" i="1"/>
  <c r="AV1871" i="1"/>
  <c r="AV1872" i="1"/>
  <c r="AV1873" i="1"/>
  <c r="AV1874" i="1"/>
  <c r="AV1875" i="1"/>
  <c r="AV1876" i="1"/>
  <c r="AV1877" i="1"/>
  <c r="AV1878" i="1"/>
  <c r="AV1879" i="1"/>
  <c r="AV1880" i="1"/>
  <c r="AV1881" i="1"/>
  <c r="AV1882" i="1"/>
  <c r="AV1883" i="1"/>
  <c r="AV1884" i="1"/>
  <c r="AV1885" i="1"/>
  <c r="AV1886" i="1"/>
  <c r="AV1887" i="1"/>
  <c r="AV1888" i="1"/>
  <c r="AV1889" i="1"/>
  <c r="AV1890" i="1"/>
  <c r="AV1891" i="1"/>
  <c r="AV1892" i="1"/>
  <c r="AV1893" i="1"/>
  <c r="AV1894" i="1"/>
  <c r="AV1895" i="1"/>
  <c r="AV1896" i="1"/>
  <c r="AV1897" i="1"/>
  <c r="AV1898" i="1"/>
  <c r="AV1899" i="1"/>
  <c r="AV1900" i="1"/>
  <c r="AV1901" i="1"/>
  <c r="AV1902" i="1"/>
  <c r="AV1903" i="1"/>
  <c r="AV1904" i="1"/>
  <c r="AV1905" i="1"/>
  <c r="AV1906" i="1"/>
  <c r="AV1907" i="1"/>
  <c r="AV1908" i="1"/>
  <c r="AV1909" i="1"/>
  <c r="AV1910" i="1"/>
  <c r="AV1911" i="1"/>
  <c r="AV1912" i="1"/>
  <c r="AV1913" i="1"/>
  <c r="AV1914" i="1"/>
  <c r="AV1915" i="1"/>
  <c r="AV1916" i="1"/>
  <c r="AV1917" i="1"/>
  <c r="AV1918" i="1"/>
  <c r="AV1919" i="1"/>
  <c r="AV1920" i="1"/>
  <c r="AV1921" i="1"/>
  <c r="AV1922" i="1"/>
  <c r="AV1923" i="1"/>
  <c r="AV1924" i="1"/>
  <c r="AV1925" i="1"/>
  <c r="AV1926" i="1"/>
  <c r="AV1927" i="1"/>
  <c r="AV1928" i="1"/>
  <c r="AV1929" i="1"/>
  <c r="AV1930" i="1"/>
  <c r="AV1931" i="1"/>
  <c r="AV1932" i="1"/>
  <c r="AV1933" i="1"/>
  <c r="AV1934" i="1"/>
  <c r="AV1935" i="1"/>
  <c r="AV1936" i="1"/>
  <c r="AV1937" i="1"/>
  <c r="AV1938" i="1"/>
  <c r="AV1939" i="1"/>
  <c r="AV1940" i="1"/>
  <c r="AV1941" i="1"/>
  <c r="AV1942" i="1"/>
  <c r="AV1943" i="1"/>
  <c r="AV1944" i="1"/>
  <c r="AV1945" i="1"/>
  <c r="AV1946" i="1"/>
  <c r="AV1947" i="1"/>
  <c r="AV1948" i="1"/>
  <c r="AV1949" i="1"/>
  <c r="AV1950" i="1"/>
  <c r="AV1951" i="1"/>
  <c r="AV1952" i="1"/>
  <c r="AV1953" i="1"/>
  <c r="AV1954" i="1"/>
  <c r="AV1955" i="1"/>
  <c r="AV1956" i="1"/>
  <c r="AV1957" i="1"/>
  <c r="AV1958" i="1"/>
  <c r="AV1959" i="1"/>
  <c r="AV1960" i="1"/>
  <c r="AV1961" i="1"/>
  <c r="AV1962" i="1"/>
  <c r="AV1963" i="1"/>
  <c r="AV1964" i="1"/>
  <c r="AV1965" i="1"/>
  <c r="AV1966" i="1"/>
  <c r="AV1967" i="1"/>
  <c r="AV1968" i="1"/>
  <c r="AV1969" i="1"/>
  <c r="AV1970" i="1"/>
  <c r="AV1971" i="1"/>
  <c r="AV1972" i="1"/>
  <c r="AV1973" i="1"/>
  <c r="AV1974" i="1"/>
  <c r="AV1975" i="1"/>
  <c r="AV1976" i="1"/>
  <c r="AV1977" i="1"/>
  <c r="AV1978" i="1"/>
  <c r="AV1979" i="1"/>
  <c r="AV1980" i="1"/>
  <c r="AV1981" i="1"/>
  <c r="AV1982" i="1"/>
  <c r="AV1983" i="1"/>
  <c r="AV1984" i="1"/>
  <c r="AV1985" i="1"/>
  <c r="AV1986" i="1"/>
  <c r="AV1987" i="1"/>
  <c r="AV1988" i="1"/>
  <c r="AV1989" i="1"/>
  <c r="AV1990" i="1"/>
  <c r="AV1991" i="1"/>
  <c r="AV1992" i="1"/>
  <c r="AV1993" i="1"/>
  <c r="AV1994" i="1"/>
  <c r="AV1995" i="1"/>
  <c r="AV1996" i="1"/>
  <c r="AV1997" i="1"/>
  <c r="AV1998" i="1"/>
  <c r="AV1999" i="1"/>
  <c r="AV2000" i="1"/>
  <c r="AV2001" i="1"/>
  <c r="AV2002" i="1"/>
  <c r="AV2003" i="1"/>
  <c r="AV2004" i="1"/>
  <c r="AV2005" i="1"/>
  <c r="AV2006" i="1"/>
  <c r="AV2007" i="1"/>
  <c r="AV2008" i="1"/>
  <c r="AV2009" i="1"/>
  <c r="AV2010" i="1"/>
  <c r="AV2011" i="1"/>
  <c r="AV2012" i="1"/>
  <c r="AV2013" i="1"/>
  <c r="AV2014" i="1"/>
  <c r="AV2015" i="1"/>
  <c r="AV2016" i="1"/>
  <c r="AV2017" i="1"/>
  <c r="AV2018" i="1"/>
  <c r="AV2019" i="1"/>
  <c r="AV2020" i="1"/>
  <c r="AV2021" i="1"/>
  <c r="AV2022" i="1"/>
  <c r="AV2023" i="1"/>
  <c r="AV2024" i="1"/>
  <c r="AV2025" i="1"/>
  <c r="AV2026" i="1"/>
  <c r="AV2027" i="1"/>
  <c r="AV2028" i="1"/>
  <c r="AV2029" i="1"/>
  <c r="AV2030" i="1"/>
  <c r="AV2031" i="1"/>
  <c r="AV2032" i="1"/>
  <c r="AV2033" i="1"/>
  <c r="AV2034" i="1"/>
  <c r="AV2035" i="1"/>
  <c r="AV2036" i="1"/>
  <c r="AV2037" i="1"/>
  <c r="AV2038" i="1"/>
  <c r="AV2039" i="1"/>
  <c r="AV2040" i="1"/>
  <c r="AV2041" i="1"/>
  <c r="AV2042" i="1"/>
  <c r="AV2043" i="1"/>
  <c r="AV2044" i="1"/>
  <c r="AV2045" i="1"/>
  <c r="AV2046" i="1"/>
  <c r="AV2047" i="1"/>
  <c r="AV2048" i="1"/>
  <c r="AV2049" i="1"/>
  <c r="AV2050" i="1"/>
  <c r="AV2051" i="1"/>
  <c r="AV2052" i="1"/>
  <c r="AV2053" i="1"/>
  <c r="AV2054" i="1"/>
  <c r="AV2055" i="1"/>
  <c r="AV2056" i="1"/>
  <c r="AV2057" i="1"/>
  <c r="AV2058" i="1"/>
  <c r="AV2059" i="1"/>
  <c r="AV2060" i="1"/>
  <c r="AV2061" i="1"/>
  <c r="AV2062" i="1"/>
  <c r="AV2063" i="1"/>
  <c r="AV2064" i="1"/>
  <c r="AV2065" i="1"/>
  <c r="AV2066" i="1"/>
  <c r="AV2067" i="1"/>
  <c r="AV2068" i="1"/>
  <c r="AV2069" i="1"/>
  <c r="AV2070" i="1"/>
  <c r="AV2071" i="1"/>
  <c r="AV2072" i="1"/>
  <c r="AV2073" i="1"/>
  <c r="AV2074" i="1"/>
  <c r="AV2075" i="1"/>
  <c r="AV2076" i="1"/>
  <c r="AV2077" i="1"/>
  <c r="AV2078" i="1"/>
  <c r="AV2079" i="1"/>
  <c r="AV2080" i="1"/>
  <c r="AV2081" i="1"/>
  <c r="AV2082" i="1"/>
  <c r="AV2083" i="1"/>
  <c r="AV2084" i="1"/>
  <c r="AV2085" i="1"/>
  <c r="AV2086" i="1"/>
  <c r="AV2087" i="1"/>
  <c r="AV2088" i="1"/>
  <c r="AV2089" i="1"/>
  <c r="AV2090" i="1"/>
  <c r="AV2091" i="1"/>
  <c r="AV2092" i="1"/>
  <c r="AV2093" i="1"/>
  <c r="AV2094" i="1"/>
  <c r="AV2095" i="1"/>
  <c r="AV2096" i="1"/>
  <c r="AV2097" i="1"/>
  <c r="AV2098" i="1"/>
  <c r="AV2099" i="1"/>
  <c r="AV2100" i="1"/>
  <c r="AV2101" i="1"/>
  <c r="AV2102" i="1"/>
  <c r="AV2103" i="1"/>
  <c r="AV2104" i="1"/>
  <c r="AV2105" i="1"/>
  <c r="AV2106" i="1"/>
  <c r="AV2107" i="1"/>
  <c r="AV2108" i="1"/>
  <c r="AV2109" i="1"/>
  <c r="AV2110" i="1"/>
  <c r="AV2111" i="1"/>
  <c r="AV2112" i="1"/>
  <c r="AV2113" i="1"/>
  <c r="AV2114" i="1"/>
  <c r="AV2115" i="1"/>
  <c r="AV2116" i="1"/>
  <c r="AV2117" i="1"/>
  <c r="AV2118" i="1"/>
  <c r="AV2119" i="1"/>
  <c r="AV2120" i="1"/>
  <c r="AV2121" i="1"/>
  <c r="AV2122" i="1"/>
  <c r="AV2123" i="1"/>
  <c r="AV2124" i="1"/>
  <c r="AV2125" i="1"/>
  <c r="AV2126" i="1"/>
  <c r="AV2127" i="1"/>
  <c r="AV2128" i="1"/>
  <c r="AV2129" i="1"/>
  <c r="AV2130" i="1"/>
  <c r="AV2131" i="1"/>
  <c r="AV2132" i="1"/>
  <c r="AV2133" i="1"/>
  <c r="AV2134" i="1"/>
  <c r="AV2135" i="1"/>
  <c r="AV2136" i="1"/>
  <c r="AV2137" i="1"/>
  <c r="AV2138" i="1"/>
  <c r="AV2139" i="1"/>
  <c r="AV2140" i="1"/>
  <c r="AV2141" i="1"/>
  <c r="AV2142" i="1"/>
  <c r="AV2143" i="1"/>
  <c r="AV2144" i="1"/>
  <c r="AV2145" i="1"/>
  <c r="AV2146" i="1"/>
  <c r="AV2147" i="1"/>
  <c r="AV2148" i="1"/>
  <c r="AV2149" i="1"/>
  <c r="AV2150" i="1"/>
  <c r="AV2151" i="1"/>
  <c r="AV2152" i="1"/>
  <c r="AV2153" i="1"/>
  <c r="AV2154" i="1"/>
  <c r="AV2155" i="1"/>
  <c r="AV2156" i="1"/>
  <c r="AV2157" i="1"/>
  <c r="AV2158" i="1"/>
  <c r="AV2159" i="1"/>
  <c r="AV2160" i="1"/>
  <c r="AV2161" i="1"/>
  <c r="AV2162" i="1"/>
  <c r="AV2163" i="1"/>
  <c r="AV2164" i="1"/>
  <c r="AV2165" i="1"/>
  <c r="AV2166" i="1"/>
  <c r="AV2167" i="1"/>
  <c r="AV2168" i="1"/>
  <c r="AV2169" i="1"/>
  <c r="AV2170" i="1"/>
  <c r="AV2171" i="1"/>
  <c r="AV2172" i="1"/>
  <c r="AV2173" i="1"/>
  <c r="AV2174" i="1"/>
  <c r="AV2175" i="1"/>
  <c r="AV2176" i="1"/>
  <c r="AV2177" i="1"/>
  <c r="AV2178" i="1"/>
  <c r="AV2179" i="1"/>
  <c r="AV2180" i="1"/>
  <c r="AV2181" i="1"/>
  <c r="AV2182" i="1"/>
  <c r="AV2183" i="1"/>
  <c r="AV2184" i="1"/>
  <c r="AV2185" i="1"/>
  <c r="AV2186" i="1"/>
  <c r="AV2187" i="1"/>
  <c r="AV2188" i="1"/>
  <c r="AV2189" i="1"/>
  <c r="AV2190" i="1"/>
  <c r="AV2191" i="1"/>
  <c r="AV2192" i="1"/>
  <c r="AV2193" i="1"/>
  <c r="AV2194" i="1"/>
  <c r="AV2195" i="1"/>
  <c r="AV2196" i="1"/>
  <c r="AV2197" i="1"/>
  <c r="AV2198" i="1"/>
  <c r="AV2199" i="1"/>
  <c r="AV2200" i="1"/>
  <c r="AV2201" i="1"/>
  <c r="AV2202" i="1"/>
  <c r="AV2203" i="1"/>
  <c r="AV2204" i="1"/>
  <c r="AV2205" i="1"/>
  <c r="AV2206" i="1"/>
  <c r="AV2207" i="1"/>
  <c r="AV2208" i="1"/>
  <c r="AV2209" i="1"/>
  <c r="AV2210" i="1"/>
  <c r="AV2211" i="1"/>
  <c r="AV2212" i="1"/>
  <c r="AV2213" i="1"/>
  <c r="AV2214" i="1"/>
  <c r="AV2215" i="1"/>
  <c r="AV2216" i="1"/>
  <c r="AV2217" i="1"/>
  <c r="AV2218" i="1"/>
  <c r="AV2219" i="1"/>
  <c r="AV2220" i="1"/>
  <c r="AV2221" i="1"/>
  <c r="AV2222" i="1"/>
  <c r="AV2223" i="1"/>
  <c r="AV2224" i="1"/>
  <c r="AV2225" i="1"/>
  <c r="AV2226" i="1"/>
  <c r="AV2227" i="1"/>
  <c r="AV2228" i="1"/>
  <c r="AV2229" i="1"/>
  <c r="AV2230" i="1"/>
  <c r="AV2231" i="1"/>
  <c r="AV2232" i="1"/>
  <c r="AV2233" i="1"/>
  <c r="AV2234" i="1"/>
  <c r="AV2235" i="1"/>
  <c r="AV2236" i="1"/>
  <c r="AV2237" i="1"/>
  <c r="AV2238" i="1"/>
  <c r="AV2239" i="1"/>
  <c r="AV2240" i="1"/>
  <c r="AV2241" i="1"/>
  <c r="AV2242" i="1"/>
  <c r="AV2243" i="1"/>
  <c r="AV2244" i="1"/>
  <c r="AV2245" i="1"/>
  <c r="AV2246" i="1"/>
  <c r="AV2247" i="1"/>
  <c r="AV2248" i="1"/>
  <c r="AV2249" i="1"/>
  <c r="AV2250" i="1"/>
  <c r="AV2251" i="1"/>
  <c r="AV2252" i="1"/>
  <c r="AV2253" i="1"/>
  <c r="AV2254" i="1"/>
  <c r="AV2255" i="1"/>
  <c r="AV2256" i="1"/>
  <c r="AV2257" i="1"/>
  <c r="AV2258" i="1"/>
  <c r="AV2259" i="1"/>
  <c r="AV2260" i="1"/>
  <c r="AV2261" i="1"/>
  <c r="AV2262" i="1"/>
  <c r="AV2263" i="1"/>
  <c r="AV2264" i="1"/>
  <c r="AV2265" i="1"/>
  <c r="AV2266" i="1"/>
  <c r="AV2267" i="1"/>
  <c r="AV2268" i="1"/>
  <c r="AV2269" i="1"/>
  <c r="AV2270" i="1"/>
  <c r="AV2271" i="1"/>
  <c r="AV2272" i="1"/>
  <c r="AV2273" i="1"/>
  <c r="AV2274" i="1"/>
  <c r="AV2275" i="1"/>
  <c r="AV2276" i="1"/>
  <c r="AV2277" i="1"/>
  <c r="AV2278" i="1"/>
  <c r="AV2279" i="1"/>
  <c r="AV2280" i="1"/>
  <c r="AV2281" i="1"/>
  <c r="AV2282" i="1"/>
  <c r="AV2283" i="1"/>
  <c r="AV2284" i="1"/>
  <c r="AV2285" i="1"/>
  <c r="AV2286" i="1"/>
  <c r="AV2287" i="1"/>
  <c r="AV2288" i="1"/>
  <c r="AV2289" i="1"/>
  <c r="AV2290" i="1"/>
  <c r="AV2291" i="1"/>
  <c r="AV2292" i="1"/>
  <c r="AV2293" i="1"/>
  <c r="AV2294" i="1"/>
  <c r="AV2295" i="1"/>
  <c r="AV2296" i="1"/>
  <c r="AV2297" i="1"/>
  <c r="AV2298" i="1"/>
  <c r="AV2299" i="1"/>
  <c r="AV2300" i="1"/>
  <c r="AV2301" i="1"/>
  <c r="AV2302" i="1"/>
  <c r="AV2303" i="1"/>
  <c r="AV2304" i="1"/>
  <c r="AV2305" i="1"/>
  <c r="AV2306" i="1"/>
  <c r="AV2307" i="1"/>
  <c r="AV2308" i="1"/>
  <c r="AV2309" i="1"/>
  <c r="AV2310" i="1"/>
  <c r="AV2311" i="1"/>
  <c r="AV2312" i="1"/>
  <c r="AV2313" i="1"/>
  <c r="AV2314" i="1"/>
  <c r="AV2315" i="1"/>
  <c r="AV2316" i="1"/>
  <c r="AV2317" i="1"/>
  <c r="AV2318" i="1"/>
  <c r="AV2319" i="1"/>
  <c r="AV2320" i="1"/>
  <c r="AV2321" i="1"/>
  <c r="AV2322" i="1"/>
  <c r="AV2323" i="1"/>
  <c r="AV2324" i="1"/>
  <c r="AV2325" i="1"/>
  <c r="AV2326" i="1"/>
  <c r="AV2327" i="1"/>
  <c r="AV2328" i="1"/>
  <c r="AV2329" i="1"/>
  <c r="AV2330" i="1"/>
  <c r="AV2331" i="1"/>
  <c r="AV2332" i="1"/>
  <c r="AV2333" i="1"/>
  <c r="AV2334" i="1"/>
  <c r="AV2335" i="1"/>
  <c r="AV2336" i="1"/>
  <c r="AV2337" i="1"/>
  <c r="AV2338" i="1"/>
  <c r="AV2339" i="1"/>
  <c r="AV2340" i="1"/>
  <c r="AV2341" i="1"/>
  <c r="AV2342" i="1"/>
  <c r="AV2343" i="1"/>
  <c r="AV2344" i="1"/>
  <c r="AV2345" i="1"/>
  <c r="AV2346" i="1"/>
  <c r="AV2347" i="1"/>
  <c r="AV2348" i="1"/>
  <c r="AV2349" i="1"/>
  <c r="AV2350" i="1"/>
  <c r="AV2351" i="1"/>
  <c r="AV2352" i="1"/>
  <c r="AV2353" i="1"/>
  <c r="AV2354" i="1"/>
  <c r="AV2355" i="1"/>
  <c r="AV2356" i="1"/>
  <c r="AV2357" i="1"/>
  <c r="AV2358" i="1"/>
  <c r="AV2359" i="1"/>
  <c r="AV2360" i="1"/>
  <c r="AV2361" i="1"/>
  <c r="AV2362" i="1"/>
  <c r="AV2363" i="1"/>
  <c r="AV2364" i="1"/>
  <c r="AV2365" i="1"/>
  <c r="AV2366" i="1"/>
  <c r="AV2367" i="1"/>
  <c r="AV2368" i="1"/>
  <c r="AV2369" i="1"/>
  <c r="AV2370" i="1"/>
  <c r="AV2371" i="1"/>
  <c r="AV2372" i="1"/>
  <c r="AV2373" i="1"/>
  <c r="AV2374" i="1"/>
  <c r="AV2375" i="1"/>
  <c r="AV2376" i="1"/>
  <c r="AV2377" i="1"/>
  <c r="AV2378" i="1"/>
  <c r="AV2379" i="1"/>
  <c r="AV2380" i="1"/>
  <c r="AV2381" i="1"/>
  <c r="AV2382" i="1"/>
  <c r="AV2383" i="1"/>
  <c r="AV2384" i="1"/>
  <c r="AV2385" i="1"/>
  <c r="AV2386" i="1"/>
  <c r="AV2387" i="1"/>
  <c r="AV2388" i="1" s="1"/>
  <c r="AV2390" i="1"/>
  <c r="AV2391" i="1"/>
  <c r="AV2392" i="1"/>
  <c r="AV2393" i="1"/>
  <c r="AV2394" i="1"/>
  <c r="AV2395" i="1"/>
  <c r="AV2396" i="1"/>
  <c r="AV2397" i="1"/>
  <c r="AV2398" i="1"/>
  <c r="AV2399" i="1"/>
  <c r="AV2400" i="1"/>
  <c r="AV2401" i="1"/>
  <c r="AV2402" i="1"/>
  <c r="AV2403" i="1"/>
  <c r="AV2404" i="1"/>
  <c r="AV2405" i="1"/>
  <c r="AV2406" i="1"/>
  <c r="AV2407" i="1"/>
  <c r="AV2408" i="1"/>
  <c r="AV2409" i="1"/>
  <c r="AV2410" i="1"/>
  <c r="AV2411" i="1"/>
  <c r="AV2412" i="1"/>
  <c r="AV2413" i="1"/>
  <c r="AV2414" i="1"/>
  <c r="AV2415" i="1"/>
  <c r="AV2416" i="1"/>
  <c r="AV2417" i="1"/>
  <c r="AV2418" i="1"/>
  <c r="AV2419" i="1"/>
  <c r="AV2420" i="1"/>
  <c r="AV2421" i="1"/>
  <c r="AV2422" i="1"/>
  <c r="AV2423" i="1"/>
  <c r="AV2424" i="1"/>
  <c r="AV2425" i="1"/>
  <c r="AV2426" i="1"/>
  <c r="AV2427" i="1"/>
  <c r="AV2428" i="1"/>
  <c r="AV2429" i="1"/>
  <c r="AV2430" i="1"/>
  <c r="AV2431" i="1"/>
  <c r="AV2432" i="1"/>
  <c r="AV2433" i="1"/>
  <c r="AV2434" i="1"/>
  <c r="AV2435" i="1"/>
  <c r="AV2436" i="1"/>
  <c r="AV2437" i="1"/>
  <c r="AV2438" i="1"/>
  <c r="AV2439" i="1"/>
  <c r="AV2440" i="1"/>
  <c r="AV2441" i="1"/>
  <c r="AV2442" i="1"/>
  <c r="AV2443" i="1"/>
  <c r="AV2444" i="1"/>
  <c r="AV2445" i="1"/>
  <c r="AV2446" i="1"/>
  <c r="AV2447" i="1"/>
  <c r="AV2448" i="1"/>
  <c r="AV2449" i="1"/>
  <c r="AV2450" i="1"/>
  <c r="AV2451" i="1"/>
  <c r="AV2452" i="1"/>
  <c r="AV2453" i="1"/>
  <c r="AV2454" i="1"/>
  <c r="AV2455" i="1"/>
  <c r="AV2456" i="1"/>
  <c r="AV2457" i="1"/>
  <c r="AV2458" i="1"/>
  <c r="AV2459" i="1"/>
  <c r="AV2460" i="1"/>
  <c r="AV2461" i="1"/>
  <c r="AV2462" i="1"/>
  <c r="AV2463" i="1"/>
  <c r="AV2464" i="1"/>
  <c r="AV2465" i="1"/>
  <c r="AV2466" i="1"/>
  <c r="AV2467" i="1"/>
  <c r="AV2468" i="1"/>
  <c r="AV2469" i="1"/>
  <c r="AV2470" i="1"/>
  <c r="AV2471" i="1"/>
  <c r="AV2472" i="1"/>
  <c r="AV2473" i="1"/>
  <c r="AV2474" i="1"/>
  <c r="AV2475" i="1"/>
  <c r="AV2476" i="1"/>
  <c r="AV2477" i="1"/>
  <c r="AV2478" i="1"/>
  <c r="AV2479" i="1"/>
  <c r="AV2480" i="1"/>
  <c r="AV2481" i="1"/>
  <c r="AV2482" i="1"/>
  <c r="AV2483" i="1"/>
  <c r="AV2484" i="1"/>
  <c r="AV2485" i="1"/>
  <c r="AV2486" i="1"/>
  <c r="AV2487" i="1"/>
  <c r="AV2488" i="1"/>
  <c r="AV2489" i="1"/>
  <c r="AV2490" i="1"/>
  <c r="AV2491" i="1"/>
  <c r="AV2492" i="1"/>
  <c r="AV2493" i="1"/>
  <c r="AV2494" i="1"/>
  <c r="AV2495" i="1"/>
  <c r="AV2496" i="1"/>
  <c r="AV2497" i="1"/>
  <c r="AV2498" i="1"/>
  <c r="AV2499" i="1"/>
  <c r="AV2500" i="1"/>
  <c r="AV2501" i="1"/>
  <c r="AV2502" i="1"/>
  <c r="AV2503" i="1"/>
  <c r="AV2504" i="1"/>
  <c r="AV2505" i="1"/>
  <c r="AV2506" i="1"/>
  <c r="AV2507" i="1"/>
  <c r="AV2508" i="1"/>
  <c r="AV2509" i="1"/>
  <c r="AV2510" i="1"/>
  <c r="AV2511" i="1"/>
  <c r="AV2512" i="1"/>
  <c r="AV2513" i="1"/>
  <c r="AV2514" i="1"/>
  <c r="AV2515" i="1"/>
  <c r="AV2516" i="1"/>
  <c r="AV2517" i="1"/>
  <c r="AV2518" i="1"/>
  <c r="AV2519" i="1"/>
  <c r="AV2520" i="1"/>
  <c r="AV2521" i="1"/>
  <c r="AV2522" i="1"/>
  <c r="AV2523" i="1"/>
  <c r="AV2524" i="1"/>
  <c r="AV2525" i="1"/>
  <c r="AV2526" i="1"/>
  <c r="AV2527" i="1"/>
  <c r="AV2528" i="1"/>
  <c r="AV2529" i="1"/>
  <c r="AV2530" i="1"/>
  <c r="AV2531" i="1"/>
  <c r="AV2532" i="1"/>
  <c r="AV2533" i="1" s="1"/>
  <c r="AV2534" i="1"/>
  <c r="AV2535" i="1"/>
  <c r="AV2536" i="1"/>
  <c r="AV2537" i="1"/>
  <c r="AV2538" i="1"/>
  <c r="AV2539" i="1"/>
  <c r="AV2540" i="1"/>
  <c r="AV2541" i="1"/>
  <c r="AV2542" i="1"/>
  <c r="AV2543" i="1"/>
  <c r="AV2544" i="1"/>
  <c r="AV2545" i="1"/>
  <c r="AV2546" i="1"/>
  <c r="AV2547" i="1"/>
  <c r="AV2548" i="1"/>
  <c r="AV2549" i="1"/>
  <c r="AV2550" i="1"/>
  <c r="AV2551" i="1"/>
  <c r="AV2552" i="1"/>
  <c r="AV2553" i="1"/>
  <c r="AV2554" i="1"/>
  <c r="AV2555" i="1"/>
  <c r="AV2556" i="1"/>
  <c r="AV2557" i="1"/>
  <c r="AV2558" i="1"/>
  <c r="AV2559" i="1"/>
  <c r="AV2560" i="1"/>
  <c r="AV2561" i="1"/>
  <c r="AV2562" i="1"/>
  <c r="AV2563" i="1"/>
  <c r="AV2564" i="1"/>
  <c r="AV2565" i="1"/>
  <c r="AV2566" i="1"/>
  <c r="AV2567" i="1"/>
  <c r="AV2568" i="1"/>
  <c r="AV2569" i="1"/>
  <c r="AV2570" i="1"/>
  <c r="AV2571" i="1"/>
  <c r="AV2572" i="1"/>
  <c r="AV2573" i="1"/>
  <c r="AV2574" i="1"/>
  <c r="AV2575" i="1"/>
  <c r="AV2576" i="1"/>
  <c r="AV2577" i="1"/>
  <c r="AV2578" i="1"/>
  <c r="AV2579" i="1"/>
  <c r="AV2580" i="1"/>
  <c r="AV2581" i="1"/>
  <c r="AV2582" i="1"/>
  <c r="AV2583" i="1"/>
  <c r="AV2584" i="1"/>
  <c r="AV2585" i="1"/>
  <c r="AV2586" i="1"/>
  <c r="AV2587" i="1"/>
  <c r="AV2588" i="1"/>
  <c r="AV2589" i="1"/>
  <c r="AV2590" i="1"/>
  <c r="AV2591" i="1"/>
  <c r="AV2592" i="1"/>
  <c r="AV2593" i="1"/>
  <c r="AV2594" i="1"/>
  <c r="AV2595" i="1"/>
  <c r="AV2596" i="1"/>
  <c r="AV2597" i="1"/>
  <c r="AV2598" i="1"/>
  <c r="AV2599" i="1"/>
  <c r="AV2600" i="1"/>
  <c r="AV2601" i="1"/>
  <c r="AV2602" i="1"/>
  <c r="AV2603" i="1"/>
  <c r="AV2604" i="1"/>
  <c r="AV2605" i="1"/>
  <c r="AV2606" i="1"/>
  <c r="AV2607" i="1"/>
  <c r="AV2608" i="1"/>
  <c r="AV2609" i="1"/>
  <c r="AV2610" i="1"/>
  <c r="AV2611" i="1"/>
  <c r="AV2612" i="1"/>
  <c r="AV2613" i="1"/>
  <c r="AV2614" i="1"/>
  <c r="AV2615" i="1"/>
  <c r="AV2616" i="1"/>
  <c r="AV2617" i="1"/>
  <c r="AV2618" i="1"/>
  <c r="AV2619" i="1"/>
  <c r="AV2620" i="1"/>
  <c r="AV2621" i="1"/>
  <c r="AV2622" i="1"/>
  <c r="AV2623" i="1"/>
  <c r="AV2624" i="1"/>
  <c r="AV2625" i="1"/>
  <c r="AV2626" i="1"/>
  <c r="AV2627" i="1"/>
  <c r="AV2628" i="1"/>
  <c r="AV2629" i="1"/>
  <c r="AV2630" i="1"/>
  <c r="AV2631" i="1"/>
  <c r="AV2632" i="1"/>
  <c r="AV2633" i="1"/>
  <c r="AV2634" i="1"/>
  <c r="AV2635" i="1"/>
  <c r="AV2636" i="1"/>
  <c r="AV2637" i="1"/>
  <c r="AV2638" i="1"/>
  <c r="AV2639" i="1"/>
  <c r="AV2640" i="1"/>
  <c r="AV2641" i="1"/>
  <c r="AV2642" i="1"/>
  <c r="AV2643" i="1"/>
  <c r="AV2644" i="1"/>
  <c r="AV2645" i="1"/>
  <c r="AV2646" i="1"/>
  <c r="AV2647" i="1"/>
  <c r="AV2648" i="1"/>
  <c r="AV2649" i="1"/>
  <c r="AV2650" i="1"/>
  <c r="AV2651" i="1"/>
  <c r="AV2652" i="1"/>
  <c r="AV2653" i="1"/>
  <c r="AV2654" i="1"/>
  <c r="AV2655" i="1"/>
  <c r="AV2656" i="1"/>
  <c r="AV2657" i="1"/>
  <c r="AV2658" i="1"/>
  <c r="AV2659" i="1"/>
  <c r="AV2660" i="1"/>
  <c r="AV2661" i="1"/>
  <c r="AV2662" i="1"/>
  <c r="AV2663" i="1"/>
  <c r="AV2664" i="1"/>
  <c r="AV2665" i="1"/>
  <c r="AV2666" i="1"/>
  <c r="AV2667" i="1"/>
  <c r="AV2668" i="1"/>
  <c r="AV2669" i="1"/>
  <c r="AV2670" i="1"/>
  <c r="AV2671" i="1"/>
  <c r="AV2672" i="1"/>
  <c r="AV2673" i="1"/>
  <c r="AV2674" i="1"/>
  <c r="AV2675" i="1"/>
  <c r="AV2676" i="1"/>
  <c r="AV2677" i="1"/>
  <c r="AV2678" i="1"/>
  <c r="AV2679" i="1"/>
  <c r="AV2680" i="1"/>
  <c r="AV2681" i="1"/>
  <c r="AV2682" i="1"/>
  <c r="AV2683" i="1"/>
  <c r="AV2684" i="1"/>
  <c r="AV2685" i="1"/>
  <c r="AV2686" i="1"/>
  <c r="AV2687" i="1"/>
  <c r="AV2688" i="1"/>
  <c r="AV2689" i="1"/>
  <c r="AV2690" i="1"/>
  <c r="AV2691" i="1"/>
  <c r="AV2692" i="1"/>
  <c r="AV2693" i="1"/>
  <c r="AV2694" i="1"/>
  <c r="AV2695" i="1"/>
  <c r="AV2696" i="1"/>
  <c r="AV2697" i="1"/>
  <c r="AV2698" i="1"/>
  <c r="AV2699" i="1"/>
  <c r="AV2700" i="1"/>
  <c r="AV2701" i="1"/>
  <c r="AV2702" i="1"/>
  <c r="AV2703" i="1"/>
  <c r="AV2704" i="1"/>
  <c r="AV2705" i="1"/>
  <c r="AV2706" i="1"/>
  <c r="AV2707" i="1"/>
  <c r="AV2708" i="1"/>
  <c r="AV2709" i="1"/>
  <c r="AV2710" i="1"/>
  <c r="AV2711" i="1"/>
  <c r="AV2712" i="1"/>
  <c r="AV2713" i="1"/>
  <c r="AV2714" i="1"/>
  <c r="AV2715" i="1"/>
  <c r="AV2716" i="1"/>
  <c r="AV2717" i="1"/>
  <c r="AV2718" i="1"/>
  <c r="AV2719" i="1"/>
  <c r="AV2720" i="1"/>
  <c r="AV2721" i="1"/>
  <c r="AV2722" i="1"/>
  <c r="AV2723" i="1"/>
  <c r="AV2724" i="1"/>
  <c r="AV2725" i="1"/>
  <c r="AV2726" i="1"/>
  <c r="AV2727" i="1"/>
  <c r="AV2728" i="1"/>
  <c r="AV2729" i="1"/>
  <c r="AV2730" i="1"/>
  <c r="AV2731" i="1"/>
  <c r="AV2732" i="1"/>
  <c r="AV2733" i="1"/>
  <c r="AV2734" i="1"/>
  <c r="AV2735" i="1"/>
  <c r="AV2736" i="1"/>
  <c r="AV2737" i="1"/>
  <c r="AV2738" i="1"/>
  <c r="AV2739" i="1"/>
  <c r="AV2740" i="1"/>
  <c r="AV2741" i="1"/>
  <c r="AV2742" i="1"/>
  <c r="AV2743" i="1"/>
  <c r="AV2744" i="1"/>
  <c r="AV2745" i="1"/>
  <c r="AV2746" i="1"/>
  <c r="AV2747" i="1"/>
  <c r="AV2748" i="1"/>
  <c r="AV2749" i="1"/>
  <c r="AV2750" i="1"/>
  <c r="AV2751" i="1"/>
  <c r="AV2752" i="1"/>
  <c r="AV2753" i="1"/>
  <c r="AV2754" i="1"/>
  <c r="AV2755" i="1"/>
  <c r="AV2756" i="1"/>
  <c r="AV2757" i="1"/>
  <c r="AV2758" i="1"/>
  <c r="AV2759" i="1"/>
  <c r="AV2760" i="1"/>
  <c r="AV2761" i="1"/>
  <c r="AV2762" i="1"/>
  <c r="AV2763" i="1"/>
  <c r="AV2764" i="1"/>
  <c r="AV2765" i="1"/>
  <c r="AV2766" i="1"/>
  <c r="AV2767" i="1"/>
  <c r="AV2768" i="1"/>
  <c r="AV2769" i="1"/>
  <c r="AV2770" i="1"/>
  <c r="AV2771" i="1"/>
  <c r="AV2772" i="1"/>
  <c r="AV2773" i="1"/>
  <c r="AV2774" i="1"/>
  <c r="AV2775" i="1"/>
  <c r="AV2776" i="1"/>
  <c r="AV2777" i="1"/>
  <c r="AV2778" i="1"/>
  <c r="AV2779" i="1"/>
  <c r="AV2780" i="1"/>
  <c r="AV2781" i="1"/>
  <c r="AV2782" i="1"/>
  <c r="AV2783" i="1"/>
  <c r="AV2784" i="1"/>
  <c r="AV2785" i="1"/>
  <c r="AV2786" i="1"/>
  <c r="AV2787" i="1"/>
  <c r="AV2788" i="1"/>
  <c r="AV2789" i="1"/>
  <c r="AV2790" i="1"/>
  <c r="AV2791" i="1"/>
  <c r="AV2792" i="1"/>
  <c r="AV2793" i="1"/>
  <c r="AV2794" i="1"/>
  <c r="AV2795" i="1"/>
  <c r="AV2796" i="1"/>
  <c r="AV2797" i="1"/>
  <c r="AV2798" i="1"/>
  <c r="AV2799" i="1"/>
  <c r="AV2800" i="1"/>
  <c r="AV2801" i="1"/>
  <c r="AV2802" i="1"/>
  <c r="AV2803" i="1"/>
  <c r="AV2804" i="1"/>
  <c r="AV2805" i="1"/>
  <c r="AV2806" i="1"/>
  <c r="AV2807" i="1"/>
  <c r="AV2808" i="1"/>
  <c r="AV2809" i="1"/>
  <c r="AV2810" i="1"/>
  <c r="AV2811" i="1"/>
  <c r="AV2812" i="1"/>
  <c r="AV2813" i="1"/>
  <c r="AV2814" i="1"/>
  <c r="AV2815" i="1"/>
  <c r="AV2816" i="1"/>
  <c r="AV2817" i="1"/>
  <c r="AV2818" i="1"/>
  <c r="AV2819" i="1"/>
  <c r="AV2820" i="1"/>
  <c r="AV2821" i="1"/>
  <c r="AV2822" i="1"/>
  <c r="AV2823" i="1"/>
  <c r="AV2824" i="1"/>
  <c r="AV2825" i="1"/>
  <c r="AV2826" i="1"/>
  <c r="AV2827" i="1"/>
  <c r="AV2828" i="1"/>
  <c r="AV2829" i="1"/>
  <c r="AV2830" i="1"/>
  <c r="AV2831" i="1"/>
  <c r="AV2832" i="1"/>
  <c r="AV2833" i="1"/>
  <c r="AV2834" i="1"/>
  <c r="AV2835" i="1"/>
  <c r="AV2836" i="1"/>
  <c r="AV2837" i="1"/>
  <c r="AV2838" i="1"/>
  <c r="AV2839" i="1"/>
  <c r="AV2840" i="1"/>
  <c r="AV2841" i="1"/>
  <c r="AV2842" i="1"/>
  <c r="AV2843" i="1"/>
  <c r="AV2844" i="1"/>
  <c r="AV2845" i="1"/>
  <c r="AV2846" i="1"/>
  <c r="AV2847" i="1"/>
  <c r="AV2848" i="1"/>
  <c r="AV2849" i="1"/>
  <c r="AV2850" i="1"/>
  <c r="AV2851" i="1"/>
  <c r="AV2852" i="1"/>
  <c r="AV2853" i="1"/>
  <c r="AV2854" i="1"/>
  <c r="AV2855" i="1"/>
  <c r="AV2856" i="1"/>
  <c r="AV2857" i="1"/>
  <c r="AV2858" i="1"/>
  <c r="AV2859" i="1"/>
  <c r="AV2860" i="1"/>
  <c r="AV2861" i="1"/>
  <c r="AV2862" i="1"/>
  <c r="AV2863" i="1"/>
  <c r="AV2864" i="1"/>
  <c r="AV2865" i="1"/>
  <c r="AV2866" i="1"/>
  <c r="AV2867" i="1"/>
  <c r="AV2868" i="1"/>
  <c r="AV2869" i="1"/>
  <c r="AV2870" i="1"/>
  <c r="AV2871" i="1"/>
  <c r="AV2872" i="1"/>
  <c r="AV2873" i="1"/>
  <c r="AV2874" i="1"/>
  <c r="AV2875" i="1"/>
  <c r="AV2876" i="1"/>
  <c r="AV2877" i="1"/>
  <c r="AV2878" i="1"/>
  <c r="AV2879" i="1"/>
  <c r="AV2880" i="1"/>
  <c r="AV2881" i="1"/>
  <c r="AV2882" i="1"/>
  <c r="AV2883" i="1"/>
  <c r="AV2884" i="1"/>
  <c r="AV2885" i="1"/>
  <c r="AV2886" i="1"/>
  <c r="AV2887" i="1"/>
  <c r="AV2888" i="1"/>
  <c r="AV2889" i="1"/>
  <c r="AV2890" i="1"/>
  <c r="AV2891" i="1"/>
  <c r="AV2892" i="1"/>
  <c r="AV2893" i="1"/>
  <c r="AV2894" i="1"/>
  <c r="AV2895" i="1"/>
  <c r="AV2896" i="1"/>
  <c r="AV2897" i="1"/>
  <c r="AV2898" i="1"/>
  <c r="AV2899" i="1"/>
  <c r="AV2900" i="1"/>
  <c r="AV2901" i="1"/>
  <c r="AV2902" i="1"/>
  <c r="AV2903" i="1"/>
  <c r="AV2904" i="1"/>
  <c r="AV2905" i="1"/>
  <c r="AV2906" i="1"/>
  <c r="AV2907" i="1"/>
  <c r="AV2908" i="1"/>
  <c r="AV2909" i="1"/>
  <c r="AV2910" i="1"/>
  <c r="AV2911" i="1"/>
  <c r="AV2912" i="1"/>
  <c r="AV2913" i="1"/>
  <c r="AV2914" i="1"/>
  <c r="AV2915" i="1"/>
  <c r="AV2916" i="1"/>
  <c r="AV2917" i="1"/>
  <c r="AV2918" i="1"/>
  <c r="AV2919" i="1"/>
  <c r="AV2920" i="1"/>
  <c r="AV2921" i="1"/>
  <c r="AV2922" i="1"/>
  <c r="AV2923" i="1"/>
  <c r="AV2924" i="1"/>
  <c r="AV2925" i="1"/>
  <c r="AV2926" i="1"/>
  <c r="AV2927" i="1"/>
  <c r="AV2928" i="1"/>
  <c r="AV2929" i="1"/>
  <c r="AV2930" i="1"/>
  <c r="AV2931" i="1"/>
  <c r="AV2932" i="1"/>
  <c r="AV2933" i="1"/>
  <c r="AV2934" i="1"/>
  <c r="AV2935" i="1"/>
  <c r="AV2936" i="1"/>
  <c r="AV2937" i="1"/>
  <c r="AV2938" i="1"/>
  <c r="AV2939" i="1"/>
  <c r="AV2940" i="1"/>
  <c r="AV2941" i="1"/>
  <c r="AV2942" i="1"/>
  <c r="AV2943" i="1"/>
  <c r="AV2944" i="1"/>
  <c r="AV2945" i="1"/>
  <c r="AV2946" i="1"/>
  <c r="AV2947" i="1"/>
  <c r="AV2948" i="1"/>
  <c r="AV2949" i="1"/>
  <c r="AV2950" i="1"/>
  <c r="AV2951" i="1"/>
  <c r="AV2952" i="1"/>
  <c r="AV2953" i="1"/>
  <c r="AV2954" i="1"/>
  <c r="AV2955" i="1"/>
  <c r="AV2956" i="1"/>
  <c r="AV2957" i="1"/>
  <c r="AV2958" i="1"/>
  <c r="AV2959" i="1"/>
  <c r="AV2960" i="1"/>
  <c r="AV2961" i="1"/>
  <c r="AV2962" i="1"/>
  <c r="AV2963" i="1"/>
  <c r="AV2964" i="1"/>
  <c r="AV2965" i="1"/>
  <c r="AV2966" i="1"/>
  <c r="AV2967" i="1"/>
  <c r="AV2968" i="1"/>
  <c r="AV2969" i="1"/>
  <c r="AV2970" i="1"/>
  <c r="AV2971" i="1"/>
  <c r="AV2972" i="1"/>
  <c r="AV2973" i="1"/>
  <c r="AV2974" i="1"/>
  <c r="AV2975" i="1"/>
  <c r="AV2976" i="1"/>
  <c r="AV2977" i="1"/>
  <c r="AV2978" i="1"/>
  <c r="AV2979" i="1"/>
  <c r="AV2980" i="1"/>
  <c r="AV2981" i="1"/>
  <c r="AV2982" i="1"/>
  <c r="AV2983" i="1"/>
  <c r="AV2984" i="1"/>
  <c r="AV2985" i="1"/>
  <c r="AV2986" i="1"/>
  <c r="AV2987" i="1"/>
  <c r="AV2988" i="1"/>
  <c r="AV2989" i="1"/>
  <c r="AV2990" i="1"/>
  <c r="AV2991" i="1"/>
  <c r="AV2992" i="1"/>
  <c r="AV2993" i="1"/>
  <c r="AV2994" i="1"/>
  <c r="AV2995" i="1"/>
  <c r="AV2996" i="1"/>
  <c r="AV2997" i="1"/>
  <c r="AV2998" i="1"/>
  <c r="AV2999" i="1"/>
  <c r="AV3000" i="1"/>
  <c r="AV3001" i="1"/>
  <c r="AV3002" i="1"/>
  <c r="AV3003" i="1"/>
  <c r="AV3004" i="1"/>
  <c r="AV3005" i="1"/>
  <c r="AV3006" i="1"/>
  <c r="AV3007" i="1"/>
  <c r="AV3008" i="1"/>
  <c r="AV3009" i="1"/>
  <c r="AV3010" i="1"/>
  <c r="AV3011" i="1"/>
  <c r="AV3012" i="1"/>
  <c r="AV3013" i="1"/>
  <c r="AV3014" i="1"/>
  <c r="AV3015" i="1"/>
  <c r="AV3016" i="1"/>
  <c r="AV3017" i="1"/>
  <c r="AV3018" i="1"/>
  <c r="AV3019" i="1"/>
  <c r="AV3020" i="1"/>
  <c r="AV3021" i="1"/>
  <c r="AV3022" i="1"/>
  <c r="AV3023" i="1"/>
  <c r="AV3024" i="1"/>
  <c r="AV3025" i="1"/>
  <c r="AV3026" i="1"/>
  <c r="AV3027" i="1"/>
  <c r="AV3028" i="1"/>
  <c r="AV3029" i="1"/>
  <c r="AV3030" i="1"/>
  <c r="AV3031" i="1"/>
  <c r="AV3032" i="1"/>
  <c r="AV3033" i="1"/>
  <c r="AV3034" i="1"/>
  <c r="AV3035" i="1"/>
  <c r="AV3036" i="1"/>
  <c r="AV3037" i="1"/>
  <c r="AV3038" i="1"/>
  <c r="AV3039" i="1"/>
  <c r="AV3040" i="1"/>
  <c r="AV3041" i="1"/>
  <c r="AV3042" i="1"/>
  <c r="AV3043" i="1"/>
  <c r="AV3044" i="1"/>
  <c r="AV3045" i="1"/>
  <c r="AV3046" i="1"/>
  <c r="AV3047" i="1"/>
  <c r="AV3048" i="1"/>
  <c r="AV3049" i="1"/>
  <c r="AV3050" i="1"/>
  <c r="AV3051" i="1"/>
  <c r="AV3052" i="1"/>
  <c r="AV3053" i="1"/>
  <c r="AV3054" i="1"/>
  <c r="AV3055" i="1"/>
  <c r="AV3056" i="1"/>
  <c r="AV3057" i="1"/>
  <c r="AV3058" i="1"/>
  <c r="AV3059" i="1"/>
  <c r="AV3060" i="1"/>
  <c r="AV3061" i="1"/>
  <c r="AV3062" i="1"/>
  <c r="AV3063" i="1"/>
  <c r="AV3064" i="1"/>
  <c r="AV3065" i="1"/>
  <c r="AV3066" i="1"/>
  <c r="AV3067" i="1"/>
  <c r="AV3068" i="1"/>
  <c r="AV3069" i="1"/>
  <c r="AV3070" i="1"/>
  <c r="AV3071" i="1"/>
  <c r="AV3072" i="1"/>
  <c r="AV3073" i="1"/>
  <c r="AV3074" i="1"/>
  <c r="AV3075" i="1"/>
  <c r="AV3076" i="1"/>
  <c r="AV3077" i="1"/>
  <c r="AV3078" i="1"/>
  <c r="AV3079" i="1"/>
  <c r="AV3080" i="1"/>
  <c r="AV3081" i="1"/>
  <c r="AV3082" i="1"/>
  <c r="AV3083" i="1"/>
  <c r="AV3084" i="1"/>
  <c r="AV3085" i="1"/>
  <c r="AV3086" i="1"/>
  <c r="AV3087" i="1"/>
  <c r="AV3088" i="1"/>
  <c r="AV3089" i="1"/>
  <c r="AV3090" i="1"/>
  <c r="AV3091" i="1"/>
  <c r="AV3092" i="1"/>
  <c r="AV3093" i="1"/>
  <c r="AV3094" i="1"/>
  <c r="AV3095" i="1"/>
  <c r="AV3096" i="1"/>
  <c r="AV3097" i="1"/>
  <c r="AV3098" i="1"/>
  <c r="AV3099" i="1"/>
  <c r="AV3100" i="1"/>
  <c r="AV3101" i="1"/>
  <c r="AV3102" i="1"/>
  <c r="AV3103" i="1"/>
  <c r="AV3104" i="1"/>
  <c r="AV3105" i="1"/>
  <c r="AV3106" i="1"/>
  <c r="AV3107" i="1"/>
  <c r="AV3108" i="1"/>
  <c r="AV3109" i="1"/>
  <c r="AV3110" i="1"/>
  <c r="AV3111" i="1"/>
  <c r="AV3112" i="1"/>
  <c r="AV3113" i="1"/>
  <c r="AV3114" i="1"/>
  <c r="AV3115" i="1"/>
  <c r="AV3116" i="1"/>
  <c r="AV3117" i="1"/>
  <c r="AV3118" i="1"/>
  <c r="AV3119" i="1"/>
  <c r="AV3120" i="1"/>
  <c r="AV3121" i="1"/>
  <c r="AV3122" i="1"/>
  <c r="AV3123" i="1"/>
  <c r="AV3124" i="1"/>
  <c r="AV3125" i="1"/>
  <c r="AV3126" i="1"/>
  <c r="AV3127" i="1"/>
  <c r="AV3128" i="1"/>
  <c r="AV3129" i="1"/>
  <c r="AV3130" i="1"/>
  <c r="AV3131" i="1"/>
  <c r="AV3132" i="1"/>
  <c r="AV3133" i="1"/>
  <c r="AV3134" i="1"/>
  <c r="AV3135" i="1"/>
  <c r="AV3136" i="1"/>
  <c r="AV3137" i="1"/>
  <c r="AV3138" i="1"/>
  <c r="AV3139" i="1"/>
  <c r="AV3140" i="1"/>
  <c r="AV3141" i="1"/>
  <c r="AV3142" i="1"/>
  <c r="AV3143" i="1"/>
  <c r="AV3144" i="1"/>
  <c r="AV3145" i="1"/>
  <c r="AV3146" i="1"/>
  <c r="AV3147" i="1"/>
  <c r="AV3148" i="1"/>
  <c r="AV3149" i="1"/>
  <c r="AV3150" i="1"/>
  <c r="AV3151" i="1"/>
  <c r="AV3152" i="1"/>
  <c r="AV3153" i="1"/>
  <c r="AV3154" i="1"/>
  <c r="AV3155" i="1"/>
  <c r="AV3156" i="1"/>
  <c r="AV3157" i="1"/>
  <c r="AV3158" i="1"/>
  <c r="AV3159" i="1"/>
  <c r="AV3160" i="1"/>
  <c r="AV3161" i="1"/>
  <c r="AV3162" i="1"/>
  <c r="AV3163" i="1"/>
  <c r="AV3164" i="1"/>
  <c r="AV3165" i="1"/>
  <c r="AV3166" i="1"/>
  <c r="AV3167" i="1"/>
  <c r="AV3168" i="1"/>
  <c r="AV3169" i="1"/>
  <c r="AV3170" i="1"/>
  <c r="AV3171" i="1"/>
  <c r="AV3172" i="1"/>
  <c r="AV3173" i="1"/>
  <c r="AV3174" i="1"/>
  <c r="AV3175" i="1"/>
  <c r="AV3176" i="1"/>
  <c r="AV3177" i="1"/>
  <c r="AV3178" i="1"/>
  <c r="AV3179" i="1"/>
  <c r="AV3180" i="1"/>
  <c r="AV3181" i="1"/>
  <c r="AV3182" i="1"/>
  <c r="AV3183" i="1"/>
  <c r="AV3184" i="1"/>
  <c r="AV3185" i="1"/>
  <c r="AV3186" i="1"/>
  <c r="AV3187" i="1"/>
  <c r="AV3188" i="1"/>
  <c r="AV3189" i="1"/>
  <c r="AV3190" i="1"/>
  <c r="AV3191" i="1"/>
  <c r="AV3192" i="1"/>
  <c r="AV3193" i="1"/>
  <c r="AV3194" i="1"/>
  <c r="AV3195" i="1"/>
  <c r="AV3196" i="1"/>
  <c r="AV3197" i="1"/>
  <c r="AV3198" i="1"/>
  <c r="AV3199" i="1"/>
  <c r="AV3200" i="1"/>
  <c r="AV3201" i="1"/>
  <c r="AV3202" i="1"/>
  <c r="AV3203" i="1"/>
  <c r="AV3204" i="1"/>
  <c r="AV3205" i="1"/>
  <c r="AV3206" i="1"/>
  <c r="AV3207" i="1"/>
  <c r="AV3208" i="1"/>
  <c r="AV3209" i="1"/>
  <c r="AV3210" i="1"/>
  <c r="AV3211" i="1"/>
  <c r="AV3212" i="1"/>
  <c r="AV136" i="1"/>
  <c r="AV137" i="1" s="1"/>
  <c r="AV183" i="1"/>
  <c r="AV184" i="1"/>
  <c r="AV185" i="1" s="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41" i="1"/>
  <c r="AV242" i="1"/>
  <c r="AV243" i="1"/>
  <c r="AV244" i="1"/>
  <c r="AV245" i="1"/>
  <c r="AV246" i="1"/>
  <c r="AV247" i="1"/>
  <c r="AV248" i="1"/>
  <c r="AV249" i="1"/>
  <c r="AV250" i="1"/>
  <c r="AV251" i="1"/>
  <c r="AV252" i="1"/>
  <c r="AV253" i="1"/>
  <c r="AV254" i="1"/>
  <c r="AV256" i="1"/>
  <c r="AV257" i="1"/>
  <c r="AV258" i="1"/>
  <c r="AV259" i="1"/>
  <c r="AV260" i="1"/>
  <c r="AV261" i="1"/>
  <c r="AV262" i="1"/>
  <c r="AV263" i="1"/>
  <c r="AV264" i="1"/>
  <c r="AV265" i="1"/>
  <c r="AV266" i="1"/>
  <c r="AV267" i="1"/>
  <c r="AV268" i="1"/>
  <c r="AV269" i="1"/>
  <c r="AV270" i="1"/>
  <c r="AV271" i="1"/>
  <c r="AV272" i="1"/>
  <c r="AV273" i="1"/>
  <c r="AV274" i="1"/>
  <c r="AV275" i="1"/>
  <c r="AV276" i="1"/>
  <c r="AV277" i="1"/>
  <c r="AV278" i="1"/>
  <c r="AV279" i="1"/>
  <c r="AV280" i="1"/>
  <c r="AV281" i="1"/>
  <c r="AV282" i="1"/>
  <c r="AV283" i="1"/>
  <c r="AV284" i="1"/>
  <c r="AV285" i="1"/>
  <c r="AV286" i="1"/>
  <c r="AV287" i="1"/>
  <c r="AV288" i="1"/>
  <c r="AV289" i="1"/>
  <c r="AV290" i="1"/>
  <c r="AV291" i="1"/>
  <c r="AV292" i="1"/>
  <c r="AV293" i="1"/>
  <c r="AV294" i="1"/>
  <c r="AV295" i="1"/>
  <c r="AV296" i="1"/>
  <c r="AV297" i="1"/>
  <c r="AV298" i="1"/>
  <c r="AV299" i="1"/>
  <c r="AV300" i="1"/>
  <c r="AV301" i="1"/>
  <c r="AV302" i="1"/>
  <c r="AV303" i="1"/>
  <c r="AV304" i="1"/>
  <c r="AV305" i="1"/>
  <c r="AV306" i="1"/>
  <c r="AV307" i="1"/>
  <c r="AV308" i="1"/>
  <c r="AV309" i="1"/>
  <c r="AV310" i="1"/>
  <c r="AV311" i="1"/>
  <c r="AV312" i="1"/>
  <c r="AV313" i="1"/>
  <c r="AV314" i="1"/>
  <c r="AV315" i="1"/>
  <c r="AV316" i="1"/>
  <c r="AV317" i="1"/>
  <c r="AV318" i="1"/>
  <c r="AV319" i="1"/>
  <c r="AV320" i="1"/>
  <c r="AV321" i="1"/>
  <c r="AV322" i="1"/>
  <c r="AV323" i="1"/>
  <c r="AV324" i="1"/>
  <c r="AV325" i="1"/>
  <c r="AV326" i="1"/>
  <c r="AV327" i="1"/>
  <c r="AV328" i="1"/>
  <c r="AV329" i="1"/>
  <c r="AV330" i="1"/>
  <c r="AV331" i="1"/>
  <c r="AV332" i="1"/>
  <c r="AV333" i="1"/>
  <c r="AV334" i="1"/>
  <c r="AV335" i="1"/>
  <c r="AV336" i="1"/>
  <c r="AV337" i="1"/>
  <c r="AV338" i="1"/>
  <c r="AV339" i="1"/>
  <c r="AV340" i="1"/>
  <c r="AV341" i="1"/>
  <c r="AV342" i="1"/>
  <c r="AV343" i="1"/>
  <c r="AV344" i="1"/>
  <c r="AV345" i="1"/>
  <c r="AV346" i="1"/>
  <c r="AV347" i="1"/>
  <c r="AV348" i="1"/>
  <c r="AV349" i="1"/>
  <c r="AV350" i="1"/>
  <c r="AV351" i="1"/>
  <c r="AV352" i="1"/>
  <c r="AV353" i="1"/>
  <c r="AV354" i="1"/>
  <c r="AV355" i="1"/>
  <c r="AV356" i="1"/>
  <c r="AV360" i="1"/>
  <c r="AV361" i="1"/>
  <c r="AV362" i="1"/>
  <c r="AV363" i="1"/>
  <c r="AV364" i="1"/>
  <c r="AV365" i="1"/>
  <c r="AV366" i="1"/>
  <c r="AV367" i="1"/>
  <c r="AV368" i="1"/>
  <c r="AV369" i="1"/>
  <c r="AV370" i="1"/>
  <c r="AV371" i="1"/>
  <c r="AV372" i="1"/>
  <c r="AV373" i="1"/>
  <c r="AV374" i="1"/>
  <c r="AV375" i="1"/>
  <c r="AV376" i="1"/>
  <c r="AV377" i="1"/>
  <c r="AV378" i="1"/>
  <c r="AV379" i="1"/>
  <c r="AV380" i="1"/>
  <c r="AV381" i="1"/>
  <c r="AV382" i="1"/>
  <c r="AV383" i="1"/>
  <c r="AV384" i="1"/>
  <c r="AV385" i="1"/>
  <c r="AV386" i="1"/>
  <c r="AL2568" i="1"/>
  <c r="AM2568" i="1"/>
  <c r="AN2568" i="1"/>
  <c r="AL2569" i="1"/>
  <c r="AM2569" i="1"/>
  <c r="AN2569" i="1"/>
  <c r="AL2570" i="1"/>
  <c r="AM2570" i="1"/>
  <c r="AN2570" i="1"/>
  <c r="AL2571" i="1"/>
  <c r="AM2571" i="1"/>
  <c r="AN2571" i="1"/>
  <c r="AL2572" i="1"/>
  <c r="AM2572" i="1"/>
  <c r="AN2572" i="1"/>
  <c r="AL2573" i="1"/>
  <c r="AM2573" i="1"/>
  <c r="AN2573" i="1"/>
  <c r="R2570" i="1"/>
  <c r="R2571" i="1"/>
  <c r="R2572" i="1"/>
  <c r="R2573" i="1"/>
  <c r="AV138" i="1" l="1"/>
  <c r="AV139" i="1" s="1"/>
  <c r="AV140" i="1" s="1"/>
  <c r="AV1333" i="1"/>
  <c r="AV2389" i="1"/>
  <c r="AV1580" i="1"/>
  <c r="AV1581" i="1" s="1"/>
  <c r="AV1515" i="1"/>
  <c r="AV646" i="1"/>
  <c r="AV647" i="1" s="1"/>
  <c r="AV239" i="1"/>
  <c r="AV240" i="1" s="1"/>
  <c r="AV186" i="1"/>
  <c r="AV141" i="1" l="1"/>
  <c r="AV1582" i="1"/>
  <c r="AV1516" i="1"/>
  <c r="AV648" i="1"/>
  <c r="AV649" i="1"/>
  <c r="AV357" i="1"/>
  <c r="AV187" i="1"/>
  <c r="AV188" i="1" s="1"/>
  <c r="AL172" i="1"/>
  <c r="AM172" i="1"/>
  <c r="AN172" i="1"/>
  <c r="AL173" i="1"/>
  <c r="AM173" i="1"/>
  <c r="AN173" i="1"/>
  <c r="AV142" i="1" l="1"/>
  <c r="AV1583" i="1"/>
  <c r="AV1584" i="1" s="1"/>
  <c r="AV1585" i="1" s="1"/>
  <c r="AV1517" i="1"/>
  <c r="AV654" i="1"/>
  <c r="AV653" i="1"/>
  <c r="AV358" i="1"/>
  <c r="AV359" i="1" s="1"/>
  <c r="AV189" i="1"/>
  <c r="I3040" i="6"/>
  <c r="D3040" i="6" s="1"/>
  <c r="I3041" i="6"/>
  <c r="D3041" i="6" s="1"/>
  <c r="I162" i="1"/>
  <c r="I172" i="1"/>
  <c r="I173" i="1"/>
  <c r="I171" i="1"/>
  <c r="I170" i="1"/>
  <c r="AV143" i="1" l="1"/>
  <c r="AV144" i="1" s="1"/>
  <c r="AV1586" i="1"/>
  <c r="AV1587" i="1"/>
  <c r="AV1518" i="1"/>
  <c r="AV1519" i="1" s="1"/>
  <c r="AV1520" i="1" s="1"/>
  <c r="AV190" i="1"/>
  <c r="AV191" i="1" s="1"/>
  <c r="AV192" i="1" s="1"/>
  <c r="AV193" i="1" s="1"/>
  <c r="I164" i="1"/>
  <c r="I163" i="1"/>
  <c r="I161" i="1"/>
  <c r="H2104" i="6"/>
  <c r="H2105" i="6"/>
  <c r="H2106" i="6"/>
  <c r="H2107" i="6"/>
  <c r="H2108" i="6"/>
  <c r="H2109" i="6"/>
  <c r="H2110" i="6"/>
  <c r="H137" i="6"/>
  <c r="H138" i="6"/>
  <c r="H139" i="6"/>
  <c r="H140" i="6"/>
  <c r="H141" i="6"/>
  <c r="H142" i="6"/>
  <c r="H143" i="6"/>
  <c r="H144" i="6"/>
  <c r="H145" i="6"/>
  <c r="H146" i="6"/>
  <c r="H147" i="6"/>
  <c r="H148" i="6"/>
  <c r="H149" i="6"/>
  <c r="AV1521" i="1" l="1"/>
  <c r="AQ184" i="1" l="1"/>
  <c r="AQ185" i="1"/>
  <c r="AQ186" i="1"/>
  <c r="AQ187" i="1"/>
  <c r="AQ188" i="1"/>
  <c r="AQ189" i="1"/>
  <c r="AQ190" i="1"/>
  <c r="AQ191" i="1"/>
  <c r="AQ192" i="1"/>
  <c r="AQ193" i="1"/>
  <c r="AQ183" i="1"/>
  <c r="R184" i="1"/>
  <c r="R185" i="1"/>
  <c r="R186" i="1"/>
  <c r="R187" i="1"/>
  <c r="R188" i="1"/>
  <c r="R189" i="1"/>
  <c r="R190" i="1"/>
  <c r="R191" i="1"/>
  <c r="R192" i="1"/>
  <c r="R193" i="1"/>
  <c r="R183" i="1"/>
  <c r="R2303" i="1"/>
  <c r="AL2303" i="1"/>
  <c r="AM2303" i="1"/>
  <c r="AN2303" i="1"/>
  <c r="AL1374" i="1" l="1"/>
  <c r="AM1374" i="1"/>
  <c r="AN1374" i="1"/>
  <c r="AL1375" i="1"/>
  <c r="AM1375" i="1"/>
  <c r="AN1375" i="1"/>
  <c r="AL1376" i="1"/>
  <c r="AM1376" i="1"/>
  <c r="AN1376" i="1"/>
  <c r="AL1377" i="1"/>
  <c r="AM1377" i="1"/>
  <c r="AN1377" i="1"/>
  <c r="R1376" i="1"/>
  <c r="R1377" i="1"/>
  <c r="R1374" i="1"/>
  <c r="R1375" i="1"/>
  <c r="R1373" i="1"/>
  <c r="AN1373" i="1"/>
  <c r="AM1373" i="1"/>
  <c r="AL1373" i="1"/>
  <c r="AN1372" i="1"/>
  <c r="AM1372" i="1"/>
  <c r="AL1372" i="1"/>
  <c r="R1372" i="1"/>
  <c r="AN1371" i="1"/>
  <c r="AM1371" i="1"/>
  <c r="AL1371" i="1"/>
  <c r="R1371" i="1"/>
  <c r="AN1369" i="1"/>
  <c r="AM1369" i="1"/>
  <c r="AL1369" i="1"/>
  <c r="R1369" i="1"/>
  <c r="AN1368" i="1"/>
  <c r="AM1368" i="1"/>
  <c r="AL1368" i="1"/>
  <c r="R1368" i="1"/>
  <c r="AN1367" i="1"/>
  <c r="AM1367" i="1"/>
  <c r="AL1367" i="1"/>
  <c r="R1367" i="1"/>
  <c r="AN1366" i="1"/>
  <c r="AM1366" i="1"/>
  <c r="AL1366" i="1"/>
  <c r="R1366" i="1"/>
  <c r="AL184" i="1"/>
  <c r="AM184" i="1"/>
  <c r="AN184" i="1"/>
  <c r="AL185" i="1"/>
  <c r="AM185" i="1"/>
  <c r="AN185" i="1"/>
  <c r="AL186" i="1"/>
  <c r="AM186" i="1"/>
  <c r="AN186" i="1"/>
  <c r="AL187" i="1"/>
  <c r="AM187" i="1"/>
  <c r="AN187" i="1"/>
  <c r="AL188" i="1"/>
  <c r="AM188" i="1"/>
  <c r="AN188" i="1"/>
  <c r="AL189" i="1"/>
  <c r="AM189" i="1"/>
  <c r="AN189" i="1"/>
  <c r="AL190" i="1"/>
  <c r="AM190" i="1"/>
  <c r="AN190" i="1"/>
  <c r="AL191" i="1"/>
  <c r="AM191" i="1"/>
  <c r="AN191" i="1"/>
  <c r="AL192" i="1"/>
  <c r="AM192" i="1"/>
  <c r="AN192" i="1"/>
  <c r="AL193" i="1"/>
  <c r="AM193" i="1"/>
  <c r="AN193" i="1"/>
  <c r="AN183" i="1"/>
  <c r="AM183" i="1"/>
  <c r="AL183" i="1"/>
  <c r="I160" i="1"/>
  <c r="AL176" i="1" l="1"/>
  <c r="AM176" i="1"/>
  <c r="AJ176" i="1" l="1"/>
  <c r="AO176" i="1"/>
  <c r="Q191" i="1" s="1"/>
  <c r="I145" i="6" s="1"/>
  <c r="D145" i="6" s="1"/>
  <c r="AL119" i="1"/>
  <c r="AM119" i="1"/>
  <c r="AN119" i="1"/>
  <c r="AL120" i="1"/>
  <c r="AM120" i="1"/>
  <c r="AN120" i="1"/>
  <c r="AL150" i="1"/>
  <c r="AM150" i="1"/>
  <c r="AN150" i="1"/>
  <c r="AL151" i="1"/>
  <c r="AM151" i="1"/>
  <c r="AN151" i="1"/>
  <c r="AL152" i="1"/>
  <c r="AM152" i="1"/>
  <c r="AN152" i="1"/>
  <c r="AL153" i="1"/>
  <c r="AM153" i="1"/>
  <c r="AN153" i="1"/>
  <c r="AL154" i="1"/>
  <c r="AM154" i="1"/>
  <c r="AN154" i="1"/>
  <c r="AL155" i="1"/>
  <c r="AM155" i="1"/>
  <c r="AN155" i="1"/>
  <c r="AL156" i="1"/>
  <c r="AM156" i="1"/>
  <c r="AN156" i="1"/>
  <c r="AL157" i="1"/>
  <c r="AM157" i="1"/>
  <c r="AN157" i="1"/>
  <c r="AL158" i="1"/>
  <c r="AM158" i="1"/>
  <c r="AN158" i="1"/>
  <c r="I119" i="1"/>
  <c r="I120" i="1"/>
  <c r="I121" i="1"/>
  <c r="I122" i="1"/>
  <c r="I123" i="1"/>
  <c r="I136" i="1"/>
  <c r="I137" i="1"/>
  <c r="I138" i="1"/>
  <c r="I139" i="1"/>
  <c r="I140" i="1"/>
  <c r="I141" i="1"/>
  <c r="I142" i="1"/>
  <c r="I143" i="1"/>
  <c r="I144" i="1"/>
  <c r="I150" i="1"/>
  <c r="I151" i="1"/>
  <c r="I152" i="1"/>
  <c r="I153" i="1"/>
  <c r="Q119" i="1"/>
  <c r="I2987" i="6" s="1"/>
  <c r="D2987" i="6" s="1"/>
  <c r="I2988" i="6"/>
  <c r="D2988" i="6" s="1"/>
  <c r="I3014" i="6"/>
  <c r="D3014" i="6" s="1"/>
  <c r="I3015" i="6"/>
  <c r="D3015" i="6" s="1"/>
  <c r="I3016" i="6"/>
  <c r="D3016" i="6" s="1"/>
  <c r="I3017" i="6"/>
  <c r="D3017" i="6" s="1"/>
  <c r="I3029" i="6"/>
  <c r="D3029" i="6" s="1"/>
  <c r="I3038" i="6"/>
  <c r="D3038" i="6" s="1"/>
  <c r="I3039" i="6"/>
  <c r="D3039" i="6" s="1"/>
  <c r="Q190" i="1" l="1"/>
  <c r="I144" i="6" s="1"/>
  <c r="D144" i="6" s="1"/>
  <c r="Q192" i="1"/>
  <c r="I146" i="6" s="1"/>
  <c r="D146" i="6" s="1"/>
  <c r="Q189" i="1"/>
  <c r="I143" i="6" s="1"/>
  <c r="D143" i="6" s="1"/>
  <c r="Q185" i="1"/>
  <c r="I139" i="6" s="1"/>
  <c r="D139" i="6" s="1"/>
  <c r="Q183" i="1"/>
  <c r="I137" i="6" s="1"/>
  <c r="D137" i="6" s="1"/>
  <c r="Q193" i="1"/>
  <c r="I147" i="6" s="1"/>
  <c r="D147" i="6" s="1"/>
  <c r="G176" i="1"/>
  <c r="Q186" i="1"/>
  <c r="I140" i="6" s="1"/>
  <c r="D140" i="6" s="1"/>
  <c r="Q184" i="1"/>
  <c r="I138" i="6" s="1"/>
  <c r="D138" i="6" s="1"/>
  <c r="Q188" i="1"/>
  <c r="I142" i="6" s="1"/>
  <c r="D142" i="6" s="1"/>
  <c r="Q187" i="1"/>
  <c r="I141" i="6" s="1"/>
  <c r="D141" i="6" s="1"/>
  <c r="AK176" i="1" l="1"/>
  <c r="D176" i="1" s="1"/>
  <c r="AN1773" i="1"/>
  <c r="AM1773" i="1"/>
  <c r="AL1773" i="1"/>
  <c r="AN363" i="1"/>
  <c r="AM363" i="1"/>
  <c r="AL363" i="1"/>
  <c r="R363" i="1"/>
  <c r="H386" i="6"/>
  <c r="H387" i="6"/>
  <c r="AN1963" i="1"/>
  <c r="AM1963" i="1"/>
  <c r="AL1963" i="1"/>
  <c r="R1963" i="1"/>
  <c r="R2568" i="1" l="1"/>
  <c r="AN1665" i="1" l="1"/>
  <c r="AM1665" i="1"/>
  <c r="AL1665" i="1"/>
  <c r="R1665" i="1"/>
  <c r="AN1664" i="1"/>
  <c r="AM1664" i="1"/>
  <c r="AL1664" i="1"/>
  <c r="R1664" i="1"/>
  <c r="AN1663" i="1"/>
  <c r="AM1663" i="1"/>
  <c r="AL1663" i="1"/>
  <c r="R1663" i="1"/>
  <c r="AN1662" i="1"/>
  <c r="AM1662" i="1"/>
  <c r="AL1662" i="1"/>
  <c r="R1662" i="1"/>
  <c r="AN1661" i="1"/>
  <c r="AM1661" i="1"/>
  <c r="AL1661" i="1"/>
  <c r="R1661" i="1"/>
  <c r="AN1660" i="1"/>
  <c r="AM1660" i="1"/>
  <c r="AL1660" i="1"/>
  <c r="R1660" i="1"/>
  <c r="AN1659" i="1"/>
  <c r="AM1659" i="1"/>
  <c r="AL1659" i="1"/>
  <c r="R1659" i="1"/>
  <c r="AN1658" i="1"/>
  <c r="AM1658" i="1"/>
  <c r="AL1658" i="1"/>
  <c r="R1658" i="1"/>
  <c r="AN1657" i="1"/>
  <c r="AM1657" i="1"/>
  <c r="AL1657" i="1"/>
  <c r="R1657" i="1"/>
  <c r="AN1656" i="1"/>
  <c r="AM1656" i="1"/>
  <c r="AL1656" i="1"/>
  <c r="R1656" i="1"/>
  <c r="AN1646" i="1"/>
  <c r="AM1646" i="1"/>
  <c r="AL1646" i="1"/>
  <c r="R1646" i="1"/>
  <c r="AN1645" i="1"/>
  <c r="AM1645" i="1"/>
  <c r="AL1645" i="1"/>
  <c r="R1645" i="1"/>
  <c r="AN1644" i="1"/>
  <c r="AM1644" i="1"/>
  <c r="AL1644" i="1"/>
  <c r="R1644" i="1"/>
  <c r="AN1643" i="1"/>
  <c r="AM1643" i="1"/>
  <c r="AL1643" i="1"/>
  <c r="R1643" i="1"/>
  <c r="AN1642" i="1"/>
  <c r="AM1642" i="1"/>
  <c r="AL1642" i="1"/>
  <c r="R1642" i="1"/>
  <c r="AN1641" i="1"/>
  <c r="AM1641" i="1"/>
  <c r="AL1641" i="1"/>
  <c r="R1641" i="1"/>
  <c r="AN1640" i="1"/>
  <c r="AM1640" i="1"/>
  <c r="AL1640" i="1"/>
  <c r="R1640" i="1"/>
  <c r="AN1639" i="1"/>
  <c r="AM1639" i="1"/>
  <c r="AL1639" i="1"/>
  <c r="R1639" i="1"/>
  <c r="AN1638" i="1"/>
  <c r="AM1638" i="1"/>
  <c r="AL1638" i="1"/>
  <c r="R1638" i="1"/>
  <c r="AN1637" i="1"/>
  <c r="AM1637" i="1"/>
  <c r="AL1637" i="1"/>
  <c r="R1637" i="1"/>
  <c r="AN1636" i="1"/>
  <c r="AM1636" i="1"/>
  <c r="AL1636" i="1"/>
  <c r="R1636" i="1"/>
  <c r="AN1635" i="1"/>
  <c r="AM1635" i="1"/>
  <c r="AL1635" i="1"/>
  <c r="R1635" i="1"/>
  <c r="AN1634" i="1"/>
  <c r="AM1634" i="1"/>
  <c r="AL1634" i="1"/>
  <c r="R1634" i="1"/>
  <c r="AN1633" i="1"/>
  <c r="AM1633" i="1"/>
  <c r="AL1633" i="1"/>
  <c r="R1633" i="1"/>
  <c r="AN1632" i="1"/>
  <c r="AM1632" i="1"/>
  <c r="AL1632" i="1"/>
  <c r="R1632" i="1"/>
  <c r="AN1631" i="1"/>
  <c r="AM1631" i="1"/>
  <c r="AL1631" i="1"/>
  <c r="R1631" i="1"/>
  <c r="AN1630" i="1"/>
  <c r="AM1630" i="1"/>
  <c r="AL1630" i="1"/>
  <c r="R1630" i="1"/>
  <c r="AN1629" i="1"/>
  <c r="AM1629" i="1"/>
  <c r="AL1629" i="1"/>
  <c r="R1629" i="1"/>
  <c r="AN1628" i="1"/>
  <c r="AM1628" i="1"/>
  <c r="AL1628" i="1"/>
  <c r="R1628" i="1"/>
  <c r="AN1627" i="1"/>
  <c r="AM1627" i="1"/>
  <c r="AL1627" i="1"/>
  <c r="R1627" i="1"/>
  <c r="AN1626" i="1"/>
  <c r="AM1626" i="1"/>
  <c r="AL1626" i="1"/>
  <c r="R1626" i="1"/>
  <c r="AN1625" i="1"/>
  <c r="AM1625" i="1"/>
  <c r="AL1625" i="1"/>
  <c r="R1625" i="1"/>
  <c r="AN1624" i="1"/>
  <c r="AM1624" i="1"/>
  <c r="AL1624" i="1"/>
  <c r="R1624" i="1"/>
  <c r="AN1623" i="1"/>
  <c r="AM1623" i="1"/>
  <c r="AL1623" i="1"/>
  <c r="R1623" i="1"/>
  <c r="AN1622" i="1"/>
  <c r="AM1622" i="1"/>
  <c r="AL1622" i="1"/>
  <c r="R1622" i="1"/>
  <c r="AN1621" i="1"/>
  <c r="AM1621" i="1"/>
  <c r="AL1621" i="1"/>
  <c r="R1621" i="1"/>
  <c r="AN1620" i="1"/>
  <c r="AM1620" i="1"/>
  <c r="AL1620" i="1"/>
  <c r="AN1619" i="1"/>
  <c r="AM1619" i="1"/>
  <c r="AL1619" i="1"/>
  <c r="R1619" i="1"/>
  <c r="AN1618" i="1"/>
  <c r="AM1618" i="1"/>
  <c r="AL1618" i="1"/>
  <c r="R1618" i="1"/>
  <c r="AN1617" i="1"/>
  <c r="AM1617" i="1"/>
  <c r="AL1617" i="1"/>
  <c r="R1617" i="1"/>
  <c r="AN1616" i="1"/>
  <c r="AM1616" i="1"/>
  <c r="AL1616" i="1"/>
  <c r="R1616" i="1"/>
  <c r="AN1615" i="1"/>
  <c r="AM1615" i="1"/>
  <c r="AL1615" i="1"/>
  <c r="R1615" i="1"/>
  <c r="AN1614" i="1"/>
  <c r="AM1614" i="1"/>
  <c r="AL1614" i="1"/>
  <c r="R1614" i="1"/>
  <c r="AN1613" i="1"/>
  <c r="AM1613" i="1"/>
  <c r="AL1613" i="1"/>
  <c r="R1613" i="1"/>
  <c r="AN1612" i="1"/>
  <c r="AM1612" i="1"/>
  <c r="AL1612" i="1"/>
  <c r="R1612" i="1"/>
  <c r="AN1611" i="1"/>
  <c r="AM1611" i="1"/>
  <c r="AL1611" i="1"/>
  <c r="R1611" i="1"/>
  <c r="AN1610" i="1"/>
  <c r="AM1610" i="1"/>
  <c r="AL1610" i="1"/>
  <c r="R1610" i="1"/>
  <c r="AN1609" i="1"/>
  <c r="AM1609" i="1"/>
  <c r="AL1609" i="1"/>
  <c r="R1609" i="1"/>
  <c r="AN1608" i="1"/>
  <c r="AM1608" i="1"/>
  <c r="AL1608" i="1"/>
  <c r="R1608" i="1"/>
  <c r="AN1607" i="1"/>
  <c r="AM1607" i="1"/>
  <c r="AL1607" i="1"/>
  <c r="R1607" i="1"/>
  <c r="AN1606" i="1"/>
  <c r="AM1606" i="1"/>
  <c r="AL1606" i="1"/>
  <c r="R1606" i="1"/>
  <c r="AN1605" i="1"/>
  <c r="AM1605" i="1"/>
  <c r="AL1605" i="1"/>
  <c r="R1605" i="1"/>
  <c r="AN1604" i="1"/>
  <c r="AM1604" i="1"/>
  <c r="AL1604" i="1"/>
  <c r="R1604" i="1"/>
  <c r="AN1603" i="1"/>
  <c r="AM1603" i="1"/>
  <c r="AL1603" i="1"/>
  <c r="R1603" i="1"/>
  <c r="AN1602" i="1"/>
  <c r="AM1602" i="1"/>
  <c r="AL1602" i="1"/>
  <c r="R1602" i="1"/>
  <c r="AN1601" i="1"/>
  <c r="AM1601" i="1"/>
  <c r="AL1601" i="1"/>
  <c r="R1601" i="1"/>
  <c r="AN1600" i="1"/>
  <c r="AM1600" i="1"/>
  <c r="AL1600" i="1"/>
  <c r="R1600" i="1"/>
  <c r="AN1599" i="1"/>
  <c r="AM1599" i="1"/>
  <c r="AL1599" i="1"/>
  <c r="R1599" i="1"/>
  <c r="AN1598" i="1"/>
  <c r="AM1598" i="1"/>
  <c r="AL1598" i="1"/>
  <c r="R1598" i="1"/>
  <c r="AN1597" i="1"/>
  <c r="AM1597" i="1"/>
  <c r="AL1597" i="1"/>
  <c r="R1597" i="1"/>
  <c r="R1675" i="1"/>
  <c r="AL1675" i="1"/>
  <c r="AM1675" i="1"/>
  <c r="AN1675" i="1"/>
  <c r="R1676" i="1"/>
  <c r="AL1676" i="1"/>
  <c r="AM1676" i="1"/>
  <c r="AN1676" i="1"/>
  <c r="R1677" i="1"/>
  <c r="AL1677" i="1"/>
  <c r="AM1677" i="1"/>
  <c r="AN1677" i="1"/>
  <c r="R1678" i="1"/>
  <c r="AL1678" i="1"/>
  <c r="AM1678" i="1"/>
  <c r="AN1678" i="1"/>
  <c r="AN1587" i="1"/>
  <c r="AM1587" i="1"/>
  <c r="AL1587" i="1"/>
  <c r="R1587" i="1"/>
  <c r="AN1586" i="1"/>
  <c r="AM1586" i="1"/>
  <c r="AL1586" i="1"/>
  <c r="R1586" i="1"/>
  <c r="AN1585" i="1"/>
  <c r="AM1585" i="1"/>
  <c r="AL1585" i="1"/>
  <c r="R1585" i="1"/>
  <c r="AN1584" i="1"/>
  <c r="AM1584" i="1"/>
  <c r="AL1584" i="1"/>
  <c r="R1584" i="1"/>
  <c r="AN1583" i="1"/>
  <c r="AM1583" i="1"/>
  <c r="AL1583" i="1"/>
  <c r="R1583" i="1"/>
  <c r="AN1582" i="1"/>
  <c r="AM1582" i="1"/>
  <c r="AL1582" i="1"/>
  <c r="R1582" i="1"/>
  <c r="AN1581" i="1"/>
  <c r="AM1581" i="1"/>
  <c r="AL1581" i="1"/>
  <c r="R1581" i="1"/>
  <c r="AN1580" i="1"/>
  <c r="AM1580" i="1"/>
  <c r="AL1580" i="1"/>
  <c r="R1580" i="1"/>
  <c r="AN1579" i="1"/>
  <c r="AM1579" i="1"/>
  <c r="AL1579" i="1"/>
  <c r="R1579" i="1"/>
  <c r="AN1578" i="1"/>
  <c r="AM1578" i="1"/>
  <c r="AL1578" i="1"/>
  <c r="R1578" i="1"/>
  <c r="AL1649" i="1" l="1"/>
  <c r="AM1649" i="1"/>
  <c r="AO1649" i="1" s="1"/>
  <c r="AL1590" i="1"/>
  <c r="AM1590" i="1"/>
  <c r="AO1590" i="1" s="1"/>
  <c r="AM1571" i="1"/>
  <c r="AL1571" i="1"/>
  <c r="AN1729" i="1"/>
  <c r="AM1729" i="1"/>
  <c r="AL1729" i="1"/>
  <c r="R1729" i="1"/>
  <c r="AN1728" i="1"/>
  <c r="AM1728" i="1"/>
  <c r="AL1728" i="1"/>
  <c r="R1728" i="1"/>
  <c r="AN1727" i="1"/>
  <c r="AM1727" i="1"/>
  <c r="AL1727" i="1"/>
  <c r="R1727" i="1"/>
  <c r="AN1726" i="1"/>
  <c r="AM1726" i="1"/>
  <c r="AL1726" i="1"/>
  <c r="R1726" i="1"/>
  <c r="AN1725" i="1"/>
  <c r="AM1725" i="1"/>
  <c r="AL1725" i="1"/>
  <c r="R1725" i="1"/>
  <c r="AN1724" i="1"/>
  <c r="AM1724" i="1"/>
  <c r="AL1724" i="1"/>
  <c r="R1724" i="1"/>
  <c r="R1723" i="1"/>
  <c r="AN1722" i="1"/>
  <c r="AM1722" i="1"/>
  <c r="AL1722" i="1"/>
  <c r="R1722" i="1"/>
  <c r="AN1721" i="1"/>
  <c r="AM1721" i="1"/>
  <c r="AL1721" i="1"/>
  <c r="R1721" i="1"/>
  <c r="AN1720" i="1"/>
  <c r="AM1720" i="1"/>
  <c r="AL1720" i="1"/>
  <c r="R1720" i="1"/>
  <c r="AN1719" i="1"/>
  <c r="AM1719" i="1"/>
  <c r="AL1719" i="1"/>
  <c r="R1719" i="1"/>
  <c r="AN1718" i="1"/>
  <c r="AM1718" i="1"/>
  <c r="AL1718" i="1"/>
  <c r="R1718" i="1"/>
  <c r="AN1717" i="1"/>
  <c r="AM1717" i="1"/>
  <c r="AL1717" i="1"/>
  <c r="R1717" i="1"/>
  <c r="R1716" i="1"/>
  <c r="AN1715" i="1"/>
  <c r="AM1715" i="1"/>
  <c r="AL1715" i="1"/>
  <c r="R1715" i="1"/>
  <c r="AN1714" i="1"/>
  <c r="AM1714" i="1"/>
  <c r="AL1714" i="1"/>
  <c r="R1714" i="1"/>
  <c r="AN1713" i="1"/>
  <c r="AM1713" i="1"/>
  <c r="AL1713" i="1"/>
  <c r="R1713" i="1"/>
  <c r="AN1712" i="1"/>
  <c r="AM1712" i="1"/>
  <c r="AL1712" i="1"/>
  <c r="R1712" i="1"/>
  <c r="R1711" i="1"/>
  <c r="AN1710" i="1"/>
  <c r="AM1710" i="1"/>
  <c r="AL1710" i="1"/>
  <c r="R1710" i="1"/>
  <c r="AN1709" i="1"/>
  <c r="AM1709" i="1"/>
  <c r="AL1709" i="1"/>
  <c r="R1709" i="1"/>
  <c r="AN1708" i="1"/>
  <c r="AM1708" i="1"/>
  <c r="AL1708" i="1"/>
  <c r="R1708" i="1"/>
  <c r="AN1707" i="1"/>
  <c r="AM1707" i="1"/>
  <c r="AL1707" i="1"/>
  <c r="R1707" i="1"/>
  <c r="AN1706" i="1"/>
  <c r="AM1706" i="1"/>
  <c r="AL1706" i="1"/>
  <c r="R1706" i="1"/>
  <c r="AQ1705" i="1"/>
  <c r="AN1705" i="1"/>
  <c r="AM1705" i="1"/>
  <c r="AL1705" i="1"/>
  <c r="R1705" i="1"/>
  <c r="AQ1704" i="1"/>
  <c r="AN1704" i="1"/>
  <c r="AM1704" i="1"/>
  <c r="AL1704" i="1"/>
  <c r="R1704" i="1"/>
  <c r="AQ1703" i="1"/>
  <c r="AN1703" i="1"/>
  <c r="AM1703" i="1"/>
  <c r="AL1703" i="1"/>
  <c r="R1703" i="1"/>
  <c r="AQ1702" i="1"/>
  <c r="AN1702" i="1"/>
  <c r="AM1702" i="1"/>
  <c r="AL1702" i="1"/>
  <c r="R1702" i="1"/>
  <c r="AQ1701" i="1"/>
  <c r="AN1701" i="1"/>
  <c r="AM1701" i="1"/>
  <c r="AL1701" i="1"/>
  <c r="R1701" i="1"/>
  <c r="AQ1700" i="1"/>
  <c r="AN1700" i="1"/>
  <c r="AM1700" i="1"/>
  <c r="AL1700" i="1"/>
  <c r="R1700" i="1"/>
  <c r="AQ1699" i="1"/>
  <c r="AN1699" i="1"/>
  <c r="AM1699" i="1"/>
  <c r="AL1699" i="1"/>
  <c r="R1699" i="1"/>
  <c r="AQ1698" i="1"/>
  <c r="AN1698" i="1"/>
  <c r="AM1698" i="1"/>
  <c r="AL1698" i="1"/>
  <c r="R1698" i="1"/>
  <c r="AN1697" i="1"/>
  <c r="AM1697" i="1"/>
  <c r="AL1697" i="1"/>
  <c r="R1697" i="1"/>
  <c r="AN1696" i="1"/>
  <c r="AM1696" i="1"/>
  <c r="AL1696" i="1"/>
  <c r="R1696" i="1"/>
  <c r="AN1695" i="1"/>
  <c r="AM1695" i="1"/>
  <c r="AL1695" i="1"/>
  <c r="R1695" i="1"/>
  <c r="AN1694" i="1"/>
  <c r="AM1694" i="1"/>
  <c r="AL1694" i="1"/>
  <c r="R1694" i="1"/>
  <c r="AN1693" i="1"/>
  <c r="AM1693" i="1"/>
  <c r="AL1693" i="1"/>
  <c r="R1693" i="1"/>
  <c r="AN1692" i="1"/>
  <c r="AM1692" i="1"/>
  <c r="AL1692" i="1"/>
  <c r="R1692" i="1"/>
  <c r="AN1691" i="1"/>
  <c r="AM1691" i="1"/>
  <c r="AL1691" i="1"/>
  <c r="R1691" i="1"/>
  <c r="AN1686" i="1"/>
  <c r="AM1686" i="1"/>
  <c r="AL1686" i="1"/>
  <c r="R1686" i="1"/>
  <c r="AN1685" i="1"/>
  <c r="AM1685" i="1"/>
  <c r="AL1685" i="1"/>
  <c r="R1685" i="1"/>
  <c r="AN1684" i="1"/>
  <c r="AM1684" i="1"/>
  <c r="AL1684" i="1"/>
  <c r="R1684" i="1"/>
  <c r="AN1683" i="1"/>
  <c r="AM1683" i="1"/>
  <c r="AL1683" i="1"/>
  <c r="R1683" i="1"/>
  <c r="AN1682" i="1"/>
  <c r="AM1682" i="1"/>
  <c r="AL1682" i="1"/>
  <c r="R1682" i="1"/>
  <c r="AN1681" i="1"/>
  <c r="AM1681" i="1"/>
  <c r="AL1681" i="1"/>
  <c r="R1681" i="1"/>
  <c r="AN1680" i="1"/>
  <c r="AM1680" i="1"/>
  <c r="AL1680" i="1"/>
  <c r="R1680" i="1"/>
  <c r="AN1679" i="1"/>
  <c r="AM1679" i="1"/>
  <c r="AL1679" i="1"/>
  <c r="R1679" i="1"/>
  <c r="AJ1571" i="1" l="1"/>
  <c r="AJ1649" i="1"/>
  <c r="G1649" i="1" s="1"/>
  <c r="Q1661" i="1"/>
  <c r="Q1662" i="1"/>
  <c r="Q1663" i="1"/>
  <c r="Q1664" i="1"/>
  <c r="Q1665" i="1"/>
  <c r="Q1656" i="1"/>
  <c r="Q1657" i="1"/>
  <c r="Q1658" i="1"/>
  <c r="Q1659" i="1"/>
  <c r="Q1660" i="1"/>
  <c r="AO1571" i="1"/>
  <c r="Q1643" i="1"/>
  <c r="Q1599" i="1"/>
  <c r="Q1644" i="1"/>
  <c r="Q1600" i="1"/>
  <c r="Q1612" i="1"/>
  <c r="Q1597" i="1"/>
  <c r="Q1645" i="1"/>
  <c r="Q1601" i="1"/>
  <c r="Q1639" i="1"/>
  <c r="Q1646" i="1"/>
  <c r="Q1602" i="1"/>
  <c r="Q1637" i="1"/>
  <c r="Q1598" i="1"/>
  <c r="Q1642" i="1"/>
  <c r="Q1603" i="1"/>
  <c r="Q1605" i="1"/>
  <c r="Q1615" i="1"/>
  <c r="Q1640" i="1"/>
  <c r="Q1604" i="1"/>
  <c r="Q1613" i="1"/>
  <c r="Q1618" i="1"/>
  <c r="Q1617" i="1"/>
  <c r="Q1629" i="1"/>
  <c r="Q1634" i="1"/>
  <c r="Q1606" i="1"/>
  <c r="Q1608" i="1"/>
  <c r="Q1630" i="1"/>
  <c r="Q1635" i="1"/>
  <c r="Q1607" i="1"/>
  <c r="Q1636" i="1"/>
  <c r="Q1609" i="1"/>
  <c r="Q1619" i="1"/>
  <c r="Q1633" i="1"/>
  <c r="Q1610" i="1"/>
  <c r="Q1621" i="1"/>
  <c r="Q1611" i="1"/>
  <c r="Q1622" i="1"/>
  <c r="Q1623" i="1"/>
  <c r="Q1624" i="1"/>
  <c r="Q1625" i="1"/>
  <c r="Q1626" i="1"/>
  <c r="Q1627" i="1"/>
  <c r="Q1628" i="1"/>
  <c r="Q1631" i="1"/>
  <c r="Q1614" i="1"/>
  <c r="AJ1590" i="1"/>
  <c r="G1590" i="1" s="1"/>
  <c r="AL1668" i="1"/>
  <c r="AM1668" i="1"/>
  <c r="AO1668" i="1" s="1"/>
  <c r="Q1676" i="1" s="1"/>
  <c r="AM1689" i="1"/>
  <c r="AL1689" i="1"/>
  <c r="Q1580" i="1" l="1"/>
  <c r="Q1581" i="1"/>
  <c r="Q1582" i="1"/>
  <c r="Q1586" i="1"/>
  <c r="Q1587" i="1"/>
  <c r="Q1583" i="1"/>
  <c r="Q1585" i="1"/>
  <c r="Q1578" i="1"/>
  <c r="Q1579" i="1"/>
  <c r="Q1584" i="1"/>
  <c r="AJ1689" i="1"/>
  <c r="Q1677" i="1"/>
  <c r="G1571" i="1"/>
  <c r="Q1675" i="1"/>
  <c r="Q1678" i="1"/>
  <c r="AJ1668" i="1"/>
  <c r="G1668" i="1" s="1"/>
  <c r="AO1689" i="1"/>
  <c r="Q1710" i="1" s="1"/>
  <c r="I2289" i="6" s="1"/>
  <c r="D2289" i="6" s="1"/>
  <c r="Q1725" i="1" l="1"/>
  <c r="I2301" i="6" s="1"/>
  <c r="D2301" i="6" s="1"/>
  <c r="Q1713" i="1"/>
  <c r="I2291" i="6" s="1"/>
  <c r="D2291" i="6" s="1"/>
  <c r="Q1709" i="1"/>
  <c r="I2288" i="6" s="1"/>
  <c r="D2288" i="6" s="1"/>
  <c r="Q1707" i="1"/>
  <c r="I2286" i="6" s="1"/>
  <c r="D2286" i="6" s="1"/>
  <c r="Q1695" i="1"/>
  <c r="I2275" i="6" s="1"/>
  <c r="D2275" i="6" s="1"/>
  <c r="Q1721" i="1"/>
  <c r="I2299" i="6" s="1"/>
  <c r="D2299" i="6" s="1"/>
  <c r="Q1694" i="1"/>
  <c r="I2274" i="6" s="1"/>
  <c r="D2274" i="6" s="1"/>
  <c r="Q1708" i="1"/>
  <c r="I2287" i="6" s="1"/>
  <c r="D2287" i="6" s="1"/>
  <c r="Q1704" i="1"/>
  <c r="I2283" i="6" s="1"/>
  <c r="D2283" i="6" s="1"/>
  <c r="Q1727" i="1"/>
  <c r="I2304" i="6" s="1"/>
  <c r="D2304" i="6" s="1"/>
  <c r="Q1715" i="1"/>
  <c r="I2312" i="6" s="1"/>
  <c r="D2312" i="6" s="1"/>
  <c r="G1689" i="1"/>
  <c r="Q1720" i="1"/>
  <c r="I2298" i="6" s="1"/>
  <c r="D2298" i="6" s="1"/>
  <c r="Q1718" i="1"/>
  <c r="I2295" i="6" s="1"/>
  <c r="D2295" i="6" s="1"/>
  <c r="Q1701" i="1"/>
  <c r="I2280" i="6" s="1"/>
  <c r="D2280" i="6" s="1"/>
  <c r="Q1719" i="1"/>
  <c r="I2296" i="6" s="1"/>
  <c r="D2296" i="6" s="1"/>
  <c r="Q1729" i="1"/>
  <c r="I2306" i="6" s="1"/>
  <c r="D2306" i="6" s="1"/>
  <c r="Q1705" i="1"/>
  <c r="I2284" i="6" s="1"/>
  <c r="D2284" i="6" s="1"/>
  <c r="Q1692" i="1"/>
  <c r="I2272" i="6" s="1"/>
  <c r="D2272" i="6" s="1"/>
  <c r="Q1702" i="1"/>
  <c r="I2281" i="6" s="1"/>
  <c r="D2281" i="6" s="1"/>
  <c r="Q1693" i="1"/>
  <c r="I2273" i="6" s="1"/>
  <c r="D2273" i="6" s="1"/>
  <c r="Q1714" i="1"/>
  <c r="I2310" i="6" s="1"/>
  <c r="D2310" i="6" s="1"/>
  <c r="Q1717" i="1"/>
  <c r="I2311" i="6" s="1"/>
  <c r="D2311" i="6" s="1"/>
  <c r="Q1722" i="1"/>
  <c r="I2293" i="6" s="1"/>
  <c r="D2293" i="6" s="1"/>
  <c r="Q1703" i="1"/>
  <c r="I2282" i="6" s="1"/>
  <c r="D2282" i="6" s="1"/>
  <c r="Q1696" i="1"/>
  <c r="I2276" i="6" s="1"/>
  <c r="D2276" i="6" s="1"/>
  <c r="Q1700" i="1"/>
  <c r="I2279" i="6" s="1"/>
  <c r="D2279" i="6" s="1"/>
  <c r="Q1728" i="1"/>
  <c r="I2305" i="6" s="1"/>
  <c r="D2305" i="6" s="1"/>
  <c r="Q1706" i="1"/>
  <c r="I2285" i="6" s="1"/>
  <c r="D2285" i="6" s="1"/>
  <c r="Q1691" i="1"/>
  <c r="Q1724" i="1"/>
  <c r="I2300" i="6" s="1"/>
  <c r="D2300" i="6" s="1"/>
  <c r="Q1699" i="1"/>
  <c r="I2278" i="6" s="1"/>
  <c r="D2278" i="6" s="1"/>
  <c r="Q1698" i="1"/>
  <c r="I2277" i="6" s="1"/>
  <c r="D2277" i="6" s="1"/>
  <c r="Q1712" i="1"/>
  <c r="I2308" i="6" s="1"/>
  <c r="D2308" i="6" s="1"/>
  <c r="Q1726" i="1"/>
  <c r="I2302" i="6" s="1"/>
  <c r="D2302" i="6" s="1"/>
  <c r="Q1679" i="1"/>
  <c r="Q1680" i="1"/>
  <c r="Q1681" i="1"/>
  <c r="Q1682" i="1"/>
  <c r="Q1683" i="1"/>
  <c r="Q1684" i="1"/>
  <c r="Q1685" i="1"/>
  <c r="Q1686" i="1"/>
  <c r="AK1668" i="1" l="1"/>
  <c r="D1668" i="1" s="1"/>
  <c r="AV387" i="1" l="1"/>
  <c r="H2702" i="6" l="1"/>
  <c r="H2703" i="6"/>
  <c r="H2704" i="6"/>
  <c r="AL320" i="1"/>
  <c r="AM320" i="1"/>
  <c r="AN320" i="1"/>
  <c r="AL321" i="1"/>
  <c r="AM321" i="1"/>
  <c r="AN321" i="1"/>
  <c r="R320" i="1"/>
  <c r="H1064" i="6" l="1"/>
  <c r="H1065" i="6"/>
  <c r="H1066" i="6"/>
  <c r="AN2304" i="1"/>
  <c r="AM2304" i="1"/>
  <c r="AL2304" i="1"/>
  <c r="R2304" i="1"/>
  <c r="AL237" i="1"/>
  <c r="AM237" i="1"/>
  <c r="AN237" i="1"/>
  <c r="R237" i="1"/>
  <c r="R238" i="1"/>
  <c r="H2733" i="6"/>
  <c r="H2734" i="6"/>
  <c r="AN292" i="1"/>
  <c r="R292" i="1"/>
  <c r="R293" i="1"/>
  <c r="AM292" i="1"/>
  <c r="AL292" i="1"/>
  <c r="H753" i="6"/>
  <c r="H754" i="6"/>
  <c r="H755" i="6"/>
  <c r="AL2852" i="1"/>
  <c r="AM2852" i="1"/>
  <c r="AN2852" i="1"/>
  <c r="AL2853" i="1"/>
  <c r="AM2853" i="1"/>
  <c r="AN2853" i="1"/>
  <c r="AL2854" i="1"/>
  <c r="AM2854" i="1"/>
  <c r="AN2854" i="1"/>
  <c r="R2853" i="1"/>
  <c r="AL2574" i="1" l="1"/>
  <c r="AM2574" i="1"/>
  <c r="AN2574" i="1"/>
  <c r="R2569" i="1"/>
  <c r="R2574" i="1"/>
  <c r="R2575" i="1"/>
  <c r="R2576" i="1"/>
  <c r="H1157" i="6" l="1"/>
  <c r="H1158" i="6"/>
  <c r="H1159" i="6"/>
  <c r="H1160" i="6"/>
  <c r="H1161" i="6"/>
  <c r="AL613" i="1"/>
  <c r="AM613" i="1"/>
  <c r="AN613" i="1"/>
  <c r="AL614" i="1"/>
  <c r="AM614" i="1"/>
  <c r="AN614" i="1"/>
  <c r="AL615" i="1"/>
  <c r="AM615" i="1"/>
  <c r="AN615" i="1"/>
  <c r="AL616" i="1"/>
  <c r="AM616" i="1"/>
  <c r="AN616" i="1"/>
  <c r="AL617" i="1"/>
  <c r="AM617" i="1"/>
  <c r="AN617" i="1"/>
  <c r="AL618" i="1"/>
  <c r="AM618" i="1"/>
  <c r="AN618" i="1"/>
  <c r="AL619" i="1"/>
  <c r="AM619" i="1"/>
  <c r="AN619" i="1"/>
  <c r="AL620" i="1"/>
  <c r="AM620" i="1"/>
  <c r="AN620" i="1"/>
  <c r="AL621" i="1"/>
  <c r="AM621" i="1"/>
  <c r="AN621" i="1"/>
  <c r="R615" i="1"/>
  <c r="R616" i="1"/>
  <c r="R617" i="1"/>
  <c r="R618" i="1"/>
  <c r="AL2762" i="1"/>
  <c r="AM2762" i="1"/>
  <c r="AN2762" i="1"/>
  <c r="AL2763" i="1"/>
  <c r="AM2763" i="1"/>
  <c r="AN2763" i="1"/>
  <c r="AL2764" i="1"/>
  <c r="AM2764" i="1"/>
  <c r="AN2764" i="1"/>
  <c r="AL2765" i="1"/>
  <c r="AM2765" i="1"/>
  <c r="AN2765" i="1"/>
  <c r="R2762" i="1"/>
  <c r="R2763" i="1"/>
  <c r="R2764" i="1"/>
  <c r="R2765" i="1"/>
  <c r="R2766" i="1"/>
  <c r="H776" i="6" l="1"/>
  <c r="H777" i="6"/>
  <c r="AL2856" i="1"/>
  <c r="AM2856" i="1"/>
  <c r="AN2856" i="1"/>
  <c r="AL2857" i="1"/>
  <c r="AM2857" i="1"/>
  <c r="AN2857" i="1"/>
  <c r="AL2858" i="1"/>
  <c r="AM2858" i="1"/>
  <c r="AN2858" i="1"/>
  <c r="AL2859" i="1"/>
  <c r="AM2859" i="1"/>
  <c r="AN2859" i="1"/>
  <c r="AL2860" i="1"/>
  <c r="AM2860" i="1"/>
  <c r="AN2860" i="1"/>
  <c r="AL2861" i="1"/>
  <c r="AM2861" i="1"/>
  <c r="AN2861" i="1"/>
  <c r="R2859" i="1"/>
  <c r="R2860" i="1"/>
  <c r="R2861" i="1"/>
  <c r="AL2839" i="1" l="1"/>
  <c r="AM2839" i="1"/>
  <c r="AN2839" i="1"/>
  <c r="AL2844" i="1"/>
  <c r="AM2844" i="1"/>
  <c r="AN2844" i="1"/>
  <c r="AL2845" i="1"/>
  <c r="AM2845" i="1"/>
  <c r="AN2845" i="1"/>
  <c r="AL2847" i="1"/>
  <c r="AM2847" i="1"/>
  <c r="AN2847" i="1"/>
  <c r="AL2849" i="1"/>
  <c r="AM2849" i="1"/>
  <c r="AN2849" i="1"/>
  <c r="AL2851" i="1"/>
  <c r="AM2851" i="1"/>
  <c r="AN2851" i="1"/>
  <c r="AL2840" i="1"/>
  <c r="AM2840" i="1"/>
  <c r="AN2840" i="1"/>
  <c r="AL2842" i="1"/>
  <c r="AM2842" i="1"/>
  <c r="AN2842" i="1"/>
  <c r="AL2841" i="1"/>
  <c r="AM2841" i="1"/>
  <c r="AN2841" i="1"/>
  <c r="AL2843" i="1"/>
  <c r="AM2843" i="1"/>
  <c r="AN2843" i="1"/>
  <c r="AL2846" i="1"/>
  <c r="AM2846" i="1"/>
  <c r="AN2846" i="1"/>
  <c r="AL2848" i="1"/>
  <c r="AM2848" i="1"/>
  <c r="AN2848" i="1"/>
  <c r="R2844" i="1"/>
  <c r="R2845" i="1"/>
  <c r="R2847" i="1"/>
  <c r="R2849" i="1"/>
  <c r="R2851" i="1"/>
  <c r="R2852" i="1"/>
  <c r="R2840" i="1"/>
  <c r="R2842" i="1"/>
  <c r="R434" i="1"/>
  <c r="R435" i="1"/>
  <c r="R436" i="1"/>
  <c r="AL835" i="1"/>
  <c r="AM835" i="1"/>
  <c r="AN835" i="1"/>
  <c r="AL836" i="1"/>
  <c r="AM836" i="1"/>
  <c r="AN836" i="1"/>
  <c r="AL837" i="1"/>
  <c r="AM837" i="1"/>
  <c r="AN837" i="1"/>
  <c r="AL838" i="1"/>
  <c r="AM838" i="1"/>
  <c r="AN838" i="1"/>
  <c r="AL839" i="1"/>
  <c r="AM839" i="1"/>
  <c r="AN839" i="1"/>
  <c r="AL840" i="1"/>
  <c r="AM840" i="1"/>
  <c r="AN840" i="1"/>
  <c r="AL841" i="1"/>
  <c r="AM841" i="1"/>
  <c r="AN841" i="1"/>
  <c r="AL842" i="1"/>
  <c r="AM842" i="1"/>
  <c r="AN842" i="1"/>
  <c r="AL843" i="1"/>
  <c r="AM843" i="1"/>
  <c r="AN843" i="1"/>
  <c r="AL844" i="1"/>
  <c r="AM844" i="1"/>
  <c r="AN844" i="1"/>
  <c r="AL845" i="1"/>
  <c r="AM845" i="1"/>
  <c r="AN845" i="1"/>
  <c r="AL846" i="1"/>
  <c r="AM846" i="1"/>
  <c r="AN846" i="1"/>
  <c r="AL847" i="1"/>
  <c r="AM847" i="1"/>
  <c r="AN847" i="1"/>
  <c r="AL848" i="1"/>
  <c r="AM848" i="1"/>
  <c r="AN848" i="1"/>
  <c r="AL849" i="1"/>
  <c r="AM849" i="1"/>
  <c r="AN849" i="1"/>
  <c r="AL850" i="1"/>
  <c r="AM850" i="1"/>
  <c r="AN850" i="1"/>
  <c r="AL851" i="1"/>
  <c r="AM851" i="1"/>
  <c r="AN851" i="1"/>
  <c r="AL852" i="1"/>
  <c r="AM852" i="1"/>
  <c r="AN852" i="1"/>
  <c r="AL853" i="1"/>
  <c r="AM853" i="1"/>
  <c r="AN853" i="1"/>
  <c r="AL854" i="1"/>
  <c r="AM854" i="1"/>
  <c r="AN854" i="1"/>
  <c r="AL855" i="1"/>
  <c r="AM855" i="1"/>
  <c r="AN855" i="1"/>
  <c r="AL856" i="1"/>
  <c r="AM856" i="1"/>
  <c r="AN856" i="1"/>
  <c r="AL857" i="1"/>
  <c r="AM857" i="1"/>
  <c r="AN857" i="1"/>
  <c r="AL858" i="1"/>
  <c r="AM858" i="1"/>
  <c r="AN858" i="1"/>
  <c r="AL859" i="1"/>
  <c r="AM859" i="1"/>
  <c r="AN859" i="1"/>
  <c r="AL860" i="1"/>
  <c r="AM860" i="1"/>
  <c r="AN860" i="1"/>
  <c r="AL861" i="1"/>
  <c r="AM861" i="1"/>
  <c r="AN861" i="1"/>
  <c r="AL862" i="1"/>
  <c r="AM862" i="1"/>
  <c r="AN862" i="1"/>
  <c r="AL863" i="1"/>
  <c r="AM863" i="1"/>
  <c r="AN863" i="1"/>
  <c r="AL864" i="1"/>
  <c r="AM864" i="1"/>
  <c r="AN864" i="1"/>
  <c r="AL865" i="1"/>
  <c r="AM865" i="1"/>
  <c r="AN865" i="1"/>
  <c r="AL866" i="1"/>
  <c r="AM866" i="1"/>
  <c r="AN866" i="1"/>
  <c r="AL867" i="1"/>
  <c r="AM867" i="1"/>
  <c r="AN867" i="1"/>
  <c r="AL868" i="1"/>
  <c r="AM868" i="1"/>
  <c r="AN868" i="1"/>
  <c r="AL869" i="1"/>
  <c r="AM869" i="1"/>
  <c r="AN869" i="1"/>
  <c r="AL870" i="1"/>
  <c r="AM870" i="1"/>
  <c r="AN870" i="1"/>
  <c r="AL871" i="1"/>
  <c r="AM871" i="1"/>
  <c r="AN871" i="1"/>
  <c r="AL872" i="1"/>
  <c r="AM872" i="1"/>
  <c r="AN872" i="1"/>
  <c r="AL873" i="1"/>
  <c r="AM873" i="1"/>
  <c r="AN873" i="1"/>
  <c r="AL874" i="1"/>
  <c r="AM874" i="1"/>
  <c r="AN874" i="1"/>
  <c r="AL875" i="1"/>
  <c r="AM875" i="1"/>
  <c r="AN875" i="1"/>
  <c r="AL876" i="1"/>
  <c r="AM876" i="1"/>
  <c r="AN876" i="1"/>
  <c r="AL877" i="1"/>
  <c r="AM877" i="1"/>
  <c r="AN877" i="1"/>
  <c r="AL878" i="1"/>
  <c r="AM878" i="1"/>
  <c r="AN878" i="1"/>
  <c r="AL879" i="1"/>
  <c r="AM879" i="1"/>
  <c r="AN879" i="1"/>
  <c r="AL880" i="1"/>
  <c r="AM880" i="1"/>
  <c r="AN880" i="1"/>
  <c r="AL881" i="1"/>
  <c r="AM881" i="1"/>
  <c r="AN881" i="1"/>
  <c r="AL882" i="1"/>
  <c r="AM882" i="1"/>
  <c r="AN882" i="1"/>
  <c r="AL883" i="1"/>
  <c r="AM883" i="1"/>
  <c r="AN883" i="1"/>
  <c r="AL884" i="1"/>
  <c r="AM884" i="1"/>
  <c r="AN884" i="1"/>
  <c r="AL885" i="1"/>
  <c r="AM885" i="1"/>
  <c r="AN885" i="1"/>
  <c r="AL886" i="1"/>
  <c r="AM886" i="1"/>
  <c r="AN886" i="1"/>
  <c r="AL887" i="1"/>
  <c r="AM887" i="1"/>
  <c r="AN887" i="1"/>
  <c r="AL888" i="1"/>
  <c r="AM888" i="1"/>
  <c r="AN888" i="1"/>
  <c r="AL889" i="1"/>
  <c r="AM889" i="1"/>
  <c r="AN889" i="1"/>
  <c r="AL890" i="1"/>
  <c r="AM890" i="1"/>
  <c r="AN890" i="1"/>
  <c r="AL891" i="1"/>
  <c r="AM891" i="1"/>
  <c r="AN891" i="1"/>
  <c r="AL892" i="1"/>
  <c r="AM892" i="1"/>
  <c r="AN892" i="1"/>
  <c r="AL893" i="1"/>
  <c r="AM893" i="1"/>
  <c r="AN893" i="1"/>
  <c r="AL894" i="1"/>
  <c r="AM894" i="1"/>
  <c r="AN894" i="1"/>
  <c r="AL895" i="1"/>
  <c r="AM895" i="1"/>
  <c r="AN895" i="1"/>
  <c r="AL896" i="1"/>
  <c r="AM896" i="1"/>
  <c r="AN896" i="1"/>
  <c r="AL897" i="1"/>
  <c r="AM897" i="1"/>
  <c r="AN897" i="1"/>
  <c r="AL898" i="1"/>
  <c r="AM898" i="1"/>
  <c r="AN898" i="1"/>
  <c r="AL899" i="1"/>
  <c r="AM899" i="1"/>
  <c r="AN899" i="1"/>
  <c r="AL900" i="1"/>
  <c r="AM900" i="1"/>
  <c r="AN900" i="1"/>
  <c r="AL901" i="1"/>
  <c r="AM901" i="1"/>
  <c r="AN901" i="1"/>
  <c r="AL902" i="1"/>
  <c r="AM902" i="1"/>
  <c r="AN902" i="1"/>
  <c r="AL903" i="1"/>
  <c r="AM903" i="1"/>
  <c r="AN903" i="1"/>
  <c r="AL904" i="1"/>
  <c r="AM904" i="1"/>
  <c r="AN904" i="1"/>
  <c r="AL905" i="1"/>
  <c r="AM905" i="1"/>
  <c r="AN905" i="1"/>
  <c r="AL906" i="1"/>
  <c r="AM906" i="1"/>
  <c r="AN906" i="1"/>
  <c r="AL907" i="1"/>
  <c r="AM907" i="1"/>
  <c r="AN907" i="1"/>
  <c r="AL908" i="1"/>
  <c r="AM908" i="1"/>
  <c r="AN908" i="1"/>
  <c r="AL909" i="1"/>
  <c r="AM909" i="1"/>
  <c r="AN909" i="1"/>
  <c r="AL910" i="1"/>
  <c r="AM910" i="1"/>
  <c r="AN910" i="1"/>
  <c r="AL911" i="1"/>
  <c r="AM911" i="1"/>
  <c r="AN911" i="1"/>
  <c r="AL912" i="1"/>
  <c r="AM912" i="1"/>
  <c r="AN912" i="1"/>
  <c r="AL913" i="1"/>
  <c r="AM913" i="1"/>
  <c r="AN913" i="1"/>
  <c r="AL914" i="1"/>
  <c r="AM914" i="1"/>
  <c r="AN914" i="1"/>
  <c r="AL915" i="1"/>
  <c r="AM915" i="1"/>
  <c r="AN915" i="1"/>
  <c r="AL916" i="1"/>
  <c r="AM916" i="1"/>
  <c r="AN916" i="1"/>
  <c r="AL917" i="1"/>
  <c r="AM917" i="1"/>
  <c r="AN917" i="1"/>
  <c r="AL918" i="1"/>
  <c r="AM918" i="1"/>
  <c r="AN918" i="1"/>
  <c r="AL919" i="1"/>
  <c r="AM919" i="1"/>
  <c r="AN919" i="1"/>
  <c r="AL920" i="1"/>
  <c r="AM920" i="1"/>
  <c r="AN920" i="1"/>
  <c r="AL921" i="1"/>
  <c r="AM921" i="1"/>
  <c r="AN921" i="1"/>
  <c r="AL922" i="1"/>
  <c r="AM922" i="1"/>
  <c r="AN922" i="1"/>
  <c r="AL923" i="1"/>
  <c r="AM923" i="1"/>
  <c r="AN923" i="1"/>
  <c r="AL924" i="1"/>
  <c r="AM924" i="1"/>
  <c r="AN924" i="1"/>
  <c r="AL925" i="1"/>
  <c r="AM925" i="1"/>
  <c r="AN925" i="1"/>
  <c r="AL926" i="1"/>
  <c r="AM926" i="1"/>
  <c r="AN926" i="1"/>
  <c r="AL927" i="1"/>
  <c r="AM927" i="1"/>
  <c r="AN927" i="1"/>
  <c r="AL928" i="1"/>
  <c r="AM928" i="1"/>
  <c r="AN928" i="1"/>
  <c r="AL929" i="1"/>
  <c r="AM929" i="1"/>
  <c r="AN929" i="1"/>
  <c r="AL930" i="1"/>
  <c r="AM930" i="1"/>
  <c r="AN930" i="1"/>
  <c r="AL931" i="1"/>
  <c r="AM931" i="1"/>
  <c r="AN931" i="1"/>
  <c r="AL932" i="1"/>
  <c r="AM932" i="1"/>
  <c r="AN932" i="1"/>
  <c r="AL933" i="1"/>
  <c r="AM933" i="1"/>
  <c r="AN933" i="1"/>
  <c r="AL934" i="1"/>
  <c r="AM934" i="1"/>
  <c r="AN934" i="1"/>
  <c r="AL935" i="1"/>
  <c r="AM935" i="1"/>
  <c r="AN935" i="1"/>
  <c r="AL936" i="1"/>
  <c r="AM936" i="1"/>
  <c r="AN936" i="1"/>
  <c r="AL937" i="1"/>
  <c r="AM937" i="1"/>
  <c r="AN937" i="1"/>
  <c r="AL938" i="1"/>
  <c r="AM938" i="1"/>
  <c r="AN938" i="1"/>
  <c r="AL939" i="1"/>
  <c r="AM939" i="1"/>
  <c r="AN939" i="1"/>
  <c r="AL940" i="1"/>
  <c r="AM940" i="1"/>
  <c r="AN940" i="1"/>
  <c r="AL941" i="1"/>
  <c r="AM941" i="1"/>
  <c r="AN941" i="1"/>
  <c r="AL942" i="1"/>
  <c r="AM942" i="1"/>
  <c r="AN942" i="1"/>
  <c r="AL943" i="1"/>
  <c r="AM943" i="1"/>
  <c r="AN943" i="1"/>
  <c r="AL944" i="1"/>
  <c r="AM944" i="1"/>
  <c r="AN944" i="1"/>
  <c r="AL945" i="1"/>
  <c r="AM945" i="1"/>
  <c r="AN945" i="1"/>
  <c r="AL946" i="1"/>
  <c r="AM946" i="1"/>
  <c r="AN946" i="1"/>
  <c r="AL947" i="1"/>
  <c r="AM947" i="1"/>
  <c r="AN947" i="1"/>
  <c r="AL948" i="1"/>
  <c r="AM948" i="1"/>
  <c r="AN948" i="1"/>
  <c r="AL949" i="1"/>
  <c r="AM949" i="1"/>
  <c r="AN949" i="1"/>
  <c r="AN1981" i="1" l="1"/>
  <c r="AM1981" i="1"/>
  <c r="AL1981" i="1"/>
  <c r="R1259" i="1"/>
  <c r="R1260" i="1"/>
  <c r="R1207" i="1" l="1"/>
  <c r="R1208" i="1"/>
  <c r="P11" i="7" l="1"/>
  <c r="P10" i="7"/>
  <c r="H2986" i="6" l="1"/>
  <c r="H2985" i="6" s="1"/>
  <c r="H2984" i="6"/>
  <c r="H2983" i="6"/>
  <c r="H2982" i="6"/>
  <c r="H2981" i="6"/>
  <c r="I2980" i="6"/>
  <c r="H2980" i="6"/>
  <c r="H2979" i="6"/>
  <c r="I2978" i="6"/>
  <c r="H2978" i="6"/>
  <c r="H2977" i="6"/>
  <c r="H2976" i="6"/>
  <c r="H2975" i="6"/>
  <c r="H2974" i="6"/>
  <c r="H2973" i="6"/>
  <c r="H2972" i="6"/>
  <c r="H2971" i="6"/>
  <c r="H2970" i="6"/>
  <c r="H2969" i="6"/>
  <c r="H2968" i="6"/>
  <c r="I2967" i="6"/>
  <c r="H2967" i="6"/>
  <c r="H2966" i="6"/>
  <c r="H2965" i="6"/>
  <c r="I2964" i="6"/>
  <c r="H2964" i="6"/>
  <c r="H2963" i="6"/>
  <c r="H2962" i="6"/>
  <c r="H2961" i="6"/>
  <c r="H2960" i="6"/>
  <c r="H2959" i="6"/>
  <c r="H2958" i="6"/>
  <c r="H2957" i="6"/>
  <c r="H2956" i="6"/>
  <c r="H2955" i="6"/>
  <c r="H2954" i="6"/>
  <c r="H2953" i="6"/>
  <c r="H2952" i="6"/>
  <c r="H2951" i="6"/>
  <c r="H2950" i="6"/>
  <c r="H2949" i="6"/>
  <c r="H2948" i="6"/>
  <c r="H2947" i="6"/>
  <c r="H2946" i="6"/>
  <c r="H2945" i="6"/>
  <c r="H2944" i="6"/>
  <c r="H2943" i="6"/>
  <c r="H2942" i="6"/>
  <c r="H2941" i="6"/>
  <c r="H2940" i="6"/>
  <c r="H2939" i="6"/>
  <c r="H2938" i="6"/>
  <c r="H2937" i="6"/>
  <c r="H2936" i="6"/>
  <c r="H2935" i="6"/>
  <c r="H2934" i="6"/>
  <c r="H2933" i="6"/>
  <c r="H2932" i="6"/>
  <c r="H2931" i="6"/>
  <c r="I2930" i="6"/>
  <c r="H2930" i="6"/>
  <c r="I2929" i="6"/>
  <c r="H2929" i="6"/>
  <c r="H2928" i="6"/>
  <c r="H2927" i="6"/>
  <c r="H2926" i="6"/>
  <c r="H2925" i="6"/>
  <c r="H2924" i="6"/>
  <c r="H2923" i="6"/>
  <c r="H2922" i="6"/>
  <c r="H2921" i="6"/>
  <c r="H2920" i="6"/>
  <c r="H2919" i="6"/>
  <c r="H2918" i="6"/>
  <c r="I2917" i="6"/>
  <c r="H2917" i="6"/>
  <c r="H2916" i="6"/>
  <c r="H2915" i="6"/>
  <c r="H2914" i="6"/>
  <c r="I2913" i="6"/>
  <c r="H2913" i="6"/>
  <c r="H2912" i="6"/>
  <c r="H2911" i="6"/>
  <c r="I2910" i="6"/>
  <c r="H2910" i="6"/>
  <c r="H2909" i="6"/>
  <c r="H2908" i="6"/>
  <c r="H2907" i="6"/>
  <c r="I2906" i="6"/>
  <c r="H2906" i="6"/>
  <c r="H2905" i="6"/>
  <c r="H2904" i="6"/>
  <c r="H2903" i="6"/>
  <c r="H2902" i="6"/>
  <c r="H2901" i="6"/>
  <c r="H2900" i="6"/>
  <c r="H2899" i="6"/>
  <c r="H2898" i="6"/>
  <c r="H2897" i="6"/>
  <c r="H2896" i="6"/>
  <c r="H2895" i="6"/>
  <c r="H2894" i="6"/>
  <c r="H2893" i="6"/>
  <c r="H2892" i="6"/>
  <c r="H2891" i="6"/>
  <c r="H2890" i="6"/>
  <c r="H2889" i="6"/>
  <c r="I2888" i="6"/>
  <c r="H2888" i="6"/>
  <c r="H2887" i="6"/>
  <c r="I2886" i="6"/>
  <c r="H2886" i="6"/>
  <c r="H2885" i="6"/>
  <c r="H2884" i="6"/>
  <c r="H2883" i="6"/>
  <c r="H2882" i="6"/>
  <c r="H2881" i="6"/>
  <c r="H2880" i="6"/>
  <c r="H2879" i="6"/>
  <c r="H2878" i="6"/>
  <c r="H2877" i="6"/>
  <c r="H2876" i="6"/>
  <c r="H2875" i="6"/>
  <c r="H2874" i="6"/>
  <c r="H2873" i="6"/>
  <c r="H2872" i="6"/>
  <c r="H2871" i="6"/>
  <c r="H2870" i="6"/>
  <c r="H2869" i="6"/>
  <c r="H2868" i="6"/>
  <c r="H2867" i="6"/>
  <c r="H2866" i="6"/>
  <c r="H2865" i="6"/>
  <c r="H2864" i="6"/>
  <c r="H2863" i="6"/>
  <c r="H2862" i="6"/>
  <c r="H2861" i="6"/>
  <c r="H2860" i="6"/>
  <c r="H2859" i="6"/>
  <c r="H2858" i="6"/>
  <c r="H2857" i="6"/>
  <c r="H2856" i="6"/>
  <c r="H2855" i="6"/>
  <c r="H2854" i="6"/>
  <c r="H2853" i="6"/>
  <c r="H2852" i="6"/>
  <c r="H2851" i="6"/>
  <c r="H2850" i="6"/>
  <c r="H2849" i="6"/>
  <c r="H2848" i="6"/>
  <c r="H2847" i="6"/>
  <c r="H2846" i="6"/>
  <c r="H2845" i="6"/>
  <c r="H2844" i="6"/>
  <c r="H2843" i="6"/>
  <c r="H2842" i="6"/>
  <c r="H2841" i="6"/>
  <c r="H2840" i="6"/>
  <c r="H2839" i="6"/>
  <c r="H2838" i="6"/>
  <c r="H2837" i="6"/>
  <c r="H2836" i="6"/>
  <c r="H2835" i="6"/>
  <c r="H2834" i="6"/>
  <c r="I2833" i="6"/>
  <c r="H2833" i="6"/>
  <c r="H2832" i="6"/>
  <c r="H2831" i="6"/>
  <c r="H2830" i="6"/>
  <c r="H2829" i="6"/>
  <c r="H2828" i="6"/>
  <c r="H2827" i="6"/>
  <c r="H2826" i="6"/>
  <c r="H2825" i="6"/>
  <c r="H2824" i="6"/>
  <c r="H2823" i="6"/>
  <c r="H2822" i="6"/>
  <c r="H2821" i="6"/>
  <c r="H2820" i="6"/>
  <c r="H2819" i="6"/>
  <c r="H2818" i="6"/>
  <c r="H2817" i="6"/>
  <c r="H2816" i="6"/>
  <c r="I2815" i="6"/>
  <c r="H2815" i="6"/>
  <c r="I2814" i="6"/>
  <c r="H2814" i="6"/>
  <c r="H2813" i="6"/>
  <c r="H2812" i="6"/>
  <c r="H2811" i="6"/>
  <c r="H2810" i="6"/>
  <c r="H2809" i="6"/>
  <c r="H2808" i="6"/>
  <c r="H2807" i="6"/>
  <c r="H2806" i="6"/>
  <c r="H2805" i="6"/>
  <c r="H2804" i="6"/>
  <c r="H2803" i="6"/>
  <c r="H2802" i="6"/>
  <c r="H2801" i="6"/>
  <c r="I2800" i="6"/>
  <c r="H2800" i="6"/>
  <c r="H2799" i="6"/>
  <c r="H2798" i="6"/>
  <c r="H2797" i="6"/>
  <c r="H2796" i="6"/>
  <c r="H2795" i="6"/>
  <c r="H2794" i="6"/>
  <c r="H2793" i="6"/>
  <c r="I2792" i="6"/>
  <c r="H2792" i="6"/>
  <c r="H2791" i="6"/>
  <c r="H2790" i="6"/>
  <c r="H2789" i="6"/>
  <c r="I2788" i="6"/>
  <c r="H2788" i="6"/>
  <c r="H2787" i="6"/>
  <c r="H2786" i="6"/>
  <c r="H2785" i="6"/>
  <c r="H2784" i="6"/>
  <c r="H2783" i="6"/>
  <c r="H2782" i="6"/>
  <c r="H2781" i="6"/>
  <c r="H2780" i="6"/>
  <c r="H2779" i="6"/>
  <c r="H2778" i="6"/>
  <c r="H2777" i="6"/>
  <c r="H2776" i="6"/>
  <c r="H2775" i="6"/>
  <c r="H2774" i="6"/>
  <c r="H2773" i="6"/>
  <c r="H2772" i="6"/>
  <c r="H2771" i="6"/>
  <c r="H2770" i="6"/>
  <c r="H2769" i="6"/>
  <c r="H2768" i="6"/>
  <c r="H2767" i="6"/>
  <c r="H2766" i="6"/>
  <c r="H2765" i="6"/>
  <c r="H2764" i="6"/>
  <c r="H2763" i="6"/>
  <c r="H2762" i="6"/>
  <c r="H2761" i="6"/>
  <c r="H2760" i="6"/>
  <c r="H2759" i="6"/>
  <c r="H2758" i="6"/>
  <c r="H2757" i="6"/>
  <c r="H2756" i="6"/>
  <c r="H2755" i="6"/>
  <c r="H2754" i="6"/>
  <c r="H2753" i="6"/>
  <c r="H2752" i="6"/>
  <c r="H2751" i="6"/>
  <c r="H2750" i="6"/>
  <c r="H2749" i="6"/>
  <c r="H2748" i="6"/>
  <c r="H2747" i="6"/>
  <c r="H2746" i="6"/>
  <c r="H2745" i="6"/>
  <c r="H2744" i="6"/>
  <c r="H2743" i="6"/>
  <c r="H2742" i="6"/>
  <c r="H2741" i="6"/>
  <c r="H2740" i="6"/>
  <c r="H2739" i="6"/>
  <c r="H2738" i="6"/>
  <c r="H2737" i="6"/>
  <c r="H2736" i="6"/>
  <c r="H2735" i="6"/>
  <c r="H2732" i="6"/>
  <c r="H2731" i="6"/>
  <c r="H2730" i="6"/>
  <c r="H2729" i="6"/>
  <c r="H2728" i="6"/>
  <c r="H2727" i="6"/>
  <c r="H2726" i="6"/>
  <c r="H2725" i="6"/>
  <c r="I2724" i="6"/>
  <c r="H2724" i="6"/>
  <c r="H2723" i="6"/>
  <c r="H2722" i="6"/>
  <c r="H2721" i="6"/>
  <c r="H2720" i="6"/>
  <c r="H2719" i="6"/>
  <c r="H2718" i="6"/>
  <c r="H2717" i="6"/>
  <c r="H2716" i="6"/>
  <c r="H2715" i="6"/>
  <c r="H2714" i="6"/>
  <c r="H2713" i="6"/>
  <c r="H2712" i="6"/>
  <c r="H2711" i="6"/>
  <c r="H2710" i="6"/>
  <c r="H2709" i="6"/>
  <c r="H2708" i="6"/>
  <c r="H2707" i="6"/>
  <c r="H2706" i="6"/>
  <c r="H2705" i="6"/>
  <c r="H2701" i="6"/>
  <c r="H2700" i="6"/>
  <c r="H2699" i="6"/>
  <c r="H2698" i="6"/>
  <c r="H2697" i="6"/>
  <c r="H2696" i="6"/>
  <c r="H2695" i="6"/>
  <c r="H2694" i="6"/>
  <c r="H2693" i="6"/>
  <c r="H2692" i="6"/>
  <c r="H2691" i="6"/>
  <c r="H2690" i="6"/>
  <c r="H2689" i="6"/>
  <c r="H2688" i="6"/>
  <c r="H2687" i="6"/>
  <c r="H2686" i="6"/>
  <c r="H2685" i="6"/>
  <c r="H2684" i="6"/>
  <c r="H2683" i="6"/>
  <c r="H2682" i="6"/>
  <c r="H2681" i="6"/>
  <c r="H2680" i="6"/>
  <c r="H2679" i="6"/>
  <c r="H2678" i="6"/>
  <c r="H2677" i="6"/>
  <c r="H2676" i="6"/>
  <c r="H2675" i="6"/>
  <c r="H2674" i="6"/>
  <c r="H2673" i="6"/>
  <c r="H2672" i="6"/>
  <c r="I2671" i="6"/>
  <c r="H2671" i="6"/>
  <c r="I2670" i="6"/>
  <c r="H2670" i="6"/>
  <c r="H2669" i="6"/>
  <c r="H2668" i="6"/>
  <c r="H2667" i="6"/>
  <c r="H2666" i="6"/>
  <c r="H2665" i="6"/>
  <c r="H2664" i="6"/>
  <c r="I2663" i="6"/>
  <c r="H2663" i="6"/>
  <c r="H2662" i="6"/>
  <c r="H2661" i="6"/>
  <c r="H2660" i="6"/>
  <c r="H2659" i="6"/>
  <c r="H2658" i="6"/>
  <c r="H2657" i="6"/>
  <c r="H2656" i="6"/>
  <c r="H2655" i="6"/>
  <c r="H2654" i="6"/>
  <c r="H2653" i="6"/>
  <c r="I2652" i="6"/>
  <c r="H2652" i="6"/>
  <c r="H2651" i="6"/>
  <c r="H2650" i="6"/>
  <c r="H2649" i="6"/>
  <c r="H2648" i="6"/>
  <c r="H2647" i="6"/>
  <c r="I2646" i="6"/>
  <c r="H2646" i="6"/>
  <c r="H2645" i="6"/>
  <c r="H2644" i="6"/>
  <c r="H2643" i="6"/>
  <c r="I2642" i="6"/>
  <c r="H2642" i="6"/>
  <c r="H2641" i="6"/>
  <c r="H2640" i="6"/>
  <c r="H2639" i="6"/>
  <c r="H2638" i="6"/>
  <c r="H2637" i="6"/>
  <c r="H2636" i="6"/>
  <c r="I2635" i="6"/>
  <c r="H2635" i="6"/>
  <c r="I2634" i="6"/>
  <c r="H2634" i="6"/>
  <c r="H2633" i="6"/>
  <c r="H2632" i="6"/>
  <c r="H2631" i="6"/>
  <c r="H2630" i="6"/>
  <c r="H2629" i="6"/>
  <c r="I2628" i="6"/>
  <c r="H2628" i="6"/>
  <c r="H2627" i="6"/>
  <c r="H2626" i="6"/>
  <c r="H2625" i="6"/>
  <c r="H2624" i="6"/>
  <c r="H2623" i="6"/>
  <c r="H2622" i="6"/>
  <c r="H2621" i="6"/>
  <c r="H2620" i="6"/>
  <c r="H2619" i="6"/>
  <c r="H2618" i="6"/>
  <c r="H2617" i="6"/>
  <c r="H2616" i="6"/>
  <c r="H2615" i="6"/>
  <c r="H2614" i="6"/>
  <c r="H2613" i="6"/>
  <c r="H2612" i="6"/>
  <c r="H2611" i="6"/>
  <c r="H2610" i="6"/>
  <c r="H2609" i="6"/>
  <c r="H2608" i="6"/>
  <c r="H2607" i="6"/>
  <c r="H2606" i="6"/>
  <c r="H2605" i="6"/>
  <c r="H2604" i="6"/>
  <c r="H2603" i="6"/>
  <c r="I2602" i="6"/>
  <c r="H2602" i="6"/>
  <c r="H2601" i="6"/>
  <c r="H2600" i="6"/>
  <c r="H2599" i="6"/>
  <c r="H2598" i="6"/>
  <c r="I2597" i="6"/>
  <c r="H2597" i="6"/>
  <c r="I2596" i="6"/>
  <c r="H2596" i="6"/>
  <c r="H2595" i="6"/>
  <c r="H2594" i="6"/>
  <c r="H2593" i="6"/>
  <c r="H2592" i="6"/>
  <c r="H2591" i="6"/>
  <c r="H2590" i="6"/>
  <c r="I2589" i="6"/>
  <c r="H2589" i="6"/>
  <c r="H2588" i="6"/>
  <c r="I2587" i="6"/>
  <c r="H2587" i="6"/>
  <c r="H2586" i="6"/>
  <c r="H2585" i="6"/>
  <c r="H2584" i="6"/>
  <c r="H2583" i="6"/>
  <c r="H2582" i="6"/>
  <c r="H2581" i="6"/>
  <c r="H2580" i="6"/>
  <c r="H2579" i="6"/>
  <c r="H2578" i="6"/>
  <c r="H2577" i="6"/>
  <c r="H2576" i="6"/>
  <c r="H2575" i="6"/>
  <c r="H2574" i="6"/>
  <c r="I2573" i="6"/>
  <c r="H2573" i="6"/>
  <c r="H2572" i="6"/>
  <c r="H2571" i="6"/>
  <c r="H2570" i="6"/>
  <c r="H2569" i="6"/>
  <c r="I2568" i="6"/>
  <c r="H2568" i="6"/>
  <c r="I2567" i="6"/>
  <c r="H2567" i="6"/>
  <c r="H2566" i="6"/>
  <c r="H2565" i="6"/>
  <c r="I2564" i="6"/>
  <c r="H2564" i="6"/>
  <c r="I2563" i="6"/>
  <c r="H2563" i="6"/>
  <c r="H2562" i="6"/>
  <c r="H2561" i="6"/>
  <c r="H2560" i="6"/>
  <c r="I2559" i="6"/>
  <c r="H2559" i="6"/>
  <c r="H2558" i="6"/>
  <c r="H2557" i="6"/>
  <c r="H2556" i="6"/>
  <c r="H2555" i="6"/>
  <c r="H2554" i="6"/>
  <c r="H2553" i="6"/>
  <c r="H2552" i="6"/>
  <c r="H2551" i="6"/>
  <c r="H2550" i="6"/>
  <c r="H2549" i="6"/>
  <c r="H2548" i="6"/>
  <c r="H2547" i="6"/>
  <c r="H2546" i="6"/>
  <c r="H2545" i="6"/>
  <c r="H2544" i="6"/>
  <c r="H2543" i="6"/>
  <c r="H2542" i="6"/>
  <c r="H2541" i="6"/>
  <c r="H2540" i="6"/>
  <c r="H2539" i="6"/>
  <c r="H2538" i="6"/>
  <c r="H2537" i="6"/>
  <c r="H2536" i="6"/>
  <c r="H2535" i="6"/>
  <c r="H2534" i="6"/>
  <c r="H2533" i="6"/>
  <c r="H2532" i="6"/>
  <c r="H2531" i="6"/>
  <c r="H2530" i="6"/>
  <c r="H2529" i="6"/>
  <c r="H2528" i="6"/>
  <c r="H2527" i="6"/>
  <c r="H2526" i="6"/>
  <c r="H2525" i="6"/>
  <c r="H2524" i="6"/>
  <c r="H2523" i="6"/>
  <c r="H2522" i="6"/>
  <c r="H2521" i="6"/>
  <c r="H2520" i="6"/>
  <c r="H2519" i="6"/>
  <c r="H2518" i="6"/>
  <c r="H2517" i="6"/>
  <c r="H2516" i="6"/>
  <c r="H2515" i="6"/>
  <c r="H2514" i="6"/>
  <c r="H2513" i="6"/>
  <c r="H2512" i="6"/>
  <c r="I2511" i="6"/>
  <c r="H2511" i="6"/>
  <c r="H2510" i="6"/>
  <c r="H2509" i="6"/>
  <c r="H2508" i="6"/>
  <c r="I2507" i="6"/>
  <c r="H2507" i="6"/>
  <c r="H2506" i="6"/>
  <c r="H2505" i="6"/>
  <c r="H2504" i="6"/>
  <c r="H2503" i="6"/>
  <c r="H2502" i="6"/>
  <c r="I2501" i="6"/>
  <c r="H2501" i="6"/>
  <c r="I2500" i="6"/>
  <c r="H2500" i="6"/>
  <c r="H2499" i="6"/>
  <c r="H2498" i="6"/>
  <c r="H2497" i="6"/>
  <c r="H2496" i="6"/>
  <c r="H2495" i="6"/>
  <c r="H2494" i="6"/>
  <c r="H2493" i="6"/>
  <c r="H2492" i="6"/>
  <c r="H2491" i="6"/>
  <c r="H2490" i="6"/>
  <c r="H2489" i="6"/>
  <c r="H2488" i="6"/>
  <c r="H2487" i="6"/>
  <c r="H2486" i="6"/>
  <c r="H2485" i="6"/>
  <c r="H2484" i="6"/>
  <c r="H2483" i="6"/>
  <c r="H2482" i="6"/>
  <c r="H2481" i="6"/>
  <c r="H2480" i="6"/>
  <c r="H2479" i="6"/>
  <c r="H2478" i="6"/>
  <c r="H2477" i="6"/>
  <c r="H2476" i="6"/>
  <c r="H2475" i="6"/>
  <c r="H2474" i="6"/>
  <c r="H2473" i="6"/>
  <c r="H2472" i="6"/>
  <c r="H2471" i="6"/>
  <c r="H2470" i="6"/>
  <c r="H2469" i="6"/>
  <c r="H2468" i="6"/>
  <c r="H2467" i="6"/>
  <c r="H2466" i="6"/>
  <c r="H2465" i="6"/>
  <c r="H2464" i="6"/>
  <c r="H2463" i="6"/>
  <c r="I2462" i="6"/>
  <c r="H2462" i="6"/>
  <c r="I2461" i="6"/>
  <c r="H2461" i="6"/>
  <c r="H2460" i="6"/>
  <c r="H2459" i="6"/>
  <c r="H2458" i="6"/>
  <c r="H2457" i="6"/>
  <c r="H2456" i="6"/>
  <c r="H2455" i="6"/>
  <c r="H2454" i="6"/>
  <c r="H2453" i="6"/>
  <c r="H2452" i="6"/>
  <c r="H2451" i="6"/>
  <c r="I2450" i="6"/>
  <c r="H2450" i="6"/>
  <c r="I2449" i="6"/>
  <c r="H2449" i="6"/>
  <c r="I2448" i="6"/>
  <c r="H2448" i="6"/>
  <c r="H2447" i="6"/>
  <c r="H2446" i="6"/>
  <c r="H2445" i="6"/>
  <c r="H2444" i="6"/>
  <c r="H2443" i="6"/>
  <c r="H2442" i="6"/>
  <c r="H2441" i="6"/>
  <c r="H2440" i="6"/>
  <c r="H2439" i="6"/>
  <c r="H2438" i="6"/>
  <c r="H2437" i="6"/>
  <c r="H2436" i="6"/>
  <c r="H2435" i="6"/>
  <c r="H2434" i="6"/>
  <c r="H2433" i="6"/>
  <c r="H2432" i="6"/>
  <c r="H2431" i="6"/>
  <c r="H2430" i="6"/>
  <c r="H2429" i="6"/>
  <c r="H2428" i="6"/>
  <c r="H2427" i="6"/>
  <c r="H2426" i="6"/>
  <c r="H2425" i="6"/>
  <c r="H2424" i="6"/>
  <c r="H2423" i="6"/>
  <c r="H2422" i="6"/>
  <c r="H2421" i="6"/>
  <c r="H2420" i="6"/>
  <c r="H2419" i="6"/>
  <c r="I2418" i="6"/>
  <c r="H2418" i="6"/>
  <c r="H2417" i="6"/>
  <c r="H2416" i="6"/>
  <c r="H2415" i="6"/>
  <c r="H2414" i="6"/>
  <c r="H2413" i="6"/>
  <c r="H2412" i="6"/>
  <c r="H2411" i="6"/>
  <c r="H2410" i="6"/>
  <c r="H2409" i="6"/>
  <c r="H2408" i="6"/>
  <c r="I2407" i="6"/>
  <c r="H2407" i="6"/>
  <c r="H2406" i="6"/>
  <c r="H2405" i="6"/>
  <c r="I2404" i="6"/>
  <c r="H2404" i="6"/>
  <c r="H2403" i="6"/>
  <c r="H2402" i="6"/>
  <c r="I2401" i="6"/>
  <c r="H2401" i="6"/>
  <c r="I2400"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3" i="6"/>
  <c r="H2342" i="6"/>
  <c r="H2341" i="6"/>
  <c r="H2340" i="6"/>
  <c r="H2339" i="6"/>
  <c r="H2338" i="6"/>
  <c r="H2337" i="6"/>
  <c r="H2336" i="6"/>
  <c r="H2335" i="6"/>
  <c r="H2334" i="6"/>
  <c r="H2333" i="6"/>
  <c r="H2332" i="6"/>
  <c r="H2331" i="6"/>
  <c r="H2330" i="6"/>
  <c r="H2329" i="6"/>
  <c r="H2328" i="6"/>
  <c r="H2327" i="6"/>
  <c r="H2326" i="6"/>
  <c r="H2325" i="6"/>
  <c r="H2324" i="6"/>
  <c r="H2323" i="6"/>
  <c r="H2322" i="6"/>
  <c r="H2321" i="6"/>
  <c r="H2320" i="6"/>
  <c r="H2319" i="6"/>
  <c r="H2318" i="6"/>
  <c r="H2317" i="6"/>
  <c r="H2316" i="6"/>
  <c r="H2315" i="6"/>
  <c r="H2271" i="6"/>
  <c r="H2270" i="6"/>
  <c r="H2269" i="6"/>
  <c r="I2268" i="6"/>
  <c r="H2268" i="6"/>
  <c r="H2267" i="6"/>
  <c r="H2266" i="6"/>
  <c r="H2265" i="6"/>
  <c r="H2264" i="6"/>
  <c r="I2263" i="6"/>
  <c r="H2263" i="6"/>
  <c r="I2262" i="6"/>
  <c r="H2262" i="6"/>
  <c r="I2261" i="6"/>
  <c r="H2261" i="6"/>
  <c r="H2260" i="6"/>
  <c r="H2259" i="6"/>
  <c r="H2258" i="6"/>
  <c r="H2257" i="6"/>
  <c r="H2256" i="6"/>
  <c r="H2255" i="6"/>
  <c r="H2254" i="6"/>
  <c r="H2253" i="6"/>
  <c r="H2252" i="6"/>
  <c r="H2251" i="6"/>
  <c r="H2250" i="6"/>
  <c r="H2249" i="6"/>
  <c r="I2248" i="6"/>
  <c r="H2248" i="6"/>
  <c r="H2247" i="6"/>
  <c r="I2246" i="6"/>
  <c r="H2246" i="6"/>
  <c r="H2245" i="6"/>
  <c r="H2244" i="6"/>
  <c r="H2243" i="6"/>
  <c r="H2242" i="6"/>
  <c r="H2241" i="6"/>
  <c r="H2240" i="6"/>
  <c r="H2239" i="6"/>
  <c r="H2238" i="6"/>
  <c r="H2237" i="6"/>
  <c r="H2236" i="6"/>
  <c r="H2235" i="6"/>
  <c r="H2234" i="6"/>
  <c r="H2233" i="6"/>
  <c r="I2232" i="6"/>
  <c r="H2232" i="6"/>
  <c r="H2231" i="6"/>
  <c r="H2230" i="6"/>
  <c r="H2229" i="6"/>
  <c r="H2228" i="6"/>
  <c r="H2227" i="6"/>
  <c r="H2226" i="6"/>
  <c r="H2225" i="6"/>
  <c r="H2224" i="6"/>
  <c r="H2223" i="6"/>
  <c r="H2222" i="6"/>
  <c r="H2221" i="6"/>
  <c r="H2220" i="6"/>
  <c r="H2219" i="6"/>
  <c r="H2218" i="6"/>
  <c r="H2217" i="6"/>
  <c r="H2216" i="6"/>
  <c r="H2215" i="6"/>
  <c r="H2214" i="6"/>
  <c r="H2213" i="6"/>
  <c r="H2212" i="6"/>
  <c r="H2211" i="6"/>
  <c r="H2210" i="6"/>
  <c r="H2209" i="6"/>
  <c r="H2208" i="6"/>
  <c r="H2207" i="6"/>
  <c r="H2206" i="6"/>
  <c r="H2205" i="6"/>
  <c r="H2204" i="6"/>
  <c r="H2203" i="6"/>
  <c r="H2202" i="6"/>
  <c r="H2201" i="6"/>
  <c r="H2200" i="6"/>
  <c r="H2199" i="6"/>
  <c r="H2198" i="6"/>
  <c r="H2197" i="6"/>
  <c r="H2196" i="6"/>
  <c r="H2195" i="6"/>
  <c r="I2194" i="6"/>
  <c r="H2194" i="6"/>
  <c r="H2193" i="6"/>
  <c r="I2192" i="6"/>
  <c r="H2192" i="6"/>
  <c r="H2191" i="6"/>
  <c r="H2190" i="6"/>
  <c r="H2189" i="6"/>
  <c r="I2188" i="6"/>
  <c r="H2188" i="6"/>
  <c r="H2187" i="6"/>
  <c r="H2186" i="6"/>
  <c r="H2185" i="6"/>
  <c r="H2184" i="6"/>
  <c r="I2183" i="6"/>
  <c r="H2183" i="6"/>
  <c r="I2182" i="6"/>
  <c r="H2182" i="6"/>
  <c r="H2181" i="6"/>
  <c r="H2180" i="6"/>
  <c r="H2179" i="6"/>
  <c r="H2178" i="6"/>
  <c r="H2177" i="6"/>
  <c r="I2176" i="6"/>
  <c r="H2176" i="6"/>
  <c r="H2175" i="6"/>
  <c r="H2174" i="6"/>
  <c r="I2173" i="6"/>
  <c r="H2173" i="6"/>
  <c r="I2172" i="6"/>
  <c r="H2172" i="6"/>
  <c r="H2171" i="6"/>
  <c r="H2170" i="6"/>
  <c r="H2169" i="6"/>
  <c r="H2168" i="6"/>
  <c r="H2167" i="6"/>
  <c r="H2166" i="6"/>
  <c r="H2165" i="6"/>
  <c r="H2164" i="6"/>
  <c r="H2163" i="6"/>
  <c r="H2162" i="6"/>
  <c r="H2161" i="6"/>
  <c r="H2160" i="6"/>
  <c r="H2159" i="6"/>
  <c r="H2158" i="6"/>
  <c r="H2157" i="6"/>
  <c r="H2156" i="6"/>
  <c r="H2155" i="6"/>
  <c r="H2154" i="6"/>
  <c r="H2153" i="6"/>
  <c r="H2152" i="6"/>
  <c r="H2151" i="6"/>
  <c r="H2150" i="6"/>
  <c r="H2149" i="6"/>
  <c r="H2148" i="6"/>
  <c r="H2147" i="6"/>
  <c r="H2146" i="6"/>
  <c r="H2145" i="6"/>
  <c r="H2144" i="6"/>
  <c r="H2143" i="6"/>
  <c r="H2142" i="6"/>
  <c r="H2141" i="6"/>
  <c r="H2140" i="6"/>
  <c r="H2139" i="6"/>
  <c r="H2138" i="6"/>
  <c r="H2137" i="6"/>
  <c r="H2136" i="6"/>
  <c r="H2135" i="6"/>
  <c r="H2134" i="6"/>
  <c r="H2133" i="6"/>
  <c r="H2132" i="6"/>
  <c r="H2131" i="6"/>
  <c r="H2130" i="6"/>
  <c r="H2129" i="6"/>
  <c r="I2128" i="6"/>
  <c r="H2128" i="6"/>
  <c r="H2127" i="6"/>
  <c r="H2126" i="6"/>
  <c r="H2125" i="6"/>
  <c r="H2124" i="6"/>
  <c r="H2123" i="6"/>
  <c r="H2122" i="6"/>
  <c r="H2121" i="6"/>
  <c r="H2120" i="6"/>
  <c r="H2119" i="6"/>
  <c r="H2118" i="6"/>
  <c r="H2117" i="6"/>
  <c r="I2116" i="6"/>
  <c r="H2116" i="6"/>
  <c r="I2115" i="6"/>
  <c r="H2115" i="6"/>
  <c r="I2114" i="6"/>
  <c r="H2114" i="6"/>
  <c r="H2113" i="6"/>
  <c r="H2112" i="6"/>
  <c r="H2111" i="6"/>
  <c r="H2103" i="6"/>
  <c r="H2102" i="6"/>
  <c r="H2101" i="6"/>
  <c r="H2100" i="6"/>
  <c r="H2099" i="6"/>
  <c r="H2098" i="6"/>
  <c r="H2097" i="6"/>
  <c r="H2096" i="6"/>
  <c r="H2095" i="6"/>
  <c r="H2094" i="6"/>
  <c r="H2093" i="6"/>
  <c r="H2092" i="6"/>
  <c r="H2091" i="6"/>
  <c r="H2090" i="6"/>
  <c r="H2089" i="6"/>
  <c r="I2088" i="6"/>
  <c r="H2088" i="6"/>
  <c r="H2087" i="6"/>
  <c r="H2086" i="6"/>
  <c r="H2085" i="6"/>
  <c r="H2084" i="6"/>
  <c r="H2083" i="6"/>
  <c r="H2082" i="6"/>
  <c r="H2081" i="6"/>
  <c r="H2080" i="6"/>
  <c r="H2079" i="6"/>
  <c r="H2078" i="6"/>
  <c r="H2077" i="6"/>
  <c r="H2076" i="6"/>
  <c r="H2075" i="6"/>
  <c r="H2074" i="6"/>
  <c r="H2073" i="6"/>
  <c r="H2072" i="6"/>
  <c r="H2071" i="6"/>
  <c r="H2070" i="6"/>
  <c r="H2069" i="6"/>
  <c r="H2068" i="6"/>
  <c r="H2067" i="6"/>
  <c r="H2066" i="6"/>
  <c r="H2065" i="6"/>
  <c r="H2064" i="6"/>
  <c r="H2063" i="6"/>
  <c r="I2062" i="6"/>
  <c r="H2062" i="6"/>
  <c r="H2061" i="6"/>
  <c r="I2060" i="6"/>
  <c r="H2060" i="6"/>
  <c r="H2059" i="6"/>
  <c r="H2058" i="6"/>
  <c r="H2057" i="6"/>
  <c r="H2056" i="6"/>
  <c r="H2055" i="6"/>
  <c r="H2054" i="6"/>
  <c r="I2053" i="6"/>
  <c r="H2053" i="6"/>
  <c r="H2052" i="6"/>
  <c r="H2051" i="6"/>
  <c r="I2050" i="6"/>
  <c r="H2050" i="6"/>
  <c r="H2049" i="6"/>
  <c r="H2048" i="6"/>
  <c r="H2047" i="6"/>
  <c r="H2046" i="6"/>
  <c r="I2045" i="6"/>
  <c r="H2045" i="6"/>
  <c r="H2044" i="6"/>
  <c r="H2043" i="6"/>
  <c r="H2042" i="6"/>
  <c r="H2041" i="6"/>
  <c r="H2040" i="6"/>
  <c r="H2039" i="6"/>
  <c r="H2038" i="6"/>
  <c r="H2037" i="6"/>
  <c r="H2036" i="6"/>
  <c r="H2035" i="6"/>
  <c r="I2034" i="6"/>
  <c r="H2034" i="6"/>
  <c r="H2033" i="6"/>
  <c r="H2032" i="6"/>
  <c r="H2031" i="6"/>
  <c r="H2030" i="6"/>
  <c r="H2029" i="6"/>
  <c r="H2028" i="6"/>
  <c r="I2027" i="6"/>
  <c r="H2027" i="6"/>
  <c r="H2026" i="6"/>
  <c r="H2025" i="6"/>
  <c r="H2024" i="6"/>
  <c r="I2023" i="6"/>
  <c r="H2023" i="6"/>
  <c r="H2022" i="6"/>
  <c r="H2021" i="6"/>
  <c r="H2020" i="6"/>
  <c r="I2019" i="6"/>
  <c r="H2019" i="6"/>
  <c r="H2018" i="6"/>
  <c r="H2017" i="6"/>
  <c r="I2016" i="6"/>
  <c r="H2016" i="6"/>
  <c r="I2015" i="6"/>
  <c r="H2015" i="6"/>
  <c r="I2014" i="6"/>
  <c r="H2014" i="6"/>
  <c r="I2013" i="6"/>
  <c r="H2013" i="6"/>
  <c r="H2012" i="6"/>
  <c r="H2011" i="6"/>
  <c r="H2010" i="6"/>
  <c r="H2009" i="6"/>
  <c r="H2008" i="6"/>
  <c r="H2007" i="6"/>
  <c r="H2006" i="6"/>
  <c r="H2005" i="6"/>
  <c r="H2004" i="6"/>
  <c r="H2003" i="6"/>
  <c r="H2002" i="6"/>
  <c r="H2001" i="6"/>
  <c r="H2000" i="6"/>
  <c r="I1999" i="6"/>
  <c r="H1999" i="6"/>
  <c r="H1998" i="6"/>
  <c r="I1997" i="6"/>
  <c r="H1997" i="6"/>
  <c r="I1996" i="6"/>
  <c r="H1996" i="6"/>
  <c r="I1995" i="6"/>
  <c r="H1995" i="6"/>
  <c r="I1994" i="6"/>
  <c r="H1994" i="6"/>
  <c r="H1993" i="6"/>
  <c r="H1992" i="6"/>
  <c r="H1991" i="6"/>
  <c r="H1990" i="6"/>
  <c r="H1989" i="6"/>
  <c r="H1988" i="6"/>
  <c r="H1987" i="6"/>
  <c r="I1986" i="6"/>
  <c r="H1986" i="6"/>
  <c r="H1985" i="6"/>
  <c r="H1984" i="6"/>
  <c r="H1983" i="6"/>
  <c r="H1982" i="6"/>
  <c r="I1981" i="6"/>
  <c r="H1981" i="6"/>
  <c r="I1980" i="6"/>
  <c r="H1980" i="6"/>
  <c r="I1979" i="6"/>
  <c r="H1979" i="6"/>
  <c r="H1978" i="6"/>
  <c r="H1977" i="6"/>
  <c r="H1976" i="6"/>
  <c r="H1975" i="6"/>
  <c r="H1974" i="6"/>
  <c r="H1973" i="6"/>
  <c r="H1972" i="6"/>
  <c r="H1971" i="6"/>
  <c r="H1970" i="6"/>
  <c r="H1969" i="6"/>
  <c r="H1968" i="6"/>
  <c r="H1967" i="6"/>
  <c r="H1966" i="6"/>
  <c r="H1965" i="6"/>
  <c r="H1964" i="6"/>
  <c r="H1963" i="6"/>
  <c r="H1962" i="6"/>
  <c r="H1961" i="6"/>
  <c r="H1960" i="6"/>
  <c r="H1959" i="6"/>
  <c r="H1958" i="6"/>
  <c r="H1957" i="6"/>
  <c r="H1956" i="6"/>
  <c r="H1955" i="6"/>
  <c r="H1954" i="6"/>
  <c r="H1953" i="6"/>
  <c r="H1952" i="6"/>
  <c r="H1951" i="6"/>
  <c r="H1950" i="6"/>
  <c r="H1949" i="6"/>
  <c r="H1948" i="6"/>
  <c r="H1947" i="6"/>
  <c r="H1946" i="6"/>
  <c r="H1945" i="6"/>
  <c r="H1944" i="6"/>
  <c r="H1943" i="6"/>
  <c r="H1942" i="6"/>
  <c r="H1941" i="6"/>
  <c r="H1940" i="6"/>
  <c r="H1939" i="6"/>
  <c r="H1938" i="6"/>
  <c r="H1937" i="6"/>
  <c r="H1936" i="6"/>
  <c r="H1935" i="6"/>
  <c r="I1934" i="6"/>
  <c r="H1934" i="6"/>
  <c r="H1933" i="6"/>
  <c r="H1932" i="6"/>
  <c r="H1931" i="6"/>
  <c r="H1930" i="6"/>
  <c r="H1929" i="6"/>
  <c r="H1928" i="6"/>
  <c r="H1927" i="6"/>
  <c r="H1926" i="6"/>
  <c r="H1925" i="6"/>
  <c r="H1924" i="6"/>
  <c r="H1923" i="6"/>
  <c r="H1922" i="6"/>
  <c r="H1921" i="6"/>
  <c r="I1920" i="6"/>
  <c r="H1920" i="6"/>
  <c r="H1919" i="6"/>
  <c r="H1918" i="6"/>
  <c r="H1917" i="6"/>
  <c r="H1916" i="6"/>
  <c r="I1915" i="6"/>
  <c r="H1915" i="6"/>
  <c r="I1914" i="6"/>
  <c r="H1914" i="6"/>
  <c r="I1913" i="6"/>
  <c r="H1913" i="6"/>
  <c r="I1912" i="6"/>
  <c r="H1912" i="6"/>
  <c r="I1911" i="6"/>
  <c r="H1911" i="6"/>
  <c r="H1910" i="6"/>
  <c r="H1909" i="6"/>
  <c r="H1908" i="6"/>
  <c r="I1907" i="6"/>
  <c r="H1907" i="6"/>
  <c r="H1906" i="6"/>
  <c r="H1905" i="6"/>
  <c r="H1904" i="6"/>
  <c r="H1903" i="6"/>
  <c r="H1902" i="6"/>
  <c r="H1901" i="6"/>
  <c r="H1900" i="6"/>
  <c r="H1899" i="6"/>
  <c r="H1898" i="6"/>
  <c r="H1897" i="6"/>
  <c r="H1896" i="6"/>
  <c r="H1895" i="6"/>
  <c r="H1894" i="6"/>
  <c r="H1893" i="6"/>
  <c r="H1892" i="6"/>
  <c r="H1891" i="6"/>
  <c r="H1890" i="6"/>
  <c r="H1889" i="6"/>
  <c r="H1888" i="6"/>
  <c r="H1887" i="6"/>
  <c r="H1886" i="6"/>
  <c r="I1885" i="6"/>
  <c r="H1885" i="6"/>
  <c r="I1884" i="6"/>
  <c r="H1884" i="6"/>
  <c r="H1883" i="6"/>
  <c r="H1882" i="6"/>
  <c r="H1881" i="6"/>
  <c r="H1880" i="6"/>
  <c r="H1879" i="6"/>
  <c r="H1878" i="6"/>
  <c r="H1877" i="6"/>
  <c r="H1876" i="6"/>
  <c r="H1875" i="6"/>
  <c r="H1874" i="6"/>
  <c r="H1873" i="6"/>
  <c r="H1872" i="6"/>
  <c r="H1871" i="6"/>
  <c r="I1870" i="6"/>
  <c r="H1870" i="6"/>
  <c r="H1869" i="6"/>
  <c r="H1868" i="6"/>
  <c r="H1867" i="6"/>
  <c r="H1866" i="6"/>
  <c r="H1865" i="6"/>
  <c r="H1864" i="6"/>
  <c r="H1863" i="6"/>
  <c r="H1862" i="6"/>
  <c r="H1861" i="6"/>
  <c r="H1860" i="6"/>
  <c r="H1859" i="6"/>
  <c r="H1858" i="6"/>
  <c r="H1857" i="6"/>
  <c r="I1856" i="6"/>
  <c r="H1856" i="6"/>
  <c r="I1855" i="6"/>
  <c r="H1855" i="6"/>
  <c r="I1854" i="6"/>
  <c r="H1854" i="6"/>
  <c r="I1853" i="6"/>
  <c r="H1853" i="6"/>
  <c r="I1852" i="6"/>
  <c r="H1852" i="6"/>
  <c r="H1851" i="6"/>
  <c r="I1850" i="6"/>
  <c r="H1850" i="6"/>
  <c r="I1849" i="6"/>
  <c r="H1849" i="6"/>
  <c r="I1848" i="6"/>
  <c r="H1848" i="6"/>
  <c r="I1847" i="6"/>
  <c r="H1847" i="6"/>
  <c r="H1846" i="6"/>
  <c r="H1845" i="6"/>
  <c r="H1844" i="6"/>
  <c r="I1843" i="6"/>
  <c r="H1843" i="6"/>
  <c r="H1842" i="6"/>
  <c r="H1841" i="6"/>
  <c r="H1840" i="6"/>
  <c r="H1839" i="6"/>
  <c r="H1838" i="6"/>
  <c r="H1837" i="6"/>
  <c r="H1836" i="6"/>
  <c r="H1835" i="6"/>
  <c r="H1834" i="6"/>
  <c r="H1833" i="6"/>
  <c r="H1832" i="6"/>
  <c r="H1831" i="6"/>
  <c r="H1830" i="6"/>
  <c r="I1829" i="6"/>
  <c r="H1829" i="6"/>
  <c r="I1828" i="6"/>
  <c r="H1828" i="6"/>
  <c r="H1827" i="6"/>
  <c r="H1826" i="6"/>
  <c r="H1825" i="6"/>
  <c r="H1824" i="6"/>
  <c r="H1823" i="6"/>
  <c r="H1822" i="6"/>
  <c r="H1821" i="6"/>
  <c r="H1820" i="6"/>
  <c r="H1819" i="6"/>
  <c r="H1818" i="6"/>
  <c r="H1817" i="6"/>
  <c r="H1816" i="6"/>
  <c r="H1815" i="6"/>
  <c r="H1814" i="6"/>
  <c r="H1813" i="6"/>
  <c r="H1812" i="6"/>
  <c r="H1811" i="6"/>
  <c r="H1810" i="6"/>
  <c r="H1809" i="6"/>
  <c r="H1808" i="6"/>
  <c r="H1807" i="6"/>
  <c r="I1806" i="6"/>
  <c r="H1806" i="6"/>
  <c r="H1805" i="6"/>
  <c r="I1804" i="6"/>
  <c r="H1804" i="6"/>
  <c r="H1803" i="6"/>
  <c r="H1802" i="6"/>
  <c r="H1801" i="6"/>
  <c r="I1800" i="6"/>
  <c r="H1800" i="6"/>
  <c r="I1799" i="6"/>
  <c r="H1799" i="6"/>
  <c r="H1798" i="6"/>
  <c r="H1797" i="6"/>
  <c r="I1796" i="6"/>
  <c r="H1796" i="6"/>
  <c r="I1795" i="6"/>
  <c r="H1795" i="6"/>
  <c r="I1794" i="6"/>
  <c r="H1794" i="6"/>
  <c r="I1793" i="6"/>
  <c r="H1793" i="6"/>
  <c r="H1792" i="6"/>
  <c r="H1791" i="6"/>
  <c r="H1790" i="6"/>
  <c r="H1789" i="6"/>
  <c r="H1788" i="6"/>
  <c r="H1787" i="6"/>
  <c r="H1786" i="6"/>
  <c r="I1785" i="6"/>
  <c r="H1785" i="6"/>
  <c r="I1784" i="6"/>
  <c r="H1784" i="6"/>
  <c r="H1783" i="6"/>
  <c r="H1782" i="6"/>
  <c r="H1781" i="6"/>
  <c r="H1780" i="6"/>
  <c r="H1779" i="6"/>
  <c r="I1778" i="6"/>
  <c r="H1778" i="6"/>
  <c r="H1777" i="6"/>
  <c r="H1776" i="6"/>
  <c r="H1775" i="6"/>
  <c r="H1774" i="6"/>
  <c r="H1773" i="6"/>
  <c r="H1772" i="6"/>
  <c r="H1771" i="6"/>
  <c r="H1770" i="6"/>
  <c r="H1769" i="6"/>
  <c r="H1768" i="6"/>
  <c r="H1767" i="6"/>
  <c r="H1766" i="6"/>
  <c r="H1765" i="6"/>
  <c r="H1764" i="6"/>
  <c r="H1763" i="6"/>
  <c r="H1762" i="6"/>
  <c r="H1761" i="6"/>
  <c r="H1760" i="6"/>
  <c r="H1759" i="6"/>
  <c r="H1758" i="6"/>
  <c r="H1757" i="6"/>
  <c r="H1756" i="6"/>
  <c r="H1755" i="6"/>
  <c r="H1754" i="6"/>
  <c r="H1753" i="6"/>
  <c r="H1752" i="6"/>
  <c r="H1751" i="6"/>
  <c r="H1750" i="6"/>
  <c r="H1749" i="6"/>
  <c r="H1748" i="6"/>
  <c r="H1747" i="6"/>
  <c r="H1746" i="6"/>
  <c r="H1745" i="6"/>
  <c r="H1744" i="6"/>
  <c r="H1743" i="6"/>
  <c r="I1742" i="6"/>
  <c r="H1742" i="6"/>
  <c r="H1741" i="6"/>
  <c r="H1740" i="6"/>
  <c r="I1739" i="6"/>
  <c r="H1739" i="6"/>
  <c r="H1738" i="6"/>
  <c r="H1737" i="6"/>
  <c r="H1736" i="6"/>
  <c r="I1735" i="6"/>
  <c r="H1735" i="6"/>
  <c r="H1734" i="6"/>
  <c r="H1733" i="6"/>
  <c r="I1732" i="6"/>
  <c r="H1732" i="6"/>
  <c r="H1731" i="6"/>
  <c r="H1730" i="6"/>
  <c r="I1729" i="6"/>
  <c r="H1729" i="6"/>
  <c r="I1728"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I1699"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56" i="6"/>
  <c r="H1655" i="6"/>
  <c r="H1654" i="6"/>
  <c r="H1653" i="6"/>
  <c r="H1652" i="6"/>
  <c r="H1651" i="6"/>
  <c r="H1650" i="6"/>
  <c r="H1649" i="6"/>
  <c r="H1648" i="6"/>
  <c r="H1647" i="6"/>
  <c r="H1646" i="6"/>
  <c r="H1645" i="6"/>
  <c r="H1644" i="6"/>
  <c r="H1643" i="6"/>
  <c r="H1642" i="6"/>
  <c r="H1641" i="6"/>
  <c r="H1640" i="6"/>
  <c r="H1639" i="6"/>
  <c r="I1638" i="6"/>
  <c r="H1638" i="6"/>
  <c r="H1637" i="6"/>
  <c r="H1636" i="6"/>
  <c r="H1635" i="6"/>
  <c r="H1634" i="6"/>
  <c r="H1633" i="6"/>
  <c r="H1632" i="6"/>
  <c r="I1631" i="6"/>
  <c r="H1631" i="6"/>
  <c r="I1630" i="6"/>
  <c r="H1630" i="6"/>
  <c r="I1629" i="6"/>
  <c r="H1629" i="6"/>
  <c r="I1628" i="6"/>
  <c r="H1628" i="6"/>
  <c r="I1627" i="6"/>
  <c r="H1627" i="6"/>
  <c r="H1626" i="6"/>
  <c r="H1625" i="6"/>
  <c r="H1624" i="6"/>
  <c r="H1623" i="6"/>
  <c r="H1622" i="6"/>
  <c r="H1621" i="6"/>
  <c r="H1620" i="6"/>
  <c r="H1619" i="6"/>
  <c r="H1618" i="6"/>
  <c r="H1617" i="6"/>
  <c r="H1616" i="6"/>
  <c r="H1615" i="6"/>
  <c r="H1614" i="6"/>
  <c r="H1613" i="6"/>
  <c r="H1612" i="6"/>
  <c r="H1611" i="6"/>
  <c r="H1610" i="6"/>
  <c r="H1609" i="6"/>
  <c r="H1608" i="6"/>
  <c r="H1607" i="6"/>
  <c r="H1606" i="6"/>
  <c r="H1605" i="6"/>
  <c r="H1604" i="6"/>
  <c r="H1603" i="6"/>
  <c r="H1602" i="6"/>
  <c r="H1601" i="6"/>
  <c r="H1600" i="6"/>
  <c r="H1599" i="6"/>
  <c r="H1598" i="6"/>
  <c r="H1597" i="6"/>
  <c r="H1596" i="6"/>
  <c r="H1595" i="6"/>
  <c r="H1594" i="6"/>
  <c r="H1593" i="6"/>
  <c r="H1592" i="6"/>
  <c r="H1591" i="6"/>
  <c r="I1590" i="6"/>
  <c r="H1590" i="6"/>
  <c r="I1589" i="6"/>
  <c r="H1589" i="6"/>
  <c r="H1588" i="6"/>
  <c r="I1587" i="6"/>
  <c r="H1587" i="6"/>
  <c r="H1586" i="6"/>
  <c r="H1585" i="6"/>
  <c r="I1584" i="6"/>
  <c r="H1584" i="6"/>
  <c r="H1583" i="6"/>
  <c r="H1582" i="6"/>
  <c r="I1581" i="6"/>
  <c r="H1581" i="6"/>
  <c r="H1580" i="6"/>
  <c r="I1579" i="6"/>
  <c r="H1579" i="6"/>
  <c r="H1578" i="6"/>
  <c r="H1577" i="6"/>
  <c r="H1576" i="6"/>
  <c r="H1575" i="6"/>
  <c r="H1574" i="6"/>
  <c r="H1573" i="6"/>
  <c r="H1572" i="6"/>
  <c r="H1571" i="6"/>
  <c r="H1570" i="6"/>
  <c r="H1569" i="6"/>
  <c r="H1568" i="6"/>
  <c r="H1567" i="6"/>
  <c r="H1566" i="6"/>
  <c r="H1565" i="6"/>
  <c r="I1564" i="6"/>
  <c r="H1564" i="6"/>
  <c r="H1563" i="6"/>
  <c r="H1562" i="6"/>
  <c r="H1561" i="6"/>
  <c r="H1560" i="6"/>
  <c r="H1559" i="6"/>
  <c r="H1558" i="6"/>
  <c r="H1557" i="6"/>
  <c r="H1556" i="6"/>
  <c r="H1555" i="6"/>
  <c r="H1554" i="6"/>
  <c r="H1553" i="6"/>
  <c r="H1552" i="6"/>
  <c r="H1551" i="6"/>
  <c r="H1550" i="6"/>
  <c r="I1549" i="6"/>
  <c r="H1549" i="6"/>
  <c r="H1548" i="6"/>
  <c r="H1547" i="6"/>
  <c r="H1546" i="6"/>
  <c r="H1545" i="6"/>
  <c r="H1544" i="6"/>
  <c r="H1543" i="6"/>
  <c r="I1542" i="6"/>
  <c r="H1542" i="6"/>
  <c r="H1541" i="6"/>
  <c r="H1540" i="6"/>
  <c r="H1539" i="6"/>
  <c r="H1538" i="6"/>
  <c r="H1537" i="6"/>
  <c r="H1536" i="6"/>
  <c r="I1535" i="6"/>
  <c r="H1535" i="6"/>
  <c r="H1534" i="6"/>
  <c r="H1533" i="6"/>
  <c r="H1532" i="6"/>
  <c r="H1531" i="6"/>
  <c r="H1530" i="6"/>
  <c r="H1529" i="6"/>
  <c r="H1528" i="6"/>
  <c r="H1527" i="6"/>
  <c r="H1526" i="6"/>
  <c r="H1525" i="6"/>
  <c r="H1524" i="6"/>
  <c r="I1523" i="6"/>
  <c r="H1523" i="6"/>
  <c r="H1522" i="6"/>
  <c r="H1521" i="6"/>
  <c r="H1520" i="6"/>
  <c r="H1519" i="6"/>
  <c r="H1518" i="6"/>
  <c r="H1517" i="6"/>
  <c r="H1516" i="6"/>
  <c r="I1515" i="6"/>
  <c r="H1515" i="6"/>
  <c r="H1514" i="6"/>
  <c r="I1513" i="6"/>
  <c r="H1513" i="6"/>
  <c r="I1512"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I1488"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5" i="6"/>
  <c r="I1444" i="6"/>
  <c r="H1444" i="6"/>
  <c r="H1443" i="6"/>
  <c r="H1442" i="6"/>
  <c r="H1441" i="6"/>
  <c r="H1440" i="6"/>
  <c r="I1439" i="6"/>
  <c r="H1439" i="6"/>
  <c r="H1438" i="6"/>
  <c r="H1437" i="6"/>
  <c r="H1436" i="6"/>
  <c r="I1435" i="6"/>
  <c r="H1435" i="6"/>
  <c r="I1434" i="6"/>
  <c r="H1434" i="6"/>
  <c r="H1433" i="6"/>
  <c r="H1432" i="6"/>
  <c r="H1431" i="6"/>
  <c r="H1430" i="6"/>
  <c r="H1429" i="6"/>
  <c r="H1428" i="6"/>
  <c r="H1427" i="6"/>
  <c r="H1426" i="6"/>
  <c r="H1425" i="6"/>
  <c r="H1424" i="6"/>
  <c r="H1423" i="6"/>
  <c r="H1422" i="6"/>
  <c r="H1421" i="6"/>
  <c r="H1420" i="6"/>
  <c r="H1419" i="6"/>
  <c r="H1418" i="6"/>
  <c r="H1417" i="6"/>
  <c r="H1416" i="6"/>
  <c r="H1415" i="6"/>
  <c r="H1414" i="6"/>
  <c r="H1413" i="6"/>
  <c r="H1412" i="6"/>
  <c r="H1411" i="6"/>
  <c r="H1410" i="6"/>
  <c r="H1409" i="6"/>
  <c r="H1408" i="6"/>
  <c r="H1407" i="6"/>
  <c r="H1406" i="6"/>
  <c r="H1405" i="6"/>
  <c r="H1404" i="6"/>
  <c r="H1403" i="6"/>
  <c r="H1402" i="6"/>
  <c r="H1401" i="6"/>
  <c r="I1400" i="6"/>
  <c r="H1400" i="6"/>
  <c r="H1399" i="6"/>
  <c r="H1398" i="6"/>
  <c r="H1397" i="6"/>
  <c r="H1396" i="6"/>
  <c r="H1395" i="6"/>
  <c r="H1394" i="6"/>
  <c r="H1393" i="6"/>
  <c r="H1392" i="6"/>
  <c r="H1391" i="6"/>
  <c r="H1390" i="6"/>
  <c r="H1389" i="6"/>
  <c r="H1388" i="6"/>
  <c r="H1387" i="6"/>
  <c r="H1386" i="6"/>
  <c r="H1385" i="6"/>
  <c r="H1384" i="6"/>
  <c r="H1383" i="6"/>
  <c r="H1382" i="6"/>
  <c r="H1381" i="6"/>
  <c r="H1380" i="6"/>
  <c r="H1379" i="6"/>
  <c r="H1378" i="6"/>
  <c r="H1377" i="6"/>
  <c r="H1376" i="6"/>
  <c r="H1375" i="6"/>
  <c r="H1374" i="6"/>
  <c r="H1373" i="6"/>
  <c r="H1372" i="6"/>
  <c r="H1371" i="6"/>
  <c r="I1370" i="6"/>
  <c r="H1370" i="6"/>
  <c r="H1369" i="6"/>
  <c r="H1368" i="6"/>
  <c r="H1367" i="6"/>
  <c r="H1366" i="6"/>
  <c r="H1365" i="6"/>
  <c r="H1364" i="6"/>
  <c r="H1363" i="6"/>
  <c r="H1362" i="6"/>
  <c r="H1361" i="6"/>
  <c r="H1360" i="6"/>
  <c r="H1359" i="6"/>
  <c r="H1358" i="6"/>
  <c r="H1357" i="6"/>
  <c r="H1356" i="6"/>
  <c r="H1355" i="6"/>
  <c r="H1354" i="6"/>
  <c r="I1353" i="6"/>
  <c r="H1353" i="6"/>
  <c r="I1352" i="6"/>
  <c r="H1352" i="6"/>
  <c r="I1351" i="6"/>
  <c r="H1351" i="6"/>
  <c r="H1350" i="6"/>
  <c r="H1349" i="6"/>
  <c r="H1348" i="6"/>
  <c r="H1347" i="6"/>
  <c r="H1346" i="6"/>
  <c r="H1345" i="6"/>
  <c r="I1344" i="6"/>
  <c r="H1344" i="6"/>
  <c r="H1343" i="6"/>
  <c r="H1342" i="6"/>
  <c r="H1341" i="6"/>
  <c r="H1340" i="6"/>
  <c r="H1339" i="6"/>
  <c r="H1338" i="6"/>
  <c r="H1337" i="6"/>
  <c r="H1336" i="6"/>
  <c r="H1335" i="6"/>
  <c r="H1334" i="6"/>
  <c r="H1333" i="6"/>
  <c r="H1332" i="6"/>
  <c r="I1331" i="6"/>
  <c r="H1331" i="6"/>
  <c r="I1330" i="6"/>
  <c r="H1330" i="6"/>
  <c r="H1329" i="6"/>
  <c r="H1328" i="6"/>
  <c r="H1312" i="6"/>
  <c r="H1311" i="6"/>
  <c r="H1310" i="6"/>
  <c r="H1309" i="6"/>
  <c r="H1308" i="6"/>
  <c r="H1307" i="6"/>
  <c r="H1306" i="6"/>
  <c r="H1305" i="6"/>
  <c r="H1304" i="6"/>
  <c r="H1303" i="6"/>
  <c r="H1302" i="6"/>
  <c r="H1301" i="6"/>
  <c r="H1300" i="6"/>
  <c r="H1299" i="6"/>
  <c r="H1298" i="6"/>
  <c r="H1297" i="6"/>
  <c r="H1296" i="6"/>
  <c r="H1295" i="6"/>
  <c r="H1294" i="6"/>
  <c r="H1293" i="6"/>
  <c r="H1292" i="6"/>
  <c r="H1291" i="6"/>
  <c r="H1290" i="6"/>
  <c r="H1289" i="6"/>
  <c r="H1288" i="6"/>
  <c r="H1287" i="6"/>
  <c r="H1286" i="6"/>
  <c r="H1285" i="6"/>
  <c r="H1284" i="6"/>
  <c r="H1283" i="6"/>
  <c r="H1268" i="6"/>
  <c r="H1267" i="6"/>
  <c r="H1266" i="6"/>
  <c r="H1265" i="6"/>
  <c r="H1264" i="6"/>
  <c r="H1263" i="6"/>
  <c r="H1262" i="6"/>
  <c r="H1261" i="6"/>
  <c r="H1260" i="6"/>
  <c r="H1259" i="6"/>
  <c r="H1258" i="6"/>
  <c r="H1257" i="6"/>
  <c r="H1256" i="6"/>
  <c r="H1255" i="6"/>
  <c r="H1254" i="6"/>
  <c r="H1253" i="6"/>
  <c r="H1252" i="6"/>
  <c r="H1251" i="6"/>
  <c r="H1250" i="6"/>
  <c r="H1249" i="6"/>
  <c r="H1248" i="6"/>
  <c r="H1247" i="6"/>
  <c r="H1246" i="6"/>
  <c r="H1245" i="6"/>
  <c r="I1244" i="6"/>
  <c r="H1244" i="6"/>
  <c r="H1243" i="6"/>
  <c r="H1242" i="6"/>
  <c r="H1241" i="6"/>
  <c r="H1240" i="6"/>
  <c r="H1239" i="6"/>
  <c r="H1238" i="6"/>
  <c r="H1237" i="6"/>
  <c r="H1236" i="6"/>
  <c r="H1235" i="6"/>
  <c r="H1234" i="6"/>
  <c r="H1233" i="6"/>
  <c r="H1232" i="6"/>
  <c r="H1231" i="6"/>
  <c r="H1230" i="6"/>
  <c r="H1229" i="6"/>
  <c r="H1228" i="6"/>
  <c r="H1227" i="6"/>
  <c r="H1226" i="6"/>
  <c r="H1225" i="6"/>
  <c r="H1224" i="6"/>
  <c r="H1223" i="6"/>
  <c r="H1222" i="6"/>
  <c r="H1221" i="6"/>
  <c r="H1220" i="6"/>
  <c r="H1219" i="6"/>
  <c r="H1218" i="6"/>
  <c r="H1217" i="6"/>
  <c r="H1216" i="6"/>
  <c r="H1215" i="6"/>
  <c r="H1214" i="6"/>
  <c r="H1213" i="6"/>
  <c r="H1212" i="6"/>
  <c r="H1211" i="6"/>
  <c r="H1210" i="6"/>
  <c r="H1209" i="6"/>
  <c r="H1208" i="6"/>
  <c r="H1207" i="6"/>
  <c r="H1206" i="6"/>
  <c r="H1205" i="6"/>
  <c r="I1204" i="6"/>
  <c r="H1204" i="6"/>
  <c r="H1203" i="6"/>
  <c r="H1202" i="6"/>
  <c r="H1201" i="6"/>
  <c r="H1200" i="6"/>
  <c r="H1199" i="6"/>
  <c r="H1198" i="6"/>
  <c r="I1197" i="6"/>
  <c r="H1197" i="6"/>
  <c r="H1196" i="6"/>
  <c r="H1195" i="6"/>
  <c r="H1194" i="6"/>
  <c r="I1193" i="6"/>
  <c r="H1193" i="6"/>
  <c r="H1192" i="6"/>
  <c r="I1191" i="6"/>
  <c r="H1191" i="6"/>
  <c r="I1190" i="6"/>
  <c r="H1190" i="6"/>
  <c r="H1189" i="6"/>
  <c r="H1188" i="6"/>
  <c r="H1187" i="6"/>
  <c r="H1186" i="6"/>
  <c r="H1185" i="6"/>
  <c r="H1184" i="6"/>
  <c r="H1183" i="6"/>
  <c r="H1182" i="6"/>
  <c r="H1181" i="6"/>
  <c r="H1180" i="6"/>
  <c r="H1179" i="6"/>
  <c r="H1178" i="6"/>
  <c r="H1177" i="6"/>
  <c r="H1176" i="6"/>
  <c r="H1175" i="6"/>
  <c r="H1174" i="6"/>
  <c r="H1173" i="6"/>
  <c r="H1172" i="6"/>
  <c r="H1171" i="6"/>
  <c r="H1170" i="6"/>
  <c r="H1169" i="6"/>
  <c r="H1168" i="6"/>
  <c r="H1167" i="6"/>
  <c r="H1166" i="6"/>
  <c r="H1165" i="6"/>
  <c r="H1164" i="6"/>
  <c r="I1163" i="6"/>
  <c r="H1163" i="6"/>
  <c r="I1162" i="6"/>
  <c r="H1162" i="6"/>
  <c r="H1156" i="6"/>
  <c r="H1155" i="6"/>
  <c r="H1154" i="6"/>
  <c r="I1153" i="6"/>
  <c r="H1153" i="6"/>
  <c r="H1152" i="6"/>
  <c r="H1151" i="6"/>
  <c r="H1150" i="6"/>
  <c r="H1149" i="6"/>
  <c r="I1148" i="6"/>
  <c r="H1148" i="6"/>
  <c r="I1147" i="6"/>
  <c r="H1147" i="6"/>
  <c r="H1146" i="6"/>
  <c r="H1145" i="6"/>
  <c r="H1144" i="6"/>
  <c r="H1143" i="6"/>
  <c r="H1142" i="6"/>
  <c r="H1141" i="6"/>
  <c r="H1140" i="6"/>
  <c r="H1139" i="6"/>
  <c r="H1138" i="6"/>
  <c r="I1137" i="6"/>
  <c r="H1137" i="6"/>
  <c r="H1136" i="6"/>
  <c r="H1135" i="6"/>
  <c r="I1134" i="6"/>
  <c r="H1134" i="6"/>
  <c r="I1133" i="6"/>
  <c r="H1133" i="6"/>
  <c r="H1132" i="6"/>
  <c r="I1131" i="6"/>
  <c r="H1131" i="6"/>
  <c r="I1130" i="6"/>
  <c r="H1130" i="6"/>
  <c r="H1129" i="6"/>
  <c r="I1128" i="6"/>
  <c r="H1128" i="6"/>
  <c r="I1127" i="6"/>
  <c r="H1127" i="6"/>
  <c r="H1126" i="6"/>
  <c r="H1125" i="6"/>
  <c r="H1124" i="6"/>
  <c r="H1123" i="6"/>
  <c r="H1122" i="6"/>
  <c r="H1121" i="6"/>
  <c r="H1120" i="6"/>
  <c r="H1119" i="6"/>
  <c r="H1118" i="6"/>
  <c r="H1117" i="6"/>
  <c r="H1116" i="6"/>
  <c r="I1115" i="6"/>
  <c r="H1115" i="6"/>
  <c r="H1114" i="6"/>
  <c r="H1113" i="6"/>
  <c r="H1112" i="6"/>
  <c r="H1111" i="6"/>
  <c r="I1110" i="6"/>
  <c r="H1110" i="6"/>
  <c r="H1109" i="6"/>
  <c r="H1108" i="6"/>
  <c r="H1107" i="6"/>
  <c r="H1106" i="6"/>
  <c r="H1105" i="6"/>
  <c r="H1104" i="6"/>
  <c r="I1103" i="6"/>
  <c r="H1103" i="6"/>
  <c r="H1102" i="6"/>
  <c r="H1101" i="6"/>
  <c r="H1100" i="6"/>
  <c r="H1099" i="6"/>
  <c r="H1098" i="6"/>
  <c r="H1097" i="6"/>
  <c r="H1096" i="6"/>
  <c r="H1095" i="6"/>
  <c r="H1094" i="6"/>
  <c r="H1093" i="6"/>
  <c r="H1092" i="6"/>
  <c r="H1091" i="6"/>
  <c r="H1090" i="6"/>
  <c r="H1089" i="6"/>
  <c r="H1088" i="6"/>
  <c r="H1087" i="6"/>
  <c r="H1086" i="6"/>
  <c r="H1085" i="6"/>
  <c r="H1084" i="6"/>
  <c r="H1083" i="6"/>
  <c r="H1082" i="6"/>
  <c r="H1081" i="6"/>
  <c r="H1080" i="6"/>
  <c r="H1079" i="6"/>
  <c r="H1078" i="6"/>
  <c r="H1077" i="6"/>
  <c r="H1076" i="6"/>
  <c r="H1075" i="6"/>
  <c r="H1074" i="6"/>
  <c r="H1073" i="6"/>
  <c r="H1072" i="6"/>
  <c r="H1071" i="6"/>
  <c r="H1070" i="6"/>
  <c r="H1069" i="6"/>
  <c r="H1068" i="6"/>
  <c r="H1067" i="6"/>
  <c r="I1063" i="6"/>
  <c r="H1063" i="6"/>
  <c r="H1062" i="6"/>
  <c r="H1061" i="6"/>
  <c r="H1060" i="6"/>
  <c r="H1059" i="6"/>
  <c r="H1058" i="6"/>
  <c r="H1057" i="6"/>
  <c r="H1056" i="6"/>
  <c r="H1055" i="6"/>
  <c r="H1054" i="6"/>
  <c r="H1053" i="6"/>
  <c r="H1052" i="6"/>
  <c r="H1051" i="6"/>
  <c r="H1050" i="6"/>
  <c r="H1049" i="6"/>
  <c r="H1048" i="6"/>
  <c r="H1047" i="6"/>
  <c r="I1046" i="6"/>
  <c r="H1046" i="6"/>
  <c r="H1045" i="6"/>
  <c r="I1044" i="6"/>
  <c r="H1044" i="6"/>
  <c r="H1043" i="6"/>
  <c r="H1042" i="6"/>
  <c r="H1041" i="6"/>
  <c r="H1040" i="6"/>
  <c r="H1039" i="6"/>
  <c r="H1038" i="6"/>
  <c r="H1037" i="6"/>
  <c r="H1036" i="6"/>
  <c r="H1035" i="6"/>
  <c r="H1034" i="6"/>
  <c r="H1033" i="6"/>
  <c r="H1032" i="6"/>
  <c r="H1031" i="6"/>
  <c r="H1030" i="6"/>
  <c r="H1029" i="6"/>
  <c r="I1028" i="6"/>
  <c r="H1028" i="6"/>
  <c r="H1027" i="6"/>
  <c r="H1026" i="6"/>
  <c r="H1025" i="6"/>
  <c r="H1024" i="6"/>
  <c r="I1023" i="6"/>
  <c r="H1023" i="6"/>
  <c r="H1022" i="6"/>
  <c r="I1021" i="6"/>
  <c r="H1021" i="6"/>
  <c r="H1020" i="6"/>
  <c r="H1019" i="6"/>
  <c r="H1018" i="6"/>
  <c r="H1017" i="6"/>
  <c r="I1016" i="6"/>
  <c r="H1016" i="6"/>
  <c r="H1015" i="6"/>
  <c r="H1014" i="6"/>
  <c r="H1013" i="6"/>
  <c r="H1012" i="6"/>
  <c r="H1011" i="6"/>
  <c r="H1010" i="6"/>
  <c r="H1009" i="6"/>
  <c r="H1008" i="6"/>
  <c r="H1007" i="6"/>
  <c r="H1006" i="6"/>
  <c r="H1005" i="6"/>
  <c r="H1004" i="6"/>
  <c r="I1003" i="6"/>
  <c r="H1003" i="6"/>
  <c r="H1002" i="6"/>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I973" i="6"/>
  <c r="H973" i="6"/>
  <c r="H972" i="6"/>
  <c r="H971" i="6"/>
  <c r="H970" i="6"/>
  <c r="H969" i="6"/>
  <c r="H968" i="6"/>
  <c r="H967" i="6"/>
  <c r="H966" i="6"/>
  <c r="H965" i="6"/>
  <c r="H964" i="6"/>
  <c r="H963" i="6"/>
  <c r="H962" i="6"/>
  <c r="H961" i="6"/>
  <c r="H960" i="6"/>
  <c r="H959" i="6"/>
  <c r="H958" i="6"/>
  <c r="H957" i="6"/>
  <c r="H956" i="6"/>
  <c r="H955" i="6"/>
  <c r="I954" i="6"/>
  <c r="H954" i="6"/>
  <c r="H953" i="6"/>
  <c r="H952" i="6"/>
  <c r="H951" i="6"/>
  <c r="H950" i="6"/>
  <c r="H949" i="6"/>
  <c r="H948" i="6"/>
  <c r="I947" i="6"/>
  <c r="H947" i="6"/>
  <c r="H946" i="6"/>
  <c r="H945" i="6"/>
  <c r="H944" i="6"/>
  <c r="H943" i="6"/>
  <c r="H942" i="6"/>
  <c r="H941" i="6"/>
  <c r="H940" i="6"/>
  <c r="H939" i="6"/>
  <c r="H938" i="6"/>
  <c r="H937" i="6"/>
  <c r="H936" i="6"/>
  <c r="H935" i="6"/>
  <c r="H934" i="6"/>
  <c r="H933" i="6"/>
  <c r="H932" i="6"/>
  <c r="H931" i="6"/>
  <c r="H930" i="6"/>
  <c r="H929" i="6"/>
  <c r="H928" i="6"/>
  <c r="I927" i="6"/>
  <c r="H927" i="6"/>
  <c r="H926" i="6"/>
  <c r="H925" i="6"/>
  <c r="H924" i="6"/>
  <c r="H923" i="6"/>
  <c r="H922" i="6"/>
  <c r="H921" i="6"/>
  <c r="H920" i="6"/>
  <c r="H919" i="6"/>
  <c r="H918" i="6"/>
  <c r="H917" i="6"/>
  <c r="H916" i="6"/>
  <c r="H915" i="6"/>
  <c r="H914" i="6"/>
  <c r="H913" i="6"/>
  <c r="H912" i="6"/>
  <c r="H911" i="6"/>
  <c r="H910" i="6"/>
  <c r="H909" i="6"/>
  <c r="H908" i="6"/>
  <c r="I907" i="6"/>
  <c r="H907" i="6"/>
  <c r="H906" i="6"/>
  <c r="I905" i="6"/>
  <c r="H905" i="6"/>
  <c r="I904" i="6"/>
  <c r="H904" i="6"/>
  <c r="I903" i="6"/>
  <c r="H903" i="6"/>
  <c r="H902" i="6"/>
  <c r="H901" i="6"/>
  <c r="H900" i="6"/>
  <c r="H899" i="6"/>
  <c r="H898" i="6"/>
  <c r="H897" i="6"/>
  <c r="H896" i="6"/>
  <c r="H895" i="6"/>
  <c r="H894" i="6"/>
  <c r="H893" i="6"/>
  <c r="H892" i="6"/>
  <c r="H891" i="6"/>
  <c r="H890" i="6"/>
  <c r="H889" i="6"/>
  <c r="H888" i="6"/>
  <c r="H887" i="6"/>
  <c r="H886" i="6"/>
  <c r="H885" i="6"/>
  <c r="H884" i="6"/>
  <c r="H883" i="6"/>
  <c r="H882" i="6"/>
  <c r="I881" i="6"/>
  <c r="H881" i="6"/>
  <c r="H880" i="6"/>
  <c r="H879" i="6"/>
  <c r="H878" i="6"/>
  <c r="H877" i="6"/>
  <c r="H876" i="6"/>
  <c r="H875" i="6"/>
  <c r="H874" i="6"/>
  <c r="I873" i="6"/>
  <c r="H873" i="6"/>
  <c r="H872" i="6"/>
  <c r="I871"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I840" i="6"/>
  <c r="H840" i="6"/>
  <c r="H839" i="6"/>
  <c r="H838" i="6"/>
  <c r="H837" i="6"/>
  <c r="H836" i="6"/>
  <c r="H835" i="6"/>
  <c r="H834" i="6"/>
  <c r="H833" i="6"/>
  <c r="H832" i="6"/>
  <c r="H831" i="6"/>
  <c r="H830" i="6"/>
  <c r="H829" i="6"/>
  <c r="H828" i="6"/>
  <c r="H827" i="6"/>
  <c r="I826"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I789" i="6"/>
  <c r="H789" i="6"/>
  <c r="H788" i="6"/>
  <c r="H787" i="6"/>
  <c r="I786" i="6"/>
  <c r="H786" i="6"/>
  <c r="H785" i="6"/>
  <c r="H784" i="6"/>
  <c r="I783" i="6"/>
  <c r="H783" i="6"/>
  <c r="H782" i="6"/>
  <c r="I781" i="6"/>
  <c r="H781" i="6"/>
  <c r="I780" i="6"/>
  <c r="H780" i="6"/>
  <c r="I779" i="6"/>
  <c r="H779" i="6"/>
  <c r="H778" i="6"/>
  <c r="H775" i="6"/>
  <c r="H774" i="6"/>
  <c r="H773" i="6"/>
  <c r="H772" i="6"/>
  <c r="H771" i="6"/>
  <c r="H770" i="6"/>
  <c r="I769" i="6"/>
  <c r="H769" i="6"/>
  <c r="H768" i="6"/>
  <c r="H767" i="6"/>
  <c r="I766" i="6"/>
  <c r="H766" i="6"/>
  <c r="I765" i="6"/>
  <c r="H765" i="6"/>
  <c r="H764" i="6"/>
  <c r="H763" i="6"/>
  <c r="H762" i="6"/>
  <c r="H761" i="6"/>
  <c r="H760" i="6"/>
  <c r="H759" i="6"/>
  <c r="H758" i="6"/>
  <c r="I757" i="6"/>
  <c r="H757" i="6"/>
  <c r="H756" i="6"/>
  <c r="H752" i="6"/>
  <c r="H751" i="6"/>
  <c r="H750" i="6"/>
  <c r="H749" i="6"/>
  <c r="H748" i="6"/>
  <c r="H747" i="6"/>
  <c r="I746" i="6"/>
  <c r="H746" i="6"/>
  <c r="I745" i="6"/>
  <c r="H745" i="6"/>
  <c r="H744" i="6"/>
  <c r="H743" i="6"/>
  <c r="H742" i="6"/>
  <c r="H741" i="6"/>
  <c r="H740" i="6"/>
  <c r="H739" i="6"/>
  <c r="H738" i="6"/>
  <c r="I737" i="6"/>
  <c r="H737" i="6"/>
  <c r="H736" i="6"/>
  <c r="H735" i="6"/>
  <c r="H734" i="6"/>
  <c r="H733" i="6"/>
  <c r="H732" i="6"/>
  <c r="H731" i="6"/>
  <c r="H730" i="6"/>
  <c r="H729" i="6"/>
  <c r="H728" i="6"/>
  <c r="H727" i="6"/>
  <c r="H726" i="6"/>
  <c r="H725" i="6"/>
  <c r="H724" i="6"/>
  <c r="H723" i="6"/>
  <c r="H722" i="6"/>
  <c r="H721" i="6"/>
  <c r="H720" i="6"/>
  <c r="I719" i="6"/>
  <c r="H719" i="6"/>
  <c r="H718" i="6"/>
  <c r="H717" i="6"/>
  <c r="I716" i="6"/>
  <c r="H716" i="6"/>
  <c r="H715" i="6"/>
  <c r="H714" i="6"/>
  <c r="H713" i="6"/>
  <c r="H712" i="6"/>
  <c r="H711" i="6"/>
  <c r="H710" i="6"/>
  <c r="I709" i="6"/>
  <c r="H709" i="6"/>
  <c r="I708" i="6"/>
  <c r="H708" i="6"/>
  <c r="H707" i="6"/>
  <c r="H706" i="6"/>
  <c r="H705" i="6"/>
  <c r="H704" i="6"/>
  <c r="H703" i="6"/>
  <c r="H702" i="6"/>
  <c r="H701" i="6"/>
  <c r="H700" i="6"/>
  <c r="H699" i="6"/>
  <c r="H698" i="6"/>
  <c r="I697" i="6"/>
  <c r="H697" i="6"/>
  <c r="H696" i="6"/>
  <c r="I695" i="6"/>
  <c r="H695" i="6"/>
  <c r="H694" i="6"/>
  <c r="H693" i="6"/>
  <c r="H692" i="6"/>
  <c r="H691" i="6"/>
  <c r="H690" i="6"/>
  <c r="H689" i="6"/>
  <c r="H688" i="6"/>
  <c r="H687" i="6"/>
  <c r="H686" i="6"/>
  <c r="H685" i="6"/>
  <c r="H684" i="6"/>
  <c r="H683" i="6"/>
  <c r="I682" i="6"/>
  <c r="H682" i="6"/>
  <c r="H681" i="6"/>
  <c r="H680" i="6"/>
  <c r="I679" i="6"/>
  <c r="H679" i="6"/>
  <c r="I678" i="6"/>
  <c r="H678" i="6"/>
  <c r="I677" i="6"/>
  <c r="H677" i="6"/>
  <c r="H676" i="6"/>
  <c r="H675" i="6"/>
  <c r="H674" i="6"/>
  <c r="H673" i="6"/>
  <c r="H672" i="6"/>
  <c r="H671" i="6"/>
  <c r="H670" i="6"/>
  <c r="H669" i="6"/>
  <c r="H668" i="6"/>
  <c r="H667" i="6"/>
  <c r="H666" i="6"/>
  <c r="H665" i="6"/>
  <c r="I664" i="6"/>
  <c r="H664" i="6"/>
  <c r="H663" i="6"/>
  <c r="H662" i="6"/>
  <c r="H661" i="6"/>
  <c r="H660" i="6"/>
  <c r="H659" i="6"/>
  <c r="H658" i="6"/>
  <c r="I657" i="6"/>
  <c r="H657" i="6"/>
  <c r="H656" i="6"/>
  <c r="H655" i="6"/>
  <c r="I654" i="6"/>
  <c r="H654" i="6"/>
  <c r="H653" i="6"/>
  <c r="H652" i="6"/>
  <c r="H651" i="6"/>
  <c r="H650" i="6"/>
  <c r="H649" i="6"/>
  <c r="I648" i="6"/>
  <c r="H648" i="6"/>
  <c r="H647" i="6"/>
  <c r="H646" i="6"/>
  <c r="H645" i="6"/>
  <c r="H644" i="6"/>
  <c r="H643" i="6"/>
  <c r="H642" i="6"/>
  <c r="H641" i="6"/>
  <c r="H640" i="6"/>
  <c r="H639" i="6"/>
  <c r="H638" i="6"/>
  <c r="H637" i="6"/>
  <c r="H636" i="6"/>
  <c r="H635" i="6"/>
  <c r="H634" i="6"/>
  <c r="H633" i="6"/>
  <c r="H632" i="6"/>
  <c r="H631" i="6"/>
  <c r="H630" i="6"/>
  <c r="H629" i="6"/>
  <c r="I628" i="6"/>
  <c r="H628" i="6"/>
  <c r="I627" i="6"/>
  <c r="H627" i="6"/>
  <c r="I626" i="6"/>
  <c r="H626" i="6"/>
  <c r="I625" i="6"/>
  <c r="H625" i="6"/>
  <c r="I624" i="6"/>
  <c r="H624" i="6"/>
  <c r="H623" i="6"/>
  <c r="H622" i="6"/>
  <c r="H621" i="6"/>
  <c r="I620" i="6"/>
  <c r="H620" i="6"/>
  <c r="H619" i="6"/>
  <c r="H618" i="6"/>
  <c r="H617" i="6"/>
  <c r="H616" i="6"/>
  <c r="H615" i="6"/>
  <c r="H614" i="6"/>
  <c r="H613" i="6"/>
  <c r="H612" i="6"/>
  <c r="H611" i="6"/>
  <c r="H610" i="6"/>
  <c r="H609" i="6"/>
  <c r="I608" i="6"/>
  <c r="H608" i="6"/>
  <c r="H607" i="6"/>
  <c r="H606" i="6"/>
  <c r="I605" i="6"/>
  <c r="H605" i="6"/>
  <c r="I604" i="6"/>
  <c r="H604" i="6"/>
  <c r="I603" i="6"/>
  <c r="H603" i="6"/>
  <c r="H602" i="6"/>
  <c r="I601" i="6"/>
  <c r="H601" i="6"/>
  <c r="H600" i="6"/>
  <c r="H599" i="6"/>
  <c r="H598" i="6"/>
  <c r="H597" i="6"/>
  <c r="H596" i="6"/>
  <c r="H595" i="6"/>
  <c r="H594" i="6"/>
  <c r="I593" i="6"/>
  <c r="H593" i="6"/>
  <c r="H592" i="6"/>
  <c r="I591" i="6"/>
  <c r="H591" i="6"/>
  <c r="H590" i="6"/>
  <c r="H589" i="6"/>
  <c r="I588" i="6"/>
  <c r="H588" i="6"/>
  <c r="H587" i="6"/>
  <c r="I586" i="6"/>
  <c r="H586" i="6"/>
  <c r="I585" i="6"/>
  <c r="H585" i="6"/>
  <c r="H584" i="6"/>
  <c r="I583" i="6"/>
  <c r="H583" i="6"/>
  <c r="H582" i="6"/>
  <c r="H581" i="6"/>
  <c r="H580" i="6"/>
  <c r="H579" i="6"/>
  <c r="H578" i="6"/>
  <c r="H577" i="6"/>
  <c r="H576" i="6"/>
  <c r="H575" i="6"/>
  <c r="H574" i="6"/>
  <c r="I573" i="6"/>
  <c r="H573" i="6"/>
  <c r="H572" i="6"/>
  <c r="H571" i="6"/>
  <c r="H570" i="6"/>
  <c r="H569" i="6"/>
  <c r="H568" i="6"/>
  <c r="H567" i="6"/>
  <c r="I566" i="6"/>
  <c r="H566" i="6"/>
  <c r="I565" i="6"/>
  <c r="H565" i="6"/>
  <c r="H564" i="6"/>
  <c r="H563" i="6"/>
  <c r="H562" i="6"/>
  <c r="H561" i="6"/>
  <c r="H560" i="6"/>
  <c r="H559" i="6"/>
  <c r="I558" i="6"/>
  <c r="H558" i="6"/>
  <c r="I557" i="6"/>
  <c r="H557" i="6"/>
  <c r="I556" i="6"/>
  <c r="H556" i="6"/>
  <c r="I555" i="6"/>
  <c r="H555" i="6"/>
  <c r="H554" i="6"/>
  <c r="H553" i="6"/>
  <c r="H552" i="6"/>
  <c r="I551" i="6"/>
  <c r="H551" i="6"/>
  <c r="I550" i="6"/>
  <c r="H550" i="6"/>
  <c r="H549" i="6"/>
  <c r="I548" i="6"/>
  <c r="H548" i="6"/>
  <c r="I547" i="6"/>
  <c r="H547" i="6"/>
  <c r="I546" i="6"/>
  <c r="H546" i="6"/>
  <c r="H545" i="6"/>
  <c r="H544" i="6"/>
  <c r="H543" i="6"/>
  <c r="H542" i="6"/>
  <c r="H541" i="6"/>
  <c r="H540" i="6"/>
  <c r="H539" i="6"/>
  <c r="H538" i="6"/>
  <c r="H537" i="6"/>
  <c r="I536" i="6"/>
  <c r="H536" i="6"/>
  <c r="H535" i="6"/>
  <c r="H534" i="6"/>
  <c r="H533" i="6"/>
  <c r="H532" i="6"/>
  <c r="H531" i="6"/>
  <c r="I530" i="6"/>
  <c r="H530" i="6"/>
  <c r="I529" i="6"/>
  <c r="H529" i="6"/>
  <c r="H528" i="6"/>
  <c r="H527" i="6"/>
  <c r="H526" i="6"/>
  <c r="I525" i="6"/>
  <c r="H525" i="6"/>
  <c r="I524" i="6"/>
  <c r="H524" i="6"/>
  <c r="H523" i="6"/>
  <c r="H522" i="6"/>
  <c r="H521" i="6"/>
  <c r="H520" i="6"/>
  <c r="I519" i="6"/>
  <c r="H519" i="6"/>
  <c r="I518" i="6"/>
  <c r="H518" i="6"/>
  <c r="I517" i="6"/>
  <c r="H517" i="6"/>
  <c r="H516" i="6"/>
  <c r="H515" i="6"/>
  <c r="H514" i="6"/>
  <c r="H513" i="6"/>
  <c r="H512" i="6"/>
  <c r="H511" i="6"/>
  <c r="H510" i="6"/>
  <c r="H509" i="6"/>
  <c r="H508" i="6"/>
  <c r="H507" i="6"/>
  <c r="H506" i="6"/>
  <c r="H505" i="6"/>
  <c r="H504" i="6"/>
  <c r="I503" i="6"/>
  <c r="H503" i="6"/>
  <c r="I502" i="6"/>
  <c r="H502" i="6"/>
  <c r="H501" i="6"/>
  <c r="H500" i="6"/>
  <c r="H499" i="6"/>
  <c r="H498" i="6"/>
  <c r="H497" i="6"/>
  <c r="H496" i="6"/>
  <c r="H495" i="6"/>
  <c r="H494" i="6"/>
  <c r="H493" i="6"/>
  <c r="H492" i="6"/>
  <c r="I491" i="6"/>
  <c r="H491" i="6"/>
  <c r="H490" i="6"/>
  <c r="I489" i="6"/>
  <c r="H489" i="6"/>
  <c r="H488" i="6"/>
  <c r="H487" i="6"/>
  <c r="H486" i="6"/>
  <c r="H485" i="6"/>
  <c r="H484" i="6"/>
  <c r="H483" i="6"/>
  <c r="I482" i="6"/>
  <c r="H482" i="6"/>
  <c r="H481" i="6"/>
  <c r="H480" i="6"/>
  <c r="H479" i="6"/>
  <c r="H478" i="6"/>
  <c r="H477" i="6"/>
  <c r="H476" i="6"/>
  <c r="H475" i="6"/>
  <c r="H474" i="6"/>
  <c r="H473" i="6"/>
  <c r="H472" i="6"/>
  <c r="H471" i="6"/>
  <c r="H470" i="6"/>
  <c r="H469" i="6"/>
  <c r="H468" i="6"/>
  <c r="I467" i="6"/>
  <c r="H467" i="6"/>
  <c r="I466" i="6"/>
  <c r="H466" i="6"/>
  <c r="H465" i="6"/>
  <c r="H464" i="6"/>
  <c r="H463" i="6"/>
  <c r="I462" i="6"/>
  <c r="H462" i="6"/>
  <c r="H461" i="6"/>
  <c r="H460" i="6"/>
  <c r="I459" i="6"/>
  <c r="H459" i="6"/>
  <c r="I458" i="6"/>
  <c r="H458" i="6"/>
  <c r="H457" i="6"/>
  <c r="H456" i="6"/>
  <c r="I455" i="6"/>
  <c r="H455" i="6"/>
  <c r="H454" i="6"/>
  <c r="H453" i="6"/>
  <c r="H452" i="6"/>
  <c r="H451" i="6"/>
  <c r="H450" i="6"/>
  <c r="H449" i="6"/>
  <c r="H448" i="6"/>
  <c r="H447" i="6"/>
  <c r="H446" i="6"/>
  <c r="H445" i="6"/>
  <c r="H444" i="6"/>
  <c r="H443" i="6"/>
  <c r="H442" i="6"/>
  <c r="H441" i="6"/>
  <c r="H440" i="6"/>
  <c r="H439" i="6"/>
  <c r="H438" i="6"/>
  <c r="H437" i="6"/>
  <c r="H436" i="6"/>
  <c r="H435" i="6"/>
  <c r="H434" i="6"/>
  <c r="H433" i="6"/>
  <c r="I432" i="6"/>
  <c r="H432" i="6"/>
  <c r="H431" i="6"/>
  <c r="H430" i="6"/>
  <c r="H429" i="6"/>
  <c r="H428" i="6"/>
  <c r="H427" i="6"/>
  <c r="H426" i="6"/>
  <c r="H425" i="6"/>
  <c r="H424" i="6"/>
  <c r="H423" i="6"/>
  <c r="H422" i="6"/>
  <c r="H421" i="6"/>
  <c r="H420" i="6"/>
  <c r="H419" i="6"/>
  <c r="H418" i="6"/>
  <c r="H417" i="6"/>
  <c r="H416" i="6"/>
  <c r="I415" i="6"/>
  <c r="H415" i="6"/>
  <c r="H414" i="6"/>
  <c r="H413" i="6"/>
  <c r="H412" i="6"/>
  <c r="H411" i="6"/>
  <c r="I410" i="6"/>
  <c r="H410" i="6"/>
  <c r="H409" i="6"/>
  <c r="H408" i="6"/>
  <c r="H407" i="6"/>
  <c r="H406" i="6"/>
  <c r="I405" i="6"/>
  <c r="H405" i="6"/>
  <c r="H404" i="6"/>
  <c r="H403" i="6"/>
  <c r="H402" i="6"/>
  <c r="H401" i="6"/>
  <c r="H400" i="6"/>
  <c r="I399" i="6"/>
  <c r="H399" i="6"/>
  <c r="H398" i="6"/>
  <c r="H397" i="6"/>
  <c r="H396" i="6"/>
  <c r="H395" i="6"/>
  <c r="H394" i="6"/>
  <c r="H393" i="6"/>
  <c r="H392" i="6"/>
  <c r="H391" i="6"/>
  <c r="H390" i="6"/>
  <c r="H389" i="6"/>
  <c r="H388" i="6"/>
  <c r="H385" i="6"/>
  <c r="H384" i="6"/>
  <c r="H383" i="6"/>
  <c r="I382"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I354" i="6"/>
  <c r="H354" i="6"/>
  <c r="H353" i="6"/>
  <c r="H352" i="6"/>
  <c r="H351" i="6"/>
  <c r="H350" i="6"/>
  <c r="H349" i="6"/>
  <c r="H348" i="6"/>
  <c r="H347" i="6"/>
  <c r="H346" i="6"/>
  <c r="H345" i="6"/>
  <c r="H344" i="6"/>
  <c r="H343" i="6"/>
  <c r="H342" i="6"/>
  <c r="H341" i="6"/>
  <c r="H340" i="6"/>
  <c r="I339"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I311" i="6"/>
  <c r="H311" i="6"/>
  <c r="H310" i="6"/>
  <c r="H309" i="6"/>
  <c r="H308" i="6"/>
  <c r="H307" i="6"/>
  <c r="H306" i="6"/>
  <c r="H305" i="6"/>
  <c r="H304" i="6"/>
  <c r="H303" i="6"/>
  <c r="H302" i="6"/>
  <c r="H301" i="6"/>
  <c r="H300" i="6"/>
  <c r="H299" i="6"/>
  <c r="H298" i="6"/>
  <c r="H297" i="6"/>
  <c r="H296" i="6"/>
  <c r="H295" i="6"/>
  <c r="H294" i="6"/>
  <c r="H293" i="6"/>
  <c r="H292" i="6"/>
  <c r="H291" i="6"/>
  <c r="I290" i="6"/>
  <c r="H290" i="6"/>
  <c r="H289" i="6"/>
  <c r="I288" i="6"/>
  <c r="H288" i="6"/>
  <c r="I287" i="6"/>
  <c r="H287" i="6"/>
  <c r="I286" i="6"/>
  <c r="H286" i="6"/>
  <c r="I285" i="6"/>
  <c r="H285" i="6"/>
  <c r="I284" i="6"/>
  <c r="H284" i="6"/>
  <c r="H283" i="6"/>
  <c r="H282" i="6"/>
  <c r="H281" i="6"/>
  <c r="H280" i="6"/>
  <c r="H279" i="6"/>
  <c r="H278" i="6"/>
  <c r="H277" i="6"/>
  <c r="H276" i="6"/>
  <c r="H275" i="6"/>
  <c r="H274" i="6"/>
  <c r="I273" i="6"/>
  <c r="H273" i="6"/>
  <c r="H272" i="6"/>
  <c r="H271" i="6"/>
  <c r="H270" i="6"/>
  <c r="I269" i="6"/>
  <c r="H269" i="6"/>
  <c r="H268" i="6"/>
  <c r="H267" i="6"/>
  <c r="I266" i="6"/>
  <c r="H266" i="6"/>
  <c r="H265" i="6"/>
  <c r="I264" i="6"/>
  <c r="H264" i="6"/>
  <c r="H263" i="6"/>
  <c r="H262" i="6"/>
  <c r="H261" i="6"/>
  <c r="H260" i="6"/>
  <c r="H259" i="6"/>
  <c r="H258" i="6"/>
  <c r="H257" i="6"/>
  <c r="H256" i="6"/>
  <c r="H255" i="6"/>
  <c r="H254" i="6"/>
  <c r="H253" i="6"/>
  <c r="H252" i="6"/>
  <c r="H251" i="6"/>
  <c r="H250" i="6"/>
  <c r="H249" i="6"/>
  <c r="H248" i="6"/>
  <c r="I247"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I184" i="6"/>
  <c r="H184" i="6"/>
  <c r="H183" i="6"/>
  <c r="I182" i="6"/>
  <c r="H182" i="6"/>
  <c r="H181" i="6"/>
  <c r="I180" i="6"/>
  <c r="H180" i="6"/>
  <c r="H179" i="6"/>
  <c r="H178" i="6"/>
  <c r="I177" i="6"/>
  <c r="H177" i="6"/>
  <c r="H176" i="6"/>
  <c r="H175" i="6"/>
  <c r="I174" i="6"/>
  <c r="H174" i="6"/>
  <c r="H173" i="6"/>
  <c r="I172" i="6"/>
  <c r="H172" i="6"/>
  <c r="I171" i="6"/>
  <c r="H171" i="6"/>
  <c r="H170" i="6"/>
  <c r="H169" i="6"/>
  <c r="H168" i="6"/>
  <c r="H167" i="6"/>
  <c r="H166" i="6"/>
  <c r="I165" i="6"/>
  <c r="H165" i="6"/>
  <c r="H164" i="6"/>
  <c r="H163" i="6"/>
  <c r="H162" i="6"/>
  <c r="I161" i="6"/>
  <c r="H161" i="6"/>
  <c r="I160" i="6"/>
  <c r="H160" i="6"/>
  <c r="H159" i="6"/>
  <c r="H158" i="6"/>
  <c r="H157" i="6"/>
  <c r="H156" i="6"/>
  <c r="H155" i="6"/>
  <c r="H154" i="6"/>
  <c r="I153" i="6"/>
  <c r="H153" i="6"/>
  <c r="H152" i="6"/>
  <c r="H151" i="6"/>
  <c r="H150" i="6"/>
  <c r="H136" i="6"/>
  <c r="I135" i="6"/>
  <c r="H135" i="6"/>
  <c r="H134" i="6"/>
  <c r="H133" i="6"/>
  <c r="I132" i="6"/>
  <c r="H132" i="6"/>
  <c r="H131" i="6"/>
  <c r="I130" i="6"/>
  <c r="H130" i="6"/>
  <c r="I129" i="6"/>
  <c r="H129" i="6"/>
  <c r="I128" i="6"/>
  <c r="H128" i="6"/>
  <c r="I127" i="6"/>
  <c r="H127" i="6"/>
  <c r="H126" i="6"/>
  <c r="H125" i="6"/>
  <c r="H124" i="6"/>
  <c r="H123" i="6"/>
  <c r="H122" i="6"/>
  <c r="H121" i="6"/>
  <c r="H120" i="6"/>
  <c r="H119" i="6"/>
  <c r="H118" i="6"/>
  <c r="I117" i="6"/>
  <c r="H117" i="6"/>
  <c r="H116" i="6"/>
  <c r="H115" i="6"/>
  <c r="H114" i="6"/>
  <c r="I113" i="6"/>
  <c r="H113" i="6"/>
  <c r="H112" i="6"/>
  <c r="H111" i="6"/>
  <c r="H110" i="6"/>
  <c r="I109" i="6"/>
  <c r="H109" i="6"/>
  <c r="H108" i="6"/>
  <c r="H107" i="6"/>
  <c r="I106" i="6"/>
  <c r="H106" i="6"/>
  <c r="H105" i="6"/>
  <c r="I104" i="6"/>
  <c r="H104" i="6"/>
  <c r="I103" i="6"/>
  <c r="H103" i="6"/>
  <c r="I102" i="6"/>
  <c r="H102" i="6"/>
  <c r="I101" i="6"/>
  <c r="H101" i="6"/>
  <c r="H100" i="6"/>
  <c r="H99" i="6"/>
  <c r="H98" i="6"/>
  <c r="H97" i="6"/>
  <c r="H96" i="6"/>
  <c r="H95" i="6"/>
  <c r="I94" i="6"/>
  <c r="H94" i="6"/>
  <c r="I93" i="6"/>
  <c r="H93" i="6"/>
  <c r="I92" i="6"/>
  <c r="H92" i="6"/>
  <c r="I91" i="6"/>
  <c r="H91" i="6"/>
  <c r="I90" i="6"/>
  <c r="H90" i="6"/>
  <c r="I89" i="6"/>
  <c r="H89" i="6"/>
  <c r="I88" i="6"/>
  <c r="H88" i="6"/>
  <c r="I87" i="6"/>
  <c r="H87" i="6"/>
  <c r="I86" i="6"/>
  <c r="H86" i="6"/>
  <c r="I85" i="6"/>
  <c r="H85" i="6"/>
  <c r="I84" i="6"/>
  <c r="H84" i="6"/>
  <c r="I83" i="6"/>
  <c r="H83" i="6"/>
  <c r="I82" i="6"/>
  <c r="H82" i="6"/>
  <c r="H81" i="6"/>
  <c r="I80"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D2815" i="6" l="1"/>
  <c r="D2913" i="6"/>
  <c r="D2967" i="6"/>
  <c r="D2814" i="6"/>
  <c r="D2886" i="6"/>
  <c r="D2587" i="6"/>
  <c r="D2642" i="6"/>
  <c r="D2060" i="6"/>
  <c r="D2564" i="6"/>
  <c r="D2573" i="6"/>
  <c r="D2628" i="6"/>
  <c r="D2172" i="6"/>
  <c r="D1512" i="6"/>
  <c r="D2404" i="6"/>
  <c r="D2418" i="6"/>
  <c r="D2183" i="6"/>
  <c r="D2263" i="6"/>
  <c r="D2128" i="6"/>
  <c r="D2261" i="6"/>
  <c r="D605" i="6"/>
  <c r="D2262" i="6"/>
  <c r="D2401" i="6"/>
  <c r="D2910" i="6"/>
  <c r="D2978" i="6"/>
  <c r="D2400" i="6"/>
  <c r="D247" i="6"/>
  <c r="D697" i="6"/>
  <c r="D783" i="6"/>
  <c r="D2980" i="6"/>
  <c r="D2194" i="6"/>
  <c r="D2792" i="6"/>
  <c r="D757" i="6"/>
  <c r="D2019" i="6"/>
  <c r="D2182" i="6"/>
  <c r="D184" i="6"/>
  <c r="D285" i="6"/>
  <c r="D415" i="6"/>
  <c r="D608" i="6"/>
  <c r="D786" i="6"/>
  <c r="D907" i="6"/>
  <c r="D153" i="6"/>
  <c r="D1523" i="6"/>
  <c r="D2671" i="6"/>
  <c r="D130" i="6"/>
  <c r="D1515" i="6"/>
  <c r="D1739" i="6"/>
  <c r="D1907" i="6"/>
  <c r="D1193" i="6"/>
  <c r="D1063" i="6"/>
  <c r="D536" i="6"/>
  <c r="D709" i="6"/>
  <c r="D737" i="6"/>
  <c r="D1914" i="6"/>
  <c r="D88" i="6"/>
  <c r="D1021" i="6"/>
  <c r="D1631" i="6"/>
  <c r="D288" i="6"/>
  <c r="D1148" i="6"/>
  <c r="D1044" i="6"/>
  <c r="D529" i="6"/>
  <c r="D1795" i="6"/>
  <c r="D1581" i="6"/>
  <c r="D87" i="6"/>
  <c r="D102" i="6"/>
  <c r="D1147" i="6"/>
  <c r="D1579" i="6"/>
  <c r="D1793" i="6"/>
  <c r="D2232" i="6"/>
  <c r="D1513" i="6"/>
  <c r="D2015" i="6"/>
  <c r="D287" i="6"/>
  <c r="D551" i="6"/>
  <c r="D399" i="6"/>
  <c r="D101" i="6"/>
  <c r="D565" i="6"/>
  <c r="D1444" i="6"/>
  <c r="D1003" i="6"/>
  <c r="D1131" i="6"/>
  <c r="D129" i="6"/>
  <c r="D264" i="6"/>
  <c r="D1564" i="6"/>
  <c r="D165" i="6"/>
  <c r="D947" i="6"/>
  <c r="D273" i="6"/>
  <c r="D657" i="6"/>
  <c r="D2016" i="6"/>
  <c r="D1535" i="6"/>
  <c r="D593" i="6"/>
  <c r="D769" i="6"/>
  <c r="D525" i="6"/>
  <c r="D628" i="6"/>
  <c r="D1163" i="6"/>
  <c r="D1778" i="6"/>
  <c r="D128" i="6"/>
  <c r="D286" i="6"/>
  <c r="D455" i="6"/>
  <c r="D550" i="6"/>
  <c r="D1103" i="6"/>
  <c r="D86" i="6"/>
  <c r="D1735" i="6"/>
  <c r="D1046" i="6"/>
  <c r="D266" i="6"/>
  <c r="D132" i="6"/>
  <c r="D290" i="6"/>
  <c r="D519" i="6"/>
  <c r="D745" i="6"/>
  <c r="D1848" i="6"/>
  <c r="D459" i="6"/>
  <c r="D789" i="6"/>
  <c r="D1434" i="6"/>
  <c r="D1852" i="6"/>
  <c r="D530" i="6"/>
  <c r="D2964" i="6"/>
  <c r="D117" i="6"/>
  <c r="D1628" i="6"/>
  <c r="D89" i="6"/>
  <c r="D716" i="6"/>
  <c r="D1629" i="6"/>
  <c r="D103" i="6"/>
  <c r="D518" i="6"/>
  <c r="D432" i="6"/>
  <c r="D517" i="6"/>
  <c r="D2034" i="6"/>
  <c r="D1806" i="6"/>
  <c r="D1934" i="6"/>
  <c r="D90" i="6"/>
  <c r="D695" i="6"/>
  <c r="D881" i="6"/>
  <c r="D502" i="6"/>
  <c r="D354" i="6"/>
  <c r="D104" i="6"/>
  <c r="D91" i="6"/>
  <c r="D583" i="6"/>
  <c r="D1796" i="6"/>
  <c r="D1849" i="6"/>
  <c r="D458" i="6"/>
  <c r="D840" i="6"/>
  <c r="D1134" i="6"/>
  <c r="D1630" i="6"/>
  <c r="D2062" i="6"/>
  <c r="D566" i="6"/>
  <c r="D555" i="6"/>
  <c r="D2173" i="6"/>
  <c r="D2462" i="6"/>
  <c r="D2597" i="6"/>
  <c r="D2670" i="6"/>
  <c r="D1127" i="6"/>
  <c r="D467" i="6"/>
  <c r="D548" i="6"/>
  <c r="D604" i="6"/>
  <c r="D626" i="6"/>
  <c r="D654" i="6"/>
  <c r="D682" i="6"/>
  <c r="D903" i="6"/>
  <c r="D973" i="6"/>
  <c r="D1115" i="6"/>
  <c r="D1589" i="6"/>
  <c r="D1915" i="6"/>
  <c r="D1999" i="6"/>
  <c r="D2013" i="6"/>
  <c r="D2027" i="6"/>
  <c r="D85" i="6"/>
  <c r="D113" i="6"/>
  <c r="D127" i="6"/>
  <c r="D482" i="6"/>
  <c r="D524" i="6"/>
  <c r="D591" i="6"/>
  <c r="D627" i="6"/>
  <c r="D904" i="6"/>
  <c r="D1016" i="6"/>
  <c r="D1130" i="6"/>
  <c r="D1162" i="6"/>
  <c r="D1190" i="6"/>
  <c r="D1204" i="6"/>
  <c r="D1330" i="6"/>
  <c r="D1344" i="6"/>
  <c r="D1400" i="6"/>
  <c r="D1590" i="6"/>
  <c r="D2014" i="6"/>
  <c r="D2724" i="6"/>
  <c r="D1785" i="6"/>
  <c r="D1828" i="6"/>
  <c r="D2176" i="6"/>
  <c r="D1728" i="6"/>
  <c r="D160" i="6"/>
  <c r="D2507" i="6"/>
  <c r="D2563" i="6"/>
  <c r="D2568" i="6"/>
  <c r="D180" i="6"/>
  <c r="D2917" i="6"/>
  <c r="D94" i="6"/>
  <c r="D573" i="6"/>
  <c r="D2602" i="6"/>
  <c r="D1804" i="6"/>
  <c r="D1986" i="6"/>
  <c r="D2559" i="6"/>
  <c r="D2929" i="6"/>
  <c r="D2888" i="6"/>
  <c r="D2930" i="6"/>
  <c r="D92" i="6"/>
  <c r="D489" i="6"/>
  <c r="D93" i="6"/>
  <c r="D1435" i="6"/>
  <c r="D557" i="6"/>
  <c r="D1110" i="6"/>
  <c r="D171" i="6"/>
  <c r="D1853" i="6"/>
  <c r="D719" i="6"/>
  <c r="D1584" i="6"/>
  <c r="D1980" i="6"/>
  <c r="D106" i="6"/>
  <c r="D269" i="6"/>
  <c r="D556" i="6"/>
  <c r="D1023" i="6"/>
  <c r="D2116" i="6"/>
  <c r="D1137" i="6"/>
  <c r="D2050" i="6"/>
  <c r="D2646" i="6"/>
  <c r="D135" i="6"/>
  <c r="D2268" i="6"/>
  <c r="D1352" i="6"/>
  <c r="D177" i="6"/>
  <c r="D954" i="6"/>
  <c r="D648" i="6"/>
  <c r="D1699" i="6"/>
  <c r="D2115" i="6"/>
  <c r="D2188" i="6"/>
  <c r="D2511" i="6"/>
  <c r="D405" i="6"/>
  <c r="D503" i="6"/>
  <c r="D1351" i="6"/>
  <c r="D1979" i="6"/>
  <c r="D2448" i="6"/>
  <c r="D2589" i="6"/>
  <c r="D172" i="6"/>
  <c r="D462" i="6"/>
  <c r="D585" i="6"/>
  <c r="D1542" i="6"/>
  <c r="D1742" i="6"/>
  <c r="D1784" i="6"/>
  <c r="D2407" i="6"/>
  <c r="D2567" i="6"/>
  <c r="D664" i="6"/>
  <c r="D1353" i="6"/>
  <c r="D1995" i="6"/>
  <c r="D1884" i="6"/>
  <c r="D588" i="6"/>
  <c r="D83" i="6"/>
  <c r="D311" i="6"/>
  <c r="D339" i="6"/>
  <c r="D547" i="6"/>
  <c r="D603" i="6"/>
  <c r="D625" i="6"/>
  <c r="D766" i="6"/>
  <c r="D1244" i="6"/>
  <c r="D601" i="6"/>
  <c r="D679" i="6"/>
  <c r="D624" i="6"/>
  <c r="D2088" i="6"/>
  <c r="D109" i="6"/>
  <c r="D765" i="6"/>
  <c r="D873" i="6"/>
  <c r="D1843" i="6"/>
  <c r="D779" i="6"/>
  <c r="D2192" i="6"/>
  <c r="D491" i="6"/>
  <c r="D1911" i="6"/>
  <c r="D2833" i="6"/>
  <c r="D546" i="6"/>
  <c r="D708" i="6"/>
  <c r="D1996" i="6"/>
  <c r="D927" i="6"/>
  <c r="D1729" i="6"/>
  <c r="D174" i="6"/>
  <c r="D780" i="6"/>
  <c r="D1439" i="6"/>
  <c r="D1587" i="6"/>
  <c r="D1913" i="6"/>
  <c r="D2053" i="6"/>
  <c r="D558" i="6"/>
  <c r="D2246" i="6"/>
  <c r="D161" i="6"/>
  <c r="D1885" i="6"/>
  <c r="D1997" i="6"/>
  <c r="D678" i="6"/>
  <c r="D1981" i="6"/>
  <c r="D2500" i="6"/>
  <c r="D2800" i="6"/>
  <c r="D586" i="6"/>
  <c r="D1153" i="6"/>
  <c r="D1799" i="6"/>
  <c r="D1855" i="6"/>
  <c r="D2023" i="6"/>
  <c r="D2450" i="6"/>
  <c r="D2788" i="6"/>
  <c r="D1856" i="6"/>
  <c r="D1870" i="6"/>
  <c r="D2634" i="6"/>
  <c r="D82" i="6"/>
  <c r="D1829" i="6"/>
  <c r="D2635" i="6"/>
  <c r="D2663" i="6"/>
  <c r="D84" i="6"/>
  <c r="D284" i="6"/>
  <c r="D382" i="6"/>
  <c r="D1128" i="6"/>
  <c r="D2906" i="6"/>
  <c r="D781" i="6"/>
  <c r="D1133" i="6"/>
  <c r="D80" i="6"/>
  <c r="D1197" i="6"/>
  <c r="D746" i="6"/>
  <c r="D2114" i="6"/>
  <c r="D620" i="6"/>
  <c r="D182" i="6"/>
  <c r="D410" i="6"/>
  <c r="D466" i="6"/>
  <c r="D1854" i="6"/>
  <c r="D1549" i="6"/>
  <c r="D1627" i="6"/>
  <c r="D1800" i="6"/>
  <c r="D2501" i="6"/>
  <c r="D1028" i="6"/>
  <c r="D1370" i="6"/>
  <c r="D1638" i="6"/>
  <c r="D1920" i="6"/>
  <c r="D1847" i="6"/>
  <c r="D2045" i="6"/>
  <c r="D1912" i="6"/>
  <c r="D826" i="6"/>
  <c r="D1191" i="6"/>
  <c r="D2248" i="6"/>
  <c r="D905" i="6"/>
  <c r="D871" i="6"/>
  <c r="D1732" i="6"/>
  <c r="D1994" i="6"/>
  <c r="D677" i="6"/>
  <c r="D1794" i="6"/>
  <c r="D2461" i="6"/>
  <c r="D2449" i="6"/>
  <c r="D2652" i="6"/>
  <c r="D1331" i="6"/>
  <c r="D1488" i="6"/>
  <c r="D1850" i="6"/>
  <c r="D2596" i="6"/>
  <c r="H8" i="6" l="1"/>
  <c r="H7" i="6"/>
  <c r="H9" i="6"/>
  <c r="I154" i="1"/>
  <c r="I155" i="1"/>
  <c r="I156" i="1"/>
  <c r="I157" i="1"/>
  <c r="I158" i="1"/>
  <c r="I159" i="1"/>
  <c r="R1151" i="1"/>
  <c r="R1152" i="1"/>
  <c r="R1153" i="1"/>
  <c r="R1154" i="1"/>
  <c r="R1155" i="1"/>
  <c r="R1156" i="1"/>
  <c r="R1447" i="1"/>
  <c r="R1448" i="1"/>
  <c r="R1449" i="1"/>
  <c r="AL356" i="1"/>
  <c r="AM356" i="1"/>
  <c r="AN356" i="1"/>
  <c r="AL357" i="1"/>
  <c r="AM357" i="1"/>
  <c r="AN357" i="1"/>
  <c r="AQ357" i="1"/>
  <c r="AL358" i="1"/>
  <c r="AM358" i="1"/>
  <c r="AN358" i="1"/>
  <c r="AM359" i="1"/>
  <c r="AN359" i="1"/>
  <c r="AL360" i="1"/>
  <c r="AM360" i="1"/>
  <c r="AN360" i="1"/>
  <c r="AL361" i="1"/>
  <c r="AM361" i="1"/>
  <c r="AN361" i="1"/>
  <c r="AL362" i="1"/>
  <c r="AM362" i="1"/>
  <c r="AN362" i="1"/>
  <c r="AL364" i="1"/>
  <c r="AM364" i="1"/>
  <c r="AN364" i="1"/>
  <c r="AL365" i="1"/>
  <c r="AM365" i="1"/>
  <c r="AN365" i="1"/>
  <c r="AL366" i="1"/>
  <c r="AM366" i="1"/>
  <c r="AN366" i="1"/>
  <c r="AL367" i="1"/>
  <c r="AM367" i="1"/>
  <c r="AN367" i="1"/>
  <c r="AL368" i="1"/>
  <c r="AM368" i="1"/>
  <c r="AN368" i="1"/>
  <c r="AL369" i="1"/>
  <c r="AM369" i="1"/>
  <c r="AN369" i="1"/>
  <c r="AL370" i="1"/>
  <c r="AM370" i="1"/>
  <c r="AN370" i="1"/>
  <c r="AL371" i="1"/>
  <c r="AM371" i="1"/>
  <c r="AN371" i="1"/>
  <c r="AL372" i="1"/>
  <c r="AM372" i="1"/>
  <c r="AN372" i="1"/>
  <c r="AL373" i="1"/>
  <c r="AM373" i="1"/>
  <c r="AN373" i="1"/>
  <c r="AL374" i="1"/>
  <c r="AM374" i="1"/>
  <c r="AN374" i="1"/>
  <c r="AL375" i="1"/>
  <c r="AM375" i="1"/>
  <c r="AN375" i="1"/>
  <c r="AL376" i="1"/>
  <c r="AM376" i="1"/>
  <c r="AN376" i="1"/>
  <c r="AL377" i="1"/>
  <c r="AM377" i="1"/>
  <c r="AN377" i="1"/>
  <c r="AL378" i="1"/>
  <c r="AM378" i="1"/>
  <c r="AN378" i="1"/>
  <c r="AL379" i="1"/>
  <c r="AM379" i="1"/>
  <c r="AN379" i="1"/>
  <c r="AL380" i="1"/>
  <c r="AM380" i="1"/>
  <c r="AN380" i="1"/>
  <c r="AL381" i="1"/>
  <c r="AM381" i="1"/>
  <c r="AN381" i="1"/>
  <c r="AL382" i="1"/>
  <c r="AM382" i="1"/>
  <c r="AN382" i="1"/>
  <c r="AL383" i="1"/>
  <c r="AM383" i="1"/>
  <c r="AN383" i="1"/>
  <c r="AL384" i="1"/>
  <c r="AM384" i="1"/>
  <c r="AN384" i="1"/>
  <c r="AL385" i="1"/>
  <c r="AM385" i="1"/>
  <c r="AN385" i="1"/>
  <c r="AL386" i="1"/>
  <c r="AM386" i="1"/>
  <c r="AN386" i="1"/>
  <c r="AL387" i="1"/>
  <c r="AM387" i="1"/>
  <c r="AN387" i="1"/>
  <c r="AL388" i="1"/>
  <c r="AM388" i="1"/>
  <c r="AN388" i="1"/>
  <c r="AL389" i="1"/>
  <c r="AM389" i="1"/>
  <c r="AN389" i="1"/>
  <c r="AL390" i="1"/>
  <c r="AM390" i="1"/>
  <c r="AN390" i="1"/>
  <c r="AL391" i="1"/>
  <c r="AM391" i="1"/>
  <c r="AN391" i="1"/>
  <c r="AL392" i="1"/>
  <c r="AM392" i="1"/>
  <c r="AN392" i="1"/>
  <c r="AL393" i="1"/>
  <c r="AM393" i="1"/>
  <c r="AN393" i="1"/>
  <c r="AL394" i="1"/>
  <c r="AM394" i="1"/>
  <c r="AN394" i="1"/>
  <c r="AL395" i="1"/>
  <c r="AM395" i="1"/>
  <c r="AN395" i="1"/>
  <c r="AL396" i="1"/>
  <c r="AM396" i="1"/>
  <c r="AN396" i="1"/>
  <c r="AL397" i="1"/>
  <c r="AM397" i="1"/>
  <c r="AN397" i="1"/>
  <c r="AL398" i="1"/>
  <c r="AM398" i="1"/>
  <c r="AN398" i="1"/>
  <c r="AL399" i="1"/>
  <c r="AM399" i="1"/>
  <c r="AN399" i="1"/>
  <c r="AL400" i="1"/>
  <c r="AM400" i="1"/>
  <c r="AN400" i="1"/>
  <c r="AL401" i="1"/>
  <c r="AM401" i="1"/>
  <c r="AN401" i="1"/>
  <c r="AL402" i="1"/>
  <c r="AM402" i="1"/>
  <c r="AN402" i="1"/>
  <c r="AL403" i="1"/>
  <c r="AM403" i="1"/>
  <c r="AN403" i="1"/>
  <c r="AL404" i="1"/>
  <c r="AM404" i="1"/>
  <c r="AN404" i="1"/>
  <c r="AL405" i="1"/>
  <c r="AM405" i="1"/>
  <c r="AN405" i="1"/>
  <c r="AL406" i="1"/>
  <c r="AM406" i="1"/>
  <c r="AN406" i="1"/>
  <c r="AL407" i="1"/>
  <c r="AM407" i="1"/>
  <c r="AN407" i="1"/>
  <c r="AL408" i="1"/>
  <c r="AM408" i="1"/>
  <c r="AN408" i="1"/>
  <c r="AL409" i="1"/>
  <c r="AM409" i="1"/>
  <c r="AN409" i="1"/>
  <c r="AL410" i="1"/>
  <c r="AM410" i="1"/>
  <c r="AN410" i="1"/>
  <c r="AL411" i="1"/>
  <c r="AM411" i="1"/>
  <c r="AN411" i="1"/>
  <c r="AQ411" i="1"/>
  <c r="AL412" i="1"/>
  <c r="AM412" i="1"/>
  <c r="AN412" i="1"/>
  <c r="AL413" i="1"/>
  <c r="AM413" i="1"/>
  <c r="AN413" i="1"/>
  <c r="AL414" i="1"/>
  <c r="AM414" i="1"/>
  <c r="AN414" i="1"/>
  <c r="AL2748" i="1" l="1"/>
  <c r="AM2748" i="1"/>
  <c r="AN2748" i="1"/>
  <c r="AL2749" i="1"/>
  <c r="AM2749" i="1"/>
  <c r="AN2749" i="1"/>
  <c r="AL2750" i="1"/>
  <c r="AM2750" i="1"/>
  <c r="AN2750" i="1"/>
  <c r="AL2751" i="1"/>
  <c r="AM2751" i="1"/>
  <c r="AN2751" i="1"/>
  <c r="AL2752" i="1"/>
  <c r="AM2752" i="1"/>
  <c r="AN2752" i="1"/>
  <c r="AL2753" i="1"/>
  <c r="AM2753" i="1"/>
  <c r="AN2753" i="1"/>
  <c r="AL2754" i="1"/>
  <c r="AM2754" i="1"/>
  <c r="AN2754" i="1"/>
  <c r="AL2755" i="1"/>
  <c r="AM2755" i="1"/>
  <c r="AN2755" i="1"/>
  <c r="R2749" i="1"/>
  <c r="R2750" i="1"/>
  <c r="R2751" i="1"/>
  <c r="AL1321" i="1" l="1"/>
  <c r="AM1321" i="1"/>
  <c r="AN1321" i="1"/>
  <c r="AL1322" i="1"/>
  <c r="AM1322" i="1"/>
  <c r="AN1322" i="1"/>
  <c r="AL1323" i="1"/>
  <c r="AM1323" i="1"/>
  <c r="AN1323" i="1"/>
  <c r="AL1324" i="1"/>
  <c r="AM1324" i="1"/>
  <c r="AN1324" i="1"/>
  <c r="R1321" i="1"/>
  <c r="R1322" i="1"/>
  <c r="R1323" i="1"/>
  <c r="R1324" i="1"/>
  <c r="R1325" i="1"/>
  <c r="AN2741" i="1" l="1"/>
  <c r="AM2741" i="1"/>
  <c r="AL2741" i="1"/>
  <c r="R2741" i="1"/>
  <c r="R2742" i="1"/>
  <c r="R2743" i="1"/>
  <c r="R2836" i="1"/>
  <c r="AN2836" i="1"/>
  <c r="AM2836" i="1"/>
  <c r="AL2836" i="1"/>
  <c r="R2837" i="1"/>
  <c r="R2838" i="1"/>
  <c r="R2839" i="1"/>
  <c r="AQ1382" i="1"/>
  <c r="AN1383" i="1"/>
  <c r="AM1383" i="1"/>
  <c r="AL1383" i="1"/>
  <c r="R1383" i="1"/>
  <c r="AN1454" i="1" l="1"/>
  <c r="AM1454" i="1"/>
  <c r="AL1454" i="1"/>
  <c r="R1454" i="1"/>
  <c r="R1445" i="1"/>
  <c r="AL1447" i="1"/>
  <c r="AM1447" i="1"/>
  <c r="AN1447" i="1"/>
  <c r="AL1448" i="1"/>
  <c r="AM1448" i="1"/>
  <c r="AN1448" i="1"/>
  <c r="AL1449" i="1"/>
  <c r="AM1449" i="1"/>
  <c r="AN1449" i="1"/>
  <c r="R904" i="1"/>
  <c r="R905" i="1"/>
  <c r="R906" i="1"/>
  <c r="R907" i="1"/>
  <c r="R908" i="1"/>
  <c r="R378" i="1"/>
  <c r="R379" i="1"/>
  <c r="R380" i="1"/>
  <c r="R361" i="1" l="1"/>
  <c r="R362" i="1"/>
  <c r="R364" i="1"/>
  <c r="AN2934" i="1" l="1"/>
  <c r="AM2934" i="1"/>
  <c r="AL2934" i="1"/>
  <c r="R2934" i="1"/>
  <c r="AN2933" i="1"/>
  <c r="AM2933" i="1"/>
  <c r="AL2933" i="1"/>
  <c r="R2933" i="1"/>
  <c r="AN2932" i="1"/>
  <c r="AM2932" i="1"/>
  <c r="AL2932" i="1"/>
  <c r="R2932" i="1"/>
  <c r="AN2931" i="1"/>
  <c r="AM2931" i="1"/>
  <c r="AL2931" i="1"/>
  <c r="R2931" i="1"/>
  <c r="AN2930" i="1"/>
  <c r="AM2930" i="1"/>
  <c r="AL2930" i="1"/>
  <c r="R2930" i="1"/>
  <c r="AN2929" i="1"/>
  <c r="AM2929" i="1"/>
  <c r="AL2929" i="1"/>
  <c r="R2929" i="1"/>
  <c r="AN2927" i="1"/>
  <c r="AM2927" i="1"/>
  <c r="AL2927" i="1"/>
  <c r="R2927" i="1"/>
  <c r="R205" i="1" l="1"/>
  <c r="R206" i="1"/>
  <c r="AH417" i="1" l="1" a="1"/>
  <c r="AH417" i="1" s="1"/>
  <c r="AN2862" i="1" l="1"/>
  <c r="AM2862" i="1"/>
  <c r="AL2862" i="1"/>
  <c r="R2862" i="1"/>
  <c r="AL464" i="1"/>
  <c r="AM464" i="1"/>
  <c r="AN464" i="1"/>
  <c r="AL465" i="1"/>
  <c r="AM465" i="1"/>
  <c r="AN465" i="1"/>
  <c r="AL466" i="1"/>
  <c r="AM466" i="1"/>
  <c r="AN466" i="1"/>
  <c r="AL467" i="1"/>
  <c r="AM467" i="1"/>
  <c r="AN467" i="1"/>
  <c r="AL468" i="1"/>
  <c r="AM468" i="1"/>
  <c r="AN468" i="1"/>
  <c r="AL469" i="1"/>
  <c r="AM469" i="1"/>
  <c r="AN469" i="1"/>
  <c r="AL470" i="1"/>
  <c r="AM470" i="1"/>
  <c r="AN470" i="1"/>
  <c r="AL471" i="1"/>
  <c r="AM471" i="1"/>
  <c r="AN471" i="1"/>
  <c r="R466" i="1"/>
  <c r="R467" i="1"/>
  <c r="R468" i="1"/>
  <c r="R374" i="1"/>
  <c r="R375" i="1"/>
  <c r="R373" i="1" l="1"/>
  <c r="R376" i="1"/>
  <c r="R403" i="1" l="1"/>
  <c r="R411" i="1" l="1"/>
  <c r="R410" i="1"/>
  <c r="R408" i="1"/>
  <c r="R409" i="1"/>
  <c r="R407" i="1"/>
  <c r="R406" i="1"/>
  <c r="R405" i="1"/>
  <c r="AL1392" i="1" l="1"/>
  <c r="AM1392" i="1"/>
  <c r="AN1392" i="1"/>
  <c r="AL1393" i="1"/>
  <c r="AM1393" i="1"/>
  <c r="AN1393" i="1"/>
  <c r="R1392" i="1"/>
  <c r="R1393" i="1"/>
  <c r="AL2904" i="1" l="1"/>
  <c r="AM2904" i="1"/>
  <c r="AN2904" i="1"/>
  <c r="AL2905" i="1"/>
  <c r="AM2905" i="1"/>
  <c r="AN2905" i="1"/>
  <c r="AL2906" i="1"/>
  <c r="AM2906" i="1"/>
  <c r="AN2906" i="1"/>
  <c r="R2905" i="1"/>
  <c r="R2906" i="1"/>
  <c r="AL2185" i="1"/>
  <c r="AM2185" i="1"/>
  <c r="AN2185" i="1"/>
  <c r="AL2186" i="1"/>
  <c r="AM2186" i="1"/>
  <c r="AN2186" i="1"/>
  <c r="AL2187" i="1"/>
  <c r="AM2187" i="1"/>
  <c r="AN2187" i="1"/>
  <c r="AL2188" i="1"/>
  <c r="AM2188" i="1"/>
  <c r="AN2188" i="1"/>
  <c r="R2186" i="1"/>
  <c r="R2187" i="1"/>
  <c r="AL1764" i="1"/>
  <c r="AM1764" i="1"/>
  <c r="AN1764" i="1"/>
  <c r="AL1765" i="1"/>
  <c r="AM1765" i="1"/>
  <c r="AN1765" i="1"/>
  <c r="AL1766" i="1"/>
  <c r="AM1766" i="1"/>
  <c r="AN1766" i="1"/>
  <c r="AL1767" i="1"/>
  <c r="AM1767" i="1"/>
  <c r="AN1767" i="1"/>
  <c r="R1765" i="1"/>
  <c r="R1766" i="1"/>
  <c r="AN2695" i="1"/>
  <c r="AM2695" i="1"/>
  <c r="AL2695" i="1"/>
  <c r="R2695" i="1"/>
  <c r="AL2091" i="1" l="1"/>
  <c r="AM2091" i="1"/>
  <c r="AN2091" i="1"/>
  <c r="AL2092" i="1"/>
  <c r="AM2092" i="1"/>
  <c r="AN2092" i="1"/>
  <c r="AL2093" i="1"/>
  <c r="AM2093" i="1"/>
  <c r="AN2093" i="1"/>
  <c r="AL2094" i="1"/>
  <c r="AM2094" i="1"/>
  <c r="AN2094" i="1"/>
  <c r="AL2095" i="1"/>
  <c r="AM2095" i="1"/>
  <c r="AN2095" i="1"/>
  <c r="R2092" i="1"/>
  <c r="R2093" i="1"/>
  <c r="R2094" i="1"/>
  <c r="R2095" i="1"/>
  <c r="AN2612" i="1"/>
  <c r="AM2612" i="1"/>
  <c r="AL2612" i="1"/>
  <c r="R2612" i="1"/>
  <c r="AN2397" i="1"/>
  <c r="AM2397" i="1"/>
  <c r="AL2397" i="1"/>
  <c r="R2397" i="1"/>
  <c r="R2398" i="1"/>
  <c r="R2399" i="1"/>
  <c r="AL709" i="1"/>
  <c r="AM709" i="1"/>
  <c r="AN709" i="1"/>
  <c r="AL710" i="1"/>
  <c r="AM710" i="1"/>
  <c r="AN710" i="1"/>
  <c r="AL711" i="1"/>
  <c r="AM711" i="1"/>
  <c r="AN711" i="1"/>
  <c r="AL712" i="1"/>
  <c r="AM712" i="1"/>
  <c r="AN712" i="1"/>
  <c r="AL713" i="1"/>
  <c r="AM713" i="1"/>
  <c r="AN713" i="1"/>
  <c r="AL714" i="1"/>
  <c r="AM714" i="1"/>
  <c r="AN714" i="1"/>
  <c r="AL715" i="1"/>
  <c r="AM715" i="1"/>
  <c r="AN715" i="1"/>
  <c r="AL716" i="1"/>
  <c r="AM716" i="1"/>
  <c r="AN716" i="1"/>
  <c r="AL717" i="1"/>
  <c r="AM717" i="1"/>
  <c r="AN717" i="1"/>
  <c r="AL718" i="1"/>
  <c r="AM718" i="1"/>
  <c r="AN718" i="1"/>
  <c r="AL719" i="1"/>
  <c r="AM719" i="1"/>
  <c r="AN719" i="1"/>
  <c r="AL720" i="1"/>
  <c r="AM720" i="1"/>
  <c r="AN720" i="1"/>
  <c r="AL721" i="1"/>
  <c r="AM721" i="1"/>
  <c r="AN721" i="1"/>
  <c r="R713" i="1"/>
  <c r="R714" i="1"/>
  <c r="R715" i="1"/>
  <c r="R716" i="1"/>
  <c r="R717" i="1"/>
  <c r="R718" i="1"/>
  <c r="AN725" i="1"/>
  <c r="AM725" i="1"/>
  <c r="AL725" i="1"/>
  <c r="R725" i="1"/>
  <c r="AN724" i="1"/>
  <c r="AM724" i="1"/>
  <c r="AL724" i="1"/>
  <c r="R724" i="1"/>
  <c r="AN723" i="1"/>
  <c r="AM723" i="1"/>
  <c r="AL723" i="1"/>
  <c r="R723" i="1"/>
  <c r="AN722" i="1"/>
  <c r="AM722" i="1"/>
  <c r="AL722" i="1"/>
  <c r="R722" i="1"/>
  <c r="AL1312" i="1" l="1"/>
  <c r="AM1312" i="1"/>
  <c r="AN1312" i="1"/>
  <c r="AL1313" i="1"/>
  <c r="AM1313" i="1"/>
  <c r="AN1313" i="1"/>
  <c r="AL1314" i="1"/>
  <c r="AM1314" i="1"/>
  <c r="AN1314" i="1"/>
  <c r="AL1315" i="1"/>
  <c r="AM1315" i="1"/>
  <c r="AN1315" i="1"/>
  <c r="AL1316" i="1"/>
  <c r="AM1316" i="1"/>
  <c r="AN1316" i="1"/>
  <c r="AL1317" i="1"/>
  <c r="AM1317" i="1"/>
  <c r="AN1317" i="1"/>
  <c r="AL1318" i="1"/>
  <c r="AM1318" i="1"/>
  <c r="AN1318" i="1"/>
  <c r="AL1319" i="1"/>
  <c r="AM1319" i="1"/>
  <c r="AN1319" i="1"/>
  <c r="R1312" i="1"/>
  <c r="R1313" i="1"/>
  <c r="R1314" i="1"/>
  <c r="R1315" i="1"/>
  <c r="R1316" i="1"/>
  <c r="R1317" i="1"/>
  <c r="R1318" i="1"/>
  <c r="R1319" i="1"/>
  <c r="R1320" i="1"/>
  <c r="AL1531" i="1"/>
  <c r="AM1531" i="1"/>
  <c r="AN1531" i="1"/>
  <c r="AL1532" i="1"/>
  <c r="AM1532" i="1"/>
  <c r="AN1532" i="1"/>
  <c r="R1531" i="1"/>
  <c r="AL2388" i="1" l="1"/>
  <c r="AM2388" i="1"/>
  <c r="AN2388" i="1"/>
  <c r="AL2389" i="1"/>
  <c r="AM2389" i="1"/>
  <c r="AN2389" i="1"/>
  <c r="AL2390" i="1"/>
  <c r="AM2390" i="1"/>
  <c r="AN2390" i="1"/>
  <c r="AL2391" i="1"/>
  <c r="AM2391" i="1"/>
  <c r="AN2391" i="1"/>
  <c r="AL2392" i="1"/>
  <c r="AM2392" i="1"/>
  <c r="AN2392" i="1"/>
  <c r="AL2393" i="1"/>
  <c r="AM2393" i="1"/>
  <c r="AN2393" i="1"/>
  <c r="AL2394" i="1"/>
  <c r="AM2394" i="1"/>
  <c r="AN2394" i="1"/>
  <c r="AL2395" i="1"/>
  <c r="AM2395" i="1"/>
  <c r="AN2395" i="1"/>
  <c r="AL2396" i="1"/>
  <c r="AM2396" i="1"/>
  <c r="AN2396" i="1"/>
  <c r="AL2398" i="1"/>
  <c r="AM2398" i="1"/>
  <c r="AN2398" i="1"/>
  <c r="AL2399" i="1"/>
  <c r="AM2399" i="1"/>
  <c r="AN2399" i="1"/>
  <c r="AL2400" i="1"/>
  <c r="AM2400" i="1"/>
  <c r="AN2400" i="1"/>
  <c r="AL2401" i="1"/>
  <c r="AM2401" i="1"/>
  <c r="AN2401" i="1"/>
  <c r="AL2402" i="1"/>
  <c r="AM2402" i="1"/>
  <c r="AN2402" i="1"/>
  <c r="R2394" i="1"/>
  <c r="R2395" i="1"/>
  <c r="R2396" i="1"/>
  <c r="AL2431" i="1"/>
  <c r="AM2431" i="1"/>
  <c r="AN2431" i="1"/>
  <c r="AL2432" i="1"/>
  <c r="AM2432" i="1"/>
  <c r="AN2432" i="1"/>
  <c r="AL2433" i="1"/>
  <c r="AM2433" i="1"/>
  <c r="AN2433" i="1"/>
  <c r="AL2434" i="1"/>
  <c r="AM2434" i="1"/>
  <c r="AN2434" i="1"/>
  <c r="AL2435" i="1"/>
  <c r="AM2435" i="1"/>
  <c r="AN2435" i="1"/>
  <c r="R2432" i="1"/>
  <c r="AM117" i="1" l="1"/>
  <c r="AL117" i="1"/>
  <c r="I2226" i="6" l="1"/>
  <c r="D2226" i="6" s="1"/>
  <c r="I2227" i="6"/>
  <c r="D2227" i="6" s="1"/>
  <c r="I2228" i="6"/>
  <c r="D2228" i="6" s="1"/>
  <c r="I2225" i="6"/>
  <c r="D2225" i="6" s="1"/>
  <c r="I2223" i="6"/>
  <c r="D2223" i="6" s="1"/>
  <c r="I2224" i="6"/>
  <c r="D2224" i="6" s="1"/>
  <c r="I2222" i="6"/>
  <c r="D2222" i="6" s="1"/>
  <c r="I2221" i="6"/>
  <c r="D2221" i="6" s="1"/>
  <c r="I2220" i="6"/>
  <c r="D2220" i="6" s="1"/>
  <c r="I2217" i="6"/>
  <c r="D2217" i="6" s="1"/>
  <c r="I2219" i="6"/>
  <c r="D2219" i="6" s="1"/>
  <c r="I2218" i="6"/>
  <c r="D2218" i="6" s="1"/>
  <c r="R357" i="1" l="1"/>
  <c r="R358" i="1"/>
  <c r="R359" i="1"/>
  <c r="R360" i="1"/>
  <c r="AL1363" i="1" l="1"/>
  <c r="AM1363" i="1"/>
  <c r="AN1363" i="1"/>
  <c r="AL1365" i="1"/>
  <c r="AM1365" i="1"/>
  <c r="AN1365" i="1"/>
  <c r="R1363" i="1"/>
  <c r="R1365" i="1"/>
  <c r="AL293" i="1"/>
  <c r="AM293" i="1"/>
  <c r="AN293" i="1"/>
  <c r="AL294" i="1"/>
  <c r="AM294" i="1"/>
  <c r="AN294" i="1"/>
  <c r="AL295" i="1"/>
  <c r="AM295" i="1"/>
  <c r="AN295" i="1"/>
  <c r="AL296" i="1"/>
  <c r="AM296" i="1"/>
  <c r="AN296" i="1"/>
  <c r="AL297" i="1"/>
  <c r="AM297" i="1"/>
  <c r="AN297" i="1"/>
  <c r="R297" i="1"/>
  <c r="R294" i="1"/>
  <c r="R295" i="1"/>
  <c r="R296" i="1"/>
  <c r="R267" i="1"/>
  <c r="R268" i="1"/>
  <c r="AL265" i="1"/>
  <c r="AM265" i="1"/>
  <c r="AN265" i="1"/>
  <c r="AL266" i="1"/>
  <c r="AM266" i="1"/>
  <c r="AN266" i="1"/>
  <c r="AL267" i="1"/>
  <c r="AM267" i="1"/>
  <c r="AN267" i="1"/>
  <c r="AL268" i="1"/>
  <c r="AM268" i="1"/>
  <c r="AN268" i="1"/>
  <c r="AL269" i="1"/>
  <c r="AM269" i="1"/>
  <c r="AN269" i="1"/>
  <c r="AN285" i="1" l="1"/>
  <c r="AM285" i="1"/>
  <c r="AL285" i="1"/>
  <c r="AN284" i="1"/>
  <c r="AM284" i="1"/>
  <c r="AL284" i="1"/>
  <c r="R285" i="1"/>
  <c r="R284" i="1"/>
  <c r="AL278" i="1" l="1"/>
  <c r="AM278" i="1"/>
  <c r="AN278" i="1"/>
  <c r="AL279" i="1"/>
  <c r="AM279" i="1"/>
  <c r="AN279" i="1"/>
  <c r="AL280" i="1"/>
  <c r="AM280" i="1"/>
  <c r="AN280" i="1"/>
  <c r="AL281" i="1"/>
  <c r="AM281" i="1"/>
  <c r="AN281" i="1"/>
  <c r="AL282" i="1"/>
  <c r="AM282" i="1"/>
  <c r="AN282" i="1"/>
  <c r="AL283" i="1"/>
  <c r="AM283" i="1"/>
  <c r="AN283" i="1"/>
  <c r="AL286" i="1"/>
  <c r="AM286" i="1"/>
  <c r="AN286" i="1"/>
  <c r="AL276" i="1"/>
  <c r="AM276" i="1"/>
  <c r="AN276" i="1"/>
  <c r="AL277" i="1"/>
  <c r="AM277" i="1"/>
  <c r="AN277" i="1"/>
  <c r="R279" i="1"/>
  <c r="R280" i="1"/>
  <c r="R281" i="1"/>
  <c r="R282" i="1"/>
  <c r="R283" i="1"/>
  <c r="AL2451" i="1" l="1"/>
  <c r="AM2451" i="1"/>
  <c r="AN2451" i="1"/>
  <c r="R2451" i="1"/>
  <c r="R2452" i="1"/>
  <c r="AN1058" i="1"/>
  <c r="AM1058" i="1"/>
  <c r="AL1058" i="1"/>
  <c r="R1058" i="1"/>
  <c r="AV13" i="1" l="1"/>
  <c r="R2098" i="1" l="1"/>
  <c r="R2099" i="1"/>
  <c r="R2100" i="1"/>
  <c r="R2101" i="1"/>
  <c r="R2102" i="1"/>
  <c r="R2103" i="1"/>
  <c r="R2104" i="1"/>
  <c r="R2105" i="1"/>
  <c r="AL2096" i="1"/>
  <c r="AM2096" i="1"/>
  <c r="AN2096" i="1"/>
  <c r="AL2097" i="1"/>
  <c r="AM2097" i="1"/>
  <c r="AN2097" i="1"/>
  <c r="AL2098" i="1"/>
  <c r="AM2098" i="1"/>
  <c r="AN2098" i="1"/>
  <c r="AL2099" i="1"/>
  <c r="AM2099" i="1"/>
  <c r="AN2099" i="1"/>
  <c r="AL2100" i="1"/>
  <c r="AM2100" i="1"/>
  <c r="AN2100" i="1"/>
  <c r="AL2101" i="1"/>
  <c r="AM2101" i="1"/>
  <c r="AN2101" i="1"/>
  <c r="AL2102" i="1"/>
  <c r="AM2102" i="1"/>
  <c r="AN2102" i="1"/>
  <c r="AL2103" i="1"/>
  <c r="AM2103" i="1"/>
  <c r="AN2103" i="1"/>
  <c r="AL2104" i="1"/>
  <c r="AM2104" i="1"/>
  <c r="AN2104" i="1"/>
  <c r="AL2105" i="1"/>
  <c r="AM2105" i="1"/>
  <c r="AN2105" i="1"/>
  <c r="R2096" i="1"/>
  <c r="R2069" i="1"/>
  <c r="R2070" i="1"/>
  <c r="R2071" i="1"/>
  <c r="R2072" i="1"/>
  <c r="R2073" i="1"/>
  <c r="R2074" i="1"/>
  <c r="R2075" i="1"/>
  <c r="R2076" i="1"/>
  <c r="R2077" i="1"/>
  <c r="R2078" i="1"/>
  <c r="R2079" i="1"/>
  <c r="R2080" i="1"/>
  <c r="R2081" i="1"/>
  <c r="R2082" i="1"/>
  <c r="R2083" i="1"/>
  <c r="R2084" i="1"/>
  <c r="R2085" i="1"/>
  <c r="R2086" i="1"/>
  <c r="R2087" i="1"/>
  <c r="R2088" i="1"/>
  <c r="R2089" i="1"/>
  <c r="R2090" i="1"/>
  <c r="AL2085" i="1"/>
  <c r="AM2085" i="1"/>
  <c r="AN2085" i="1"/>
  <c r="AL2086" i="1"/>
  <c r="AM2086" i="1"/>
  <c r="AN2086" i="1"/>
  <c r="AL2087" i="1"/>
  <c r="AM2087" i="1"/>
  <c r="AN2087" i="1"/>
  <c r="AL2088" i="1"/>
  <c r="AM2088" i="1"/>
  <c r="AN2088" i="1"/>
  <c r="AL2089" i="1"/>
  <c r="AM2089" i="1"/>
  <c r="AN2089" i="1"/>
  <c r="AL2090" i="1"/>
  <c r="AM2090" i="1"/>
  <c r="AN2090" i="1"/>
  <c r="AL2069" i="1"/>
  <c r="AM2069" i="1"/>
  <c r="AN2069" i="1"/>
  <c r="AL2070" i="1"/>
  <c r="AM2070" i="1"/>
  <c r="AN2070" i="1"/>
  <c r="AL2071" i="1"/>
  <c r="AM2071" i="1"/>
  <c r="AN2071" i="1"/>
  <c r="AL2072" i="1"/>
  <c r="AM2072" i="1"/>
  <c r="AN2072" i="1"/>
  <c r="AL2073" i="1"/>
  <c r="AM2073" i="1"/>
  <c r="AN2073" i="1"/>
  <c r="AL2074" i="1"/>
  <c r="AM2074" i="1"/>
  <c r="AN2074" i="1"/>
  <c r="AL2075" i="1"/>
  <c r="AM2075" i="1"/>
  <c r="AN2075" i="1"/>
  <c r="AL2076" i="1"/>
  <c r="AM2076" i="1"/>
  <c r="AN2076" i="1"/>
  <c r="AL2077" i="1"/>
  <c r="AM2077" i="1"/>
  <c r="AN2077" i="1"/>
  <c r="AL2078" i="1"/>
  <c r="AM2078" i="1"/>
  <c r="AN2078" i="1"/>
  <c r="AL512" i="1" l="1"/>
  <c r="AM512" i="1"/>
  <c r="AN512" i="1"/>
  <c r="AL513" i="1"/>
  <c r="AM513" i="1"/>
  <c r="AN513" i="1"/>
  <c r="AL514" i="1"/>
  <c r="AM514" i="1"/>
  <c r="AN514" i="1"/>
  <c r="R512" i="1"/>
  <c r="R514" i="1"/>
  <c r="AL516" i="1"/>
  <c r="AM516" i="1"/>
  <c r="AN516" i="1"/>
  <c r="AL517" i="1"/>
  <c r="AM517" i="1"/>
  <c r="AN517" i="1"/>
  <c r="AL518" i="1"/>
  <c r="AM518" i="1"/>
  <c r="AN518" i="1"/>
  <c r="R516" i="1"/>
  <c r="R517" i="1"/>
  <c r="R518" i="1"/>
  <c r="R519" i="1"/>
  <c r="R503" i="1"/>
  <c r="R505" i="1"/>
  <c r="R506" i="1"/>
  <c r="R507" i="1"/>
  <c r="R508" i="1"/>
  <c r="R509" i="1"/>
  <c r="R511" i="1"/>
  <c r="AL545" i="1"/>
  <c r="AM545" i="1"/>
  <c r="AN545" i="1"/>
  <c r="R544" i="1"/>
  <c r="R545" i="1"/>
  <c r="AL505" i="1"/>
  <c r="AM505" i="1"/>
  <c r="AN505" i="1"/>
  <c r="AL506" i="1"/>
  <c r="AM506" i="1"/>
  <c r="AN506" i="1"/>
  <c r="R356" i="1"/>
  <c r="AL2110" i="1" l="1"/>
  <c r="AM2110" i="1"/>
  <c r="AN2110" i="1"/>
  <c r="AL2111" i="1"/>
  <c r="AM2111" i="1"/>
  <c r="AN2111" i="1"/>
  <c r="AL2112" i="1"/>
  <c r="AM2112" i="1"/>
  <c r="AN2112" i="1"/>
  <c r="AL2113" i="1"/>
  <c r="AM2113" i="1"/>
  <c r="AN2113" i="1"/>
  <c r="AL2114" i="1"/>
  <c r="AM2114" i="1"/>
  <c r="AN2114" i="1"/>
  <c r="R2110" i="1"/>
  <c r="R2111" i="1"/>
  <c r="R2112" i="1"/>
  <c r="R2113" i="1"/>
  <c r="R2114" i="1"/>
  <c r="AL1455" i="1" l="1"/>
  <c r="AM1455" i="1"/>
  <c r="AN1455" i="1"/>
  <c r="AQ1455" i="1"/>
  <c r="R1455" i="1"/>
  <c r="AL205" i="1"/>
  <c r="AM205" i="1"/>
  <c r="AN205" i="1"/>
  <c r="AL206" i="1"/>
  <c r="AM206" i="1"/>
  <c r="AN206" i="1"/>
  <c r="AL207" i="1"/>
  <c r="AM207" i="1"/>
  <c r="AN207" i="1"/>
  <c r="AL208" i="1"/>
  <c r="AM208" i="1"/>
  <c r="AN208" i="1"/>
  <c r="AL209" i="1"/>
  <c r="AM209" i="1"/>
  <c r="AN209" i="1"/>
  <c r="AL210" i="1"/>
  <c r="AM210" i="1"/>
  <c r="AN210" i="1"/>
  <c r="AL211" i="1"/>
  <c r="AM211" i="1"/>
  <c r="AN211" i="1"/>
  <c r="AL212" i="1"/>
  <c r="AM212" i="1"/>
  <c r="AN212" i="1"/>
  <c r="AL213" i="1"/>
  <c r="AM213" i="1"/>
  <c r="AN213" i="1"/>
  <c r="AL214" i="1"/>
  <c r="AM214" i="1"/>
  <c r="AN214" i="1"/>
  <c r="AL215" i="1"/>
  <c r="AM215" i="1"/>
  <c r="AN215" i="1"/>
  <c r="R208" i="1"/>
  <c r="R209" i="1"/>
  <c r="R211" i="1"/>
  <c r="R212" i="1"/>
  <c r="AL1057" i="1" l="1"/>
  <c r="AM1057" i="1"/>
  <c r="AN1057" i="1"/>
  <c r="AL1059" i="1"/>
  <c r="AM1059" i="1"/>
  <c r="AN1059" i="1"/>
  <c r="AL1060" i="1"/>
  <c r="AM1060" i="1"/>
  <c r="AN1060" i="1"/>
  <c r="AL1061" i="1"/>
  <c r="AM1061" i="1"/>
  <c r="AN1061" i="1"/>
  <c r="AL1062" i="1"/>
  <c r="AM1062" i="1"/>
  <c r="AN1062" i="1"/>
  <c r="R1057" i="1"/>
  <c r="R1059" i="1"/>
  <c r="R1060" i="1"/>
  <c r="R1061" i="1"/>
  <c r="R1062" i="1"/>
  <c r="R1063" i="1"/>
  <c r="R377" i="1" l="1"/>
  <c r="AN1555" i="1" l="1"/>
  <c r="AM1555" i="1"/>
  <c r="AL1555" i="1"/>
  <c r="R1555" i="1"/>
  <c r="AN1554" i="1"/>
  <c r="AM1554" i="1"/>
  <c r="AL1554" i="1"/>
  <c r="R1554" i="1"/>
  <c r="AN1553" i="1"/>
  <c r="AM1553" i="1"/>
  <c r="AL1553" i="1"/>
  <c r="R1553" i="1"/>
  <c r="AN1552" i="1"/>
  <c r="AM1552" i="1"/>
  <c r="AL1552" i="1"/>
  <c r="R1552" i="1"/>
  <c r="AN1551" i="1"/>
  <c r="AM1551" i="1"/>
  <c r="AL1551" i="1"/>
  <c r="R1551" i="1"/>
  <c r="AN1550" i="1"/>
  <c r="AM1550" i="1"/>
  <c r="AL1550" i="1"/>
  <c r="R1550" i="1"/>
  <c r="AN1549" i="1"/>
  <c r="AM1549" i="1"/>
  <c r="AL1549" i="1"/>
  <c r="R1549" i="1"/>
  <c r="AN1548" i="1"/>
  <c r="AM1548" i="1"/>
  <c r="AL1548" i="1"/>
  <c r="R1548" i="1"/>
  <c r="AN1547" i="1"/>
  <c r="AM1547" i="1"/>
  <c r="AL1547" i="1"/>
  <c r="R1547" i="1"/>
  <c r="AN1546" i="1"/>
  <c r="AM1546" i="1"/>
  <c r="AL1546" i="1"/>
  <c r="R1546" i="1"/>
  <c r="AN1545" i="1"/>
  <c r="AM1545" i="1"/>
  <c r="AL1545" i="1"/>
  <c r="R1545" i="1"/>
  <c r="AN1544" i="1"/>
  <c r="AM1544" i="1"/>
  <c r="AL1544" i="1"/>
  <c r="R1544" i="1"/>
  <c r="AN1543" i="1"/>
  <c r="AM1543" i="1"/>
  <c r="AL1543" i="1"/>
  <c r="R1543" i="1"/>
  <c r="AN1542" i="1"/>
  <c r="AM1542" i="1"/>
  <c r="AL1542" i="1"/>
  <c r="R1542" i="1"/>
  <c r="AN1541" i="1"/>
  <c r="AM1541" i="1"/>
  <c r="AL1541" i="1"/>
  <c r="R1541" i="1"/>
  <c r="AN1540" i="1"/>
  <c r="AM1540" i="1"/>
  <c r="AL1540" i="1"/>
  <c r="R1540" i="1"/>
  <c r="AN1539" i="1"/>
  <c r="AM1539" i="1"/>
  <c r="AL1539" i="1"/>
  <c r="R1539" i="1"/>
  <c r="AN1538" i="1"/>
  <c r="AM1538" i="1"/>
  <c r="AL1538" i="1"/>
  <c r="R1538" i="1"/>
  <c r="AN1537" i="1"/>
  <c r="AM1537" i="1"/>
  <c r="AL1537" i="1"/>
  <c r="R1537" i="1"/>
  <c r="AN1536" i="1"/>
  <c r="AM1536" i="1"/>
  <c r="AL1536" i="1"/>
  <c r="R1536" i="1"/>
  <c r="AN1535" i="1"/>
  <c r="AM1535" i="1"/>
  <c r="AL1535" i="1"/>
  <c r="R1535" i="1"/>
  <c r="AN1534" i="1"/>
  <c r="AM1534" i="1"/>
  <c r="AL1534" i="1"/>
  <c r="R1534" i="1"/>
  <c r="AN1533" i="1"/>
  <c r="AM1533" i="1"/>
  <c r="AL1533" i="1"/>
  <c r="R1533" i="1"/>
  <c r="R1532" i="1"/>
  <c r="R351" i="1"/>
  <c r="R350" i="1"/>
  <c r="R349" i="1"/>
  <c r="R329" i="1"/>
  <c r="R330" i="1"/>
  <c r="R331" i="1"/>
  <c r="R332" i="1"/>
  <c r="R333" i="1"/>
  <c r="R334" i="1"/>
  <c r="R335" i="1"/>
  <c r="R336" i="1"/>
  <c r="R337" i="1"/>
  <c r="R338" i="1"/>
  <c r="R339" i="1"/>
  <c r="R340" i="1"/>
  <c r="R341" i="1"/>
  <c r="R342" i="1"/>
  <c r="R343" i="1"/>
  <c r="R344" i="1"/>
  <c r="R345" i="1"/>
  <c r="R346" i="1"/>
  <c r="R314" i="1"/>
  <c r="R315" i="1"/>
  <c r="R316" i="1"/>
  <c r="R317" i="1"/>
  <c r="R318" i="1"/>
  <c r="R319" i="1"/>
  <c r="R321" i="1"/>
  <c r="R322" i="1"/>
  <c r="R323" i="1"/>
  <c r="R324" i="1"/>
  <c r="R325" i="1"/>
  <c r="R326" i="1"/>
  <c r="R327" i="1"/>
  <c r="R300" i="1"/>
  <c r="R301" i="1"/>
  <c r="R302" i="1"/>
  <c r="R303" i="1"/>
  <c r="R304" i="1"/>
  <c r="R305" i="1"/>
  <c r="R306" i="1"/>
  <c r="R307" i="1"/>
  <c r="R308" i="1"/>
  <c r="R309" i="1"/>
  <c r="R310" i="1"/>
  <c r="R311" i="1"/>
  <c r="R312" i="1"/>
  <c r="R313" i="1"/>
  <c r="R299" i="1"/>
  <c r="R236"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9" i="1"/>
  <c r="R270" i="1"/>
  <c r="R271" i="1"/>
  <c r="R272" i="1"/>
  <c r="R273" i="1"/>
  <c r="R274" i="1"/>
  <c r="R275" i="1"/>
  <c r="R276" i="1"/>
  <c r="R277" i="1"/>
  <c r="R278" i="1"/>
  <c r="R286" i="1"/>
  <c r="R287" i="1"/>
  <c r="R288" i="1"/>
  <c r="R289" i="1"/>
  <c r="R290" i="1"/>
  <c r="R414" i="1"/>
  <c r="R413" i="1"/>
  <c r="R412" i="1"/>
  <c r="R402" i="1"/>
  <c r="R400" i="1"/>
  <c r="R399" i="1"/>
  <c r="R398" i="1"/>
  <c r="R397" i="1"/>
  <c r="R396" i="1"/>
  <c r="R395" i="1"/>
  <c r="R394" i="1"/>
  <c r="R393" i="1"/>
  <c r="R392" i="1"/>
  <c r="R391" i="1"/>
  <c r="R390" i="1"/>
  <c r="R389" i="1"/>
  <c r="R387" i="1"/>
  <c r="R386" i="1"/>
  <c r="R385" i="1"/>
  <c r="R384" i="1"/>
  <c r="R382" i="1"/>
  <c r="R381" i="1"/>
  <c r="R372" i="1"/>
  <c r="R371" i="1"/>
  <c r="R370" i="1"/>
  <c r="R368" i="1"/>
  <c r="R367" i="1"/>
  <c r="R366" i="1"/>
  <c r="R365" i="1"/>
  <c r="AN351" i="1"/>
  <c r="AM351" i="1"/>
  <c r="AL351" i="1"/>
  <c r="AN350" i="1"/>
  <c r="AM350" i="1"/>
  <c r="AL350" i="1"/>
  <c r="AN349" i="1"/>
  <c r="AM349" i="1"/>
  <c r="AL349" i="1"/>
  <c r="AN348" i="1"/>
  <c r="AM348" i="1"/>
  <c r="AL348" i="1"/>
  <c r="R348" i="1"/>
  <c r="AN347" i="1"/>
  <c r="AM347" i="1"/>
  <c r="AL347" i="1"/>
  <c r="R347" i="1"/>
  <c r="AN346" i="1"/>
  <c r="AM346" i="1"/>
  <c r="AL346" i="1"/>
  <c r="AN345" i="1"/>
  <c r="AM345" i="1"/>
  <c r="AL345" i="1"/>
  <c r="AN344" i="1"/>
  <c r="AM344" i="1"/>
  <c r="AL344" i="1"/>
  <c r="AN343" i="1"/>
  <c r="AM343" i="1"/>
  <c r="AL343" i="1"/>
  <c r="AN342" i="1"/>
  <c r="AM342" i="1"/>
  <c r="AL342" i="1"/>
  <c r="AN341" i="1"/>
  <c r="AM341" i="1"/>
  <c r="AL341" i="1"/>
  <c r="AN340" i="1"/>
  <c r="AM340" i="1"/>
  <c r="AL340" i="1"/>
  <c r="AN339" i="1"/>
  <c r="AM339" i="1"/>
  <c r="AL339" i="1"/>
  <c r="AN338" i="1"/>
  <c r="AM338" i="1"/>
  <c r="AL338" i="1"/>
  <c r="AN337" i="1"/>
  <c r="AM337" i="1"/>
  <c r="AL337" i="1"/>
  <c r="AN336" i="1"/>
  <c r="AM336" i="1"/>
  <c r="AL336" i="1"/>
  <c r="AN335" i="1"/>
  <c r="AM335" i="1"/>
  <c r="AL335" i="1"/>
  <c r="AN334" i="1"/>
  <c r="AM334" i="1"/>
  <c r="AL334" i="1"/>
  <c r="AN333" i="1"/>
  <c r="AM333" i="1"/>
  <c r="AL333" i="1"/>
  <c r="AN332" i="1"/>
  <c r="AM332" i="1"/>
  <c r="AL332" i="1"/>
  <c r="AN331" i="1"/>
  <c r="AM331" i="1"/>
  <c r="AL331" i="1"/>
  <c r="AN330" i="1"/>
  <c r="AM330" i="1"/>
  <c r="AL330" i="1"/>
  <c r="AN329" i="1"/>
  <c r="AM329" i="1"/>
  <c r="AL329" i="1"/>
  <c r="AN328" i="1"/>
  <c r="AM328" i="1"/>
  <c r="AL328" i="1"/>
  <c r="AN327" i="1"/>
  <c r="AM327" i="1"/>
  <c r="AL327" i="1"/>
  <c r="AN326" i="1"/>
  <c r="AM326" i="1"/>
  <c r="AL326" i="1"/>
  <c r="AN325" i="1"/>
  <c r="AM325" i="1"/>
  <c r="AL325" i="1"/>
  <c r="AN324" i="1"/>
  <c r="AM324" i="1"/>
  <c r="AL324" i="1"/>
  <c r="AN323" i="1"/>
  <c r="AM323" i="1"/>
  <c r="AL323" i="1"/>
  <c r="AN322" i="1"/>
  <c r="AM322" i="1"/>
  <c r="AL322" i="1"/>
  <c r="AN319" i="1"/>
  <c r="AM319" i="1"/>
  <c r="AL319" i="1"/>
  <c r="AN318" i="1"/>
  <c r="AM318" i="1"/>
  <c r="AL318" i="1"/>
  <c r="AN317" i="1"/>
  <c r="AM317" i="1"/>
  <c r="AL317" i="1"/>
  <c r="AN316" i="1"/>
  <c r="AM316" i="1"/>
  <c r="AL316" i="1"/>
  <c r="AN315" i="1"/>
  <c r="AM315" i="1"/>
  <c r="AL315" i="1"/>
  <c r="AN314" i="1"/>
  <c r="AM314" i="1"/>
  <c r="AL314" i="1"/>
  <c r="AN313" i="1"/>
  <c r="AM313" i="1"/>
  <c r="AL313" i="1"/>
  <c r="AN312" i="1"/>
  <c r="AM312" i="1"/>
  <c r="AL312" i="1"/>
  <c r="AN311" i="1"/>
  <c r="AM311" i="1"/>
  <c r="AL311" i="1"/>
  <c r="AN310" i="1"/>
  <c r="AM310" i="1"/>
  <c r="AL310" i="1"/>
  <c r="AN309" i="1"/>
  <c r="AM309" i="1"/>
  <c r="AL309" i="1"/>
  <c r="AN308" i="1"/>
  <c r="AM308" i="1"/>
  <c r="AL308" i="1"/>
  <c r="AN307" i="1"/>
  <c r="AM307" i="1"/>
  <c r="AL307" i="1"/>
  <c r="AN306" i="1"/>
  <c r="AM306" i="1"/>
  <c r="AL306" i="1"/>
  <c r="AN305" i="1"/>
  <c r="AM305" i="1"/>
  <c r="AL305" i="1"/>
  <c r="AN304" i="1"/>
  <c r="AM304" i="1"/>
  <c r="AL304" i="1"/>
  <c r="AN303" i="1"/>
  <c r="AM303" i="1"/>
  <c r="AL303" i="1"/>
  <c r="AN302" i="1"/>
  <c r="AM302" i="1"/>
  <c r="AL302" i="1"/>
  <c r="AN301" i="1"/>
  <c r="AM301" i="1"/>
  <c r="AL301" i="1"/>
  <c r="AN300" i="1"/>
  <c r="AM300" i="1"/>
  <c r="AL300" i="1"/>
  <c r="AN299" i="1"/>
  <c r="AM299" i="1"/>
  <c r="AL299" i="1"/>
  <c r="AN298" i="1"/>
  <c r="AM298" i="1"/>
  <c r="AL298" i="1"/>
  <c r="R298" i="1"/>
  <c r="AN291" i="1"/>
  <c r="AM291" i="1"/>
  <c r="AL291" i="1"/>
  <c r="R291" i="1"/>
  <c r="AN290" i="1"/>
  <c r="AM290" i="1"/>
  <c r="AL290" i="1"/>
  <c r="AN289" i="1"/>
  <c r="AM289" i="1"/>
  <c r="AL289" i="1"/>
  <c r="AN288" i="1"/>
  <c r="AM288" i="1"/>
  <c r="AL288" i="1"/>
  <c r="AN287" i="1"/>
  <c r="AM287" i="1"/>
  <c r="AL287" i="1"/>
  <c r="AN275" i="1"/>
  <c r="AM275" i="1"/>
  <c r="AL275" i="1"/>
  <c r="AN274" i="1"/>
  <c r="AM274" i="1"/>
  <c r="AL274" i="1"/>
  <c r="AN273" i="1"/>
  <c r="AM273" i="1"/>
  <c r="AL273" i="1"/>
  <c r="AN272" i="1"/>
  <c r="AM272" i="1"/>
  <c r="AL272" i="1"/>
  <c r="AN271" i="1"/>
  <c r="AM271" i="1"/>
  <c r="AL271" i="1"/>
  <c r="AN270" i="1"/>
  <c r="AM270" i="1"/>
  <c r="AL270" i="1"/>
  <c r="AN264" i="1"/>
  <c r="AM264" i="1"/>
  <c r="AL264" i="1"/>
  <c r="AN263" i="1"/>
  <c r="AM263" i="1"/>
  <c r="AL263" i="1"/>
  <c r="AN262" i="1"/>
  <c r="AM262" i="1"/>
  <c r="AL262" i="1"/>
  <c r="AN261" i="1"/>
  <c r="AM261" i="1"/>
  <c r="AL261" i="1"/>
  <c r="AN260" i="1"/>
  <c r="AM260" i="1"/>
  <c r="AL260" i="1"/>
  <c r="AN259" i="1"/>
  <c r="AM259" i="1"/>
  <c r="AL259" i="1"/>
  <c r="AN258" i="1"/>
  <c r="AM258" i="1"/>
  <c r="AL258" i="1"/>
  <c r="AN257" i="1"/>
  <c r="AM257" i="1"/>
  <c r="AL257" i="1"/>
  <c r="AN256" i="1"/>
  <c r="AM256" i="1"/>
  <c r="AL256" i="1"/>
  <c r="AN255" i="1"/>
  <c r="AM255" i="1"/>
  <c r="AL255" i="1"/>
  <c r="AN254" i="1"/>
  <c r="AM254" i="1"/>
  <c r="AL254" i="1"/>
  <c r="AN253" i="1"/>
  <c r="AM253" i="1"/>
  <c r="AL253" i="1"/>
  <c r="AN252" i="1"/>
  <c r="AM252" i="1"/>
  <c r="AL252" i="1"/>
  <c r="AN251" i="1"/>
  <c r="AM251" i="1"/>
  <c r="AL251" i="1"/>
  <c r="AN250" i="1"/>
  <c r="AM250" i="1"/>
  <c r="AL250" i="1"/>
  <c r="AN249" i="1"/>
  <c r="AM249" i="1"/>
  <c r="AL249" i="1"/>
  <c r="AN248" i="1"/>
  <c r="AM248" i="1"/>
  <c r="AL248" i="1"/>
  <c r="AN247" i="1"/>
  <c r="AM247" i="1"/>
  <c r="AL247" i="1"/>
  <c r="AN246" i="1"/>
  <c r="AM246" i="1"/>
  <c r="AL246" i="1"/>
  <c r="AN245" i="1"/>
  <c r="AM245" i="1"/>
  <c r="AL245" i="1"/>
  <c r="AN244" i="1"/>
  <c r="AM244" i="1"/>
  <c r="AL244" i="1"/>
  <c r="AN243" i="1"/>
  <c r="AM243" i="1"/>
  <c r="AL243" i="1"/>
  <c r="AN242" i="1"/>
  <c r="AM242" i="1"/>
  <c r="AL242" i="1"/>
  <c r="AN241" i="1"/>
  <c r="AM241" i="1"/>
  <c r="AL241" i="1"/>
  <c r="AN240" i="1"/>
  <c r="AM240" i="1"/>
  <c r="AL240" i="1"/>
  <c r="AN239" i="1"/>
  <c r="AM239" i="1"/>
  <c r="AL239" i="1"/>
  <c r="AN238" i="1"/>
  <c r="AM238" i="1"/>
  <c r="AL238" i="1"/>
  <c r="AN236" i="1"/>
  <c r="AM236" i="1"/>
  <c r="AL236" i="1"/>
  <c r="AL1524" i="1" l="1"/>
  <c r="AM1524" i="1"/>
  <c r="AO1524" i="1" s="1"/>
  <c r="AM354" i="1"/>
  <c r="AO354" i="1" s="1"/>
  <c r="AL234" i="1"/>
  <c r="AM234" i="1"/>
  <c r="AO234" i="1" s="1"/>
  <c r="AJ1524" i="1" l="1"/>
  <c r="Q1532" i="1"/>
  <c r="Q1544" i="1"/>
  <c r="I2001" i="6" s="1"/>
  <c r="D2001" i="6" s="1"/>
  <c r="Q1546" i="1"/>
  <c r="Q1548" i="1"/>
  <c r="Q1549" i="1"/>
  <c r="Q1550" i="1"/>
  <c r="Q1531" i="1"/>
  <c r="I1987" i="6" s="1"/>
  <c r="D1987" i="6" s="1"/>
  <c r="Q1533" i="1"/>
  <c r="I1989" i="6" s="1"/>
  <c r="D1989" i="6" s="1"/>
  <c r="Q1545" i="1"/>
  <c r="I2002" i="6" s="1"/>
  <c r="D2002" i="6" s="1"/>
  <c r="Q1554" i="1"/>
  <c r="Q1534" i="1"/>
  <c r="I1982" i="6" s="1"/>
  <c r="D1982" i="6" s="1"/>
  <c r="Q1535" i="1"/>
  <c r="I1983" i="6" s="1"/>
  <c r="D1983" i="6" s="1"/>
  <c r="Q1536" i="1"/>
  <c r="I1984" i="6" s="1"/>
  <c r="D1984" i="6" s="1"/>
  <c r="Q1537" i="1"/>
  <c r="I1985" i="6" s="1"/>
  <c r="D1985" i="6" s="1"/>
  <c r="Q1538" i="1"/>
  <c r="I1990" i="6" s="1"/>
  <c r="D1990" i="6" s="1"/>
  <c r="Q1542" i="1"/>
  <c r="I1998" i="6" s="1"/>
  <c r="D1998" i="6" s="1"/>
  <c r="Q1551" i="1"/>
  <c r="I2008" i="6" s="1"/>
  <c r="D2008" i="6" s="1"/>
  <c r="Q1553" i="1"/>
  <c r="I2010" i="6" s="1"/>
  <c r="D2010" i="6" s="1"/>
  <c r="Q1555" i="1"/>
  <c r="Q1539" i="1"/>
  <c r="I1991" i="6" s="1"/>
  <c r="D1991" i="6" s="1"/>
  <c r="Q1540" i="1"/>
  <c r="I1992" i="6" s="1"/>
  <c r="D1992" i="6" s="1"/>
  <c r="Q1547" i="1"/>
  <c r="I2004" i="6" s="1"/>
  <c r="D2004" i="6" s="1"/>
  <c r="Q1552" i="1"/>
  <c r="I2009" i="6" s="1"/>
  <c r="D2009" i="6" s="1"/>
  <c r="Q1541" i="1"/>
  <c r="I1993" i="6" s="1"/>
  <c r="D1993" i="6" s="1"/>
  <c r="Q1543" i="1"/>
  <c r="I2000" i="6" s="1"/>
  <c r="D2000" i="6" s="1"/>
  <c r="AJ234" i="1"/>
  <c r="G234" i="1" s="1"/>
  <c r="Q345" i="1"/>
  <c r="I2790" i="6" s="1"/>
  <c r="D2790" i="6" s="1"/>
  <c r="Q320" i="1"/>
  <c r="Q349" i="1"/>
  <c r="Q324" i="1"/>
  <c r="Q311" i="1"/>
  <c r="Q333" i="1"/>
  <c r="Q337" i="1"/>
  <c r="Q317" i="1"/>
  <c r="I2746" i="6" s="1"/>
  <c r="D2746" i="6" s="1"/>
  <c r="Q346" i="1"/>
  <c r="I2789" i="6" s="1"/>
  <c r="D2789" i="6" s="1"/>
  <c r="Q321" i="1"/>
  <c r="I2689" i="6" s="1"/>
  <c r="D2689" i="6" s="1"/>
  <c r="Q342" i="1"/>
  <c r="I2714" i="6" s="1"/>
  <c r="D2714" i="6" s="1"/>
  <c r="Q336" i="1"/>
  <c r="I2803" i="6" s="1"/>
  <c r="D2803" i="6" s="1"/>
  <c r="Q332" i="1"/>
  <c r="I2798" i="6" s="1"/>
  <c r="D2798" i="6" s="1"/>
  <c r="Q312" i="1"/>
  <c r="I2709" i="6" s="1"/>
  <c r="D2709" i="6" s="1"/>
  <c r="Q318" i="1"/>
  <c r="I2781" i="6" s="1"/>
  <c r="D2781" i="6" s="1"/>
  <c r="Q347" i="1"/>
  <c r="I2793" i="6" s="1"/>
  <c r="D2793" i="6" s="1"/>
  <c r="Q322" i="1"/>
  <c r="I2686" i="6" s="1"/>
  <c r="D2686" i="6" s="1"/>
  <c r="Q339" i="1"/>
  <c r="I2715" i="6" s="1"/>
  <c r="D2715" i="6" s="1"/>
  <c r="Q335" i="1"/>
  <c r="I2802" i="6" s="1"/>
  <c r="D2802" i="6" s="1"/>
  <c r="Q330" i="1"/>
  <c r="I2711" i="6" s="1"/>
  <c r="D2711" i="6" s="1"/>
  <c r="Q313" i="1"/>
  <c r="I2708" i="6" s="1"/>
  <c r="D2708" i="6" s="1"/>
  <c r="Q314" i="1"/>
  <c r="I2706" i="6" s="1"/>
  <c r="D2706" i="6" s="1"/>
  <c r="Q315" i="1"/>
  <c r="I2707" i="6" s="1"/>
  <c r="D2707" i="6" s="1"/>
  <c r="Q316" i="1"/>
  <c r="I2705" i="6" s="1"/>
  <c r="D2705" i="6" s="1"/>
  <c r="Q348" i="1"/>
  <c r="I2794" i="6" s="1"/>
  <c r="D2794" i="6" s="1"/>
  <c r="Q323" i="1"/>
  <c r="I2687" i="6" s="1"/>
  <c r="D2687" i="6" s="1"/>
  <c r="Q350" i="1"/>
  <c r="I2796" i="6" s="1"/>
  <c r="D2796" i="6" s="1"/>
  <c r="Q325" i="1"/>
  <c r="I2688" i="6" s="1"/>
  <c r="D2688" i="6" s="1"/>
  <c r="Q340" i="1"/>
  <c r="I2712" i="6" s="1"/>
  <c r="D2712" i="6" s="1"/>
  <c r="Q351" i="1"/>
  <c r="Q326" i="1"/>
  <c r="Q329" i="1"/>
  <c r="Q319" i="1"/>
  <c r="Q344" i="1"/>
  <c r="Q327" i="1"/>
  <c r="Q341" i="1"/>
  <c r="I2713" i="6" s="1"/>
  <c r="D2713" i="6" s="1"/>
  <c r="Q334" i="1"/>
  <c r="I2801" i="6" s="1"/>
  <c r="D2801" i="6" s="1"/>
  <c r="Q238" i="1"/>
  <c r="I2764" i="6" s="1"/>
  <c r="D2764" i="6" s="1"/>
  <c r="Q266" i="1"/>
  <c r="I2749" i="6" s="1"/>
  <c r="D2749" i="6" s="1"/>
  <c r="Q294" i="1"/>
  <c r="I2735" i="6" s="1"/>
  <c r="D2735" i="6" s="1"/>
  <c r="Q239" i="1"/>
  <c r="I2768" i="6" s="1"/>
  <c r="D2768" i="6" s="1"/>
  <c r="Q267" i="1"/>
  <c r="I2750" i="6" s="1"/>
  <c r="D2750" i="6" s="1"/>
  <c r="Q295" i="1"/>
  <c r="I2736" i="6" s="1"/>
  <c r="D2736" i="6" s="1"/>
  <c r="Q240" i="1"/>
  <c r="I2765" i="6" s="1"/>
  <c r="D2765" i="6" s="1"/>
  <c r="Q268" i="1"/>
  <c r="I2751" i="6" s="1"/>
  <c r="D2751" i="6" s="1"/>
  <c r="Q296" i="1"/>
  <c r="I2737" i="6" s="1"/>
  <c r="D2737" i="6" s="1"/>
  <c r="Q278" i="1"/>
  <c r="I2695" i="6" s="1"/>
  <c r="D2695" i="6" s="1"/>
  <c r="Q279" i="1"/>
  <c r="I2694" i="6" s="1"/>
  <c r="D2694" i="6" s="1"/>
  <c r="Q260" i="1"/>
  <c r="I2771" i="6" s="1"/>
  <c r="D2771" i="6" s="1"/>
  <c r="Q255" i="1"/>
  <c r="I2716" i="6" s="1"/>
  <c r="D2716" i="6" s="1"/>
  <c r="Q283" i="1"/>
  <c r="I2691" i="6" s="1"/>
  <c r="D2691" i="6" s="1"/>
  <c r="Q256" i="1"/>
  <c r="I2717" i="6" s="1"/>
  <c r="D2717" i="6" s="1"/>
  <c r="Q284" i="1"/>
  <c r="I2692" i="6" s="1"/>
  <c r="D2692" i="6" s="1"/>
  <c r="Q257" i="1"/>
  <c r="I2718" i="6" s="1"/>
  <c r="D2718" i="6" s="1"/>
  <c r="Q285" i="1"/>
  <c r="I2693" i="6" s="1"/>
  <c r="D2693" i="6" s="1"/>
  <c r="Q286" i="1"/>
  <c r="I2725" i="6" s="1"/>
  <c r="D2725" i="6" s="1"/>
  <c r="Q288" i="1"/>
  <c r="I2774" i="6" s="1"/>
  <c r="D2774" i="6" s="1"/>
  <c r="Q290" i="1"/>
  <c r="Q241" i="1"/>
  <c r="Q269" i="1"/>
  <c r="I2752" i="6" s="1"/>
  <c r="D2752" i="6" s="1"/>
  <c r="Q297" i="1"/>
  <c r="I2783" i="6" s="1"/>
  <c r="D2783" i="6" s="1"/>
  <c r="Q242" i="1"/>
  <c r="I2767" i="6" s="1"/>
  <c r="D2767" i="6" s="1"/>
  <c r="Q270" i="1"/>
  <c r="I2753" i="6" s="1"/>
  <c r="D2753" i="6" s="1"/>
  <c r="Q298" i="1"/>
  <c r="I2784" i="6" s="1"/>
  <c r="D2784" i="6" s="1"/>
  <c r="Q252" i="1"/>
  <c r="I2720" i="6" s="1"/>
  <c r="D2720" i="6" s="1"/>
  <c r="Q254" i="1"/>
  <c r="I2761" i="6" s="1"/>
  <c r="D2761" i="6" s="1"/>
  <c r="Q282" i="1"/>
  <c r="I2698" i="6" s="1"/>
  <c r="D2698" i="6" s="1"/>
  <c r="Q243" i="1"/>
  <c r="I2763" i="6" s="1"/>
  <c r="D2763" i="6" s="1"/>
  <c r="Q271" i="1"/>
  <c r="I2738" i="6" s="1"/>
  <c r="D2738" i="6" s="1"/>
  <c r="Q299" i="1"/>
  <c r="I2754" i="6" s="1"/>
  <c r="D2754" i="6" s="1"/>
  <c r="Q244" i="1"/>
  <c r="I2770" i="6" s="1"/>
  <c r="D2770" i="6" s="1"/>
  <c r="Q272" i="1"/>
  <c r="I2739" i="6" s="1"/>
  <c r="D2739" i="6" s="1"/>
  <c r="Q300" i="1"/>
  <c r="I2756" i="6" s="1"/>
  <c r="D2756" i="6" s="1"/>
  <c r="Q250" i="1"/>
  <c r="I2726" i="6" s="1"/>
  <c r="D2726" i="6" s="1"/>
  <c r="Q306" i="1"/>
  <c r="I2776" i="6" s="1"/>
  <c r="D2776" i="6" s="1"/>
  <c r="Q251" i="1"/>
  <c r="I2723" i="6" s="1"/>
  <c r="D2723" i="6" s="1"/>
  <c r="Q307" i="1"/>
  <c r="I2777" i="6" s="1"/>
  <c r="D2777" i="6" s="1"/>
  <c r="Q280" i="1"/>
  <c r="I2696" i="6" s="1"/>
  <c r="D2696" i="6" s="1"/>
  <c r="Q308" i="1"/>
  <c r="I2760" i="6" s="1"/>
  <c r="D2760" i="6" s="1"/>
  <c r="Q253" i="1"/>
  <c r="I2787" i="6" s="1"/>
  <c r="D2787" i="6" s="1"/>
  <c r="Q281" i="1"/>
  <c r="I2697" i="6" s="1"/>
  <c r="D2697" i="6" s="1"/>
  <c r="Q309" i="1"/>
  <c r="I2780" i="6" s="1"/>
  <c r="D2780" i="6" s="1"/>
  <c r="Q287" i="1"/>
  <c r="I2729" i="6" s="1"/>
  <c r="D2729" i="6" s="1"/>
  <c r="Q261" i="1"/>
  <c r="I2772" i="6" s="1"/>
  <c r="D2772" i="6" s="1"/>
  <c r="Q263" i="1"/>
  <c r="I2785" i="6" s="1"/>
  <c r="D2785" i="6" s="1"/>
  <c r="Q293" i="1"/>
  <c r="I2734" i="6" s="1"/>
  <c r="D2734" i="6" s="1"/>
  <c r="Q245" i="1"/>
  <c r="Q273" i="1"/>
  <c r="I2741" i="6" s="1"/>
  <c r="D2741" i="6" s="1"/>
  <c r="Q301" i="1"/>
  <c r="I2757" i="6" s="1"/>
  <c r="D2757" i="6" s="1"/>
  <c r="Q246" i="1"/>
  <c r="I2727" i="6" s="1"/>
  <c r="D2727" i="6" s="1"/>
  <c r="Q274" i="1"/>
  <c r="I2742" i="6" s="1"/>
  <c r="D2742" i="6" s="1"/>
  <c r="Q302" i="1"/>
  <c r="I2758" i="6" s="1"/>
  <c r="D2758" i="6" s="1"/>
  <c r="Q247" i="1"/>
  <c r="I2728" i="6" s="1"/>
  <c r="D2728" i="6" s="1"/>
  <c r="Q275" i="1"/>
  <c r="I2743" i="6" s="1"/>
  <c r="D2743" i="6" s="1"/>
  <c r="Q303" i="1"/>
  <c r="I2755" i="6" s="1"/>
  <c r="D2755" i="6" s="1"/>
  <c r="Q249" i="1"/>
  <c r="I2722" i="6" s="1"/>
  <c r="D2722" i="6" s="1"/>
  <c r="Q277" i="1"/>
  <c r="I2745" i="6" s="1"/>
  <c r="D2745" i="6" s="1"/>
  <c r="Q305" i="1"/>
  <c r="I2775" i="6" s="1"/>
  <c r="D2775" i="6" s="1"/>
  <c r="Q259" i="1"/>
  <c r="I2762" i="6" s="1"/>
  <c r="D2762" i="6" s="1"/>
  <c r="Q291" i="1"/>
  <c r="I2732" i="6" s="1"/>
  <c r="D2732" i="6" s="1"/>
  <c r="Q265" i="1"/>
  <c r="I2748" i="6" s="1"/>
  <c r="D2748" i="6" s="1"/>
  <c r="Q248" i="1"/>
  <c r="I2721" i="6" s="1"/>
  <c r="D2721" i="6" s="1"/>
  <c r="Q276" i="1"/>
  <c r="I2744" i="6" s="1"/>
  <c r="D2744" i="6" s="1"/>
  <c r="Q304" i="1"/>
  <c r="I2759" i="6" s="1"/>
  <c r="D2759" i="6" s="1"/>
  <c r="Q289" i="1"/>
  <c r="I2730" i="6" s="1"/>
  <c r="D2730" i="6" s="1"/>
  <c r="Q264" i="1"/>
  <c r="I2747" i="6" s="1"/>
  <c r="D2747" i="6" s="1"/>
  <c r="Q258" i="1"/>
  <c r="I2719" i="6" s="1"/>
  <c r="D2719" i="6" s="1"/>
  <c r="Q262" i="1"/>
  <c r="I2773" i="6" s="1"/>
  <c r="D2773" i="6" s="1"/>
  <c r="Q292" i="1"/>
  <c r="I2733" i="6" s="1"/>
  <c r="D2733" i="6" s="1"/>
  <c r="Q237" i="1"/>
  <c r="I2778" i="6" s="1"/>
  <c r="D2778" i="6" s="1"/>
  <c r="Q236" i="1"/>
  <c r="I2769" i="6" s="1"/>
  <c r="D2769" i="6" s="1"/>
  <c r="I2703" i="6"/>
  <c r="D2703" i="6" s="1"/>
  <c r="I2690" i="6"/>
  <c r="D2690" i="6" s="1"/>
  <c r="I1988" i="6"/>
  <c r="D1988" i="6" s="1"/>
  <c r="I2005" i="6"/>
  <c r="D2005" i="6" s="1"/>
  <c r="I2003" i="6"/>
  <c r="D2003" i="6" s="1"/>
  <c r="I2006" i="6"/>
  <c r="D2006" i="6" s="1"/>
  <c r="I2007" i="6"/>
  <c r="D2007" i="6" s="1"/>
  <c r="I2011" i="6"/>
  <c r="D2011" i="6" s="1"/>
  <c r="I2012" i="6"/>
  <c r="D2012" i="6" s="1"/>
  <c r="G1524" i="1"/>
  <c r="I2701" i="6"/>
  <c r="D2701" i="6" s="1"/>
  <c r="I2702" i="6"/>
  <c r="D2702" i="6" s="1"/>
  <c r="I2795" i="6"/>
  <c r="D2795" i="6" s="1"/>
  <c r="I2710" i="6"/>
  <c r="D2710" i="6" s="1"/>
  <c r="I2766" i="6"/>
  <c r="D2766" i="6" s="1"/>
  <c r="I2684" i="6"/>
  <c r="D2684" i="6" s="1"/>
  <c r="I2683" i="6"/>
  <c r="D2683" i="6" s="1"/>
  <c r="I2699" i="6"/>
  <c r="D2699" i="6" s="1"/>
  <c r="I2782" i="6"/>
  <c r="D2782" i="6" s="1"/>
  <c r="I2797" i="6"/>
  <c r="D2797" i="6" s="1"/>
  <c r="I2791" i="6"/>
  <c r="D2791" i="6" s="1"/>
  <c r="I2704" i="6"/>
  <c r="D2704" i="6" s="1"/>
  <c r="I2740" i="6"/>
  <c r="D2740" i="6" s="1"/>
  <c r="I2779" i="6"/>
  <c r="D2779" i="6" s="1"/>
  <c r="I2786" i="6"/>
  <c r="D2786" i="6" s="1"/>
  <c r="I2700" i="6"/>
  <c r="D2700" i="6" s="1"/>
  <c r="I2685" i="6"/>
  <c r="D2685" i="6" s="1"/>
  <c r="I2799" i="6"/>
  <c r="D2799" i="6" s="1"/>
  <c r="I2804" i="6"/>
  <c r="D2804" i="6" s="1"/>
  <c r="I2731" i="6"/>
  <c r="D2731" i="6" s="1"/>
  <c r="Q357" i="1" l="1"/>
  <c r="Q390" i="1"/>
  <c r="Q370" i="1"/>
  <c r="I2672" i="6" s="1"/>
  <c r="D2672" i="6" s="1"/>
  <c r="Q407" i="1"/>
  <c r="I2675" i="6" s="1"/>
  <c r="D2675" i="6" s="1"/>
  <c r="Q378" i="1"/>
  <c r="I2622" i="6" s="1"/>
  <c r="D2622" i="6" s="1"/>
  <c r="Q358" i="1"/>
  <c r="I2615" i="6" s="1"/>
  <c r="D2615" i="6" s="1"/>
  <c r="Q391" i="1"/>
  <c r="I2660" i="6" s="1"/>
  <c r="D2660" i="6" s="1"/>
  <c r="Q408" i="1"/>
  <c r="I2676" i="6" s="1"/>
  <c r="D2676" i="6" s="1"/>
  <c r="Q411" i="1"/>
  <c r="I2679" i="6" s="1"/>
  <c r="D2679" i="6" s="1"/>
  <c r="Q359" i="1"/>
  <c r="I2616" i="6" s="1"/>
  <c r="D2616" i="6" s="1"/>
  <c r="Q392" i="1"/>
  <c r="I2656" i="6" s="1"/>
  <c r="D2656" i="6" s="1"/>
  <c r="Q394" i="1"/>
  <c r="I2662" i="6" s="1"/>
  <c r="D2662" i="6" s="1"/>
  <c r="Q395" i="1"/>
  <c r="I2659" i="6" s="1"/>
  <c r="D2659" i="6" s="1"/>
  <c r="Q366" i="1"/>
  <c r="I2624" i="6" s="1"/>
  <c r="D2624" i="6" s="1"/>
  <c r="Q385" i="1"/>
  <c r="I2648" i="6" s="1"/>
  <c r="D2648" i="6" s="1"/>
  <c r="Q406" i="1"/>
  <c r="I2674" i="6" s="1"/>
  <c r="D2674" i="6" s="1"/>
  <c r="Q409" i="1"/>
  <c r="I2677" i="6" s="1"/>
  <c r="D2677" i="6" s="1"/>
  <c r="Q360" i="1"/>
  <c r="I2617" i="6" s="1"/>
  <c r="D2617" i="6" s="1"/>
  <c r="Q393" i="1"/>
  <c r="I2661" i="6" s="1"/>
  <c r="D2661" i="6" s="1"/>
  <c r="Q361" i="1"/>
  <c r="I2627" i="6" s="1"/>
  <c r="D2627" i="6" s="1"/>
  <c r="Q362" i="1"/>
  <c r="I2629" i="6" s="1"/>
  <c r="D2629" i="6" s="1"/>
  <c r="Q367" i="1"/>
  <c r="I2625" i="6" s="1"/>
  <c r="D2625" i="6" s="1"/>
  <c r="Q356" i="1"/>
  <c r="I2613" i="6" s="1"/>
  <c r="D2613" i="6" s="1"/>
  <c r="Q386" i="1"/>
  <c r="I2649" i="6" s="1"/>
  <c r="D2649" i="6" s="1"/>
  <c r="Q387" i="1"/>
  <c r="I2650" i="6" s="1"/>
  <c r="D2650" i="6" s="1"/>
  <c r="Q384" i="1"/>
  <c r="I2647" i="6" s="1"/>
  <c r="D2647" i="6" s="1"/>
  <c r="Q371" i="1"/>
  <c r="I2669" i="6" s="1"/>
  <c r="D2669" i="6" s="1"/>
  <c r="Q414" i="1"/>
  <c r="I2667" i="6" s="1"/>
  <c r="D2667" i="6" s="1"/>
  <c r="Q372" i="1"/>
  <c r="Q413" i="1"/>
  <c r="I2665" i="6" s="1"/>
  <c r="D2665" i="6" s="1"/>
  <c r="Q373" i="1"/>
  <c r="I2618" i="6" s="1"/>
  <c r="D2618" i="6" s="1"/>
  <c r="Q375" i="1"/>
  <c r="I2623" i="6" s="1"/>
  <c r="D2623" i="6" s="1"/>
  <c r="Q377" i="1"/>
  <c r="I2621" i="6" s="1"/>
  <c r="D2621" i="6" s="1"/>
  <c r="Q379" i="1"/>
  <c r="I2636" i="6" s="1"/>
  <c r="D2636" i="6" s="1"/>
  <c r="Q381" i="1"/>
  <c r="I2638" i="6" s="1"/>
  <c r="D2638" i="6" s="1"/>
  <c r="Q382" i="1"/>
  <c r="I2639" i="6" s="1"/>
  <c r="D2639" i="6" s="1"/>
  <c r="Q363" i="1"/>
  <c r="I2630" i="6" s="1"/>
  <c r="D2630" i="6" s="1"/>
  <c r="Q396" i="1"/>
  <c r="I2657" i="6" s="1"/>
  <c r="D2657" i="6" s="1"/>
  <c r="Q364" i="1"/>
  <c r="I2631" i="6" s="1"/>
  <c r="D2631" i="6" s="1"/>
  <c r="Q397" i="1"/>
  <c r="I2658" i="6" s="1"/>
  <c r="D2658" i="6" s="1"/>
  <c r="Q365" i="1"/>
  <c r="I2633" i="6" s="1"/>
  <c r="D2633" i="6" s="1"/>
  <c r="Q398" i="1"/>
  <c r="I2643" i="6" s="1"/>
  <c r="D2643" i="6" s="1"/>
  <c r="Q399" i="1"/>
  <c r="I2644" i="6" s="1"/>
  <c r="D2644" i="6" s="1"/>
  <c r="Q400" i="1"/>
  <c r="I2640" i="6" s="1"/>
  <c r="D2640" i="6" s="1"/>
  <c r="Q405" i="1"/>
  <c r="I2673" i="6" s="1"/>
  <c r="D2673" i="6" s="1"/>
  <c r="Q368" i="1"/>
  <c r="I2626" i="6" s="1"/>
  <c r="D2626" i="6" s="1"/>
  <c r="Q389" i="1"/>
  <c r="I2654" i="6" s="1"/>
  <c r="D2654" i="6" s="1"/>
  <c r="Q374" i="1"/>
  <c r="I2619" i="6" s="1"/>
  <c r="D2619" i="6" s="1"/>
  <c r="Q376" i="1"/>
  <c r="I2620" i="6" s="1"/>
  <c r="D2620" i="6" s="1"/>
  <c r="Q410" i="1"/>
  <c r="I2678" i="6" s="1"/>
  <c r="D2678" i="6" s="1"/>
  <c r="Q380" i="1"/>
  <c r="I2637" i="6" s="1"/>
  <c r="D2637" i="6" s="1"/>
  <c r="Q403" i="1"/>
  <c r="I2653" i="6" s="1"/>
  <c r="D2653" i="6" s="1"/>
  <c r="Q402" i="1"/>
  <c r="I2664" i="6" s="1"/>
  <c r="D2664" i="6" s="1"/>
  <c r="I2614" i="6"/>
  <c r="D2614" i="6" s="1"/>
  <c r="I2655" i="6"/>
  <c r="D2655" i="6" s="1"/>
  <c r="I2651" i="6"/>
  <c r="D2651" i="6" s="1"/>
  <c r="I2666" i="6"/>
  <c r="D2666" i="6" s="1"/>
  <c r="I2641" i="6"/>
  <c r="D2641" i="6" s="1"/>
  <c r="I2645" i="6"/>
  <c r="D2645" i="6" s="1"/>
  <c r="I2632" i="6"/>
  <c r="D2632" i="6" s="1"/>
  <c r="I2668" i="6"/>
  <c r="D2668" i="6" s="1"/>
  <c r="I2271" i="6"/>
  <c r="D2271" i="6" s="1"/>
  <c r="AN730" i="1"/>
  <c r="AM730" i="1"/>
  <c r="AL730" i="1"/>
  <c r="R730" i="1"/>
  <c r="AK1689" i="1" l="1"/>
  <c r="D1689" i="1" s="1"/>
  <c r="R731" i="1"/>
  <c r="AL695" i="1"/>
  <c r="AM695" i="1"/>
  <c r="AN695" i="1"/>
  <c r="AL696" i="1"/>
  <c r="AM696" i="1"/>
  <c r="AN696" i="1"/>
  <c r="R695" i="1"/>
  <c r="R865" i="1" l="1"/>
  <c r="R864" i="1"/>
  <c r="R845" i="1"/>
  <c r="R846" i="1"/>
  <c r="R847" i="1"/>
  <c r="R848" i="1"/>
  <c r="R849" i="1"/>
  <c r="R850" i="1"/>
  <c r="R851" i="1"/>
  <c r="R228" i="1" l="1"/>
  <c r="R229" i="1"/>
  <c r="R230" i="1"/>
  <c r="R231" i="1"/>
  <c r="R227" i="1"/>
  <c r="AL228" i="1"/>
  <c r="AM228" i="1"/>
  <c r="AN228" i="1"/>
  <c r="AL229" i="1"/>
  <c r="AM229" i="1"/>
  <c r="AN229" i="1"/>
  <c r="AL230" i="1"/>
  <c r="AM230" i="1"/>
  <c r="AN230" i="1"/>
  <c r="AL231" i="1"/>
  <c r="AM231" i="1"/>
  <c r="AN231" i="1"/>
  <c r="AN227" i="1"/>
  <c r="AM227" i="1"/>
  <c r="AL227" i="1"/>
  <c r="I8" i="6" l="1"/>
  <c r="D8" i="6" s="1"/>
  <c r="I7" i="6"/>
  <c r="D7" i="6" s="1"/>
  <c r="AL220" i="1"/>
  <c r="AM220" i="1"/>
  <c r="AO220" i="1" s="1"/>
  <c r="AJ220" i="1" l="1"/>
  <c r="G220" i="1" s="1"/>
  <c r="Q231" i="1"/>
  <c r="I1186" i="6" s="1"/>
  <c r="D1186" i="6" s="1"/>
  <c r="Q228" i="1"/>
  <c r="I1183" i="6" s="1"/>
  <c r="D1183" i="6" s="1"/>
  <c r="Q229" i="1"/>
  <c r="I1184" i="6" s="1"/>
  <c r="D1184" i="6" s="1"/>
  <c r="Q230" i="1"/>
  <c r="I1185" i="6" s="1"/>
  <c r="D1185" i="6" s="1"/>
  <c r="Q227" i="1"/>
  <c r="I1182" i="6" s="1"/>
  <c r="D1182" i="6" s="1"/>
  <c r="AK220" i="1" l="1"/>
  <c r="D220" i="1" s="1"/>
  <c r="I2986" i="6" l="1"/>
  <c r="I2985" i="6" s="1"/>
  <c r="O2992" i="1"/>
  <c r="O2993" i="1"/>
  <c r="O2994" i="1"/>
  <c r="O2995" i="1"/>
  <c r="O2996" i="1"/>
  <c r="O2997" i="1"/>
  <c r="O2998" i="1"/>
  <c r="O2999" i="1"/>
  <c r="O3000" i="1"/>
  <c r="O3001" i="1"/>
  <c r="O3002" i="1"/>
  <c r="O3003" i="1"/>
  <c r="D2986" i="6" l="1"/>
  <c r="D2985" i="6"/>
  <c r="R1788" i="1"/>
  <c r="R1796" i="1"/>
  <c r="R1797" i="1"/>
  <c r="R1792" i="1"/>
  <c r="R856" i="1" l="1"/>
  <c r="R855" i="1"/>
  <c r="R2780" i="1" l="1"/>
  <c r="R2781" i="1"/>
  <c r="R207" i="1" l="1"/>
  <c r="R214" i="1"/>
  <c r="R213" i="1"/>
  <c r="R215" i="1"/>
  <c r="R216" i="1"/>
  <c r="R217" i="1"/>
  <c r="R204" i="1" l="1"/>
  <c r="R203" i="1"/>
  <c r="R1844" i="1" l="1"/>
  <c r="R1880" i="1"/>
  <c r="R1879" i="1"/>
  <c r="R1881" i="1"/>
  <c r="R1882" i="1"/>
  <c r="R727" i="1" l="1"/>
  <c r="R1840" i="1" l="1"/>
  <c r="R1841" i="1"/>
  <c r="R2644" i="1"/>
  <c r="R1456" i="1"/>
  <c r="R866" i="1"/>
  <c r="R1247" i="1" l="1"/>
  <c r="R1248" i="1"/>
  <c r="R1945" i="1"/>
  <c r="R1946" i="1"/>
  <c r="R1073" i="1"/>
  <c r="R1074" i="1"/>
  <c r="R1824" i="1" l="1"/>
  <c r="R1823" i="1"/>
  <c r="R2097" i="1" l="1"/>
  <c r="R2091" i="1"/>
  <c r="R2068" i="1"/>
  <c r="R2067" i="1"/>
  <c r="R1356" i="1" l="1"/>
  <c r="R1355" i="1"/>
  <c r="R1354" i="1"/>
  <c r="R1353" i="1"/>
  <c r="R1352" i="1"/>
  <c r="R1351" i="1"/>
  <c r="R1350" i="1"/>
  <c r="R1349" i="1"/>
  <c r="AQ1339" i="1"/>
  <c r="R1339" i="1"/>
  <c r="AQ1338" i="1"/>
  <c r="R1338" i="1"/>
  <c r="AQ1337" i="1"/>
  <c r="R1337" i="1"/>
  <c r="R1336" i="1"/>
  <c r="R1335" i="1"/>
  <c r="AQ1333" i="1"/>
  <c r="R1333" i="1"/>
  <c r="AQ1332" i="1"/>
  <c r="R1332" i="1"/>
  <c r="AQ1331" i="1"/>
  <c r="R1331" i="1"/>
  <c r="R1329" i="1"/>
  <c r="R1328" i="1"/>
  <c r="R1327" i="1"/>
  <c r="R1326" i="1"/>
  <c r="R1302" i="1"/>
  <c r="R1301" i="1"/>
  <c r="R1300" i="1"/>
  <c r="R1299" i="1"/>
  <c r="R1298" i="1"/>
  <c r="R1297" i="1"/>
  <c r="R1295" i="1"/>
  <c r="R1294" i="1"/>
  <c r="R1293" i="1"/>
  <c r="R1292" i="1"/>
  <c r="R1291" i="1"/>
  <c r="R1290" i="1"/>
  <c r="R1288" i="1"/>
  <c r="R1287" i="1"/>
  <c r="R1286" i="1"/>
  <c r="R1285" i="1"/>
  <c r="R1284" i="1"/>
  <c r="R1283" i="1"/>
  <c r="R1281" i="1"/>
  <c r="R1280" i="1"/>
  <c r="R1278" i="1"/>
  <c r="R1277" i="1"/>
  <c r="R1276" i="1"/>
  <c r="R1275" i="1"/>
  <c r="R1273" i="1"/>
  <c r="R1272" i="1"/>
  <c r="R1271" i="1"/>
  <c r="R1270" i="1"/>
  <c r="R1269" i="1"/>
  <c r="R1268" i="1"/>
  <c r="R1267" i="1"/>
  <c r="R1266" i="1"/>
  <c r="R1265" i="1"/>
  <c r="R1264" i="1"/>
  <c r="R1263" i="1"/>
  <c r="R1262" i="1"/>
  <c r="R1258" i="1"/>
  <c r="R1256" i="1"/>
  <c r="R1255" i="1"/>
  <c r="R1254" i="1"/>
  <c r="R2275" i="1" l="1"/>
  <c r="R2276" i="1"/>
  <c r="R2277" i="1"/>
  <c r="R2278" i="1"/>
  <c r="R2279" i="1"/>
  <c r="R2280" i="1"/>
  <c r="R2281" i="1"/>
  <c r="R1237" i="1" l="1"/>
  <c r="R1238" i="1"/>
  <c r="R1182" i="1"/>
  <c r="R1183" i="1"/>
  <c r="R1180" i="1"/>
  <c r="R1181" i="1"/>
  <c r="R1418" i="1" l="1"/>
  <c r="R1419" i="1"/>
  <c r="R1407" i="1"/>
  <c r="R1408" i="1"/>
  <c r="R1409" i="1"/>
  <c r="R3008" i="1" l="1"/>
  <c r="R3010" i="1"/>
  <c r="R3011" i="1"/>
  <c r="R3012" i="1"/>
  <c r="R3013" i="1"/>
  <c r="R3014" i="1"/>
  <c r="R3015" i="1"/>
  <c r="R3016" i="1"/>
  <c r="R3009" i="1"/>
  <c r="R1035" i="1" l="1"/>
  <c r="R1036" i="1"/>
  <c r="R1080" i="1" l="1"/>
  <c r="R1081" i="1"/>
  <c r="R987" i="1"/>
  <c r="R988" i="1"/>
  <c r="R1222" i="1" l="1"/>
  <c r="R1223" i="1"/>
  <c r="R1224" i="1"/>
  <c r="R1225" i="1"/>
  <c r="R1209" i="1" l="1"/>
  <c r="R1210" i="1"/>
  <c r="R1211" i="1"/>
  <c r="R1212" i="1"/>
  <c r="R1213" i="1"/>
  <c r="R1214" i="1"/>
  <c r="R1215" i="1"/>
  <c r="R1216" i="1"/>
  <c r="R1217" i="1"/>
  <c r="R2018" i="1" l="1"/>
  <c r="R1177" i="1"/>
  <c r="R1178" i="1"/>
  <c r="R1244" i="1"/>
  <c r="R1245" i="1"/>
  <c r="R1239" i="1"/>
  <c r="R1171" i="1"/>
  <c r="R1172" i="1"/>
  <c r="R1173" i="1"/>
  <c r="R1174" i="1"/>
  <c r="R1175" i="1"/>
  <c r="R1176" i="1"/>
  <c r="R1228" i="1"/>
  <c r="R1229" i="1"/>
  <c r="R1230" i="1"/>
  <c r="R1218" i="1"/>
  <c r="R1219" i="1"/>
  <c r="R1220" i="1"/>
  <c r="R1221" i="1"/>
  <c r="R1226" i="1"/>
  <c r="R1227" i="1"/>
  <c r="R1995" i="1" l="1"/>
  <c r="R1996" i="1"/>
  <c r="R1997" i="1"/>
  <c r="R1985" i="1"/>
  <c r="R1986" i="1"/>
  <c r="R1987" i="1"/>
  <c r="R1988" i="1"/>
  <c r="R1793" i="1" l="1"/>
  <c r="R1808" i="1"/>
  <c r="R1810" i="1"/>
  <c r="R553" i="1"/>
  <c r="R1079" i="1"/>
  <c r="R1820" i="1" l="1"/>
  <c r="R1818" i="1"/>
  <c r="R1816" i="1" l="1"/>
  <c r="R2261" i="1" l="1"/>
  <c r="R2262" i="1"/>
  <c r="R2263" i="1"/>
  <c r="R1032" i="1"/>
  <c r="R1033" i="1"/>
  <c r="R1034" i="1"/>
  <c r="R1037" i="1"/>
  <c r="R1045" i="1" l="1"/>
  <c r="R1046" i="1"/>
  <c r="R1047" i="1"/>
  <c r="R473" i="1" l="1"/>
  <c r="R431" i="1"/>
  <c r="R432" i="1"/>
  <c r="R433" i="1"/>
  <c r="R859" i="1" l="1"/>
  <c r="R860" i="1"/>
  <c r="R642" i="1" l="1"/>
  <c r="R643" i="1"/>
  <c r="R644" i="1"/>
  <c r="R645" i="1"/>
  <c r="R2630" i="1"/>
  <c r="R2628" i="1"/>
  <c r="R2629" i="1"/>
  <c r="R2631" i="1"/>
  <c r="R1836" i="1"/>
  <c r="R1843" i="1"/>
  <c r="R1842" i="1"/>
  <c r="R2172" i="1" l="1"/>
  <c r="R2173" i="1"/>
  <c r="R2174" i="1"/>
  <c r="R2175" i="1"/>
  <c r="R2176" i="1"/>
  <c r="R2177" i="1"/>
  <c r="R2178" i="1"/>
  <c r="R2179" i="1"/>
  <c r="AQ2173" i="1"/>
  <c r="AQ2174" i="1"/>
  <c r="AQ2175" i="1"/>
  <c r="AQ2176" i="1"/>
  <c r="AQ2172" i="1"/>
  <c r="R522" i="1"/>
  <c r="R2305" i="1" l="1"/>
  <c r="R2306" i="1"/>
  <c r="R2307" i="1"/>
  <c r="R2308" i="1"/>
  <c r="R2309" i="1"/>
  <c r="R2428" i="1" l="1"/>
  <c r="R2429" i="1"/>
  <c r="R2430" i="1"/>
  <c r="R819" i="1" l="1"/>
  <c r="R761" i="1" l="1"/>
  <c r="R762" i="1"/>
  <c r="R763" i="1"/>
  <c r="R532" i="1"/>
  <c r="R2841" i="1" l="1"/>
  <c r="R2843" i="1"/>
  <c r="R749" i="1"/>
  <c r="R750" i="1"/>
  <c r="AQ2620" i="1" l="1"/>
  <c r="R2620" i="1"/>
  <c r="R2621" i="1"/>
  <c r="R2622" i="1"/>
  <c r="R963" i="1"/>
  <c r="R2167" i="1"/>
  <c r="R2168" i="1"/>
  <c r="R2169" i="1"/>
  <c r="R2170" i="1"/>
  <c r="R2171" i="1"/>
  <c r="AQ1563" i="1"/>
  <c r="R1563" i="1"/>
  <c r="R1564" i="1"/>
  <c r="R547" i="1" l="1"/>
  <c r="R548" i="1"/>
  <c r="R549" i="1"/>
  <c r="R550" i="1"/>
  <c r="R852" i="1"/>
  <c r="R844" i="1"/>
  <c r="R853" i="1"/>
  <c r="R841" i="1"/>
  <c r="R840" i="1"/>
  <c r="R2850" i="1" l="1"/>
  <c r="R2854" i="1"/>
  <c r="R2855" i="1"/>
  <c r="R911" i="1"/>
  <c r="R576" i="1"/>
  <c r="R577" i="1"/>
  <c r="R2637" i="1" l="1"/>
  <c r="R2638" i="1"/>
  <c r="R2639" i="1"/>
  <c r="R2640" i="1"/>
  <c r="R2641" i="1"/>
  <c r="R2642" i="1"/>
  <c r="R2643" i="1"/>
  <c r="R595" i="1" l="1"/>
  <c r="R596" i="1"/>
  <c r="R625" i="1"/>
  <c r="R626" i="1"/>
  <c r="R627" i="1"/>
  <c r="R2476" i="1"/>
  <c r="R703" i="1" l="1"/>
  <c r="R704" i="1"/>
  <c r="R705" i="1"/>
  <c r="R706" i="1"/>
  <c r="R707" i="1"/>
  <c r="R708" i="1"/>
  <c r="R1497" i="1"/>
  <c r="R1972" i="1"/>
  <c r="R1973" i="1"/>
  <c r="R1961" i="1" l="1"/>
  <c r="R1962" i="1"/>
  <c r="R1964" i="1"/>
  <c r="R1246" i="1"/>
  <c r="R1243" i="1"/>
  <c r="R1232" i="1"/>
  <c r="R1233" i="1"/>
  <c r="R2314" i="1" l="1"/>
  <c r="R2316" i="1"/>
  <c r="R2317" i="1"/>
  <c r="R2321" i="1"/>
  <c r="R2323" i="1"/>
  <c r="R2315" i="1"/>
  <c r="R2318" i="1"/>
  <c r="R2319" i="1"/>
  <c r="AO117" i="1" l="1"/>
  <c r="R2673" i="1"/>
  <c r="R2674" i="1"/>
  <c r="R2675" i="1"/>
  <c r="R919" i="1"/>
  <c r="R920" i="1"/>
  <c r="R921" i="1"/>
  <c r="R922" i="1"/>
  <c r="AJ117" i="1" l="1"/>
  <c r="R2413" i="1" l="1"/>
  <c r="R2414" i="1"/>
  <c r="R2415" i="1"/>
  <c r="R2416" i="1"/>
  <c r="R2417" i="1"/>
  <c r="R2418" i="1"/>
  <c r="R2389" i="1"/>
  <c r="R2390" i="1"/>
  <c r="R2391" i="1"/>
  <c r="R2392" i="1"/>
  <c r="R2061" i="1"/>
  <c r="R1475" i="1"/>
  <c r="R1476" i="1"/>
  <c r="R1477" i="1"/>
  <c r="R1499" i="1"/>
  <c r="R1161" i="1"/>
  <c r="R438" i="1" l="1"/>
  <c r="R437" i="1"/>
  <c r="R430" i="1"/>
  <c r="R429" i="1"/>
  <c r="R428" i="1"/>
  <c r="R2062" i="1"/>
  <c r="R2053" i="1"/>
  <c r="R2054" i="1"/>
  <c r="R1478" i="1"/>
  <c r="R1479" i="1"/>
  <c r="R2408" i="1"/>
  <c r="R2410" i="1"/>
  <c r="R2411" i="1"/>
  <c r="R2412" i="1"/>
  <c r="R1102" i="1"/>
  <c r="R1101" i="1"/>
  <c r="R1100" i="1"/>
  <c r="R1099" i="1"/>
  <c r="R1098" i="1"/>
  <c r="R1097" i="1"/>
  <c r="R1096" i="1"/>
  <c r="R1095" i="1"/>
  <c r="R1094" i="1"/>
  <c r="R1093" i="1"/>
  <c r="R1092" i="1"/>
  <c r="R1091" i="1"/>
  <c r="R1090" i="1"/>
  <c r="R1089" i="1"/>
  <c r="R1088" i="1"/>
  <c r="R1087" i="1"/>
  <c r="R1086" i="1"/>
  <c r="R1084" i="1"/>
  <c r="R1083" i="1"/>
  <c r="R1082" i="1"/>
  <c r="R1078" i="1"/>
  <c r="R1076" i="1"/>
  <c r="R1075" i="1"/>
  <c r="R1071" i="1"/>
  <c r="R1070" i="1"/>
  <c r="R1069" i="1"/>
  <c r="R1068" i="1"/>
  <c r="R1067" i="1"/>
  <c r="R1065" i="1"/>
  <c r="R1064" i="1"/>
  <c r="R1055" i="1"/>
  <c r="R1056" i="1"/>
  <c r="R1054" i="1"/>
  <c r="R1053" i="1"/>
  <c r="R1052" i="1"/>
  <c r="R1051" i="1"/>
  <c r="R1050" i="1"/>
  <c r="R1049" i="1"/>
  <c r="R1044" i="1"/>
  <c r="R1043" i="1"/>
  <c r="R1042" i="1"/>
  <c r="R1041" i="1"/>
  <c r="R1040" i="1"/>
  <c r="R1039" i="1"/>
  <c r="R1038" i="1"/>
  <c r="R1031" i="1"/>
  <c r="R1030" i="1"/>
  <c r="R1029" i="1"/>
  <c r="R1028" i="1"/>
  <c r="R1027" i="1"/>
  <c r="R1026" i="1"/>
  <c r="R1025" i="1"/>
  <c r="R1024" i="1"/>
  <c r="R1023" i="1"/>
  <c r="R1022" i="1"/>
  <c r="R1021" i="1"/>
  <c r="R1020" i="1"/>
  <c r="R1019" i="1"/>
  <c r="R1018" i="1"/>
  <c r="R1017" i="1"/>
  <c r="R1016" i="1"/>
  <c r="R1015" i="1"/>
  <c r="R1008" i="1"/>
  <c r="R1007" i="1"/>
  <c r="R1006" i="1"/>
  <c r="R1005" i="1"/>
  <c r="R1004" i="1"/>
  <c r="R1003" i="1"/>
  <c r="R1001" i="1"/>
  <c r="R1000" i="1"/>
  <c r="R999" i="1"/>
  <c r="R998" i="1"/>
  <c r="R997" i="1"/>
  <c r="R996" i="1"/>
  <c r="R995" i="1"/>
  <c r="R994" i="1"/>
  <c r="R992" i="1"/>
  <c r="R991" i="1"/>
  <c r="R990" i="1"/>
  <c r="R989" i="1"/>
  <c r="R986" i="1"/>
  <c r="R984" i="1"/>
  <c r="R983" i="1"/>
  <c r="R982" i="1"/>
  <c r="R981" i="1"/>
  <c r="R980" i="1"/>
  <c r="R979" i="1"/>
  <c r="R978" i="1"/>
  <c r="R977" i="1"/>
  <c r="R976" i="1"/>
  <c r="R975" i="1"/>
  <c r="R974" i="1"/>
  <c r="R973" i="1"/>
  <c r="R972" i="1"/>
  <c r="R971" i="1"/>
  <c r="R970" i="1"/>
  <c r="R969" i="1"/>
  <c r="R968" i="1"/>
  <c r="R967" i="1"/>
  <c r="R966" i="1"/>
  <c r="R965" i="1"/>
  <c r="R964" i="1"/>
  <c r="R962" i="1"/>
  <c r="R961" i="1"/>
  <c r="R960" i="1"/>
  <c r="R955" i="1"/>
  <c r="R954" i="1"/>
  <c r="R953" i="1"/>
  <c r="R952" i="1"/>
  <c r="R950" i="1"/>
  <c r="R949" i="1"/>
  <c r="R947" i="1"/>
  <c r="R945" i="1"/>
  <c r="R944" i="1"/>
  <c r="R943" i="1"/>
  <c r="R942" i="1"/>
  <c r="R941" i="1"/>
  <c r="R940" i="1"/>
  <c r="R939" i="1"/>
  <c r="R938" i="1"/>
  <c r="R937" i="1"/>
  <c r="R936" i="1"/>
  <c r="R935" i="1"/>
  <c r="R934" i="1"/>
  <c r="R932" i="1"/>
  <c r="R931" i="1"/>
  <c r="R930" i="1"/>
  <c r="R929" i="1"/>
  <c r="R928" i="1"/>
  <c r="R926" i="1"/>
  <c r="R925" i="1"/>
  <c r="R924" i="1"/>
  <c r="R923" i="1"/>
  <c r="R918" i="1"/>
  <c r="R917" i="1"/>
  <c r="R916" i="1"/>
  <c r="R915" i="1"/>
  <c r="R914" i="1"/>
  <c r="R913" i="1"/>
  <c r="R910" i="1"/>
  <c r="R909" i="1"/>
  <c r="R897" i="1"/>
  <c r="R896" i="1"/>
  <c r="R895" i="1"/>
  <c r="R894" i="1"/>
  <c r="R893" i="1"/>
  <c r="R892" i="1"/>
  <c r="R903" i="1"/>
  <c r="R868" i="1"/>
  <c r="R867" i="1"/>
  <c r="R902" i="1"/>
  <c r="R901" i="1"/>
  <c r="R900" i="1"/>
  <c r="R899" i="1"/>
  <c r="R898" i="1"/>
  <c r="R891" i="1"/>
  <c r="R890" i="1"/>
  <c r="R889" i="1"/>
  <c r="R882" i="1"/>
  <c r="R881" i="1"/>
  <c r="R880" i="1"/>
  <c r="R888" i="1"/>
  <c r="R887" i="1"/>
  <c r="R885" i="1"/>
  <c r="R886" i="1"/>
  <c r="R884" i="1"/>
  <c r="R883" i="1"/>
  <c r="R879" i="1"/>
  <c r="R878" i="1"/>
  <c r="R877" i="1"/>
  <c r="R876" i="1"/>
  <c r="R875" i="1"/>
  <c r="R874" i="1"/>
  <c r="R873" i="1"/>
  <c r="R872" i="1"/>
  <c r="R871" i="1"/>
  <c r="R870" i="1"/>
  <c r="R869" i="1"/>
  <c r="R863" i="1"/>
  <c r="R862" i="1"/>
  <c r="R861" i="1"/>
  <c r="R858" i="1"/>
  <c r="R857" i="1"/>
  <c r="R854" i="1"/>
  <c r="R843" i="1"/>
  <c r="R842" i="1"/>
  <c r="R839" i="1"/>
  <c r="R838" i="1"/>
  <c r="R837" i="1"/>
  <c r="R836" i="1"/>
  <c r="R835" i="1"/>
  <c r="R632" i="1" l="1"/>
  <c r="R633" i="1"/>
  <c r="R2026" i="1" l="1"/>
  <c r="R2027" i="1"/>
  <c r="R1197" i="1" l="1"/>
  <c r="R1198" i="1"/>
  <c r="R639" i="1" l="1"/>
  <c r="R640" i="1"/>
  <c r="R2185" i="1" l="1"/>
  <c r="R1513" i="1" l="1"/>
  <c r="R1514" i="1"/>
  <c r="R1515" i="1"/>
  <c r="R1516" i="1"/>
  <c r="R1517" i="1"/>
  <c r="R1518" i="1"/>
  <c r="R2846" i="1" l="1"/>
  <c r="R457" i="1" l="1"/>
  <c r="R2055" i="1" l="1"/>
  <c r="R2056" i="1"/>
  <c r="R2057" i="1"/>
  <c r="R2058" i="1"/>
  <c r="R2059" i="1"/>
  <c r="R2060" i="1"/>
  <c r="R737" i="1"/>
  <c r="R738" i="1"/>
  <c r="R739" i="1"/>
  <c r="R740" i="1"/>
  <c r="R741" i="1"/>
  <c r="R736" i="1"/>
  <c r="R754" i="1"/>
  <c r="R755" i="1"/>
  <c r="R756" i="1"/>
  <c r="R2968" i="1"/>
  <c r="R2969" i="1"/>
  <c r="R456" i="1" l="1"/>
  <c r="R2246" i="1"/>
  <c r="R2247" i="1"/>
  <c r="R2248" i="1"/>
  <c r="R2249" i="1"/>
  <c r="R2250" i="1"/>
  <c r="R2251" i="1"/>
  <c r="R2252" i="1"/>
  <c r="R2253" i="1"/>
  <c r="R2254" i="1"/>
  <c r="R2255" i="1"/>
  <c r="R2245" i="1" l="1"/>
  <c r="R719" i="1" l="1"/>
  <c r="R720" i="1"/>
  <c r="R711" i="1"/>
  <c r="R712" i="1"/>
  <c r="R1362" i="1" l="1"/>
  <c r="R1361" i="1"/>
  <c r="R1489" i="1" l="1"/>
  <c r="R2770" i="1" l="1"/>
  <c r="R1405" i="1"/>
  <c r="R1406" i="1"/>
  <c r="R1431" i="1"/>
  <c r="R1430" i="1"/>
  <c r="R1429" i="1"/>
  <c r="R1415" i="1"/>
  <c r="R1416" i="1"/>
  <c r="R1413" i="1"/>
  <c r="R1410" i="1" l="1"/>
  <c r="R2324" i="1" l="1"/>
  <c r="R2325" i="1"/>
  <c r="R2326" i="1"/>
  <c r="R2327" i="1"/>
  <c r="R2330" i="1"/>
  <c r="R2331" i="1"/>
  <c r="R2332" i="1"/>
  <c r="R2333" i="1"/>
  <c r="R2334" i="1"/>
  <c r="R2335" i="1"/>
  <c r="R2336" i="1"/>
  <c r="R2337" i="1"/>
  <c r="R2338" i="1"/>
  <c r="R2339" i="1"/>
  <c r="R1236" i="1"/>
  <c r="R1204" i="1" l="1"/>
  <c r="R1205" i="1"/>
  <c r="R1206" i="1"/>
  <c r="R2683" i="1" l="1"/>
  <c r="R1834" i="1"/>
  <c r="R1835" i="1"/>
  <c r="R1837" i="1"/>
  <c r="R1838" i="1"/>
  <c r="R1839" i="1"/>
  <c r="R2648" i="1"/>
  <c r="R2125" i="1"/>
  <c r="R2126" i="1"/>
  <c r="R2127" i="1"/>
  <c r="R2128" i="1"/>
  <c r="R2129" i="1"/>
  <c r="R2131" i="1"/>
  <c r="R2133" i="1"/>
  <c r="R2134" i="1"/>
  <c r="R2135" i="1"/>
  <c r="R2875" i="1" l="1"/>
  <c r="R2961" i="1" l="1"/>
  <c r="R2962" i="1"/>
  <c r="R2963" i="1"/>
  <c r="R2964" i="1"/>
  <c r="R2965" i="1"/>
  <c r="R2966" i="1"/>
  <c r="R2967" i="1"/>
  <c r="R2970" i="1"/>
  <c r="R2971" i="1"/>
  <c r="R2972" i="1"/>
  <c r="R2973" i="1"/>
  <c r="R1382" i="1" l="1"/>
  <c r="R1384" i="1"/>
  <c r="R1385" i="1"/>
  <c r="R1386" i="1"/>
  <c r="R2564" i="1"/>
  <c r="R2563" i="1"/>
  <c r="R2562" i="1"/>
  <c r="R2561" i="1"/>
  <c r="R2560" i="1"/>
  <c r="R2558" i="1"/>
  <c r="R2557" i="1"/>
  <c r="R2556" i="1"/>
  <c r="R2555" i="1"/>
  <c r="R2554" i="1"/>
  <c r="R2553" i="1"/>
  <c r="R2552" i="1"/>
  <c r="R2551" i="1"/>
  <c r="R2550" i="1"/>
  <c r="R2549" i="1"/>
  <c r="R2547" i="1"/>
  <c r="R2546" i="1"/>
  <c r="R2545" i="1"/>
  <c r="R2544" i="1"/>
  <c r="R2542" i="1"/>
  <c r="R2541" i="1"/>
  <c r="R2540" i="1"/>
  <c r="R2539" i="1"/>
  <c r="R2538" i="1"/>
  <c r="R2537" i="1"/>
  <c r="R2536" i="1"/>
  <c r="R2534" i="1"/>
  <c r="R2533" i="1"/>
  <c r="R2532" i="1"/>
  <c r="R2531" i="1"/>
  <c r="R2530" i="1"/>
  <c r="R2529" i="1"/>
  <c r="R2528" i="1"/>
  <c r="R2815" i="1" l="1"/>
  <c r="R2814" i="1"/>
  <c r="R2813" i="1"/>
  <c r="R2812" i="1"/>
  <c r="R2811" i="1"/>
  <c r="R2810" i="1"/>
  <c r="R2809" i="1"/>
  <c r="R2808" i="1"/>
  <c r="R2728" i="1"/>
  <c r="R2727" i="1"/>
  <c r="R2726" i="1"/>
  <c r="R2725" i="1"/>
  <c r="R2724" i="1"/>
  <c r="R2723" i="1"/>
  <c r="R2722" i="1"/>
  <c r="R1763" i="1" l="1"/>
  <c r="R1758" i="1"/>
  <c r="R1493" i="1" l="1"/>
  <c r="R1398" i="1"/>
  <c r="R1399" i="1"/>
  <c r="R1400" i="1"/>
  <c r="R1401" i="1"/>
  <c r="R1402" i="1"/>
  <c r="R1403" i="1"/>
  <c r="R1404" i="1"/>
  <c r="R2149" i="1" l="1"/>
  <c r="R2150" i="1"/>
  <c r="R805" i="1" l="1"/>
  <c r="R806" i="1"/>
  <c r="R807" i="1"/>
  <c r="R2260" i="1"/>
  <c r="R2402" i="1"/>
  <c r="R2403" i="1"/>
  <c r="R477" i="1" l="1"/>
  <c r="R2835" i="1" l="1"/>
  <c r="R1794" i="1"/>
  <c r="R2901" i="1" l="1"/>
  <c r="R2902" i="1"/>
  <c r="R1829" i="1"/>
  <c r="R1890" i="1" l="1"/>
  <c r="R1889" i="1"/>
  <c r="R486" i="1"/>
  <c r="R487" i="1"/>
  <c r="R472" i="1"/>
  <c r="R1862" i="1" l="1"/>
  <c r="R1863" i="1"/>
  <c r="R1864" i="1"/>
  <c r="R1865" i="1"/>
  <c r="R1866" i="1"/>
  <c r="R1867" i="1"/>
  <c r="R1868" i="1"/>
  <c r="R1869" i="1"/>
  <c r="R1870" i="1"/>
  <c r="R1194" i="1" l="1"/>
  <c r="R1195" i="1"/>
  <c r="R1196" i="1"/>
  <c r="R1199" i="1"/>
  <c r="R1200" i="1"/>
  <c r="AV12" i="1" l="1"/>
  <c r="AV155" i="1" s="1"/>
  <c r="AW2233" i="1"/>
  <c r="AW2234" i="1"/>
  <c r="AV237" i="1" l="1"/>
  <c r="R2244" i="1"/>
  <c r="R2243" i="1"/>
  <c r="R2242" i="1"/>
  <c r="R757" i="1"/>
  <c r="AV238" i="1" l="1"/>
  <c r="R2684" i="1"/>
  <c r="R2685" i="1"/>
  <c r="R2686" i="1"/>
  <c r="R2687" i="1"/>
  <c r="R2688" i="1"/>
  <c r="AV782" i="1" l="1"/>
  <c r="AV255" i="1"/>
  <c r="AV1321" i="1"/>
  <c r="R2368" i="1"/>
  <c r="AV1322" i="1" l="1"/>
  <c r="R2015" i="1"/>
  <c r="R758" i="1"/>
  <c r="R759" i="1"/>
  <c r="R760" i="1"/>
  <c r="R1439" i="1"/>
  <c r="R1438" i="1"/>
  <c r="R1437" i="1"/>
  <c r="AV1324" i="1" l="1"/>
  <c r="AV1325" i="1" s="1"/>
  <c r="AV1326" i="1" s="1"/>
  <c r="AV1327" i="1" s="1"/>
  <c r="AV1328" i="1" s="1"/>
  <c r="AV1323" i="1"/>
  <c r="R1451" i="1"/>
  <c r="R1452" i="1"/>
  <c r="R1453" i="1"/>
  <c r="R2383" i="1"/>
  <c r="R2384" i="1"/>
  <c r="R2385" i="1"/>
  <c r="AV1329" i="1" l="1"/>
  <c r="R753" i="1"/>
  <c r="R752" i="1"/>
  <c r="AY2392" i="1" l="1"/>
  <c r="B8" i="7"/>
  <c r="C8" i="7" s="1"/>
  <c r="AZ2392" i="1"/>
  <c r="AZ2394" i="1" s="1"/>
  <c r="AW2392" i="1"/>
  <c r="AW2394" i="1" s="1"/>
  <c r="AX2392" i="1"/>
  <c r="AX2394" i="1" l="1"/>
  <c r="A8" i="7"/>
  <c r="E8" i="7"/>
  <c r="B9" i="7"/>
  <c r="E9" i="7" s="1"/>
  <c r="D8" i="7"/>
  <c r="AY2394" i="1"/>
  <c r="R1234" i="1"/>
  <c r="R1235" i="1"/>
  <c r="D9" i="7" l="1"/>
  <c r="B10" i="7"/>
  <c r="A10" i="7" s="1"/>
  <c r="A9" i="7"/>
  <c r="C9" i="7"/>
  <c r="R2265" i="1"/>
  <c r="C10" i="7" l="1"/>
  <c r="B11" i="7"/>
  <c r="C11" i="7" s="1"/>
  <c r="D10" i="7"/>
  <c r="E10" i="7"/>
  <c r="R1568" i="1"/>
  <c r="A11" i="7" l="1"/>
  <c r="B12" i="7"/>
  <c r="C12" i="7" s="1"/>
  <c r="D11" i="7"/>
  <c r="E11" i="7"/>
  <c r="D12" i="7" l="1"/>
  <c r="E12" i="7"/>
  <c r="A12" i="7"/>
  <c r="B13" i="7"/>
  <c r="E13" i="7" s="1"/>
  <c r="R534" i="1"/>
  <c r="R535" i="1"/>
  <c r="R1979" i="1"/>
  <c r="R1967" i="1"/>
  <c r="R2797" i="1"/>
  <c r="B14" i="7" l="1"/>
  <c r="A14" i="7" s="1"/>
  <c r="A13" i="7"/>
  <c r="C13" i="7"/>
  <c r="D13" i="7"/>
  <c r="R1446" i="1"/>
  <c r="R1444" i="1"/>
  <c r="R1443" i="1"/>
  <c r="R1442" i="1"/>
  <c r="R1441" i="1"/>
  <c r="R1440" i="1"/>
  <c r="E14" i="7" l="1"/>
  <c r="B15" i="7"/>
  <c r="A15" i="7" s="1"/>
  <c r="C14" i="7"/>
  <c r="D14" i="7"/>
  <c r="R2773" i="1"/>
  <c r="R2774" i="1"/>
  <c r="C15" i="7" l="1"/>
  <c r="B16" i="7"/>
  <c r="B17" i="7" s="1"/>
  <c r="D15" i="7"/>
  <c r="E15" i="7"/>
  <c r="A16" i="7" l="1"/>
  <c r="E16" i="7"/>
  <c r="C16" i="7"/>
  <c r="D16" i="7"/>
  <c r="E17" i="7"/>
  <c r="D17" i="7"/>
  <c r="C17" i="7"/>
  <c r="A17" i="7"/>
  <c r="B18" i="7"/>
  <c r="R2028" i="1"/>
  <c r="R2029" i="1"/>
  <c r="R2030" i="1"/>
  <c r="R1500" i="1"/>
  <c r="R1501" i="1"/>
  <c r="R1502" i="1"/>
  <c r="B19" i="7" l="1"/>
  <c r="C18" i="7"/>
  <c r="E18" i="7"/>
  <c r="D18" i="7"/>
  <c r="A18" i="7"/>
  <c r="R1490" i="1"/>
  <c r="R1491" i="1"/>
  <c r="R1492" i="1"/>
  <c r="R1494" i="1"/>
  <c r="R1495" i="1"/>
  <c r="R1496" i="1"/>
  <c r="R2284" i="1"/>
  <c r="R2136" i="1"/>
  <c r="E19" i="7" l="1"/>
  <c r="C19" i="7"/>
  <c r="A19" i="7"/>
  <c r="D19" i="7"/>
  <c r="B20" i="7"/>
  <c r="R2754" i="1"/>
  <c r="R2755" i="1"/>
  <c r="R2756" i="1"/>
  <c r="R2757" i="1"/>
  <c r="C20" i="7" l="1"/>
  <c r="E20" i="7"/>
  <c r="D20" i="7"/>
  <c r="B21" i="7"/>
  <c r="A20" i="7"/>
  <c r="R1117" i="1"/>
  <c r="R1108" i="1"/>
  <c r="B22" i="7" l="1"/>
  <c r="A21" i="7"/>
  <c r="D21" i="7"/>
  <c r="C21" i="7"/>
  <c r="E21" i="7"/>
  <c r="R2874" i="1"/>
  <c r="C22" i="7" l="1"/>
  <c r="A22" i="7"/>
  <c r="E22" i="7"/>
  <c r="D22" i="7"/>
  <c r="B23" i="7"/>
  <c r="R2431" i="1"/>
  <c r="D23" i="7" l="1"/>
  <c r="B24" i="7"/>
  <c r="E23" i="7"/>
  <c r="A23" i="7"/>
  <c r="C23" i="7"/>
  <c r="B25" i="7" l="1"/>
  <c r="A24" i="7"/>
  <c r="E24" i="7"/>
  <c r="D24" i="7"/>
  <c r="C24" i="7"/>
  <c r="R593" i="1"/>
  <c r="R594" i="1"/>
  <c r="D25" i="7" l="1"/>
  <c r="E25" i="7"/>
  <c r="B26" i="7"/>
  <c r="A25" i="7"/>
  <c r="C25" i="7"/>
  <c r="E26" i="7" l="1"/>
  <c r="C26" i="7"/>
  <c r="B27" i="7"/>
  <c r="A26" i="7"/>
  <c r="D26" i="7"/>
  <c r="R1201" i="1"/>
  <c r="R1202" i="1"/>
  <c r="E27" i="7" l="1"/>
  <c r="C27" i="7"/>
  <c r="D27" i="7"/>
  <c r="A27" i="7"/>
  <c r="B28" i="7"/>
  <c r="D28" i="7" l="1"/>
  <c r="B29" i="7"/>
  <c r="C28" i="7"/>
  <c r="A28" i="7"/>
  <c r="E28" i="7"/>
  <c r="R1519" i="1"/>
  <c r="R1521" i="1"/>
  <c r="R1520" i="1"/>
  <c r="A29" i="7" l="1"/>
  <c r="C29" i="7"/>
  <c r="D29" i="7"/>
  <c r="B30" i="7"/>
  <c r="E29" i="7"/>
  <c r="R1510" i="1"/>
  <c r="D30" i="7" l="1"/>
  <c r="C30" i="7"/>
  <c r="E30" i="7"/>
  <c r="A30" i="7"/>
  <c r="B31" i="7"/>
  <c r="R2453" i="1"/>
  <c r="E31" i="7" l="1"/>
  <c r="C31" i="7"/>
  <c r="D31" i="7"/>
  <c r="A31" i="7"/>
  <c r="B32" i="7"/>
  <c r="E32" i="7" l="1"/>
  <c r="A32" i="7"/>
  <c r="C32" i="7"/>
  <c r="B33" i="7"/>
  <c r="D32" i="7"/>
  <c r="D33" i="7" l="1"/>
  <c r="E33" i="7"/>
  <c r="A33" i="7"/>
  <c r="B34" i="7"/>
  <c r="C33" i="7"/>
  <c r="R3026" i="1"/>
  <c r="R3027" i="1"/>
  <c r="R3017" i="1"/>
  <c r="R3002" i="1"/>
  <c r="R2993" i="1"/>
  <c r="R2994" i="1"/>
  <c r="R2995" i="1"/>
  <c r="R2996" i="1"/>
  <c r="R2997" i="1"/>
  <c r="R2998" i="1"/>
  <c r="R2999" i="1"/>
  <c r="R3000" i="1"/>
  <c r="R3001" i="1"/>
  <c r="R3003" i="1"/>
  <c r="D34" i="7" l="1"/>
  <c r="A34" i="7"/>
  <c r="E34" i="7"/>
  <c r="C34" i="7"/>
  <c r="B35" i="7"/>
  <c r="R2911" i="1"/>
  <c r="R2895" i="1"/>
  <c r="C35" i="7" l="1"/>
  <c r="A35" i="7"/>
  <c r="D35" i="7"/>
  <c r="E35" i="7"/>
  <c r="B36" i="7"/>
  <c r="R2794" i="1"/>
  <c r="R2767" i="1"/>
  <c r="R2771" i="1"/>
  <c r="R2772" i="1"/>
  <c r="R2776" i="1"/>
  <c r="R2777" i="1"/>
  <c r="R2778" i="1"/>
  <c r="R2779" i="1"/>
  <c r="R2782" i="1"/>
  <c r="R2783" i="1"/>
  <c r="R2784" i="1"/>
  <c r="R2785" i="1"/>
  <c r="R2786" i="1"/>
  <c r="R2787" i="1"/>
  <c r="R2789" i="1"/>
  <c r="R2739" i="1"/>
  <c r="R2653" i="1"/>
  <c r="R2654" i="1"/>
  <c r="A36" i="7" l="1"/>
  <c r="C36" i="7"/>
  <c r="E36" i="7"/>
  <c r="B37" i="7"/>
  <c r="D36" i="7"/>
  <c r="R2514" i="1"/>
  <c r="R2513" i="1"/>
  <c r="R2511" i="1"/>
  <c r="R2508" i="1"/>
  <c r="R2509" i="1"/>
  <c r="C37" i="7" l="1"/>
  <c r="E37" i="7"/>
  <c r="A37" i="7"/>
  <c r="B38" i="7"/>
  <c r="D37" i="7"/>
  <c r="R2517" i="1"/>
  <c r="R2500" i="1"/>
  <c r="D38" i="7" l="1"/>
  <c r="B39" i="7"/>
  <c r="E38" i="7"/>
  <c r="C38" i="7"/>
  <c r="A38" i="7"/>
  <c r="R2490" i="1"/>
  <c r="R2491" i="1"/>
  <c r="R2492" i="1"/>
  <c r="R2493" i="1"/>
  <c r="R2494" i="1"/>
  <c r="R2485" i="1"/>
  <c r="R2468" i="1"/>
  <c r="R2469" i="1"/>
  <c r="R2470" i="1"/>
  <c r="R2471" i="1"/>
  <c r="R2472" i="1"/>
  <c r="R2473" i="1"/>
  <c r="R2475" i="1"/>
  <c r="R2477" i="1"/>
  <c r="R2478" i="1"/>
  <c r="R2479" i="1"/>
  <c r="R2480" i="1"/>
  <c r="R2481" i="1"/>
  <c r="R2482" i="1"/>
  <c r="R2483" i="1"/>
  <c r="R2455" i="1"/>
  <c r="A39" i="7" l="1"/>
  <c r="D39" i="7"/>
  <c r="B40" i="7"/>
  <c r="E39" i="7"/>
  <c r="C39" i="7"/>
  <c r="R2350" i="1"/>
  <c r="D40" i="7" l="1"/>
  <c r="B41" i="7"/>
  <c r="A40" i="7"/>
  <c r="C40" i="7"/>
  <c r="E40" i="7"/>
  <c r="R2264" i="1"/>
  <c r="R2266" i="1"/>
  <c r="R2267" i="1"/>
  <c r="R2213" i="1"/>
  <c r="R2214" i="1"/>
  <c r="R2215" i="1"/>
  <c r="R2193" i="1"/>
  <c r="R2194" i="1"/>
  <c r="R2195" i="1"/>
  <c r="E41" i="7" l="1"/>
  <c r="C41" i="7"/>
  <c r="B42" i="7"/>
  <c r="D41" i="7"/>
  <c r="A41" i="7"/>
  <c r="R2041" i="1"/>
  <c r="B43" i="7" l="1"/>
  <c r="D42" i="7"/>
  <c r="C42" i="7"/>
  <c r="A42" i="7"/>
  <c r="E42" i="7"/>
  <c r="R1860" i="1"/>
  <c r="R1806" i="1"/>
  <c r="B44" i="7" l="1"/>
  <c r="E43" i="7"/>
  <c r="C43" i="7"/>
  <c r="A43" i="7"/>
  <c r="D43" i="7"/>
  <c r="R1465" i="1"/>
  <c r="R1466" i="1"/>
  <c r="C44" i="7" l="1"/>
  <c r="D44" i="7"/>
  <c r="B45" i="7"/>
  <c r="E44" i="7"/>
  <c r="A44" i="7"/>
  <c r="AQ1" i="1"/>
  <c r="R1120" i="1"/>
  <c r="R816" i="1"/>
  <c r="E45" i="7" l="1"/>
  <c r="B46" i="7"/>
  <c r="C45" i="7"/>
  <c r="D45" i="7"/>
  <c r="A45" i="7"/>
  <c r="R572" i="1"/>
  <c r="R568" i="1"/>
  <c r="R566" i="1"/>
  <c r="B47" i="7" l="1"/>
  <c r="D46" i="7"/>
  <c r="C46" i="7"/>
  <c r="A46" i="7"/>
  <c r="E46" i="7"/>
  <c r="B48" i="7" l="1"/>
  <c r="E47" i="7"/>
  <c r="D47" i="7"/>
  <c r="C47" i="7"/>
  <c r="A47" i="7"/>
  <c r="B49" i="7" l="1"/>
  <c r="D48" i="7"/>
  <c r="E48" i="7"/>
  <c r="C48" i="7"/>
  <c r="A48" i="7"/>
  <c r="R1921" i="1"/>
  <c r="R1922" i="1"/>
  <c r="R1941" i="1"/>
  <c r="R1942" i="1"/>
  <c r="C49" i="7" l="1"/>
  <c r="B50" i="7"/>
  <c r="D49" i="7"/>
  <c r="A49" i="7"/>
  <c r="E49" i="7"/>
  <c r="AL2967" i="1"/>
  <c r="AM2967" i="1"/>
  <c r="AN2967" i="1"/>
  <c r="B51" i="7" l="1"/>
  <c r="E50" i="7"/>
  <c r="C50" i="7"/>
  <c r="A50" i="7"/>
  <c r="D50" i="7"/>
  <c r="R2212" i="1"/>
  <c r="A51" i="7" l="1"/>
  <c r="B52" i="7"/>
  <c r="C51" i="7"/>
  <c r="D51" i="7"/>
  <c r="E51" i="7"/>
  <c r="R2407" i="1"/>
  <c r="R1989" i="1"/>
  <c r="R1983" i="1"/>
  <c r="R1984" i="1"/>
  <c r="R1990" i="1"/>
  <c r="C52" i="7" l="1"/>
  <c r="D52" i="7"/>
  <c r="E52" i="7"/>
  <c r="B53" i="7"/>
  <c r="A52" i="7"/>
  <c r="R1562" i="1"/>
  <c r="R1561" i="1"/>
  <c r="R1560" i="1"/>
  <c r="R1565" i="1"/>
  <c r="B54" i="7" l="1"/>
  <c r="C53" i="7"/>
  <c r="E53" i="7"/>
  <c r="A53" i="7"/>
  <c r="D53" i="7"/>
  <c r="R1432" i="1"/>
  <c r="R1428" i="1"/>
  <c r="R1427" i="1"/>
  <c r="R1426" i="1"/>
  <c r="R1425" i="1"/>
  <c r="R1424" i="1"/>
  <c r="R1423" i="1"/>
  <c r="R1422" i="1"/>
  <c r="R1421" i="1"/>
  <c r="R1420" i="1"/>
  <c r="R1417" i="1"/>
  <c r="R1414" i="1"/>
  <c r="R1412" i="1"/>
  <c r="R1411" i="1"/>
  <c r="E54" i="7" l="1"/>
  <c r="A54" i="7"/>
  <c r="B55" i="7"/>
  <c r="D54" i="7"/>
  <c r="C54" i="7"/>
  <c r="R2141" i="1"/>
  <c r="C55" i="7" l="1"/>
  <c r="E55" i="7"/>
  <c r="A55" i="7"/>
  <c r="D55" i="7"/>
  <c r="B56" i="7"/>
  <c r="R1737" i="1"/>
  <c r="R1735" i="1"/>
  <c r="R1738" i="1"/>
  <c r="R1759" i="1"/>
  <c r="R1760" i="1"/>
  <c r="R1767" i="1"/>
  <c r="R1761" i="1"/>
  <c r="R1762" i="1"/>
  <c r="R1757" i="1"/>
  <c r="R1754" i="1"/>
  <c r="R1755" i="1"/>
  <c r="R1749" i="1"/>
  <c r="R1750" i="1"/>
  <c r="R1751" i="1"/>
  <c r="R1753" i="1"/>
  <c r="R1745" i="1"/>
  <c r="E56" i="7" l="1"/>
  <c r="B57" i="7"/>
  <c r="A56" i="7"/>
  <c r="C56" i="7"/>
  <c r="D56" i="7"/>
  <c r="R2666" i="1"/>
  <c r="R2667" i="1"/>
  <c r="R2668" i="1"/>
  <c r="R2669" i="1"/>
  <c r="R2665" i="1"/>
  <c r="R2672" i="1"/>
  <c r="R2676" i="1"/>
  <c r="R2677" i="1"/>
  <c r="R2678" i="1"/>
  <c r="R2438" i="1"/>
  <c r="R2439" i="1"/>
  <c r="R2440" i="1"/>
  <c r="R2441" i="1"/>
  <c r="R2442" i="1"/>
  <c r="D57" i="7" l="1"/>
  <c r="C57" i="7"/>
  <c r="E57" i="7"/>
  <c r="A57" i="7"/>
  <c r="B58" i="7"/>
  <c r="AM3190" i="1"/>
  <c r="AM3191" i="1"/>
  <c r="AM3192" i="1"/>
  <c r="AM3193" i="1"/>
  <c r="AM3194" i="1"/>
  <c r="AM3195" i="1"/>
  <c r="AM3196" i="1"/>
  <c r="AM3197" i="1"/>
  <c r="AM3198" i="1"/>
  <c r="AM3199" i="1"/>
  <c r="AM3200" i="1"/>
  <c r="AM3201" i="1"/>
  <c r="AM3202" i="1"/>
  <c r="AM3203" i="1"/>
  <c r="AM3204" i="1"/>
  <c r="AM3205" i="1"/>
  <c r="AM3206" i="1"/>
  <c r="AM3207" i="1"/>
  <c r="AM3208" i="1"/>
  <c r="AL3190" i="1"/>
  <c r="AL3191" i="1"/>
  <c r="AL3192" i="1"/>
  <c r="AL3193" i="1"/>
  <c r="AL3194" i="1"/>
  <c r="AL3195" i="1"/>
  <c r="AL3196" i="1"/>
  <c r="AL3197" i="1"/>
  <c r="AL3198" i="1"/>
  <c r="AL3199" i="1"/>
  <c r="AL3200" i="1"/>
  <c r="AL3201" i="1"/>
  <c r="AL3202" i="1"/>
  <c r="AL3203" i="1"/>
  <c r="AL3204" i="1"/>
  <c r="AL3205" i="1"/>
  <c r="AL3206" i="1"/>
  <c r="AL3207" i="1"/>
  <c r="AL3208" i="1"/>
  <c r="R734" i="1"/>
  <c r="R1203" i="1"/>
  <c r="R1467" i="1"/>
  <c r="R2217" i="1"/>
  <c r="R2216" i="1"/>
  <c r="R2824" i="1"/>
  <c r="R2822" i="1"/>
  <c r="R2821" i="1"/>
  <c r="R586" i="1"/>
  <c r="R791" i="1"/>
  <c r="R792" i="1"/>
  <c r="R2987" i="1"/>
  <c r="R2986" i="1"/>
  <c r="R1948" i="1"/>
  <c r="R1943" i="1"/>
  <c r="R1909" i="1"/>
  <c r="R1910" i="1"/>
  <c r="R1911" i="1"/>
  <c r="R1912" i="1"/>
  <c r="R1913" i="1"/>
  <c r="R1908" i="1"/>
  <c r="R1920" i="1"/>
  <c r="R1923" i="1"/>
  <c r="R1924" i="1"/>
  <c r="R1925" i="1"/>
  <c r="R1926" i="1"/>
  <c r="R810" i="1"/>
  <c r="T1" i="1"/>
  <c r="R773" i="1"/>
  <c r="R2857" i="1"/>
  <c r="R585" i="1"/>
  <c r="R611" i="1"/>
  <c r="R612" i="1"/>
  <c r="R613" i="1"/>
  <c r="R1871" i="1"/>
  <c r="R1872" i="1"/>
  <c r="R1873" i="1"/>
  <c r="R1874" i="1"/>
  <c r="R1875" i="1"/>
  <c r="R1876" i="1"/>
  <c r="R1877" i="1"/>
  <c r="R1878" i="1"/>
  <c r="R1512" i="1"/>
  <c r="R1511" i="1"/>
  <c r="R1567" i="1"/>
  <c r="R1566" i="1"/>
  <c r="R2401" i="1"/>
  <c r="R2379" i="1"/>
  <c r="R1241" i="1"/>
  <c r="R589" i="1"/>
  <c r="R2183" i="1"/>
  <c r="R1158" i="1"/>
  <c r="R1138" i="1"/>
  <c r="R1139" i="1"/>
  <c r="R1140" i="1"/>
  <c r="R2602" i="1"/>
  <c r="R2599" i="1"/>
  <c r="R2587" i="1"/>
  <c r="R2589" i="1"/>
  <c r="R2877" i="1"/>
  <c r="R2878" i="1"/>
  <c r="R2876" i="1"/>
  <c r="R1886" i="1"/>
  <c r="R2014" i="1"/>
  <c r="R2016" i="1"/>
  <c r="R2017" i="1"/>
  <c r="R818" i="1"/>
  <c r="R777" i="1"/>
  <c r="R748" i="1"/>
  <c r="R605" i="1"/>
  <c r="R600" i="1"/>
  <c r="R582" i="1"/>
  <c r="R580" i="1"/>
  <c r="R570" i="1"/>
  <c r="R567" i="1"/>
  <c r="R498" i="1"/>
  <c r="R495" i="1"/>
  <c r="R493" i="1"/>
  <c r="R464" i="1"/>
  <c r="R462" i="1"/>
  <c r="R460" i="1"/>
  <c r="R459" i="1"/>
  <c r="R453" i="1"/>
  <c r="R451" i="1"/>
  <c r="R449" i="1"/>
  <c r="R446" i="1"/>
  <c r="R442" i="1"/>
  <c r="R426" i="1"/>
  <c r="R424" i="1"/>
  <c r="R421" i="1"/>
  <c r="R420" i="1"/>
  <c r="R656" i="1"/>
  <c r="R657" i="1"/>
  <c r="R747" i="1"/>
  <c r="R2679" i="1"/>
  <c r="R2881" i="1"/>
  <c r="R1814" i="1"/>
  <c r="R1240" i="1"/>
  <c r="R525" i="1"/>
  <c r="R1787" i="1"/>
  <c r="R1790" i="1"/>
  <c r="R1813" i="1"/>
  <c r="R2590" i="1"/>
  <c r="R1998" i="1"/>
  <c r="R1999" i="1"/>
  <c r="R2000" i="1"/>
  <c r="R2001" i="1"/>
  <c r="R2002" i="1"/>
  <c r="R2003" i="1"/>
  <c r="R2004" i="1"/>
  <c r="R1743" i="1"/>
  <c r="R2427" i="1"/>
  <c r="R1242" i="1"/>
  <c r="R1119" i="1"/>
  <c r="R1118" i="1"/>
  <c r="R1116" i="1"/>
  <c r="R1115" i="1"/>
  <c r="R1114" i="1"/>
  <c r="R1113" i="1"/>
  <c r="R1112" i="1"/>
  <c r="R1111" i="1"/>
  <c r="R1110" i="1"/>
  <c r="R1109" i="1"/>
  <c r="R1107" i="1"/>
  <c r="R2426" i="1"/>
  <c r="R1169" i="1"/>
  <c r="R2298" i="1"/>
  <c r="R2297" i="1"/>
  <c r="R2296" i="1"/>
  <c r="R2295" i="1"/>
  <c r="R2294" i="1"/>
  <c r="R2293" i="1"/>
  <c r="R2292" i="1"/>
  <c r="R2287" i="1"/>
  <c r="R2286" i="1"/>
  <c r="R2285" i="1"/>
  <c r="R2283" i="1"/>
  <c r="R2282" i="1"/>
  <c r="R2274" i="1"/>
  <c r="R2273" i="1"/>
  <c r="R2272" i="1"/>
  <c r="R2310" i="1"/>
  <c r="R2311" i="1"/>
  <c r="R2312" i="1"/>
  <c r="R2313" i="1"/>
  <c r="R2320" i="1"/>
  <c r="R2322" i="1"/>
  <c r="R2329" i="1"/>
  <c r="R1915" i="1"/>
  <c r="R1916" i="1"/>
  <c r="R1917" i="1"/>
  <c r="R1918" i="1"/>
  <c r="R1919" i="1"/>
  <c r="R809" i="1"/>
  <c r="R1819" i="1"/>
  <c r="R1821" i="1"/>
  <c r="R2224" i="1"/>
  <c r="R2225" i="1"/>
  <c r="R2226" i="1"/>
  <c r="R2227" i="1"/>
  <c r="R1159" i="1"/>
  <c r="R1160" i="1"/>
  <c r="R646" i="1"/>
  <c r="R647" i="1"/>
  <c r="R648" i="1"/>
  <c r="R649" i="1"/>
  <c r="R650" i="1"/>
  <c r="R651" i="1"/>
  <c r="R653" i="1"/>
  <c r="R693" i="1"/>
  <c r="R694" i="1"/>
  <c r="R2825" i="1"/>
  <c r="R1741" i="1"/>
  <c r="R1888" i="1"/>
  <c r="R1887" i="1"/>
  <c r="R1885" i="1"/>
  <c r="R1884" i="1"/>
  <c r="R1883" i="1"/>
  <c r="R1858" i="1"/>
  <c r="R1857" i="1"/>
  <c r="R1856" i="1"/>
  <c r="R1855" i="1"/>
  <c r="R1854" i="1"/>
  <c r="R1853" i="1"/>
  <c r="R1852" i="1"/>
  <c r="R1851" i="1"/>
  <c r="R1850" i="1"/>
  <c r="R1849" i="1"/>
  <c r="R1848" i="1"/>
  <c r="R1847" i="1"/>
  <c r="R1846" i="1"/>
  <c r="R2052" i="1"/>
  <c r="R2050" i="1"/>
  <c r="R2049" i="1"/>
  <c r="R2048" i="1"/>
  <c r="R2047" i="1"/>
  <c r="R2046" i="1"/>
  <c r="R2045" i="1"/>
  <c r="R2044" i="1"/>
  <c r="R2043" i="1"/>
  <c r="R2040" i="1"/>
  <c r="R2039" i="1"/>
  <c r="R2038" i="1"/>
  <c r="R2037" i="1"/>
  <c r="R2035" i="1"/>
  <c r="R2856" i="1"/>
  <c r="R2009" i="1"/>
  <c r="R2753" i="1"/>
  <c r="R2752" i="1"/>
  <c r="R2007" i="1"/>
  <c r="R2008" i="1"/>
  <c r="R811" i="1"/>
  <c r="R1170" i="1"/>
  <c r="R2896" i="1"/>
  <c r="R2504" i="1"/>
  <c r="R2502" i="1"/>
  <c r="R1146" i="1"/>
  <c r="R1991" i="1"/>
  <c r="R1992" i="1"/>
  <c r="R1993" i="1"/>
  <c r="R1994" i="1"/>
  <c r="R2888" i="1"/>
  <c r="R1736" i="1"/>
  <c r="R1739" i="1"/>
  <c r="R2600" i="1"/>
  <c r="R751" i="1"/>
  <c r="R588" i="1"/>
  <c r="R2680" i="1"/>
  <c r="R2681" i="1"/>
  <c r="R2735" i="1"/>
  <c r="R2119" i="1"/>
  <c r="R2123" i="1"/>
  <c r="R2121" i="1"/>
  <c r="R2120" i="1"/>
  <c r="R500" i="1"/>
  <c r="R1803" i="1"/>
  <c r="R2005" i="1"/>
  <c r="AN3190" i="1"/>
  <c r="AN3191" i="1"/>
  <c r="AN3192" i="1"/>
  <c r="AN3193" i="1"/>
  <c r="AN3194" i="1"/>
  <c r="AN3195" i="1"/>
  <c r="AN3196" i="1"/>
  <c r="AN3197" i="1"/>
  <c r="AN3198" i="1"/>
  <c r="AN3199" i="1"/>
  <c r="AN3200" i="1"/>
  <c r="AN3201" i="1"/>
  <c r="AN3202" i="1"/>
  <c r="AN3203" i="1"/>
  <c r="AN3204" i="1"/>
  <c r="AN3205" i="1"/>
  <c r="AN3206" i="1"/>
  <c r="AN3207" i="1"/>
  <c r="AN3208" i="1"/>
  <c r="R592" i="1"/>
  <c r="R591" i="1"/>
  <c r="R590" i="1"/>
  <c r="R1801" i="1"/>
  <c r="R2940" i="1"/>
  <c r="R1934" i="1"/>
  <c r="R1131" i="1"/>
  <c r="R1130" i="1"/>
  <c r="R443" i="1"/>
  <c r="R441" i="1"/>
  <c r="R440" i="1"/>
  <c r="R2025" i="1"/>
  <c r="R2024" i="1"/>
  <c r="R2023" i="1"/>
  <c r="R2022" i="1"/>
  <c r="R2021" i="1"/>
  <c r="R2020" i="1"/>
  <c r="R2979" i="1"/>
  <c r="R2978" i="1"/>
  <c r="R2977" i="1"/>
  <c r="R2976" i="1"/>
  <c r="R2975" i="1"/>
  <c r="R2974" i="1"/>
  <c r="R2204" i="1"/>
  <c r="R2203" i="1"/>
  <c r="R2202" i="1"/>
  <c r="R3208" i="1"/>
  <c r="R3207" i="1"/>
  <c r="R3206" i="1"/>
  <c r="R3205" i="1"/>
  <c r="R3204" i="1"/>
  <c r="R3203" i="1"/>
  <c r="R3202" i="1"/>
  <c r="R3201" i="1"/>
  <c r="R3200" i="1"/>
  <c r="R3199" i="1"/>
  <c r="R3198" i="1"/>
  <c r="R3197" i="1"/>
  <c r="R3196" i="1"/>
  <c r="R3195" i="1"/>
  <c r="R3194" i="1"/>
  <c r="R3193" i="1"/>
  <c r="R3192" i="1"/>
  <c r="R3191" i="1"/>
  <c r="R3190" i="1"/>
  <c r="R3189" i="1"/>
  <c r="R3188" i="1"/>
  <c r="R3187" i="1"/>
  <c r="R3186" i="1"/>
  <c r="R3185" i="1"/>
  <c r="R3184" i="1"/>
  <c r="R3183" i="1"/>
  <c r="R3182" i="1"/>
  <c r="R3181" i="1"/>
  <c r="R3180" i="1"/>
  <c r="R3179" i="1"/>
  <c r="R3178" i="1"/>
  <c r="R3177" i="1"/>
  <c r="R3176" i="1"/>
  <c r="R3175" i="1"/>
  <c r="R3174" i="1"/>
  <c r="R3173" i="1"/>
  <c r="R3172" i="1"/>
  <c r="R3171" i="1"/>
  <c r="R3170" i="1"/>
  <c r="R3169" i="1"/>
  <c r="R3168" i="1"/>
  <c r="R3167" i="1"/>
  <c r="R3166" i="1"/>
  <c r="R3165" i="1"/>
  <c r="R3164" i="1"/>
  <c r="R3163" i="1"/>
  <c r="R3162" i="1"/>
  <c r="R3157" i="1"/>
  <c r="R3156" i="1"/>
  <c r="R3155" i="1"/>
  <c r="R3154" i="1"/>
  <c r="R3153" i="1"/>
  <c r="R3152" i="1"/>
  <c r="R3151" i="1"/>
  <c r="R3150" i="1"/>
  <c r="R3149" i="1"/>
  <c r="R3148" i="1"/>
  <c r="R3147" i="1"/>
  <c r="R3146" i="1"/>
  <c r="R3145" i="1"/>
  <c r="R3144" i="1"/>
  <c r="R3143" i="1"/>
  <c r="R3142" i="1"/>
  <c r="R3141" i="1"/>
  <c r="R3140" i="1"/>
  <c r="R3138" i="1"/>
  <c r="R3137" i="1"/>
  <c r="R3136" i="1"/>
  <c r="R3135" i="1"/>
  <c r="R3134" i="1"/>
  <c r="R3132" i="1"/>
  <c r="R3131" i="1"/>
  <c r="R3130" i="1"/>
  <c r="R3129" i="1"/>
  <c r="R3128" i="1"/>
  <c r="R3127" i="1"/>
  <c r="R3126" i="1"/>
  <c r="R3124" i="1"/>
  <c r="R3123" i="1"/>
  <c r="R3122" i="1"/>
  <c r="R3121" i="1"/>
  <c r="R3120" i="1"/>
  <c r="R3119" i="1"/>
  <c r="R3118" i="1"/>
  <c r="R3112" i="1"/>
  <c r="R3111" i="1"/>
  <c r="R3110" i="1"/>
  <c r="R3109" i="1"/>
  <c r="R3108" i="1"/>
  <c r="R3107" i="1"/>
  <c r="R3106" i="1"/>
  <c r="R3105" i="1"/>
  <c r="R3104" i="1"/>
  <c r="R3103" i="1"/>
  <c r="R3102" i="1"/>
  <c r="R3101" i="1"/>
  <c r="R3100" i="1"/>
  <c r="R3099" i="1"/>
  <c r="R3098" i="1"/>
  <c r="R3097" i="1"/>
  <c r="R3096" i="1"/>
  <c r="R3095" i="1"/>
  <c r="R3094" i="1"/>
  <c r="R3093" i="1"/>
  <c r="R3092" i="1"/>
  <c r="R3091" i="1"/>
  <c r="R3090" i="1"/>
  <c r="R3089" i="1"/>
  <c r="R3088" i="1"/>
  <c r="R3087" i="1"/>
  <c r="R3086" i="1"/>
  <c r="R3085" i="1"/>
  <c r="R3084" i="1"/>
  <c r="R3083" i="1"/>
  <c r="R3082" i="1"/>
  <c r="R3081" i="1"/>
  <c r="R3080" i="1"/>
  <c r="R3079" i="1"/>
  <c r="R3078" i="1"/>
  <c r="R3077" i="1"/>
  <c r="R3076" i="1"/>
  <c r="R3075" i="1"/>
  <c r="R3074" i="1"/>
  <c r="R3073" i="1"/>
  <c r="R3068" i="1"/>
  <c r="R3067" i="1"/>
  <c r="R3062" i="1"/>
  <c r="R3061" i="1"/>
  <c r="R3060" i="1"/>
  <c r="R3059" i="1"/>
  <c r="R3058" i="1"/>
  <c r="R3057" i="1"/>
  <c r="R3056" i="1"/>
  <c r="R3055" i="1"/>
  <c r="R3054" i="1"/>
  <c r="R3053" i="1"/>
  <c r="R3052" i="1"/>
  <c r="R3051" i="1"/>
  <c r="R3050" i="1"/>
  <c r="R3049" i="1"/>
  <c r="R3048" i="1"/>
  <c r="R3047" i="1"/>
  <c r="R3046" i="1"/>
  <c r="R3045" i="1"/>
  <c r="R3044" i="1"/>
  <c r="R3043" i="1"/>
  <c r="R3042" i="1"/>
  <c r="R3037" i="1"/>
  <c r="R3036" i="1"/>
  <c r="R3035" i="1"/>
  <c r="R3034" i="1"/>
  <c r="R3033" i="1"/>
  <c r="R3032" i="1"/>
  <c r="R3031" i="1"/>
  <c r="R3030" i="1"/>
  <c r="R3029" i="1"/>
  <c r="R3025" i="1"/>
  <c r="R3024" i="1"/>
  <c r="R3023" i="1"/>
  <c r="R3022" i="1"/>
  <c r="R2992" i="1"/>
  <c r="R2985" i="1"/>
  <c r="R2984" i="1"/>
  <c r="R2956" i="1"/>
  <c r="R2955" i="1"/>
  <c r="R2954" i="1"/>
  <c r="R2953" i="1"/>
  <c r="R2952" i="1"/>
  <c r="R2951" i="1"/>
  <c r="R2950" i="1"/>
  <c r="R2949" i="1"/>
  <c r="R2948" i="1"/>
  <c r="R2947" i="1"/>
  <c r="R2942" i="1"/>
  <c r="R2941" i="1"/>
  <c r="R2939" i="1"/>
  <c r="R2926" i="1"/>
  <c r="R2925" i="1"/>
  <c r="R2924" i="1"/>
  <c r="R2923" i="1"/>
  <c r="R2922" i="1"/>
  <c r="R2921" i="1"/>
  <c r="R2920" i="1"/>
  <c r="R2919" i="1"/>
  <c r="R2918" i="1"/>
  <c r="R2917" i="1"/>
  <c r="R2916" i="1"/>
  <c r="R2915" i="1"/>
  <c r="R2914" i="1"/>
  <c r="R2913" i="1"/>
  <c r="R2912" i="1"/>
  <c r="R2904" i="1"/>
  <c r="R2903" i="1"/>
  <c r="R2894" i="1"/>
  <c r="R2889" i="1"/>
  <c r="R2887" i="1"/>
  <c r="R2886" i="1"/>
  <c r="R2885" i="1"/>
  <c r="R2884" i="1"/>
  <c r="R2883" i="1"/>
  <c r="R2882" i="1"/>
  <c r="R2880" i="1"/>
  <c r="R2879" i="1"/>
  <c r="R2869" i="1"/>
  <c r="R2868" i="1"/>
  <c r="R2867" i="1"/>
  <c r="R2848" i="1"/>
  <c r="R2830" i="1"/>
  <c r="R2829" i="1"/>
  <c r="R2828" i="1"/>
  <c r="R2827" i="1"/>
  <c r="R2826" i="1"/>
  <c r="R2823" i="1"/>
  <c r="R2820" i="1"/>
  <c r="R2799" i="1"/>
  <c r="R2798" i="1"/>
  <c r="R2796" i="1"/>
  <c r="R2795" i="1"/>
  <c r="R2747" i="1"/>
  <c r="R2746" i="1"/>
  <c r="R2745" i="1"/>
  <c r="R2744" i="1"/>
  <c r="R2738" i="1"/>
  <c r="R2737" i="1"/>
  <c r="R2736" i="1"/>
  <c r="R2734" i="1"/>
  <c r="R2733" i="1"/>
  <c r="R2713" i="1"/>
  <c r="R2712" i="1"/>
  <c r="R2711" i="1"/>
  <c r="R2709" i="1"/>
  <c r="R2706" i="1"/>
  <c r="R2702" i="1"/>
  <c r="R2708" i="1"/>
  <c r="R2707" i="1"/>
  <c r="R2705" i="1"/>
  <c r="R2704" i="1"/>
  <c r="R2703" i="1"/>
  <c r="R2701" i="1"/>
  <c r="R2696" i="1"/>
  <c r="R2694" i="1"/>
  <c r="R2693" i="1"/>
  <c r="R2692" i="1"/>
  <c r="R2690" i="1"/>
  <c r="R2671" i="1"/>
  <c r="R2670" i="1"/>
  <c r="R2664" i="1"/>
  <c r="R2663" i="1"/>
  <c r="R2662" i="1"/>
  <c r="R2657" i="1"/>
  <c r="R2656" i="1"/>
  <c r="R2652" i="1"/>
  <c r="R2651" i="1"/>
  <c r="R2649" i="1"/>
  <c r="R2647" i="1"/>
  <c r="R2646" i="1"/>
  <c r="R2645" i="1"/>
  <c r="R2632" i="1"/>
  <c r="R2627" i="1"/>
  <c r="R2626" i="1"/>
  <c r="R2625" i="1"/>
  <c r="R2624" i="1"/>
  <c r="R2623" i="1"/>
  <c r="R2619" i="1"/>
  <c r="R2618" i="1"/>
  <c r="R2617" i="1"/>
  <c r="R2616" i="1"/>
  <c r="R2615" i="1"/>
  <c r="R2614" i="1"/>
  <c r="R2613" i="1"/>
  <c r="R2611" i="1"/>
  <c r="R2606" i="1"/>
  <c r="R2604" i="1"/>
  <c r="R2603" i="1"/>
  <c r="R2584" i="1"/>
  <c r="R2583" i="1"/>
  <c r="R2582" i="1"/>
  <c r="R2581" i="1"/>
  <c r="R2594" i="1"/>
  <c r="R2593" i="1"/>
  <c r="R2592" i="1"/>
  <c r="R2591" i="1"/>
  <c r="R2597" i="1"/>
  <c r="R2596" i="1"/>
  <c r="R2588" i="1"/>
  <c r="R2586" i="1"/>
  <c r="R2519" i="1"/>
  <c r="R2516" i="1"/>
  <c r="R2515" i="1"/>
  <c r="R2512" i="1"/>
  <c r="R2510" i="1"/>
  <c r="R2507" i="1"/>
  <c r="R2506" i="1"/>
  <c r="R2505" i="1"/>
  <c r="R2503" i="1"/>
  <c r="R2501" i="1"/>
  <c r="R2499" i="1"/>
  <c r="R2489" i="1"/>
  <c r="R2488" i="1"/>
  <c r="R2487" i="1"/>
  <c r="R2486" i="1"/>
  <c r="R2484" i="1"/>
  <c r="R2463" i="1"/>
  <c r="R2462" i="1"/>
  <c r="R2461" i="1"/>
  <c r="R2460" i="1"/>
  <c r="R2450" i="1"/>
  <c r="R2449" i="1"/>
  <c r="R2448" i="1"/>
  <c r="R2446" i="1"/>
  <c r="R2445" i="1"/>
  <c r="R2444" i="1"/>
  <c r="R2443" i="1"/>
  <c r="R2437" i="1"/>
  <c r="R2436" i="1"/>
  <c r="R2435" i="1"/>
  <c r="R2434" i="1"/>
  <c r="R2425" i="1"/>
  <c r="R2424" i="1"/>
  <c r="R2423" i="1"/>
  <c r="R2405" i="1"/>
  <c r="R2404" i="1"/>
  <c r="R2406" i="1"/>
  <c r="R2400" i="1"/>
  <c r="R2388" i="1"/>
  <c r="R2387" i="1"/>
  <c r="R2386" i="1"/>
  <c r="R2382" i="1"/>
  <c r="R2381" i="1"/>
  <c r="R2380" i="1"/>
  <c r="R2377" i="1"/>
  <c r="R2376" i="1"/>
  <c r="R2375" i="1"/>
  <c r="R2374" i="1"/>
  <c r="R2373" i="1"/>
  <c r="R2367" i="1"/>
  <c r="R2366" i="1"/>
  <c r="R2365" i="1"/>
  <c r="R2364" i="1"/>
  <c r="R2363" i="1"/>
  <c r="R2362" i="1"/>
  <c r="R2361" i="1"/>
  <c r="R2360" i="1"/>
  <c r="R2359" i="1"/>
  <c r="R2358" i="1"/>
  <c r="R2357" i="1"/>
  <c r="R2356" i="1"/>
  <c r="R2355" i="1"/>
  <c r="R2354" i="1"/>
  <c r="R2353" i="1"/>
  <c r="R2352" i="1"/>
  <c r="R2351" i="1"/>
  <c r="R2345" i="1"/>
  <c r="R2344" i="1"/>
  <c r="R2343" i="1"/>
  <c r="R2342" i="1"/>
  <c r="R2341" i="1"/>
  <c r="R2340" i="1"/>
  <c r="R2232" i="1"/>
  <c r="R2231" i="1"/>
  <c r="R2230" i="1"/>
  <c r="R2229" i="1"/>
  <c r="R2228" i="1"/>
  <c r="R2222" i="1"/>
  <c r="R2221" i="1"/>
  <c r="R2220" i="1"/>
  <c r="R2219" i="1"/>
  <c r="R2218" i="1"/>
  <c r="R2210" i="1"/>
  <c r="R2209" i="1"/>
  <c r="R2208" i="1"/>
  <c r="R2207" i="1"/>
  <c r="R2205" i="1"/>
  <c r="R2201" i="1"/>
  <c r="R2200" i="1"/>
  <c r="R2199" i="1"/>
  <c r="R2198" i="1"/>
  <c r="R2197" i="1"/>
  <c r="R2196" i="1"/>
  <c r="R2192" i="1"/>
  <c r="R2191" i="1"/>
  <c r="R2190" i="1"/>
  <c r="R2189" i="1"/>
  <c r="R2184" i="1"/>
  <c r="R2181" i="1"/>
  <c r="R2180" i="1"/>
  <c r="R2162" i="1"/>
  <c r="R2161" i="1"/>
  <c r="R2160" i="1"/>
  <c r="R2159" i="1"/>
  <c r="R2157" i="1"/>
  <c r="R2156" i="1"/>
  <c r="R2155" i="1"/>
  <c r="R2154" i="1"/>
  <c r="R2153" i="1"/>
  <c r="R2152" i="1"/>
  <c r="R2151" i="1"/>
  <c r="R2148" i="1"/>
  <c r="R2147" i="1"/>
  <c r="R2146" i="1"/>
  <c r="R2145" i="1"/>
  <c r="R2144" i="1"/>
  <c r="R2143" i="1"/>
  <c r="R2142" i="1"/>
  <c r="R2140" i="1"/>
  <c r="R2139" i="1"/>
  <c r="R2138" i="1"/>
  <c r="R2137" i="1"/>
  <c r="R1982" i="1"/>
  <c r="R1980" i="1"/>
  <c r="R1978" i="1"/>
  <c r="R1977" i="1"/>
  <c r="R1976" i="1"/>
  <c r="R1975" i="1"/>
  <c r="R1974" i="1"/>
  <c r="R1971" i="1"/>
  <c r="R1970" i="1"/>
  <c r="R1969" i="1"/>
  <c r="R1968" i="1"/>
  <c r="R1965" i="1"/>
  <c r="R1960" i="1"/>
  <c r="R1959" i="1"/>
  <c r="R1958" i="1"/>
  <c r="R1957" i="1"/>
  <c r="R1956" i="1"/>
  <c r="R1951" i="1"/>
  <c r="R1950" i="1"/>
  <c r="R1949" i="1"/>
  <c r="R1947" i="1"/>
  <c r="R1940" i="1"/>
  <c r="R1939" i="1"/>
  <c r="R1938" i="1"/>
  <c r="R1937" i="1"/>
  <c r="R1936" i="1"/>
  <c r="R1935" i="1"/>
  <c r="R1933" i="1"/>
  <c r="R1932" i="1"/>
  <c r="R1931" i="1"/>
  <c r="R1930" i="1"/>
  <c r="R1929" i="1"/>
  <c r="R1928" i="1"/>
  <c r="R1907" i="1"/>
  <c r="R1906" i="1"/>
  <c r="R1905" i="1"/>
  <c r="R1904" i="1"/>
  <c r="R1903" i="1"/>
  <c r="R1902" i="1"/>
  <c r="R1901" i="1"/>
  <c r="R1900" i="1"/>
  <c r="R1899" i="1"/>
  <c r="R1898" i="1"/>
  <c r="R1897" i="1"/>
  <c r="R1896" i="1"/>
  <c r="R1895" i="1"/>
  <c r="R1827" i="1"/>
  <c r="R1826" i="1"/>
  <c r="R1822" i="1"/>
  <c r="R1817" i="1"/>
  <c r="R1815" i="1"/>
  <c r="R1811" i="1"/>
  <c r="R1805" i="1"/>
  <c r="R1804" i="1"/>
  <c r="R1800" i="1"/>
  <c r="R1799" i="1"/>
  <c r="R1791" i="1"/>
  <c r="R1789" i="1"/>
  <c r="R1795" i="1"/>
  <c r="R1781" i="1"/>
  <c r="R1780" i="1"/>
  <c r="R1779" i="1"/>
  <c r="R1778" i="1"/>
  <c r="R1777" i="1"/>
  <c r="R1776" i="1"/>
  <c r="R1775" i="1"/>
  <c r="R1774" i="1"/>
  <c r="R1772" i="1"/>
  <c r="R1771" i="1"/>
  <c r="R1770" i="1"/>
  <c r="R1764" i="1"/>
  <c r="R1768" i="1"/>
  <c r="R1748" i="1"/>
  <c r="R1747" i="1"/>
  <c r="R1746" i="1"/>
  <c r="R1744" i="1"/>
  <c r="R1752" i="1"/>
  <c r="R1734" i="1"/>
  <c r="R1505" i="1"/>
  <c r="R1504" i="1"/>
  <c r="R1487" i="1"/>
  <c r="R1486" i="1"/>
  <c r="R1485" i="1"/>
  <c r="R1484" i="1"/>
  <c r="R1483" i="1"/>
  <c r="R1482" i="1"/>
  <c r="R1481" i="1"/>
  <c r="R1474" i="1"/>
  <c r="R1473" i="1"/>
  <c r="R1472" i="1"/>
  <c r="R1471" i="1"/>
  <c r="R1469" i="1"/>
  <c r="R1468" i="1"/>
  <c r="R1464" i="1"/>
  <c r="R1463" i="1"/>
  <c r="R1462" i="1"/>
  <c r="R1461" i="1"/>
  <c r="R1391" i="1"/>
  <c r="R1390" i="1"/>
  <c r="R1389" i="1"/>
  <c r="R1388" i="1"/>
  <c r="R1192" i="1"/>
  <c r="R1190" i="1"/>
  <c r="R1189" i="1"/>
  <c r="R1187" i="1"/>
  <c r="R1185" i="1"/>
  <c r="R1168" i="1"/>
  <c r="R1167" i="1"/>
  <c r="R1166" i="1"/>
  <c r="R1149" i="1"/>
  <c r="R1148" i="1"/>
  <c r="R1147" i="1"/>
  <c r="R1145" i="1"/>
  <c r="R1143" i="1"/>
  <c r="R1142" i="1"/>
  <c r="R1141" i="1"/>
  <c r="R1136" i="1"/>
  <c r="R1135" i="1"/>
  <c r="R1134" i="1"/>
  <c r="R1133" i="1"/>
  <c r="R1132" i="1"/>
  <c r="R1129" i="1"/>
  <c r="R1128" i="1"/>
  <c r="R1127" i="1"/>
  <c r="R1126" i="1"/>
  <c r="R1125" i="1"/>
  <c r="R830" i="1"/>
  <c r="R829" i="1"/>
  <c r="R828" i="1"/>
  <c r="R827" i="1"/>
  <c r="R825" i="1"/>
  <c r="R824" i="1"/>
  <c r="R822" i="1"/>
  <c r="R821" i="1"/>
  <c r="R817" i="1"/>
  <c r="R815" i="1"/>
  <c r="R814" i="1"/>
  <c r="R813" i="1"/>
  <c r="R812" i="1"/>
  <c r="R808" i="1"/>
  <c r="R803" i="1"/>
  <c r="R802" i="1"/>
  <c r="R801" i="1"/>
  <c r="R800" i="1"/>
  <c r="R799" i="1"/>
  <c r="R798" i="1"/>
  <c r="R797" i="1"/>
  <c r="R796" i="1"/>
  <c r="R795" i="1"/>
  <c r="R794" i="1"/>
  <c r="R790" i="1"/>
  <c r="R789" i="1"/>
  <c r="R788" i="1"/>
  <c r="R787" i="1"/>
  <c r="R785" i="1"/>
  <c r="R784" i="1"/>
  <c r="R783" i="1"/>
  <c r="R782" i="1"/>
  <c r="R781" i="1"/>
  <c r="R780" i="1"/>
  <c r="R779" i="1"/>
  <c r="R778" i="1"/>
  <c r="R776" i="1"/>
  <c r="R775" i="1"/>
  <c r="R774" i="1"/>
  <c r="R772" i="1"/>
  <c r="R771" i="1"/>
  <c r="R770" i="1"/>
  <c r="R769" i="1"/>
  <c r="R768" i="1"/>
  <c r="R746" i="1"/>
  <c r="R745" i="1"/>
  <c r="R744" i="1"/>
  <c r="R743" i="1"/>
  <c r="R742" i="1"/>
  <c r="R732" i="1"/>
  <c r="R729" i="1"/>
  <c r="R728" i="1"/>
  <c r="R709" i="1"/>
  <c r="R702" i="1"/>
  <c r="R701" i="1"/>
  <c r="R700" i="1"/>
  <c r="R699" i="1"/>
  <c r="R698" i="1"/>
  <c r="R697" i="1"/>
  <c r="R692" i="1"/>
  <c r="R691" i="1"/>
  <c r="R690" i="1"/>
  <c r="R689" i="1"/>
  <c r="R688" i="1"/>
  <c r="R687"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5" i="1"/>
  <c r="R654" i="1"/>
  <c r="R630" i="1"/>
  <c r="R629" i="1"/>
  <c r="R628" i="1"/>
  <c r="R624" i="1"/>
  <c r="R623" i="1"/>
  <c r="R622" i="1"/>
  <c r="R621" i="1"/>
  <c r="R620" i="1"/>
  <c r="R610" i="1"/>
  <c r="R608" i="1"/>
  <c r="R606" i="1"/>
  <c r="R603" i="1"/>
  <c r="R602" i="1"/>
  <c r="R601" i="1"/>
  <c r="R599" i="1"/>
  <c r="R598" i="1"/>
  <c r="R587" i="1"/>
  <c r="R584" i="1"/>
  <c r="R583" i="1"/>
  <c r="R581" i="1"/>
  <c r="R579" i="1"/>
  <c r="R578" i="1"/>
  <c r="R575" i="1"/>
  <c r="R574" i="1"/>
  <c r="R573" i="1"/>
  <c r="R571" i="1"/>
  <c r="R569" i="1"/>
  <c r="R539" i="1"/>
  <c r="R538" i="1"/>
  <c r="R537" i="1"/>
  <c r="R552" i="1"/>
  <c r="R551" i="1"/>
  <c r="R546" i="1"/>
  <c r="R543" i="1"/>
  <c r="R542" i="1"/>
  <c r="R541" i="1"/>
  <c r="R540" i="1"/>
  <c r="R530" i="1"/>
  <c r="R528" i="1"/>
  <c r="R527" i="1"/>
  <c r="R526" i="1"/>
  <c r="R524" i="1"/>
  <c r="R520" i="1"/>
  <c r="R515" i="1"/>
  <c r="R502" i="1"/>
  <c r="R499" i="1"/>
  <c r="R496" i="1"/>
  <c r="R494" i="1"/>
  <c r="R492" i="1"/>
  <c r="R490" i="1"/>
  <c r="R489" i="1"/>
  <c r="R485" i="1"/>
  <c r="R483" i="1"/>
  <c r="R482" i="1"/>
  <c r="R481" i="1"/>
  <c r="R480" i="1"/>
  <c r="R479" i="1"/>
  <c r="R478" i="1"/>
  <c r="R476" i="1"/>
  <c r="R475" i="1"/>
  <c r="R474" i="1"/>
  <c r="R465" i="1"/>
  <c r="R470" i="1"/>
  <c r="R469" i="1"/>
  <c r="R463" i="1"/>
  <c r="R461" i="1"/>
  <c r="R458" i="1"/>
  <c r="R454" i="1"/>
  <c r="R452" i="1"/>
  <c r="R450" i="1"/>
  <c r="R448" i="1"/>
  <c r="R447" i="1"/>
  <c r="R445" i="1"/>
  <c r="R444" i="1"/>
  <c r="R425" i="1"/>
  <c r="R423" i="1"/>
  <c r="R422" i="1"/>
  <c r="R419" i="1"/>
  <c r="C58" i="7" l="1"/>
  <c r="B59" i="7"/>
  <c r="D58" i="7"/>
  <c r="E58" i="7"/>
  <c r="A58" i="7"/>
  <c r="AN2769" i="1"/>
  <c r="AM2769" i="1"/>
  <c r="AL2769" i="1"/>
  <c r="AL2632" i="1"/>
  <c r="AM2632" i="1"/>
  <c r="AN2632" i="1"/>
  <c r="AM813" i="1"/>
  <c r="AL813" i="1"/>
  <c r="AN813" i="1"/>
  <c r="AL1781" i="1"/>
  <c r="AM1781" i="1"/>
  <c r="AN1781" i="1"/>
  <c r="AM2232" i="1"/>
  <c r="AL2232" i="1"/>
  <c r="AN2232" i="1"/>
  <c r="AN2553" i="1"/>
  <c r="AM2553" i="1"/>
  <c r="AL2553" i="1"/>
  <c r="AL2463" i="1"/>
  <c r="AM2463" i="1"/>
  <c r="AN2463" i="1"/>
  <c r="AM2484" i="1"/>
  <c r="AL2484" i="1"/>
  <c r="AN2484" i="1"/>
  <c r="AL2887" i="1"/>
  <c r="AN2887" i="1"/>
  <c r="AM2887" i="1"/>
  <c r="AN2330" i="1"/>
  <c r="AM2330" i="1"/>
  <c r="AL2330" i="1"/>
  <c r="AN1052" i="1"/>
  <c r="AM1052" i="1"/>
  <c r="AL1052" i="1"/>
  <c r="AL1493" i="1"/>
  <c r="AM1493" i="1"/>
  <c r="AN1493" i="1"/>
  <c r="AN1070" i="1"/>
  <c r="AM1070" i="1"/>
  <c r="AL1070" i="1"/>
  <c r="AL1424" i="1"/>
  <c r="AM1424" i="1"/>
  <c r="AN1424" i="1"/>
  <c r="AL2647" i="1"/>
  <c r="AN2647" i="1"/>
  <c r="AM2647" i="1"/>
  <c r="AM2366" i="1"/>
  <c r="AL2366" i="1"/>
  <c r="AN2366" i="1"/>
  <c r="AM2703" i="1"/>
  <c r="AL2703" i="1"/>
  <c r="AN2703" i="1"/>
  <c r="AM2056" i="1"/>
  <c r="AN2056" i="1"/>
  <c r="AL2056" i="1"/>
  <c r="AM1966" i="1"/>
  <c r="AN1966" i="1"/>
  <c r="AL1966" i="1"/>
  <c r="AL1017" i="1"/>
  <c r="AN1017" i="1"/>
  <c r="AM1017" i="1"/>
  <c r="AM1928" i="1"/>
  <c r="AL1928" i="1"/>
  <c r="AN1928" i="1"/>
  <c r="AM2702" i="1"/>
  <c r="AL2702" i="1"/>
  <c r="AN2702" i="1"/>
  <c r="AM1738" i="1"/>
  <c r="AL1738" i="1"/>
  <c r="AN1738" i="1"/>
  <c r="AL2318" i="1"/>
  <c r="AM2318" i="1"/>
  <c r="AN2318" i="1"/>
  <c r="AL2024" i="1"/>
  <c r="AM2024" i="1"/>
  <c r="AN2024" i="1"/>
  <c r="AN2190" i="1"/>
  <c r="AM2190" i="1"/>
  <c r="AL2190" i="1"/>
  <c r="AM2947" i="1"/>
  <c r="AL2947" i="1"/>
  <c r="AN2947" i="1"/>
  <c r="AN980" i="1"/>
  <c r="AM980" i="1"/>
  <c r="AL980" i="1"/>
  <c r="AM1902" i="1"/>
  <c r="AN1902" i="1"/>
  <c r="AL1902" i="1"/>
  <c r="AL1939" i="1"/>
  <c r="AM1939" i="1"/>
  <c r="AN1939" i="1"/>
  <c r="AN707" i="1"/>
  <c r="AM707" i="1"/>
  <c r="AL707" i="1"/>
  <c r="AM3026" i="1"/>
  <c r="AL3026" i="1"/>
  <c r="AN3026" i="1"/>
  <c r="AN3077" i="1"/>
  <c r="AL3077" i="1"/>
  <c r="AM3077" i="1"/>
  <c r="AM1290" i="1"/>
  <c r="AN1290" i="1"/>
  <c r="AL1290" i="1"/>
  <c r="AN2492" i="1"/>
  <c r="AM2492" i="1"/>
  <c r="AL2492" i="1"/>
  <c r="AM639" i="1"/>
  <c r="AL639" i="1"/>
  <c r="AN639" i="1"/>
  <c r="AM771" i="1"/>
  <c r="AL771" i="1"/>
  <c r="AN771" i="1"/>
  <c r="AM1923" i="1"/>
  <c r="AL1923" i="1"/>
  <c r="AN1923" i="1"/>
  <c r="AM1907" i="1"/>
  <c r="AN1907" i="1"/>
  <c r="AL1907" i="1"/>
  <c r="AM2373" i="1"/>
  <c r="AN2373" i="1"/>
  <c r="AL2373" i="1"/>
  <c r="AL2516" i="1"/>
  <c r="AM2516" i="1"/>
  <c r="AN2516" i="1"/>
  <c r="AL1111" i="1"/>
  <c r="AN1111" i="1"/>
  <c r="AM1111" i="1"/>
  <c r="AM1161" i="1"/>
  <c r="AL1161" i="1"/>
  <c r="AN1161" i="1"/>
  <c r="AL791" i="1"/>
  <c r="AM791" i="1"/>
  <c r="AN791" i="1"/>
  <c r="AN1810" i="1"/>
  <c r="AL1810" i="1"/>
  <c r="AM1810" i="1"/>
  <c r="AM1905" i="1"/>
  <c r="AN1905" i="1"/>
  <c r="AL1905" i="1"/>
  <c r="AL2713" i="1"/>
  <c r="AM2713" i="1"/>
  <c r="AN2713" i="1"/>
  <c r="AM3164" i="1"/>
  <c r="AL3164" i="1"/>
  <c r="AN3164" i="1"/>
  <c r="AN988" i="1"/>
  <c r="AM988" i="1"/>
  <c r="AL988" i="1"/>
  <c r="AM2993" i="1"/>
  <c r="AN2993" i="1"/>
  <c r="AL2993" i="1"/>
  <c r="AL687" i="1"/>
  <c r="AM687" i="1"/>
  <c r="AN687" i="1"/>
  <c r="AM3148" i="1"/>
  <c r="AL3148" i="1"/>
  <c r="AN3148" i="1"/>
  <c r="AM3056" i="1"/>
  <c r="AN3056" i="1"/>
  <c r="AL3056" i="1"/>
  <c r="AM2119" i="1"/>
  <c r="AN2119" i="1"/>
  <c r="AL2119" i="1"/>
  <c r="AM3050" i="1"/>
  <c r="AL3050" i="1"/>
  <c r="AN3050" i="1"/>
  <c r="AL1816" i="1"/>
  <c r="AN1816" i="1"/>
  <c r="AM1816" i="1"/>
  <c r="AM1929" i="1"/>
  <c r="AN1929" i="1"/>
  <c r="AL1929" i="1"/>
  <c r="AL732" i="1"/>
  <c r="AM732" i="1"/>
  <c r="AN732" i="1"/>
  <c r="AM1862" i="1"/>
  <c r="AN1862" i="1"/>
  <c r="AL1862" i="1"/>
  <c r="AM674" i="1"/>
  <c r="AL674" i="1"/>
  <c r="AN674" i="1"/>
  <c r="AN2211" i="1"/>
  <c r="AM2211" i="1"/>
  <c r="AL2211" i="1"/>
  <c r="AM593" i="1"/>
  <c r="AL593" i="1"/>
  <c r="AN593" i="1"/>
  <c r="AN1095" i="1"/>
  <c r="AM1095" i="1"/>
  <c r="AL1095" i="1"/>
  <c r="AN3106" i="1"/>
  <c r="AL3106" i="1"/>
  <c r="AM3106" i="1"/>
  <c r="AL3044" i="1"/>
  <c r="AM3044" i="1"/>
  <c r="AN3044" i="1"/>
  <c r="AL1441" i="1"/>
  <c r="AN1441" i="1"/>
  <c r="AM1441" i="1"/>
  <c r="AM701" i="1"/>
  <c r="AL701" i="1"/>
  <c r="AN701" i="1"/>
  <c r="AN993" i="1"/>
  <c r="AM993" i="1"/>
  <c r="AL993" i="1"/>
  <c r="AL511" i="1"/>
  <c r="AM511" i="1"/>
  <c r="AN511" i="1"/>
  <c r="AM583" i="1"/>
  <c r="AL583" i="1"/>
  <c r="AN583" i="1"/>
  <c r="AM3124" i="1"/>
  <c r="AL3124" i="1"/>
  <c r="AN3124" i="1"/>
  <c r="AL2362" i="1"/>
  <c r="AN2362" i="1"/>
  <c r="AM2362" i="1"/>
  <c r="AL2781" i="1"/>
  <c r="AM2781" i="1"/>
  <c r="AN2781" i="1"/>
  <c r="AM736" i="1"/>
  <c r="AL736" i="1"/>
  <c r="AN736" i="1"/>
  <c r="AL474" i="1"/>
  <c r="AN474" i="1"/>
  <c r="AM474" i="1"/>
  <c r="AL2279" i="1"/>
  <c r="AM2279" i="1"/>
  <c r="AN2279" i="1"/>
  <c r="AM1884" i="1"/>
  <c r="AN1884" i="1"/>
  <c r="AL1884" i="1"/>
  <c r="AN1432" i="1"/>
  <c r="AL1432" i="1"/>
  <c r="AM1432" i="1"/>
  <c r="AL1491" i="1"/>
  <c r="AM1491" i="1"/>
  <c r="AN1491" i="1"/>
  <c r="AM2487" i="1"/>
  <c r="AL2487" i="1"/>
  <c r="AN2487" i="1"/>
  <c r="AL1494" i="1"/>
  <c r="AM1494" i="1"/>
  <c r="AN1494" i="1"/>
  <c r="AL830" i="1"/>
  <c r="AM830" i="1"/>
  <c r="AN830" i="1"/>
  <c r="AM2902" i="1"/>
  <c r="AL2902" i="1"/>
  <c r="AN2902" i="1"/>
  <c r="AM3086" i="1"/>
  <c r="AL3086" i="1"/>
  <c r="AN3086" i="1"/>
  <c r="AM2827" i="1"/>
  <c r="AN2827" i="1"/>
  <c r="AL2827" i="1"/>
  <c r="AM2953" i="1"/>
  <c r="AL2953" i="1"/>
  <c r="AN2953" i="1"/>
  <c r="AM536" i="1"/>
  <c r="AN536" i="1"/>
  <c r="AL536" i="1"/>
  <c r="AM1972" i="1"/>
  <c r="AN1972" i="1"/>
  <c r="AL1972" i="1"/>
  <c r="AL1563" i="1"/>
  <c r="AM1563" i="1"/>
  <c r="AN1563" i="1"/>
  <c r="AM2179" i="1"/>
  <c r="AL2179" i="1"/>
  <c r="AN2179" i="1"/>
  <c r="AM1293" i="1"/>
  <c r="AL1293" i="1"/>
  <c r="AN1293" i="1"/>
  <c r="AM2546" i="1"/>
  <c r="AN2546" i="1"/>
  <c r="AL2546" i="1"/>
  <c r="AM781" i="1"/>
  <c r="AL781" i="1"/>
  <c r="AN781" i="1"/>
  <c r="AN1275" i="1"/>
  <c r="AM1275" i="1"/>
  <c r="AL1275" i="1"/>
  <c r="AL2689" i="1"/>
  <c r="AM2689" i="1"/>
  <c r="AN2689" i="1"/>
  <c r="AM3141" i="1"/>
  <c r="AL3141" i="1"/>
  <c r="AN3141" i="1"/>
  <c r="AN1243" i="1"/>
  <c r="AL1243" i="1"/>
  <c r="AM1243" i="1"/>
  <c r="AL746" i="1"/>
  <c r="AM746" i="1"/>
  <c r="AN746" i="1"/>
  <c r="AL1843" i="1"/>
  <c r="AN1843" i="1"/>
  <c r="AM1843" i="1"/>
  <c r="AL1387" i="1"/>
  <c r="AM1387" i="1"/>
  <c r="AN1387" i="1"/>
  <c r="AL1451" i="1"/>
  <c r="AM1451" i="1"/>
  <c r="AN1451" i="1"/>
  <c r="AL1397" i="1"/>
  <c r="AM1397" i="1"/>
  <c r="AN1397" i="1"/>
  <c r="AM2882" i="1"/>
  <c r="AN2882" i="1"/>
  <c r="AL2882" i="1"/>
  <c r="AM2413" i="1"/>
  <c r="AL2413" i="1"/>
  <c r="AN2413" i="1"/>
  <c r="AM1101" i="1"/>
  <c r="AN1101" i="1"/>
  <c r="AL1101" i="1"/>
  <c r="AL2275" i="1"/>
  <c r="AM2275" i="1"/>
  <c r="AN2275" i="1"/>
  <c r="AL472" i="1"/>
  <c r="AM472" i="1"/>
  <c r="AN472" i="1"/>
  <c r="AL2673" i="1"/>
  <c r="AN2673" i="1"/>
  <c r="AM2673" i="1"/>
  <c r="AL1194" i="1"/>
  <c r="AN1194" i="1"/>
  <c r="AM1194" i="1"/>
  <c r="AL2650" i="1"/>
  <c r="AM2650" i="1"/>
  <c r="AN2650" i="1"/>
  <c r="AM3138" i="1"/>
  <c r="AN3138" i="1"/>
  <c r="AL3138" i="1"/>
  <c r="AM3167" i="1"/>
  <c r="AN3167" i="1"/>
  <c r="AL3167" i="1"/>
  <c r="AL1266" i="1"/>
  <c r="AM1266" i="1"/>
  <c r="AN1266" i="1"/>
  <c r="AL552" i="1"/>
  <c r="AM552" i="1"/>
  <c r="AN552" i="1"/>
  <c r="AL1298" i="1"/>
  <c r="AM1298" i="1"/>
  <c r="AN1298" i="1"/>
  <c r="AM1475" i="1"/>
  <c r="AL1475" i="1"/>
  <c r="AN1475" i="1"/>
  <c r="AN534" i="1"/>
  <c r="AL534" i="1"/>
  <c r="AM534" i="1"/>
  <c r="AM1772" i="1"/>
  <c r="AL1772" i="1"/>
  <c r="AN1772" i="1"/>
  <c r="AL1072" i="1"/>
  <c r="AN1072" i="1"/>
  <c r="AM1072" i="1"/>
  <c r="AM1488" i="1"/>
  <c r="AL1488" i="1"/>
  <c r="AN1488" i="1"/>
  <c r="AM482" i="1"/>
  <c r="AL482" i="1"/>
  <c r="AN482" i="1"/>
  <c r="AN1004" i="1"/>
  <c r="AM1004" i="1"/>
  <c r="AL1004" i="1"/>
  <c r="AN1221" i="1"/>
  <c r="AL1221" i="1"/>
  <c r="AM1221" i="1"/>
  <c r="AN2168" i="1"/>
  <c r="AL2168" i="1"/>
  <c r="AM2168" i="1"/>
  <c r="AM2704" i="1"/>
  <c r="AL2704" i="1"/>
  <c r="AN2704" i="1"/>
  <c r="AM2151" i="1"/>
  <c r="AN2151" i="1"/>
  <c r="AL2151" i="1"/>
  <c r="AM1092" i="1"/>
  <c r="AL1092" i="1"/>
  <c r="AN1092" i="1"/>
  <c r="AM1242" i="1"/>
  <c r="AN1242" i="1"/>
  <c r="AL1242" i="1"/>
  <c r="AL797" i="1"/>
  <c r="AM797" i="1"/>
  <c r="AN797" i="1"/>
  <c r="AM1186" i="1"/>
  <c r="AL1186" i="1"/>
  <c r="AN1186" i="1"/>
  <c r="AL693" i="1"/>
  <c r="AN693" i="1"/>
  <c r="AM693" i="1"/>
  <c r="AM2504" i="1"/>
  <c r="AL2504" i="1"/>
  <c r="AN2504" i="1"/>
  <c r="AM444" i="1"/>
  <c r="AL444" i="1"/>
  <c r="AN444" i="1"/>
  <c r="AL1405" i="1"/>
  <c r="AM1405" i="1"/>
  <c r="AN1405" i="1"/>
  <c r="AM1970" i="1"/>
  <c r="AN1970" i="1"/>
  <c r="AL1970" i="1"/>
  <c r="AL1510" i="1"/>
  <c r="AM1510" i="1"/>
  <c r="AN1510" i="1"/>
  <c r="AN2315" i="1"/>
  <c r="AM2315" i="1"/>
  <c r="AL2315" i="1"/>
  <c r="AL1174" i="1"/>
  <c r="AM1174" i="1"/>
  <c r="AN1174" i="1"/>
  <c r="AM647" i="1"/>
  <c r="AL647" i="1"/>
  <c r="AN647" i="1"/>
  <c r="AL1913" i="1"/>
  <c r="AM1913" i="1"/>
  <c r="AN1913" i="1"/>
  <c r="AL668" i="1"/>
  <c r="AN668" i="1"/>
  <c r="AM668" i="1"/>
  <c r="AL1047" i="1"/>
  <c r="AM1047" i="1"/>
  <c r="AN1047" i="1"/>
  <c r="AN1077" i="1"/>
  <c r="AM1077" i="1"/>
  <c r="AL1077" i="1"/>
  <c r="AN2147" i="1"/>
  <c r="AL2147" i="1"/>
  <c r="AM2147" i="1"/>
  <c r="AM1811" i="1"/>
  <c r="AL1811" i="1"/>
  <c r="AN1811" i="1"/>
  <c r="AM1823" i="1"/>
  <c r="AN1823" i="1"/>
  <c r="AL1823" i="1"/>
  <c r="AL2649" i="1"/>
  <c r="AN2649" i="1"/>
  <c r="AM2649" i="1"/>
  <c r="AM1403" i="1"/>
  <c r="AN1403" i="1"/>
  <c r="AL1403" i="1"/>
  <c r="AL2310" i="1"/>
  <c r="AM2310" i="1"/>
  <c r="AN2310" i="1"/>
  <c r="AM726" i="1"/>
  <c r="AL726" i="1"/>
  <c r="AN726" i="1"/>
  <c r="AM3049" i="1"/>
  <c r="AL3049" i="1"/>
  <c r="AN3049" i="1"/>
  <c r="AM2204" i="1"/>
  <c r="AL2204" i="1"/>
  <c r="AN2204" i="1"/>
  <c r="AL660" i="1"/>
  <c r="AM660" i="1"/>
  <c r="AN660" i="1"/>
  <c r="AL433" i="1"/>
  <c r="AM433" i="1"/>
  <c r="AN433" i="1"/>
  <c r="AM2385" i="1"/>
  <c r="AN2385" i="1"/>
  <c r="AL2385" i="1"/>
  <c r="AL3073" i="1"/>
  <c r="AM3073" i="1"/>
  <c r="AN3073" i="1"/>
  <c r="AM504" i="1"/>
  <c r="AL504" i="1"/>
  <c r="AN504" i="1"/>
  <c r="AM441" i="1"/>
  <c r="AL441" i="1"/>
  <c r="AN441" i="1"/>
  <c r="AM654" i="1"/>
  <c r="AL654" i="1"/>
  <c r="AN654" i="1"/>
  <c r="AM2158" i="1"/>
  <c r="AN2158" i="1"/>
  <c r="AL2158" i="1"/>
  <c r="AL1235" i="1"/>
  <c r="AM1235" i="1"/>
  <c r="AN1235" i="1"/>
  <c r="AM2796" i="1"/>
  <c r="AL2796" i="1"/>
  <c r="AN2796" i="1"/>
  <c r="AL2756" i="1"/>
  <c r="AM2756" i="1"/>
  <c r="AN2756" i="1"/>
  <c r="AM2671" i="1"/>
  <c r="AL2671" i="1"/>
  <c r="AN2671" i="1"/>
  <c r="AM3118" i="1"/>
  <c r="AL3118" i="1"/>
  <c r="AN3118" i="1"/>
  <c r="AL1499" i="1"/>
  <c r="AM1499" i="1"/>
  <c r="AN1499" i="1"/>
  <c r="AN3074" i="1"/>
  <c r="AL3074" i="1"/>
  <c r="AM3074" i="1"/>
  <c r="AM3089" i="1"/>
  <c r="AL3089" i="1"/>
  <c r="AN3089" i="1"/>
  <c r="AM1743" i="1"/>
  <c r="AL1743" i="1"/>
  <c r="AN1743" i="1"/>
  <c r="AM3090" i="1"/>
  <c r="AL3090" i="1"/>
  <c r="AN3090" i="1"/>
  <c r="AL2564" i="1"/>
  <c r="AN2564" i="1"/>
  <c r="AM2564" i="1"/>
  <c r="AM1467" i="1"/>
  <c r="AL1467" i="1"/>
  <c r="AN1467" i="1"/>
  <c r="AN1521" i="1"/>
  <c r="AL1521" i="1"/>
  <c r="AM1521" i="1"/>
  <c r="AL1749" i="1"/>
  <c r="AM1749" i="1"/>
  <c r="AN1749" i="1"/>
  <c r="AN2491" i="1"/>
  <c r="AM2491" i="1"/>
  <c r="AL2491" i="1"/>
  <c r="AM2160" i="1"/>
  <c r="AL2160" i="1"/>
  <c r="AN2160" i="1"/>
  <c r="AL1779" i="1"/>
  <c r="AM1779" i="1"/>
  <c r="AN1779" i="1"/>
  <c r="AL2518" i="1"/>
  <c r="AM2518" i="1"/>
  <c r="AN2518" i="1"/>
  <c r="AM1747" i="1"/>
  <c r="AL1747" i="1"/>
  <c r="AN1747" i="1"/>
  <c r="AN3079" i="1"/>
  <c r="AL3079" i="1"/>
  <c r="AM3079" i="1"/>
  <c r="AM1934" i="1"/>
  <c r="AL1934" i="1"/>
  <c r="AN1934" i="1"/>
  <c r="AL547" i="1"/>
  <c r="AM547" i="1"/>
  <c r="AN547" i="1"/>
  <c r="AM1828" i="1"/>
  <c r="AN1828" i="1"/>
  <c r="AL1828" i="1"/>
  <c r="AN1089" i="1"/>
  <c r="AM1089" i="1"/>
  <c r="AL1089" i="1"/>
  <c r="AN2517" i="1"/>
  <c r="AM2517" i="1"/>
  <c r="AL2517" i="1"/>
  <c r="AM2225" i="1"/>
  <c r="AN2225" i="1"/>
  <c r="AL2225" i="1"/>
  <c r="AM1949" i="1"/>
  <c r="AN1949" i="1"/>
  <c r="AL1949" i="1"/>
  <c r="AM2911" i="1"/>
  <c r="AL2911" i="1"/>
  <c r="AN2911" i="1"/>
  <c r="AN1808" i="1"/>
  <c r="AL1808" i="1"/>
  <c r="AM1808" i="1"/>
  <c r="AL2363" i="1"/>
  <c r="AM2363" i="1"/>
  <c r="AN2363" i="1"/>
  <c r="AM1054" i="1"/>
  <c r="AL1054" i="1"/>
  <c r="AN1054" i="1"/>
  <c r="AM1478" i="1"/>
  <c r="AN1478" i="1"/>
  <c r="AL1478" i="1"/>
  <c r="AN1008" i="1"/>
  <c r="AM1008" i="1"/>
  <c r="AL1008" i="1"/>
  <c r="AL2630" i="1"/>
  <c r="AM2630" i="1"/>
  <c r="AN2630" i="1"/>
  <c r="AL488" i="1"/>
  <c r="AM488" i="1"/>
  <c r="AN488" i="1"/>
  <c r="AM3085" i="1"/>
  <c r="AN3085" i="1"/>
  <c r="AL3085" i="1"/>
  <c r="AM1980" i="1"/>
  <c r="AL1980" i="1"/>
  <c r="AN1980" i="1"/>
  <c r="AL1940" i="1"/>
  <c r="AM1940" i="1"/>
  <c r="AN1940" i="1"/>
  <c r="AM509" i="1"/>
  <c r="AN509" i="1"/>
  <c r="AL509" i="1"/>
  <c r="AL1825" i="1"/>
  <c r="AM1825" i="1"/>
  <c r="AN1825" i="1"/>
  <c r="AL2307" i="1"/>
  <c r="AN2307" i="1"/>
  <c r="AM2307" i="1"/>
  <c r="AM447" i="1"/>
  <c r="AL447" i="1"/>
  <c r="AN447" i="1"/>
  <c r="AM1888" i="1"/>
  <c r="AN1888" i="1"/>
  <c r="AL1888" i="1"/>
  <c r="AN568" i="1"/>
  <c r="AL568" i="1"/>
  <c r="AM568" i="1"/>
  <c r="AM1806" i="1"/>
  <c r="AN1806" i="1"/>
  <c r="AL1806" i="1"/>
  <c r="AM1037" i="1"/>
  <c r="AL1037" i="1"/>
  <c r="AN1037" i="1"/>
  <c r="AM2357" i="1"/>
  <c r="AL2357" i="1"/>
  <c r="AN2357" i="1"/>
  <c r="AM1489" i="1"/>
  <c r="AN1489" i="1"/>
  <c r="AL1489" i="1"/>
  <c r="AM1168" i="1"/>
  <c r="AN1168" i="1"/>
  <c r="AL1168" i="1"/>
  <c r="AM421" i="1"/>
  <c r="AL421" i="1"/>
  <c r="AN421" i="1"/>
  <c r="AN1500" i="1"/>
  <c r="AM1500" i="1"/>
  <c r="AL1500" i="1"/>
  <c r="AL478" i="1"/>
  <c r="AM478" i="1"/>
  <c r="AN478" i="1"/>
  <c r="AL1246" i="1"/>
  <c r="AN1246" i="1"/>
  <c r="AM1246" i="1"/>
  <c r="AM2616" i="1"/>
  <c r="AL2616" i="1"/>
  <c r="AN2616" i="1"/>
  <c r="AN1213" i="1"/>
  <c r="AM1213" i="1"/>
  <c r="AL1213" i="1"/>
  <c r="AM2154" i="1"/>
  <c r="AN2154" i="1"/>
  <c r="AL2154" i="1"/>
  <c r="AN2412" i="1"/>
  <c r="AL2412" i="1"/>
  <c r="AM2412" i="1"/>
  <c r="AM2205" i="1"/>
  <c r="AL2205" i="1"/>
  <c r="AN2205" i="1"/>
  <c r="AM1969" i="1"/>
  <c r="AN1969" i="1"/>
  <c r="AL1969" i="1"/>
  <c r="AN963" i="1"/>
  <c r="AL963" i="1"/>
  <c r="AM963" i="1"/>
  <c r="AL2309" i="1"/>
  <c r="AM2309" i="1"/>
  <c r="AN2309" i="1"/>
  <c r="AM3062" i="1"/>
  <c r="AL3062" i="1"/>
  <c r="AN3062" i="1"/>
  <c r="AM2038" i="1"/>
  <c r="AL2038" i="1"/>
  <c r="AN2038" i="1"/>
  <c r="AN998" i="1"/>
  <c r="AM998" i="1"/>
  <c r="AL998" i="1"/>
  <c r="AL1829" i="1"/>
  <c r="AN1829" i="1"/>
  <c r="AM1829" i="1"/>
  <c r="AM1053" i="1"/>
  <c r="AL1053" i="1"/>
  <c r="AN1053" i="1"/>
  <c r="AM2738" i="1"/>
  <c r="AN2738" i="1"/>
  <c r="AL2738" i="1"/>
  <c r="AM2476" i="1"/>
  <c r="AN2476" i="1"/>
  <c r="AL2476" i="1"/>
  <c r="AL1157" i="1"/>
  <c r="AN1157" i="1"/>
  <c r="AM1157" i="1"/>
  <c r="AM2995" i="1"/>
  <c r="AN2995" i="1"/>
  <c r="AL2995" i="1"/>
  <c r="AM2408" i="1"/>
  <c r="AL2408" i="1"/>
  <c r="AN2408" i="1"/>
  <c r="AL1498" i="1"/>
  <c r="AM1498" i="1"/>
  <c r="AN1498" i="1"/>
  <c r="AM3055" i="1"/>
  <c r="AN3055" i="1"/>
  <c r="AL3055" i="1"/>
  <c r="AN2667" i="1"/>
  <c r="AL2667" i="1"/>
  <c r="AM2667" i="1"/>
  <c r="AL1283" i="1"/>
  <c r="AM1283" i="1"/>
  <c r="AN1283" i="1"/>
  <c r="AN2726" i="1"/>
  <c r="AM2726" i="1"/>
  <c r="AL2726" i="1"/>
  <c r="AN1066" i="1"/>
  <c r="AM1066" i="1"/>
  <c r="AL1066" i="1"/>
  <c r="AN2554" i="1"/>
  <c r="AM2554" i="1"/>
  <c r="AL2554" i="1"/>
  <c r="AM423" i="1"/>
  <c r="AL423" i="1"/>
  <c r="AN423" i="1"/>
  <c r="AL1984" i="1"/>
  <c r="AM1984" i="1"/>
  <c r="AN1984" i="1"/>
  <c r="AN1824" i="1"/>
  <c r="AM1824" i="1"/>
  <c r="AL1824" i="1"/>
  <c r="AM2797" i="1"/>
  <c r="AN2797" i="1"/>
  <c r="AL2797" i="1"/>
  <c r="AL1247" i="1"/>
  <c r="AM1247" i="1"/>
  <c r="AN1247" i="1"/>
  <c r="AL2549" i="1"/>
  <c r="AM2549" i="1"/>
  <c r="AN2549" i="1"/>
  <c r="AL461" i="1"/>
  <c r="AM461" i="1"/>
  <c r="AN461" i="1"/>
  <c r="AN1051" i="1"/>
  <c r="AM1051" i="1"/>
  <c r="AL1051" i="1"/>
  <c r="AN2061" i="1"/>
  <c r="AL2061" i="1"/>
  <c r="AM2061" i="1"/>
  <c r="AM2000" i="1"/>
  <c r="AL2000" i="1"/>
  <c r="AN2000" i="1"/>
  <c r="AM1276" i="1"/>
  <c r="AL1276" i="1"/>
  <c r="AN1276" i="1"/>
  <c r="AL1409" i="1"/>
  <c r="AN1409" i="1"/>
  <c r="AM1409" i="1"/>
  <c r="AM3033" i="1"/>
  <c r="AL3033" i="1"/>
  <c r="AN3033" i="1"/>
  <c r="AL495" i="1"/>
  <c r="AM495" i="1"/>
  <c r="AN495" i="1"/>
  <c r="AL1067" i="1"/>
  <c r="AM1067" i="1"/>
  <c r="AN1067" i="1"/>
  <c r="AN1229" i="1"/>
  <c r="AL1229" i="1"/>
  <c r="AM1229" i="1"/>
  <c r="AN1758" i="1"/>
  <c r="AM1758" i="1"/>
  <c r="AL1758" i="1"/>
  <c r="AM1471" i="1"/>
  <c r="AN1471" i="1"/>
  <c r="AL1471" i="1"/>
  <c r="AM3111" i="1"/>
  <c r="AL3111" i="1"/>
  <c r="AN3111" i="1"/>
  <c r="AL2901" i="1"/>
  <c r="AM2901" i="1"/>
  <c r="AN2901" i="1"/>
  <c r="AN1519" i="1"/>
  <c r="AM1519" i="1"/>
  <c r="AL1519" i="1"/>
  <c r="AL1944" i="1"/>
  <c r="AM1944" i="1"/>
  <c r="AN1944" i="1"/>
  <c r="AM3091" i="1"/>
  <c r="AL3091" i="1"/>
  <c r="AN3091" i="1"/>
  <c r="AM2083" i="1"/>
  <c r="AL2083" i="1"/>
  <c r="AN2083" i="1"/>
  <c r="AL2711" i="1"/>
  <c r="AM2711" i="1"/>
  <c r="AN2711" i="1"/>
  <c r="AM2669" i="1"/>
  <c r="AL2669" i="1"/>
  <c r="AN2669" i="1"/>
  <c r="AL2381" i="1"/>
  <c r="AM2381" i="1"/>
  <c r="AN2381" i="1"/>
  <c r="AL2018" i="1"/>
  <c r="AM2018" i="1"/>
  <c r="AN2018" i="1"/>
  <c r="AL2519" i="1"/>
  <c r="AM2519" i="1"/>
  <c r="AN2519" i="1"/>
  <c r="AN2053" i="1"/>
  <c r="AM2053" i="1"/>
  <c r="AL2053" i="1"/>
  <c r="AM533" i="1"/>
  <c r="AL533" i="1"/>
  <c r="AN533" i="1"/>
  <c r="AN2552" i="1"/>
  <c r="AM2552" i="1"/>
  <c r="AL2552" i="1"/>
  <c r="AN1113" i="1"/>
  <c r="AL1113" i="1"/>
  <c r="AM1113" i="1"/>
  <c r="AM549" i="1"/>
  <c r="AL549" i="1"/>
  <c r="AN549" i="1"/>
  <c r="AL698" i="1"/>
  <c r="AN698" i="1"/>
  <c r="AM698" i="1"/>
  <c r="AM802" i="1"/>
  <c r="AL802" i="1"/>
  <c r="AN802" i="1"/>
  <c r="AL818" i="1"/>
  <c r="AM818" i="1"/>
  <c r="AN818" i="1"/>
  <c r="AM2219" i="1"/>
  <c r="AN2219" i="1"/>
  <c r="AL2219" i="1"/>
  <c r="AM592" i="1"/>
  <c r="AL592" i="1"/>
  <c r="AN592" i="1"/>
  <c r="AL748" i="1"/>
  <c r="AM748" i="1"/>
  <c r="AN748" i="1"/>
  <c r="AM3088" i="1"/>
  <c r="AL3088" i="1"/>
  <c r="AN3088" i="1"/>
  <c r="AN3099" i="1"/>
  <c r="AL3099" i="1"/>
  <c r="AM3099" i="1"/>
  <c r="AM1140" i="1"/>
  <c r="AL1140" i="1"/>
  <c r="AN1140" i="1"/>
  <c r="AL1180" i="1"/>
  <c r="AM1180" i="1"/>
  <c r="AN1180" i="1"/>
  <c r="AM1325" i="1"/>
  <c r="AL1325" i="1"/>
  <c r="AN1325" i="1"/>
  <c r="AN1254" i="1"/>
  <c r="AM1254" i="1"/>
  <c r="AL1254" i="1"/>
  <c r="AM682" i="1"/>
  <c r="AL682" i="1"/>
  <c r="AN682" i="1"/>
  <c r="AL2563" i="1"/>
  <c r="AN2563" i="1"/>
  <c r="AM2563" i="1"/>
  <c r="AL2364" i="1"/>
  <c r="AN2364" i="1"/>
  <c r="AM2364" i="1"/>
  <c r="AN1515" i="1"/>
  <c r="AL1515" i="1"/>
  <c r="AM1515" i="1"/>
  <c r="AM2896" i="1"/>
  <c r="AL2896" i="1"/>
  <c r="AN2896" i="1"/>
  <c r="AM1083" i="1"/>
  <c r="AN1083" i="1"/>
  <c r="AL1083" i="1"/>
  <c r="AM2224" i="1"/>
  <c r="AN2224" i="1"/>
  <c r="AL2224" i="1"/>
  <c r="AM2162" i="1"/>
  <c r="AL2162" i="1"/>
  <c r="AN2162" i="1"/>
  <c r="AM2323" i="1"/>
  <c r="AN2323" i="1"/>
  <c r="AL2323" i="1"/>
  <c r="AL1133" i="1"/>
  <c r="AM1133" i="1"/>
  <c r="AN1133" i="1"/>
  <c r="AL2141" i="1"/>
  <c r="AM2141" i="1"/>
  <c r="AN2141" i="1"/>
  <c r="AM2674" i="1"/>
  <c r="AL2674" i="1"/>
  <c r="AN2674" i="1"/>
  <c r="AM2352" i="1"/>
  <c r="AN2352" i="1"/>
  <c r="AL2352" i="1"/>
  <c r="AN1763" i="1"/>
  <c r="AM1763" i="1"/>
  <c r="AL1763" i="1"/>
  <c r="AL2537" i="1"/>
  <c r="AN2537" i="1"/>
  <c r="AM2537" i="1"/>
  <c r="AM2883" i="1"/>
  <c r="AL2883" i="1"/>
  <c r="AN2883" i="1"/>
  <c r="AM2639" i="1"/>
  <c r="AN2639" i="1"/>
  <c r="AL2639" i="1"/>
  <c r="AM2894" i="1"/>
  <c r="AL2894" i="1"/>
  <c r="AN2894" i="1"/>
  <c r="AL2692" i="1"/>
  <c r="AM2692" i="1"/>
  <c r="AN2692" i="1"/>
  <c r="AN983" i="1"/>
  <c r="AM983" i="1"/>
  <c r="AL983" i="1"/>
  <c r="AL1073" i="1"/>
  <c r="AM1073" i="1"/>
  <c r="AN1073" i="1"/>
  <c r="AL2850" i="1"/>
  <c r="AN2850" i="1"/>
  <c r="AM2850" i="1"/>
  <c r="AL1291" i="1"/>
  <c r="AN1291" i="1"/>
  <c r="AM1291" i="1"/>
  <c r="AL1079" i="1"/>
  <c r="AM1079" i="1"/>
  <c r="AN1079" i="1"/>
  <c r="AM571" i="1"/>
  <c r="AL571" i="1"/>
  <c r="AN571" i="1"/>
  <c r="AM3189" i="1"/>
  <c r="AL3189" i="1"/>
  <c r="AN3189" i="1"/>
  <c r="AN1769" i="1"/>
  <c r="AL1769" i="1"/>
  <c r="AM1769" i="1"/>
  <c r="AN1044" i="1"/>
  <c r="AM1044" i="1"/>
  <c r="AL1044" i="1"/>
  <c r="AL1404" i="1"/>
  <c r="AN1404" i="1"/>
  <c r="AM1404" i="1"/>
  <c r="AL1511" i="1"/>
  <c r="AM1511" i="1"/>
  <c r="AN1511" i="1"/>
  <c r="AM1924" i="1"/>
  <c r="AL1924" i="1"/>
  <c r="AN1924" i="1"/>
  <c r="AN809" i="1"/>
  <c r="AL809" i="1"/>
  <c r="AM809" i="1"/>
  <c r="AM1883" i="1"/>
  <c r="AN1883" i="1"/>
  <c r="AL1883" i="1"/>
  <c r="AN1107" i="1"/>
  <c r="AM1107" i="1"/>
  <c r="AL1107" i="1"/>
  <c r="AM1430" i="1"/>
  <c r="AN1430" i="1"/>
  <c r="AL1430" i="1"/>
  <c r="AM453" i="1"/>
  <c r="AL453" i="1"/>
  <c r="AN453" i="1"/>
  <c r="AM2787" i="1"/>
  <c r="AN2787" i="1"/>
  <c r="AL2787" i="1"/>
  <c r="AM2949" i="1"/>
  <c r="AL2949" i="1"/>
  <c r="AN2949" i="1"/>
  <c r="AM600" i="1"/>
  <c r="AL600" i="1"/>
  <c r="AN600" i="1"/>
  <c r="AN1068" i="1"/>
  <c r="AM1068" i="1"/>
  <c r="AL1068" i="1"/>
  <c r="AN2428" i="1"/>
  <c r="AL2428" i="1"/>
  <c r="AM2428" i="1"/>
  <c r="AL2681" i="1"/>
  <c r="AM2681" i="1"/>
  <c r="AN2681" i="1"/>
  <c r="AN1815" i="1"/>
  <c r="AL1815" i="1"/>
  <c r="AM1815" i="1"/>
  <c r="AL768" i="1"/>
  <c r="AM768" i="1"/>
  <c r="AN768" i="1"/>
  <c r="AM1145" i="1"/>
  <c r="AN1145" i="1"/>
  <c r="AL1145" i="1"/>
  <c r="AM2499" i="1"/>
  <c r="AN2499" i="1"/>
  <c r="AL2499" i="1"/>
  <c r="AM1279" i="1"/>
  <c r="AN1279" i="1"/>
  <c r="AL1279" i="1"/>
  <c r="AM2325" i="1"/>
  <c r="AL2325" i="1"/>
  <c r="AN2325" i="1"/>
  <c r="AL692" i="1"/>
  <c r="AN692" i="1"/>
  <c r="AM692" i="1"/>
  <c r="AM2367" i="1"/>
  <c r="AL2367" i="1"/>
  <c r="AN2367" i="1"/>
  <c r="AN2405" i="1"/>
  <c r="AM2405" i="1"/>
  <c r="AL2405" i="1"/>
  <c r="AM683" i="1"/>
  <c r="AL683" i="1"/>
  <c r="AN683" i="1"/>
  <c r="AM442" i="1"/>
  <c r="AL442" i="1"/>
  <c r="AN442" i="1"/>
  <c r="AN1055" i="1"/>
  <c r="AM1055" i="1"/>
  <c r="AL1055" i="1"/>
  <c r="AM589" i="1"/>
  <c r="AL589" i="1"/>
  <c r="AN589" i="1"/>
  <c r="AL1821" i="1"/>
  <c r="AM1821" i="1"/>
  <c r="AN1821" i="1"/>
  <c r="AM454" i="1"/>
  <c r="AL454" i="1"/>
  <c r="AN454" i="1"/>
  <c r="AM1937" i="1"/>
  <c r="AL1937" i="1"/>
  <c r="AN1937" i="1"/>
  <c r="AM450" i="1"/>
  <c r="AL450" i="1"/>
  <c r="AN450" i="1"/>
  <c r="AN1000" i="1"/>
  <c r="AM1000" i="1"/>
  <c r="AL1000" i="1"/>
  <c r="AL217" i="1"/>
  <c r="AM217" i="1"/>
  <c r="AN217" i="1"/>
  <c r="AN1040" i="1"/>
  <c r="AM1040" i="1"/>
  <c r="AL1040" i="1"/>
  <c r="AM2041" i="1"/>
  <c r="AL2041" i="1"/>
  <c r="AN2041" i="1"/>
  <c r="AM479" i="1"/>
  <c r="AN479" i="1"/>
  <c r="AL479" i="1"/>
  <c r="AL953" i="1"/>
  <c r="AN953" i="1"/>
  <c r="AM953" i="1"/>
  <c r="AM3136" i="1"/>
  <c r="AN3136" i="1"/>
  <c r="AL3136" i="1"/>
  <c r="AM500" i="1"/>
  <c r="AL500" i="1"/>
  <c r="AN500" i="1"/>
  <c r="AN2809" i="1"/>
  <c r="AM2809" i="1"/>
  <c r="AL2809" i="1"/>
  <c r="AM588" i="1"/>
  <c r="AL588" i="1"/>
  <c r="AN588" i="1"/>
  <c r="AM2358" i="1"/>
  <c r="AL2358" i="1"/>
  <c r="AN2358" i="1"/>
  <c r="AM2739" i="1"/>
  <c r="AN2739" i="1"/>
  <c r="AL2739" i="1"/>
  <c r="AM1795" i="1"/>
  <c r="AN1795" i="1"/>
  <c r="AL1795" i="1"/>
  <c r="AN203" i="1"/>
  <c r="AM203" i="1"/>
  <c r="AL203" i="1"/>
  <c r="AL1355" i="1"/>
  <c r="AM1355" i="1"/>
  <c r="AN1355" i="1"/>
  <c r="AM2449" i="1"/>
  <c r="AL2449" i="1"/>
  <c r="AN2449" i="1"/>
  <c r="AL2379" i="1"/>
  <c r="AM2379" i="1"/>
  <c r="AN2379" i="1"/>
  <c r="AM1138" i="1"/>
  <c r="AL1138" i="1"/>
  <c r="AN1138" i="1"/>
  <c r="AN3103" i="1"/>
  <c r="AL3103" i="1"/>
  <c r="AM3103" i="1"/>
  <c r="AM3027" i="1"/>
  <c r="AN3027" i="1"/>
  <c r="AL3027" i="1"/>
  <c r="AM2581" i="1"/>
  <c r="AL2581" i="1"/>
  <c r="AN2581" i="1"/>
  <c r="AM1774" i="1"/>
  <c r="AL1774" i="1"/>
  <c r="AN1774" i="1"/>
  <c r="AM1818" i="1"/>
  <c r="AL1818" i="1"/>
  <c r="AN1818" i="1"/>
  <c r="AM3058" i="1"/>
  <c r="AN3058" i="1"/>
  <c r="AL3058" i="1"/>
  <c r="AM2869" i="1"/>
  <c r="AN2869" i="1"/>
  <c r="AL2869" i="1"/>
  <c r="AM2197" i="1"/>
  <c r="AL2197" i="1"/>
  <c r="AN2197" i="1"/>
  <c r="AL1941" i="1"/>
  <c r="AN1941" i="1"/>
  <c r="AM1941" i="1"/>
  <c r="AL2138" i="1"/>
  <c r="AM2138" i="1"/>
  <c r="AN2138" i="1"/>
  <c r="AM3059" i="1"/>
  <c r="AN3059" i="1"/>
  <c r="AL3059" i="1"/>
  <c r="AL1878" i="1"/>
  <c r="AM1878" i="1"/>
  <c r="AN1878" i="1"/>
  <c r="AL1817" i="1"/>
  <c r="AN1817" i="1"/>
  <c r="AM1817" i="1"/>
  <c r="AM569" i="1"/>
  <c r="AL569" i="1"/>
  <c r="AN569" i="1"/>
  <c r="AL2885" i="1"/>
  <c r="AM2885" i="1"/>
  <c r="AN2885" i="1"/>
  <c r="AL2478" i="1"/>
  <c r="AM2478" i="1"/>
  <c r="AN2478" i="1"/>
  <c r="AL704" i="1"/>
  <c r="AM704" i="1"/>
  <c r="AN704" i="1"/>
  <c r="AL1075" i="1"/>
  <c r="AN1075" i="1"/>
  <c r="AM1075" i="1"/>
  <c r="AL1469" i="1"/>
  <c r="AN1469" i="1"/>
  <c r="AM1469" i="1"/>
  <c r="AL2181" i="1"/>
  <c r="AM2181" i="1"/>
  <c r="AN2181" i="1"/>
  <c r="AN1031" i="1"/>
  <c r="AM1031" i="1"/>
  <c r="AL1031" i="1"/>
  <c r="AL2675" i="1"/>
  <c r="AM2675" i="1"/>
  <c r="AN2675" i="1"/>
  <c r="AL1177" i="1"/>
  <c r="AM1177" i="1"/>
  <c r="AN1177" i="1"/>
  <c r="AL694" i="1"/>
  <c r="AM694" i="1"/>
  <c r="AN694" i="1"/>
  <c r="AL1819" i="1"/>
  <c r="AM1819" i="1"/>
  <c r="AN1819" i="1"/>
  <c r="AM801" i="1"/>
  <c r="AL801" i="1"/>
  <c r="AN801" i="1"/>
  <c r="AM1183" i="1"/>
  <c r="AN1183" i="1"/>
  <c r="AL1183" i="1"/>
  <c r="AM1099" i="1"/>
  <c r="AL1099" i="1"/>
  <c r="AN1099" i="1"/>
  <c r="AM2159" i="1"/>
  <c r="AL2159" i="1"/>
  <c r="AN2159" i="1"/>
  <c r="AM1932" i="1"/>
  <c r="AN1932" i="1"/>
  <c r="AL1932" i="1"/>
  <c r="AL2770" i="1"/>
  <c r="AN2770" i="1"/>
  <c r="AM2770" i="1"/>
  <c r="AL706" i="1"/>
  <c r="AM706" i="1"/>
  <c r="AN706" i="1"/>
  <c r="AN1562" i="1"/>
  <c r="AM1562" i="1"/>
  <c r="AL1562" i="1"/>
  <c r="AL1855" i="1"/>
  <c r="AN1855" i="1"/>
  <c r="AM1855" i="1"/>
  <c r="AM1904" i="1"/>
  <c r="AN1904" i="1"/>
  <c r="AL1904" i="1"/>
  <c r="AM1442" i="1"/>
  <c r="AN1442" i="1"/>
  <c r="AL1442" i="1"/>
  <c r="AN1921" i="1"/>
  <c r="AM1921" i="1"/>
  <c r="AL1921" i="1"/>
  <c r="AM1885" i="1"/>
  <c r="AN1885" i="1"/>
  <c r="AL1885" i="1"/>
  <c r="AL1496" i="1"/>
  <c r="AN1496" i="1"/>
  <c r="AM1496" i="1"/>
  <c r="AM1962" i="1"/>
  <c r="AN1962" i="1"/>
  <c r="AL1962" i="1"/>
  <c r="AM484" i="1"/>
  <c r="AL484" i="1"/>
  <c r="AN484" i="1"/>
  <c r="AM1787" i="1"/>
  <c r="AL1787" i="1"/>
  <c r="AN1787" i="1"/>
  <c r="AM1993" i="1"/>
  <c r="AL1993" i="1"/>
  <c r="AN1993" i="1"/>
  <c r="AL1947" i="1"/>
  <c r="AN1947" i="1"/>
  <c r="AM1947" i="1"/>
  <c r="AM2283" i="1"/>
  <c r="AL2283" i="1"/>
  <c r="AN2283" i="1"/>
  <c r="AM2708" i="1"/>
  <c r="AN2708" i="1"/>
  <c r="AL2708" i="1"/>
  <c r="AL744" i="1"/>
  <c r="AM744" i="1"/>
  <c r="AN744" i="1"/>
  <c r="AM2331" i="1"/>
  <c r="AN2331" i="1"/>
  <c r="AL2331" i="1"/>
  <c r="AL576" i="1"/>
  <c r="AM576" i="1"/>
  <c r="AN576" i="1"/>
  <c r="AM2786" i="1"/>
  <c r="AN2786" i="1"/>
  <c r="AL2786" i="1"/>
  <c r="AL596" i="1"/>
  <c r="AM596" i="1"/>
  <c r="AN596" i="1"/>
  <c r="AN1420" i="1"/>
  <c r="AL1420" i="1"/>
  <c r="AM1420" i="1"/>
  <c r="AM1978" i="1"/>
  <c r="AN1978" i="1"/>
  <c r="AL1978" i="1"/>
  <c r="AL1990" i="1"/>
  <c r="AN1990" i="1"/>
  <c r="AM1990" i="1"/>
  <c r="AM2263" i="1"/>
  <c r="AN2263" i="1"/>
  <c r="AL2263" i="1"/>
  <c r="AL1513" i="1"/>
  <c r="AN1513" i="1"/>
  <c r="AM1513" i="1"/>
  <c r="AL1476" i="1"/>
  <c r="AM1476" i="1"/>
  <c r="AN1476" i="1"/>
  <c r="AM1748" i="1"/>
  <c r="AL1748" i="1"/>
  <c r="AN1748" i="1"/>
  <c r="AN1814" i="1"/>
  <c r="AL1814" i="1"/>
  <c r="AM1814" i="1"/>
  <c r="AN2970" i="1"/>
  <c r="AM2970" i="1"/>
  <c r="AL2970" i="1"/>
  <c r="AM2327" i="1"/>
  <c r="AL2327" i="1"/>
  <c r="AN2327" i="1"/>
  <c r="AL2555" i="1"/>
  <c r="AN2555" i="1"/>
  <c r="AM2555" i="1"/>
  <c r="AM497" i="1"/>
  <c r="AL497" i="1"/>
  <c r="AN497" i="1"/>
  <c r="AL493" i="1"/>
  <c r="AM493" i="1"/>
  <c r="AN493" i="1"/>
  <c r="AN2306" i="1"/>
  <c r="AL2306" i="1"/>
  <c r="AM2306" i="1"/>
  <c r="AM2286" i="1"/>
  <c r="AL2286" i="1"/>
  <c r="AN2286" i="1"/>
  <c r="AN1091" i="1"/>
  <c r="AM1091" i="1"/>
  <c r="AL1091" i="1"/>
  <c r="AL1414" i="1"/>
  <c r="AM1414" i="1"/>
  <c r="AN1414" i="1"/>
  <c r="AL662" i="1"/>
  <c r="AM662" i="1"/>
  <c r="AN662" i="1"/>
  <c r="AM2220" i="1"/>
  <c r="AN2220" i="1"/>
  <c r="AL2220" i="1"/>
  <c r="AN1813" i="1"/>
  <c r="AL1813" i="1"/>
  <c r="AM1813" i="1"/>
  <c r="AM1116" i="1"/>
  <c r="AL1116" i="1"/>
  <c r="AN1116" i="1"/>
  <c r="AM799" i="1"/>
  <c r="AL799" i="1"/>
  <c r="AN799" i="1"/>
  <c r="AM631" i="1"/>
  <c r="AL631" i="1"/>
  <c r="AN631" i="1"/>
  <c r="AL1497" i="1"/>
  <c r="AM1497" i="1"/>
  <c r="AN1497" i="1"/>
  <c r="AM1964" i="1"/>
  <c r="AN1964" i="1"/>
  <c r="AL1964" i="1"/>
  <c r="AL1178" i="1"/>
  <c r="AM1178" i="1"/>
  <c r="AN1178" i="1"/>
  <c r="AM3001" i="1"/>
  <c r="AN3001" i="1"/>
  <c r="AL3001" i="1"/>
  <c r="AM1991" i="1"/>
  <c r="AL1991" i="1"/>
  <c r="AN1991" i="1"/>
  <c r="AM773" i="1"/>
  <c r="AL773" i="1"/>
  <c r="AN773" i="1"/>
  <c r="AL1033" i="1"/>
  <c r="AM1033" i="1"/>
  <c r="AN1033" i="1"/>
  <c r="AL1281" i="1"/>
  <c r="AM1281" i="1"/>
  <c r="AN1281" i="1"/>
  <c r="AM448" i="1"/>
  <c r="AL448" i="1"/>
  <c r="AN448" i="1"/>
  <c r="AL1200" i="1"/>
  <c r="AN1200" i="1"/>
  <c r="AM1200" i="1"/>
  <c r="AL1339" i="1"/>
  <c r="AN1339" i="1"/>
  <c r="AM1339" i="1"/>
  <c r="AL784" i="1"/>
  <c r="AM784" i="1"/>
  <c r="AN784" i="1"/>
  <c r="AM2131" i="1"/>
  <c r="AN2131" i="1"/>
  <c r="AL2131" i="1"/>
  <c r="AL804" i="1"/>
  <c r="AM804" i="1"/>
  <c r="AN804" i="1"/>
  <c r="AM629" i="1"/>
  <c r="AL629" i="1"/>
  <c r="AN629" i="1"/>
  <c r="AM1136" i="1"/>
  <c r="AL1136" i="1"/>
  <c r="AN1136" i="1"/>
  <c r="AM1125" i="1"/>
  <c r="AL1125" i="1"/>
  <c r="AN1125" i="1"/>
  <c r="AM577" i="1"/>
  <c r="AL577" i="1"/>
  <c r="AN577" i="1"/>
  <c r="AN2439" i="1"/>
  <c r="AL2439" i="1"/>
  <c r="AM2439" i="1"/>
  <c r="AM1065" i="1"/>
  <c r="AN1065" i="1"/>
  <c r="AL1065" i="1"/>
  <c r="AL820" i="1"/>
  <c r="AM820" i="1"/>
  <c r="AN820" i="1"/>
  <c r="AM1908" i="1"/>
  <c r="AL1908" i="1"/>
  <c r="AN1908" i="1"/>
  <c r="AM1922" i="1"/>
  <c r="AL1922" i="1"/>
  <c r="AN1922" i="1"/>
  <c r="AL2539" i="1"/>
  <c r="AM2539" i="1"/>
  <c r="AN2539" i="1"/>
  <c r="AN2129" i="1"/>
  <c r="AL2129" i="1"/>
  <c r="AM2129" i="1"/>
  <c r="AM1996" i="1"/>
  <c r="AL1996" i="1"/>
  <c r="AN1996" i="1"/>
  <c r="AL1453" i="1"/>
  <c r="AM1453" i="1"/>
  <c r="AN1453" i="1"/>
  <c r="AM1463" i="1"/>
  <c r="AN1463" i="1"/>
  <c r="AL1463" i="1"/>
  <c r="AM1756" i="1"/>
  <c r="AL1756" i="1"/>
  <c r="AN1756" i="1"/>
  <c r="AL2368" i="1"/>
  <c r="AM2368" i="1"/>
  <c r="AN2368" i="1"/>
  <c r="AM800" i="1"/>
  <c r="AL800" i="1"/>
  <c r="AN800" i="1"/>
  <c r="AN1973" i="1"/>
  <c r="AL1973" i="1"/>
  <c r="AM1973" i="1"/>
  <c r="AL1495" i="1"/>
  <c r="AM1495" i="1"/>
  <c r="AN1495" i="1"/>
  <c r="AM2443" i="1"/>
  <c r="AN2443" i="1"/>
  <c r="AL2443" i="1"/>
  <c r="AM777" i="1"/>
  <c r="AL777" i="1"/>
  <c r="AN777" i="1"/>
  <c r="AN3080" i="1"/>
  <c r="AL3080" i="1"/>
  <c r="AM3080" i="1"/>
  <c r="AM2624" i="1"/>
  <c r="AL2624" i="1"/>
  <c r="AN2624" i="1"/>
  <c r="AL2471" i="1"/>
  <c r="AM2471" i="1"/>
  <c r="AN2471" i="1"/>
  <c r="AL3042" i="1"/>
  <c r="AM3042" i="1"/>
  <c r="AN3042" i="1"/>
  <c r="AL2272" i="1"/>
  <c r="AN2272" i="1"/>
  <c r="AM2272" i="1"/>
  <c r="AM2500" i="1"/>
  <c r="AL2500" i="1"/>
  <c r="AN2500" i="1"/>
  <c r="AN1049" i="1"/>
  <c r="AM1049" i="1"/>
  <c r="AL1049" i="1"/>
  <c r="AL2016" i="1"/>
  <c r="AM2016" i="1"/>
  <c r="AN2016" i="1"/>
  <c r="AM2320" i="1"/>
  <c r="AN2320" i="1"/>
  <c r="AL2320" i="1"/>
  <c r="AL1084" i="1"/>
  <c r="AM1084" i="1"/>
  <c r="AN1084" i="1"/>
  <c r="AM2043" i="1"/>
  <c r="AN2043" i="1"/>
  <c r="AL2043" i="1"/>
  <c r="AM2423" i="1"/>
  <c r="AL2423" i="1"/>
  <c r="AN2423" i="1"/>
  <c r="AM1143" i="1"/>
  <c r="AL1143" i="1"/>
  <c r="AN1143" i="1"/>
  <c r="AM2490" i="1"/>
  <c r="AL2490" i="1"/>
  <c r="AN2490" i="1"/>
  <c r="AM519" i="1"/>
  <c r="AL519" i="1"/>
  <c r="AN519" i="1"/>
  <c r="AL566" i="1"/>
  <c r="AM566" i="1"/>
  <c r="AN566" i="1"/>
  <c r="AN1362" i="1"/>
  <c r="AM1362" i="1"/>
  <c r="AL1362" i="1"/>
  <c r="AM763" i="1"/>
  <c r="AL763" i="1"/>
  <c r="AN763" i="1"/>
  <c r="AN756" i="1"/>
  <c r="AM756" i="1"/>
  <c r="AL756" i="1"/>
  <c r="AN1245" i="1"/>
  <c r="AL1245" i="1"/>
  <c r="AM1245" i="1"/>
  <c r="AL1845" i="1"/>
  <c r="AN1845" i="1"/>
  <c r="AM1845" i="1"/>
  <c r="AL742" i="1"/>
  <c r="AM742" i="1"/>
  <c r="AN742" i="1"/>
  <c r="AL594" i="1"/>
  <c r="AN594" i="1"/>
  <c r="AM594" i="1"/>
  <c r="AM2798" i="1"/>
  <c r="AL2798" i="1"/>
  <c r="AN2798" i="1"/>
  <c r="AM2009" i="1"/>
  <c r="AL2009" i="1"/>
  <c r="AN2009" i="1"/>
  <c r="AM2506" i="1"/>
  <c r="AN2506" i="1"/>
  <c r="AL2506" i="1"/>
  <c r="AN1988" i="1"/>
  <c r="AL1988" i="1"/>
  <c r="AM1988" i="1"/>
  <c r="AM605" i="1"/>
  <c r="AL605" i="1"/>
  <c r="AN605" i="1"/>
  <c r="AM2039" i="1"/>
  <c r="AL2039" i="1"/>
  <c r="AN2039" i="1"/>
  <c r="AL2620" i="1"/>
  <c r="AM2620" i="1"/>
  <c r="AN2620" i="1"/>
  <c r="AM2915" i="1"/>
  <c r="AN2915" i="1"/>
  <c r="AL2915" i="1"/>
  <c r="AL2645" i="1"/>
  <c r="AM2645" i="1"/>
  <c r="AN2645" i="1"/>
  <c r="AL690" i="1"/>
  <c r="AN690" i="1"/>
  <c r="AM690" i="1"/>
  <c r="AM1982" i="1"/>
  <c r="AL1982" i="1"/>
  <c r="AN1982" i="1"/>
  <c r="AL1877" i="1"/>
  <c r="AM1877" i="1"/>
  <c r="AN1877" i="1"/>
  <c r="AM502" i="1"/>
  <c r="AL502" i="1"/>
  <c r="AN502" i="1"/>
  <c r="AN1025" i="1"/>
  <c r="AM1025" i="1"/>
  <c r="AL1025" i="1"/>
  <c r="AL1826" i="1"/>
  <c r="AM1826" i="1"/>
  <c r="AN1826" i="1"/>
  <c r="AM2195" i="1"/>
  <c r="AL2195" i="1"/>
  <c r="AN2195" i="1"/>
  <c r="AM2047" i="1"/>
  <c r="AN2047" i="1"/>
  <c r="AL2047" i="1"/>
  <c r="AL1859" i="1"/>
  <c r="AM1859" i="1"/>
  <c r="AN1859" i="1"/>
  <c r="AL996" i="1"/>
  <c r="AM996" i="1"/>
  <c r="AN996" i="1"/>
  <c r="AL1263" i="1"/>
  <c r="AM1263" i="1"/>
  <c r="AN1263" i="1"/>
  <c r="AL1238" i="1"/>
  <c r="AM1238" i="1"/>
  <c r="AN1238" i="1"/>
  <c r="AN2210" i="1"/>
  <c r="AM2210" i="1"/>
  <c r="AL2210" i="1"/>
  <c r="AL1914" i="1"/>
  <c r="AM1914" i="1"/>
  <c r="AN1914" i="1"/>
  <c r="AM2049" i="1"/>
  <c r="AN2049" i="1"/>
  <c r="AL2049" i="1"/>
  <c r="AL2316" i="1"/>
  <c r="AN2316" i="1"/>
  <c r="AM2316" i="1"/>
  <c r="AL2382" i="1"/>
  <c r="AM2382" i="1"/>
  <c r="AN2382" i="1"/>
  <c r="AM2460" i="1"/>
  <c r="AL2460" i="1"/>
  <c r="AN2460" i="1"/>
  <c r="AM2599" i="1"/>
  <c r="AL2599" i="1"/>
  <c r="AN2599" i="1"/>
  <c r="AM2533" i="1"/>
  <c r="AL2533" i="1"/>
  <c r="AN2533" i="1"/>
  <c r="AL608" i="1"/>
  <c r="AM608" i="1"/>
  <c r="AN608" i="1"/>
  <c r="AL582" i="1"/>
  <c r="AN582" i="1"/>
  <c r="AM582" i="1"/>
  <c r="AN2335" i="1"/>
  <c r="AL2335" i="1"/>
  <c r="AM2335" i="1"/>
  <c r="AM780" i="1"/>
  <c r="AL780" i="1"/>
  <c r="AN780" i="1"/>
  <c r="AL2771" i="1"/>
  <c r="AN2771" i="1"/>
  <c r="AM2771" i="1"/>
  <c r="AM1189" i="1"/>
  <c r="AN1189" i="1"/>
  <c r="AL1189" i="1"/>
  <c r="AM2913" i="1"/>
  <c r="AL2913" i="1"/>
  <c r="AN2913" i="1"/>
  <c r="AN539" i="1"/>
  <c r="AL539" i="1"/>
  <c r="AM539" i="1"/>
  <c r="AN1001" i="1"/>
  <c r="AM1001" i="1"/>
  <c r="AL1001" i="1"/>
  <c r="AM2429" i="1"/>
  <c r="AL2429" i="1"/>
  <c r="AN2429" i="1"/>
  <c r="AL2886" i="1"/>
  <c r="AM2886" i="1"/>
  <c r="AN2886" i="1"/>
  <c r="AL2691" i="1"/>
  <c r="AM2691" i="1"/>
  <c r="AN2691" i="1"/>
  <c r="AL787" i="1"/>
  <c r="AM787" i="1"/>
  <c r="AN787" i="1"/>
  <c r="AL2014" i="1"/>
  <c r="AM2014" i="1"/>
  <c r="AN2014" i="1"/>
  <c r="AM2602" i="1"/>
  <c r="AL2602" i="1"/>
  <c r="AN2602" i="1"/>
  <c r="AL1132" i="1"/>
  <c r="AM1132" i="1"/>
  <c r="AN1132" i="1"/>
  <c r="AL1911" i="1"/>
  <c r="AM1911" i="1"/>
  <c r="AN1911" i="1"/>
  <c r="AN2174" i="1"/>
  <c r="AM2174" i="1"/>
  <c r="AL2174" i="1"/>
  <c r="AM1356" i="1"/>
  <c r="AL1356" i="1"/>
  <c r="AN1356" i="1"/>
  <c r="AN476" i="1"/>
  <c r="AL476" i="1"/>
  <c r="AM476" i="1"/>
  <c r="AN1809" i="1"/>
  <c r="AL1809" i="1"/>
  <c r="AM1809" i="1"/>
  <c r="AL1860" i="1"/>
  <c r="AM1860" i="1"/>
  <c r="AN1860" i="1"/>
  <c r="AM2592" i="1"/>
  <c r="AL2592" i="1"/>
  <c r="AN2592" i="1"/>
  <c r="AM1900" i="1"/>
  <c r="AL1900" i="1"/>
  <c r="AN1900" i="1"/>
  <c r="AL1916" i="1"/>
  <c r="AN1916" i="1"/>
  <c r="AM1916" i="1"/>
  <c r="AN2082" i="1"/>
  <c r="AL2082" i="1"/>
  <c r="AM2082" i="1"/>
  <c r="AL1943" i="1"/>
  <c r="AM1943" i="1"/>
  <c r="AN1943" i="1"/>
  <c r="AM626" i="1"/>
  <c r="AL626" i="1"/>
  <c r="AN626" i="1"/>
  <c r="AM1868" i="1"/>
  <c r="AL1868" i="1"/>
  <c r="AN1868" i="1"/>
  <c r="AM2626" i="1"/>
  <c r="AL2626" i="1"/>
  <c r="AN2626" i="1"/>
  <c r="AM2542" i="1"/>
  <c r="AL2542" i="1"/>
  <c r="AN2542" i="1"/>
  <c r="AL515" i="1"/>
  <c r="AM515" i="1"/>
  <c r="AN515" i="1"/>
  <c r="AN1835" i="1"/>
  <c r="AL1835" i="1"/>
  <c r="AM1835" i="1"/>
  <c r="AM3165" i="1"/>
  <c r="AL3165" i="1"/>
  <c r="AN3165" i="1"/>
  <c r="AL1203" i="1"/>
  <c r="AM1203" i="1"/>
  <c r="AN1203" i="1"/>
  <c r="AM1853" i="1"/>
  <c r="AN1853" i="1"/>
  <c r="AL1853" i="1"/>
  <c r="AM3184" i="1"/>
  <c r="AL3184" i="1"/>
  <c r="AN3184" i="1"/>
  <c r="AL1456" i="1"/>
  <c r="AM1456" i="1"/>
  <c r="AN1456" i="1"/>
  <c r="AM1906" i="1"/>
  <c r="AL1906" i="1"/>
  <c r="AN1906" i="1"/>
  <c r="AM1968" i="1"/>
  <c r="AL1968" i="1"/>
  <c r="AN1968" i="1"/>
  <c r="AL1854" i="1"/>
  <c r="AN1854" i="1"/>
  <c r="AM1854" i="1"/>
  <c r="AM611" i="1"/>
  <c r="AL611" i="1"/>
  <c r="AN611" i="1"/>
  <c r="AM1048" i="1"/>
  <c r="AN1048" i="1"/>
  <c r="AL1048" i="1"/>
  <c r="AM2640" i="1"/>
  <c r="AN2640" i="1"/>
  <c r="AL2640" i="1"/>
  <c r="AM2340" i="1"/>
  <c r="AN2340" i="1"/>
  <c r="AL2340" i="1"/>
  <c r="AM1261" i="1"/>
  <c r="AL1261" i="1"/>
  <c r="AN1261" i="1"/>
  <c r="AL487" i="1"/>
  <c r="AM487" i="1"/>
  <c r="AN487" i="1"/>
  <c r="AM673" i="1"/>
  <c r="AL673" i="1"/>
  <c r="AN673" i="1"/>
  <c r="AL1127" i="1"/>
  <c r="AM1127" i="1"/>
  <c r="AN1127" i="1"/>
  <c r="AM455" i="1"/>
  <c r="AL455" i="1"/>
  <c r="AN455" i="1"/>
  <c r="AN960" i="1"/>
  <c r="AM960" i="1"/>
  <c r="AL960" i="1"/>
  <c r="AL2028" i="1"/>
  <c r="AN2028" i="1"/>
  <c r="AM2028" i="1"/>
  <c r="AM1897" i="1"/>
  <c r="AL1897" i="1"/>
  <c r="AN1897" i="1"/>
  <c r="AL2136" i="1"/>
  <c r="AM2136" i="1"/>
  <c r="AN2136" i="1"/>
  <c r="AL663" i="1"/>
  <c r="AM663" i="1"/>
  <c r="AN663" i="1"/>
  <c r="AM672" i="1"/>
  <c r="AL672" i="1"/>
  <c r="AN672" i="1"/>
  <c r="AM2742" i="1"/>
  <c r="AN2742" i="1"/>
  <c r="AL2742" i="1"/>
  <c r="AM2855" i="1"/>
  <c r="AL2855" i="1"/>
  <c r="AN2855" i="1"/>
  <c r="AN1042" i="1"/>
  <c r="AM1042" i="1"/>
  <c r="AL1042" i="1"/>
  <c r="AL1417" i="1"/>
  <c r="AM1417" i="1"/>
  <c r="AN1417" i="1"/>
  <c r="AM3034" i="1"/>
  <c r="AL3034" i="1"/>
  <c r="AN3034" i="1"/>
  <c r="AM3151" i="1"/>
  <c r="AN3151" i="1"/>
  <c r="AL3151" i="1"/>
  <c r="AM2060" i="1"/>
  <c r="AN2060" i="1"/>
  <c r="AL2060" i="1"/>
  <c r="AN2410" i="1"/>
  <c r="AM2410" i="1"/>
  <c r="AL2410" i="1"/>
  <c r="AN2128" i="1"/>
  <c r="AL2128" i="1"/>
  <c r="AM2128" i="1"/>
  <c r="AN1184" i="1"/>
  <c r="AL1184" i="1"/>
  <c r="AM1184" i="1"/>
  <c r="AN2415" i="1"/>
  <c r="AL2415" i="1"/>
  <c r="AM2415" i="1"/>
  <c r="AL492" i="1"/>
  <c r="AM492" i="1"/>
  <c r="AN492" i="1"/>
  <c r="AM2677" i="1"/>
  <c r="AN2677" i="1"/>
  <c r="AL2677" i="1"/>
  <c r="AL1876" i="1"/>
  <c r="AM1876" i="1"/>
  <c r="AN1876" i="1"/>
  <c r="AN1274" i="1"/>
  <c r="AL1274" i="1"/>
  <c r="AM1274" i="1"/>
  <c r="AN1865" i="1"/>
  <c r="AL1865" i="1"/>
  <c r="AM1865" i="1"/>
  <c r="AM1087" i="1"/>
  <c r="AN1087" i="1"/>
  <c r="AL1087" i="1"/>
  <c r="AM2229" i="1"/>
  <c r="AL2229" i="1"/>
  <c r="AN2229" i="1"/>
  <c r="AM2503" i="1"/>
  <c r="AL2503" i="1"/>
  <c r="AN2503" i="1"/>
  <c r="AM1006" i="1"/>
  <c r="AL1006" i="1"/>
  <c r="AN1006" i="1"/>
  <c r="AM2619" i="1"/>
  <c r="AL2619" i="1"/>
  <c r="AN2619" i="1"/>
  <c r="AL424" i="1"/>
  <c r="AM424" i="1"/>
  <c r="AN424" i="1"/>
  <c r="AM3057" i="1"/>
  <c r="AN3057" i="1"/>
  <c r="AL3057" i="1"/>
  <c r="AM419" i="1"/>
  <c r="AL419" i="1"/>
  <c r="AN419" i="1"/>
  <c r="AM574" i="1"/>
  <c r="AL574" i="1"/>
  <c r="AN574" i="1"/>
  <c r="AM3094" i="1"/>
  <c r="AL3094" i="1"/>
  <c r="AN3094" i="1"/>
  <c r="AM480" i="1"/>
  <c r="AL480" i="1"/>
  <c r="AN480" i="1"/>
  <c r="AL462" i="1"/>
  <c r="AM462" i="1"/>
  <c r="AN462" i="1"/>
  <c r="AM2591" i="1"/>
  <c r="AN2591" i="1"/>
  <c r="AL2591" i="1"/>
  <c r="AM3037" i="1"/>
  <c r="AL3037" i="1"/>
  <c r="AN3037" i="1"/>
  <c r="AN1468" i="1"/>
  <c r="AL1468" i="1"/>
  <c r="AM1468" i="1"/>
  <c r="AM2646" i="1"/>
  <c r="AN2646" i="1"/>
  <c r="AL2646" i="1"/>
  <c r="AL2559" i="1"/>
  <c r="AN2559" i="1"/>
  <c r="AM2559" i="1"/>
  <c r="AM1338" i="1"/>
  <c r="AN1338" i="1"/>
  <c r="AL1338" i="1"/>
  <c r="AN2127" i="1"/>
  <c r="AL2127" i="1"/>
  <c r="AM2127" i="1"/>
  <c r="AN2541" i="1"/>
  <c r="AL2541" i="1"/>
  <c r="AM2541" i="1"/>
  <c r="AM1487" i="1"/>
  <c r="AL1487" i="1"/>
  <c r="AN1487" i="1"/>
  <c r="AL2575" i="1"/>
  <c r="AN2575" i="1"/>
  <c r="AM2575" i="1"/>
  <c r="AL2597" i="1"/>
  <c r="AN2597" i="1"/>
  <c r="AM2597" i="1"/>
  <c r="AM951" i="1"/>
  <c r="AL951" i="1"/>
  <c r="AN951" i="1"/>
  <c r="AM1482" i="1"/>
  <c r="AL1482" i="1"/>
  <c r="AN1482" i="1"/>
  <c r="AM3178" i="1"/>
  <c r="AL3178" i="1"/>
  <c r="AN3178" i="1"/>
  <c r="AM1567" i="1"/>
  <c r="AN1567" i="1"/>
  <c r="AL1567" i="1"/>
  <c r="AM3163" i="1"/>
  <c r="AL3163" i="1"/>
  <c r="AN3163" i="1"/>
  <c r="AM3152" i="1"/>
  <c r="AN3152" i="1"/>
  <c r="AL3152" i="1"/>
  <c r="AM1759" i="1"/>
  <c r="AL1759" i="1"/>
  <c r="AN1759" i="1"/>
  <c r="AN1260" i="1"/>
  <c r="AM1260" i="1"/>
  <c r="AL1260" i="1"/>
  <c r="AM543" i="1"/>
  <c r="AL543" i="1"/>
  <c r="AN543" i="1"/>
  <c r="AM2948" i="1"/>
  <c r="AL2948" i="1"/>
  <c r="AN2948" i="1"/>
  <c r="AM2152" i="1"/>
  <c r="AN2152" i="1"/>
  <c r="AL2152" i="1"/>
  <c r="AM679" i="1"/>
  <c r="AL679" i="1"/>
  <c r="AN679" i="1"/>
  <c r="AL786" i="1"/>
  <c r="AM786" i="1"/>
  <c r="AN786" i="1"/>
  <c r="AN1438" i="1"/>
  <c r="AM1438" i="1"/>
  <c r="AL1438" i="1"/>
  <c r="AL1410" i="1"/>
  <c r="AN1410" i="1"/>
  <c r="AM1410" i="1"/>
  <c r="AL1735" i="1"/>
  <c r="AM1735" i="1"/>
  <c r="AN1735" i="1"/>
  <c r="AN572" i="1"/>
  <c r="AM572" i="1"/>
  <c r="AL572" i="1"/>
  <c r="AN1102" i="1"/>
  <c r="AM1102" i="1"/>
  <c r="AL1102" i="1"/>
  <c r="AM3185" i="1"/>
  <c r="AL3185" i="1"/>
  <c r="AN3185" i="1"/>
  <c r="AL1751" i="1"/>
  <c r="AM1751" i="1"/>
  <c r="AN1751" i="1"/>
  <c r="AL2637" i="1"/>
  <c r="AM2637" i="1"/>
  <c r="AN2637" i="1"/>
  <c r="AM2124" i="1"/>
  <c r="AN2124" i="1"/>
  <c r="AL2124" i="1"/>
  <c r="AM1464" i="1"/>
  <c r="AN1464" i="1"/>
  <c r="AL1464" i="1"/>
  <c r="AM2507" i="1"/>
  <c r="AL2507" i="1"/>
  <c r="AN2507" i="1"/>
  <c r="AL2068" i="1"/>
  <c r="AN2068" i="1"/>
  <c r="AM2068" i="1"/>
  <c r="AM2264" i="1"/>
  <c r="AL2264" i="1"/>
  <c r="AN2264" i="1"/>
  <c r="AL789" i="1"/>
  <c r="AN789" i="1"/>
  <c r="AM789" i="1"/>
  <c r="AM681" i="1"/>
  <c r="AL681" i="1"/>
  <c r="AN681" i="1"/>
  <c r="AN1287" i="1"/>
  <c r="AM1287" i="1"/>
  <c r="AL1287" i="1"/>
  <c r="AM2823" i="1"/>
  <c r="AN2823" i="1"/>
  <c r="AL2823" i="1"/>
  <c r="AL770" i="1"/>
  <c r="AN770" i="1"/>
  <c r="AM770" i="1"/>
  <c r="AL595" i="1"/>
  <c r="AM595" i="1"/>
  <c r="AN595" i="1"/>
  <c r="AM1176" i="1"/>
  <c r="AL1176" i="1"/>
  <c r="AN1176" i="1"/>
  <c r="AL669" i="1"/>
  <c r="AM669" i="1"/>
  <c r="AN669" i="1"/>
  <c r="AN2722" i="1"/>
  <c r="AL2722" i="1"/>
  <c r="AM2722" i="1"/>
  <c r="AN1002" i="1"/>
  <c r="AM1002" i="1"/>
  <c r="AL1002" i="1"/>
  <c r="AL1301" i="1"/>
  <c r="AM1301" i="1"/>
  <c r="AN1301" i="1"/>
  <c r="AL425" i="1"/>
  <c r="AM425" i="1"/>
  <c r="AN425" i="1"/>
  <c r="AL642" i="1"/>
  <c r="AM642" i="1"/>
  <c r="AN642" i="1"/>
  <c r="AN1880" i="1"/>
  <c r="AL1880" i="1"/>
  <c r="AM1880" i="1"/>
  <c r="AN760" i="1"/>
  <c r="AL760" i="1"/>
  <c r="AM760" i="1"/>
  <c r="AL1159" i="1"/>
  <c r="AM1159" i="1"/>
  <c r="AN1159" i="1"/>
  <c r="AL3043" i="1"/>
  <c r="AM3043" i="1"/>
  <c r="AN3043" i="1"/>
  <c r="AM521" i="1"/>
  <c r="AL521" i="1"/>
  <c r="AN521" i="1"/>
  <c r="AM3173" i="1"/>
  <c r="AN3173" i="1"/>
  <c r="AL3173" i="1"/>
  <c r="AM708" i="1"/>
  <c r="AL708" i="1"/>
  <c r="AN708" i="1"/>
  <c r="AM656" i="1"/>
  <c r="AN656" i="1"/>
  <c r="AL656" i="1"/>
  <c r="AM529" i="1"/>
  <c r="AL529" i="1"/>
  <c r="AN529" i="1"/>
  <c r="AM2536" i="1"/>
  <c r="AN2536" i="1"/>
  <c r="AL2536" i="1"/>
  <c r="AN2653" i="1"/>
  <c r="AM2653" i="1"/>
  <c r="AL2653" i="1"/>
  <c r="AL705" i="1"/>
  <c r="AN705" i="1"/>
  <c r="AM705" i="1"/>
  <c r="AN1295" i="1"/>
  <c r="AL1295" i="1"/>
  <c r="AM1295" i="1"/>
  <c r="AM2223" i="1"/>
  <c r="AN2223" i="1"/>
  <c r="AL2223" i="1"/>
  <c r="AM2672" i="1"/>
  <c r="AL2672" i="1"/>
  <c r="AN2672" i="1"/>
  <c r="AM646" i="1"/>
  <c r="AL646" i="1"/>
  <c r="AN646" i="1"/>
  <c r="AL1512" i="1"/>
  <c r="AN1512" i="1"/>
  <c r="AM1512" i="1"/>
  <c r="AL2035" i="1"/>
  <c r="AM2035" i="1"/>
  <c r="AN2035" i="1"/>
  <c r="AM2148" i="1"/>
  <c r="AN2148" i="1"/>
  <c r="AL2148" i="1"/>
  <c r="AN2336" i="1"/>
  <c r="AL2336" i="1"/>
  <c r="AM2336" i="1"/>
  <c r="AN2812" i="1"/>
  <c r="AL2812" i="1"/>
  <c r="AM2812" i="1"/>
  <c r="AN2080" i="1"/>
  <c r="AM2080" i="1"/>
  <c r="AL2080" i="1"/>
  <c r="AN1071" i="1"/>
  <c r="AM1071" i="1"/>
  <c r="AL1071" i="1"/>
  <c r="AM2622" i="1"/>
  <c r="AL2622" i="1"/>
  <c r="AN2622" i="1"/>
  <c r="AN2773" i="1"/>
  <c r="AM2773" i="1"/>
  <c r="AL2773" i="1"/>
  <c r="AN2725" i="1"/>
  <c r="AL2725" i="1"/>
  <c r="AM2725" i="1"/>
  <c r="AM2424" i="1"/>
  <c r="AL2424" i="1"/>
  <c r="AN2424" i="1"/>
  <c r="AL1789" i="1"/>
  <c r="AN1789" i="1"/>
  <c r="AM1789" i="1"/>
  <c r="AL2621" i="1"/>
  <c r="AM2621" i="1"/>
  <c r="AN2621" i="1"/>
  <c r="AM2745" i="1"/>
  <c r="AN2745" i="1"/>
  <c r="AL2745" i="1"/>
  <c r="AN985" i="1"/>
  <c r="AM985" i="1"/>
  <c r="AL985" i="1"/>
  <c r="AL1292" i="1"/>
  <c r="AN1292" i="1"/>
  <c r="AM1292" i="1"/>
  <c r="AM2881" i="1"/>
  <c r="AN2881" i="1"/>
  <c r="AL2881" i="1"/>
  <c r="AM2201" i="1"/>
  <c r="AL2201" i="1"/>
  <c r="AN2201" i="1"/>
  <c r="AM3142" i="1"/>
  <c r="AL3142" i="1"/>
  <c r="AN3142" i="1"/>
  <c r="AL1895" i="1"/>
  <c r="AM1895" i="1"/>
  <c r="AN1895" i="1"/>
  <c r="AM2502" i="1"/>
  <c r="AN2502" i="1"/>
  <c r="AL2502" i="1"/>
  <c r="AM684" i="1"/>
  <c r="AL684" i="1"/>
  <c r="AN684" i="1"/>
  <c r="AM2625" i="1"/>
  <c r="AL2625" i="1"/>
  <c r="AN2625" i="1"/>
  <c r="AL2513" i="1"/>
  <c r="AM2513" i="1"/>
  <c r="AN2513" i="1"/>
  <c r="AN1736" i="1"/>
  <c r="AM1736" i="1"/>
  <c r="AL1736" i="1"/>
  <c r="AN2600" i="1"/>
  <c r="AM2600" i="1"/>
  <c r="AL2600" i="1"/>
  <c r="AN2596" i="1"/>
  <c r="AM2596" i="1"/>
  <c r="AL2596" i="1"/>
  <c r="AN1098" i="1"/>
  <c r="AM1098" i="1"/>
  <c r="AL1098" i="1"/>
  <c r="AM1297" i="1"/>
  <c r="AL1297" i="1"/>
  <c r="AN1297" i="1"/>
  <c r="AM1742" i="1"/>
  <c r="AN1742" i="1"/>
  <c r="AL1742" i="1"/>
  <c r="AL1226" i="1"/>
  <c r="AM1226" i="1"/>
  <c r="AN1226" i="1"/>
  <c r="AL1350" i="1"/>
  <c r="AM1350" i="1"/>
  <c r="AN1350" i="1"/>
  <c r="AN3078" i="1"/>
  <c r="AL3078" i="1"/>
  <c r="AM3078" i="1"/>
  <c r="AM599" i="1"/>
  <c r="AL599" i="1"/>
  <c r="AN599" i="1"/>
  <c r="AL1299" i="1"/>
  <c r="AN1299" i="1"/>
  <c r="AM1299" i="1"/>
  <c r="AM3140" i="1"/>
  <c r="AN3140" i="1"/>
  <c r="AL3140" i="1"/>
  <c r="AM2030" i="1"/>
  <c r="AL2030" i="1"/>
  <c r="AN2030" i="1"/>
  <c r="AM3081" i="1"/>
  <c r="AN3081" i="1"/>
  <c r="AL3081" i="1"/>
  <c r="AM2996" i="1"/>
  <c r="AN2996" i="1"/>
  <c r="AL2996" i="1"/>
  <c r="AM528" i="1"/>
  <c r="AL528" i="1"/>
  <c r="AN528" i="1"/>
  <c r="AM2644" i="1"/>
  <c r="AN2644" i="1"/>
  <c r="AL2644" i="1"/>
  <c r="AM2664" i="1"/>
  <c r="AL2664" i="1"/>
  <c r="AN2664" i="1"/>
  <c r="AL532" i="1"/>
  <c r="AN532" i="1"/>
  <c r="AM532" i="1"/>
  <c r="AM2684" i="1"/>
  <c r="AL2684" i="1"/>
  <c r="AN2684" i="1"/>
  <c r="AM2045" i="1"/>
  <c r="AN2045" i="1"/>
  <c r="AL2045" i="1"/>
  <c r="AN427" i="1"/>
  <c r="AM427" i="1"/>
  <c r="AL427" i="1"/>
  <c r="AM622" i="1"/>
  <c r="AL622" i="1"/>
  <c r="AN622" i="1"/>
  <c r="AN1028" i="1"/>
  <c r="AL1028" i="1"/>
  <c r="AM1028" i="1"/>
  <c r="AM686" i="1"/>
  <c r="AL686" i="1"/>
  <c r="AN686" i="1"/>
  <c r="AM630" i="1"/>
  <c r="AL630" i="1"/>
  <c r="AN630" i="1"/>
  <c r="AM624" i="1"/>
  <c r="AL624" i="1"/>
  <c r="AN624" i="1"/>
  <c r="AL1126" i="1"/>
  <c r="AM1126" i="1"/>
  <c r="AN1126" i="1"/>
  <c r="AL2696" i="1"/>
  <c r="AM2696" i="1"/>
  <c r="AN2696" i="1"/>
  <c r="AL2418" i="1"/>
  <c r="AM2418" i="1"/>
  <c r="AN2418" i="1"/>
  <c r="AL2815" i="1"/>
  <c r="AN2815" i="1"/>
  <c r="AM2815" i="1"/>
  <c r="AM2384" i="1"/>
  <c r="AN2384" i="1"/>
  <c r="AL2384" i="1"/>
  <c r="AL2956" i="1"/>
  <c r="AM2956" i="1"/>
  <c r="AN2956" i="1"/>
  <c r="AN1842" i="1"/>
  <c r="AL1842" i="1"/>
  <c r="AM1842" i="1"/>
  <c r="AL1389" i="1"/>
  <c r="AM1389" i="1"/>
  <c r="AN1389" i="1"/>
  <c r="AL689" i="1"/>
  <c r="AN689" i="1"/>
  <c r="AM689" i="1"/>
  <c r="AL1384" i="1"/>
  <c r="AM1384" i="1"/>
  <c r="AN1384" i="1"/>
  <c r="AM3156" i="1"/>
  <c r="AN3156" i="1"/>
  <c r="AL3156" i="1"/>
  <c r="AN1294" i="1"/>
  <c r="AL1294" i="1"/>
  <c r="AM1294" i="1"/>
  <c r="AL1134" i="1"/>
  <c r="AM1134" i="1"/>
  <c r="AN1134" i="1"/>
  <c r="AL2795" i="1"/>
  <c r="AM2795" i="1"/>
  <c r="AN2795" i="1"/>
  <c r="AN1864" i="1"/>
  <c r="AM1864" i="1"/>
  <c r="AL1864" i="1"/>
  <c r="AM2255" i="1"/>
  <c r="AN2255" i="1"/>
  <c r="AL2255" i="1"/>
  <c r="AM3133" i="1"/>
  <c r="AN3133" i="1"/>
  <c r="AL3133" i="1"/>
  <c r="AL1390" i="1"/>
  <c r="AM1390" i="1"/>
  <c r="AN1390" i="1"/>
  <c r="AM952" i="1"/>
  <c r="AL952" i="1"/>
  <c r="AN952" i="1"/>
  <c r="AM2501" i="1"/>
  <c r="AL2501" i="1"/>
  <c r="AN2501" i="1"/>
  <c r="AN2964" i="1"/>
  <c r="AL2964" i="1"/>
  <c r="AM2964" i="1"/>
  <c r="AL1334" i="1"/>
  <c r="AN1334" i="1"/>
  <c r="AM1334" i="1"/>
  <c r="AN437" i="1"/>
  <c r="AM437" i="1"/>
  <c r="AL437" i="1"/>
  <c r="AL806" i="1"/>
  <c r="AM806" i="1"/>
  <c r="AN806" i="1"/>
  <c r="AM2254" i="1"/>
  <c r="AL2254" i="1"/>
  <c r="AN2254" i="1"/>
  <c r="AN2437" i="1"/>
  <c r="AM2437" i="1"/>
  <c r="AL2437" i="1"/>
  <c r="AM567" i="1"/>
  <c r="AL567" i="1"/>
  <c r="AN567" i="1"/>
  <c r="AM584" i="1"/>
  <c r="AL584" i="1"/>
  <c r="AN584" i="1"/>
  <c r="AL2469" i="1"/>
  <c r="AM2469" i="1"/>
  <c r="AN2469" i="1"/>
  <c r="AM602" i="1"/>
  <c r="AN602" i="1"/>
  <c r="AL602" i="1"/>
  <c r="AL2441" i="1"/>
  <c r="AM2441" i="1"/>
  <c r="AN2441" i="1"/>
  <c r="AM2274" i="1"/>
  <c r="AL2274" i="1"/>
  <c r="AN2274" i="1"/>
  <c r="AM623" i="1"/>
  <c r="AL623" i="1"/>
  <c r="AN623" i="1"/>
  <c r="AM3012" i="1"/>
  <c r="AN3012" i="1"/>
  <c r="AL3012" i="1"/>
  <c r="AL1866" i="1"/>
  <c r="AN1866" i="1"/>
  <c r="AM1866" i="1"/>
  <c r="AM1278" i="1"/>
  <c r="AN1278" i="1"/>
  <c r="AL1278" i="1"/>
  <c r="AM570" i="1"/>
  <c r="AL570" i="1"/>
  <c r="AN570" i="1"/>
  <c r="AM782" i="1"/>
  <c r="AL782" i="1"/>
  <c r="AN782" i="1"/>
  <c r="AM3171" i="1"/>
  <c r="AN3171" i="1"/>
  <c r="AL3171" i="1"/>
  <c r="AM651" i="1"/>
  <c r="AN651" i="1"/>
  <c r="AL651" i="1"/>
  <c r="AM761" i="1"/>
  <c r="AN761" i="1"/>
  <c r="AL761" i="1"/>
  <c r="AM1848" i="1"/>
  <c r="AL1848" i="1"/>
  <c r="AN1848" i="1"/>
  <c r="AL805" i="1"/>
  <c r="AM805" i="1"/>
  <c r="AN805" i="1"/>
  <c r="AM1188" i="1"/>
  <c r="AL1188" i="1"/>
  <c r="AN1188" i="1"/>
  <c r="AM591" i="1"/>
  <c r="AL591" i="1"/>
  <c r="AN591" i="1"/>
  <c r="AN1257" i="1"/>
  <c r="AM1257" i="1"/>
  <c r="AL1257" i="1"/>
  <c r="AL752" i="1"/>
  <c r="AM752" i="1"/>
  <c r="AN752" i="1"/>
  <c r="AL792" i="1"/>
  <c r="AM792" i="1"/>
  <c r="AN792" i="1"/>
  <c r="AM1427" i="1"/>
  <c r="AL1427" i="1"/>
  <c r="AN1427" i="1"/>
  <c r="AM2648" i="1"/>
  <c r="AN2648" i="1"/>
  <c r="AL2648" i="1"/>
  <c r="AL661" i="1"/>
  <c r="AN661" i="1"/>
  <c r="AM661" i="1"/>
  <c r="AM1505" i="1"/>
  <c r="AL1505" i="1"/>
  <c r="AN1505" i="1"/>
  <c r="AM3112" i="1"/>
  <c r="AL3112" i="1"/>
  <c r="AN3112" i="1"/>
  <c r="AM3162" i="1"/>
  <c r="AL3162" i="1"/>
  <c r="AN3162" i="1"/>
  <c r="AM551" i="1"/>
  <c r="AL551" i="1"/>
  <c r="AN551" i="1"/>
  <c r="AM1220" i="1"/>
  <c r="AN1220" i="1"/>
  <c r="AL1220" i="1"/>
  <c r="AL1336" i="1"/>
  <c r="AN1336" i="1"/>
  <c r="AM1336" i="1"/>
  <c r="AM422" i="1"/>
  <c r="AL422" i="1"/>
  <c r="AN422" i="1"/>
  <c r="AN1096" i="1"/>
  <c r="AM1096" i="1"/>
  <c r="AL1096" i="1"/>
  <c r="AN1961" i="1"/>
  <c r="AM1961" i="1"/>
  <c r="AL1961" i="1"/>
  <c r="AL3009" i="1"/>
  <c r="AM3009" i="1"/>
  <c r="AN3009" i="1"/>
  <c r="AL2036" i="1"/>
  <c r="AM2036" i="1"/>
  <c r="AN2036" i="1"/>
  <c r="AN428" i="1"/>
  <c r="AM428" i="1"/>
  <c r="AL428" i="1"/>
  <c r="AM2021" i="1"/>
  <c r="AL2021" i="1"/>
  <c r="AN2021" i="1"/>
  <c r="AL491" i="1"/>
  <c r="AM491" i="1"/>
  <c r="AN491" i="1"/>
  <c r="AN1739" i="1"/>
  <c r="AM1739" i="1"/>
  <c r="AL1739" i="1"/>
  <c r="AN3107" i="1"/>
  <c r="AL3107" i="1"/>
  <c r="AM3107" i="1"/>
  <c r="AN2768" i="1"/>
  <c r="AM2768" i="1"/>
  <c r="AL2768" i="1"/>
  <c r="AN3117" i="1"/>
  <c r="AM3117" i="1"/>
  <c r="AL3117" i="1"/>
  <c r="AN971" i="1"/>
  <c r="AM971" i="1"/>
  <c r="AL971" i="1"/>
  <c r="AM1992" i="1"/>
  <c r="AL1992" i="1"/>
  <c r="AN1992" i="1"/>
  <c r="AM3179" i="1"/>
  <c r="AL3179" i="1"/>
  <c r="AN3179" i="1"/>
  <c r="AM1820" i="1"/>
  <c r="AN1820" i="1"/>
  <c r="AL1820" i="1"/>
  <c r="AL2474" i="1"/>
  <c r="AN2474" i="1"/>
  <c r="AM2474" i="1"/>
  <c r="AM2312" i="1"/>
  <c r="AL2312" i="1"/>
  <c r="AN2312" i="1"/>
  <c r="AM814" i="1"/>
  <c r="AL814" i="1"/>
  <c r="AN814" i="1"/>
  <c r="AM1193" i="1"/>
  <c r="AL1193" i="1"/>
  <c r="AN1193" i="1"/>
  <c r="AN1285" i="1"/>
  <c r="AL1285" i="1"/>
  <c r="AM1285" i="1"/>
  <c r="AL2403" i="1"/>
  <c r="AM2403" i="1"/>
  <c r="AN2403" i="1"/>
  <c r="AM2744" i="1"/>
  <c r="AL2744" i="1"/>
  <c r="AN2744" i="1"/>
  <c r="AM2157" i="1"/>
  <c r="AN2157" i="1"/>
  <c r="AL2157" i="1"/>
  <c r="AM2657" i="1"/>
  <c r="AL2657" i="1"/>
  <c r="AN2657" i="1"/>
  <c r="AN1917" i="1"/>
  <c r="AM1917" i="1"/>
  <c r="AL1917" i="1"/>
  <c r="AN1788" i="1"/>
  <c r="AM1788" i="1"/>
  <c r="AL1788" i="1"/>
  <c r="AL2445" i="1"/>
  <c r="AM2445" i="1"/>
  <c r="AN2445" i="1"/>
  <c r="AM2924" i="1"/>
  <c r="AL2924" i="1"/>
  <c r="AN2924" i="1"/>
  <c r="AL808" i="1"/>
  <c r="AM808" i="1"/>
  <c r="AN808" i="1"/>
  <c r="AM2447" i="1"/>
  <c r="AL2447" i="1"/>
  <c r="AN2447" i="1"/>
  <c r="AM1119" i="1"/>
  <c r="AL1119" i="1"/>
  <c r="AN1119" i="1"/>
  <c r="AM1746" i="1"/>
  <c r="AL1746" i="1"/>
  <c r="AN1746" i="1"/>
  <c r="AM1407" i="1"/>
  <c r="AN1407" i="1"/>
  <c r="AL1407" i="1"/>
  <c r="AM1927" i="1"/>
  <c r="AN1927" i="1"/>
  <c r="AL1927" i="1"/>
  <c r="AN1282" i="1"/>
  <c r="AL1282" i="1"/>
  <c r="AM1282" i="1"/>
  <c r="AL1421" i="1"/>
  <c r="AM1421" i="1"/>
  <c r="AN1421" i="1"/>
  <c r="AM3137" i="1"/>
  <c r="AN3137" i="1"/>
  <c r="AL3137" i="1"/>
  <c r="AM678" i="1"/>
  <c r="AL678" i="1"/>
  <c r="AN678" i="1"/>
  <c r="AM774" i="1"/>
  <c r="AL774" i="1"/>
  <c r="AN774" i="1"/>
  <c r="AM1094" i="1"/>
  <c r="AN1094" i="1"/>
  <c r="AL1094" i="1"/>
  <c r="AM751" i="1"/>
  <c r="AL751" i="1"/>
  <c r="AN751" i="1"/>
  <c r="AN1064" i="1"/>
  <c r="AM1064" i="1"/>
  <c r="AL1064" i="1"/>
  <c r="AN2668" i="1"/>
  <c r="AL2668" i="1"/>
  <c r="AM2668" i="1"/>
  <c r="AL665" i="1"/>
  <c r="AM665" i="1"/>
  <c r="AN665" i="1"/>
  <c r="AM2952" i="1"/>
  <c r="AL2952" i="1"/>
  <c r="AN2952" i="1"/>
  <c r="AN961" i="1"/>
  <c r="AM961" i="1"/>
  <c r="AL961" i="1"/>
  <c r="AL2213" i="1"/>
  <c r="AM2213" i="1"/>
  <c r="AN2213" i="1"/>
  <c r="AM1142" i="1"/>
  <c r="AL1142" i="1"/>
  <c r="AN1142" i="1"/>
  <c r="AM2780" i="1"/>
  <c r="AL2780" i="1"/>
  <c r="AN2780" i="1"/>
  <c r="AN1021" i="1"/>
  <c r="AM1021" i="1"/>
  <c r="AL1021" i="1"/>
  <c r="AL1046" i="1"/>
  <c r="AM1046" i="1"/>
  <c r="AN1046" i="1"/>
  <c r="AM2825" i="1"/>
  <c r="AN2825" i="1"/>
  <c r="AL2825" i="1"/>
  <c r="AM2923" i="1"/>
  <c r="AL2923" i="1"/>
  <c r="AN2923" i="1"/>
  <c r="AM1228" i="1"/>
  <c r="AL1228" i="1"/>
  <c r="AN1228" i="1"/>
  <c r="AM1501" i="1"/>
  <c r="AN1501" i="1"/>
  <c r="AL1501" i="1"/>
  <c r="AM2192" i="1"/>
  <c r="AN2192" i="1"/>
  <c r="AL2192" i="1"/>
  <c r="AL2216" i="1"/>
  <c r="AN2216" i="1"/>
  <c r="AM2216" i="1"/>
  <c r="AN1560" i="1"/>
  <c r="AM1560" i="1"/>
  <c r="AL1560" i="1"/>
  <c r="AN2678" i="1"/>
  <c r="AL2678" i="1"/>
  <c r="AM2678" i="1"/>
  <c r="AM2740" i="1"/>
  <c r="AN2740" i="1"/>
  <c r="AL2740" i="1"/>
  <c r="AL640" i="1"/>
  <c r="AM640" i="1"/>
  <c r="AN640" i="1"/>
  <c r="AM2588" i="1"/>
  <c r="AN2588" i="1"/>
  <c r="AL2588" i="1"/>
  <c r="AL2182" i="1"/>
  <c r="AM2182" i="1"/>
  <c r="AN2182" i="1"/>
  <c r="AM3052" i="1"/>
  <c r="AL3052" i="1"/>
  <c r="AN3052" i="1"/>
  <c r="AM2001" i="1"/>
  <c r="AN2001" i="1"/>
  <c r="AL2001" i="1"/>
  <c r="AM3047" i="1"/>
  <c r="AL3047" i="1"/>
  <c r="AN3047" i="1"/>
  <c r="AM1141" i="1"/>
  <c r="AL1141" i="1"/>
  <c r="AN1141" i="1"/>
  <c r="AL1979" i="1"/>
  <c r="AM1979" i="1"/>
  <c r="AN1979" i="1"/>
  <c r="AL1209" i="1"/>
  <c r="AM1209" i="1"/>
  <c r="AN1209" i="1"/>
  <c r="AM1484" i="1"/>
  <c r="AL1484" i="1"/>
  <c r="AN1484" i="1"/>
  <c r="AN1752" i="1"/>
  <c r="AM1752" i="1"/>
  <c r="AL1752" i="1"/>
  <c r="AM810" i="1"/>
  <c r="AL810" i="1"/>
  <c r="AN810" i="1"/>
  <c r="AL691" i="1"/>
  <c r="AN691" i="1"/>
  <c r="AM691" i="1"/>
  <c r="AL1264" i="1"/>
  <c r="AM1264" i="1"/>
  <c r="AN1264" i="1"/>
  <c r="AN972" i="1"/>
  <c r="AM972" i="1"/>
  <c r="AL972" i="1"/>
  <c r="AM1757" i="1"/>
  <c r="AL1757" i="1"/>
  <c r="AN1757" i="1"/>
  <c r="AL2361" i="1"/>
  <c r="AN2361" i="1"/>
  <c r="AM2361" i="1"/>
  <c r="AM2314" i="1"/>
  <c r="AL2314" i="1"/>
  <c r="AN2314" i="1"/>
  <c r="AM675" i="1"/>
  <c r="AL675" i="1"/>
  <c r="AN675" i="1"/>
  <c r="AL795" i="1"/>
  <c r="AN795" i="1"/>
  <c r="AM795" i="1"/>
  <c r="AL659" i="1"/>
  <c r="AM659" i="1"/>
  <c r="AN659" i="1"/>
  <c r="AM1734" i="1"/>
  <c r="AN1734" i="1"/>
  <c r="AL1734" i="1"/>
  <c r="AM2663" i="1"/>
  <c r="AL2663" i="1"/>
  <c r="AN2663" i="1"/>
  <c r="AN2295" i="1"/>
  <c r="AL2295" i="1"/>
  <c r="AM2295" i="1"/>
  <c r="AM507" i="1"/>
  <c r="AL507" i="1"/>
  <c r="AN507" i="1"/>
  <c r="AN2242" i="1"/>
  <c r="AM2242" i="1"/>
  <c r="AL2242" i="1"/>
  <c r="AL1277" i="1"/>
  <c r="AN1277" i="1"/>
  <c r="AM1277" i="1"/>
  <c r="AM575" i="1"/>
  <c r="AL575" i="1"/>
  <c r="AN575" i="1"/>
  <c r="AN965" i="1"/>
  <c r="AL965" i="1"/>
  <c r="AM965" i="1"/>
  <c r="AN2126" i="1"/>
  <c r="AM2126" i="1"/>
  <c r="AL2126" i="1"/>
  <c r="AL2954" i="1"/>
  <c r="AM2954" i="1"/>
  <c r="AN2954" i="1"/>
  <c r="AM2583" i="1"/>
  <c r="AL2583" i="1"/>
  <c r="AN2583" i="1"/>
  <c r="AM1798" i="1"/>
  <c r="AL1798" i="1"/>
  <c r="AN1798" i="1"/>
  <c r="AM1207" i="1"/>
  <c r="AN1207" i="1"/>
  <c r="AL1207" i="1"/>
  <c r="AM1986" i="1"/>
  <c r="AL1986" i="1"/>
  <c r="AN1986" i="1"/>
  <c r="AM1034" i="1"/>
  <c r="AN1034" i="1"/>
  <c r="AL1034" i="1"/>
  <c r="AN537" i="1"/>
  <c r="AL537" i="1"/>
  <c r="AM537" i="1"/>
  <c r="AL737" i="1"/>
  <c r="AM737" i="1"/>
  <c r="AN737" i="1"/>
  <c r="AL1218" i="1"/>
  <c r="AM1218" i="1"/>
  <c r="AN1218" i="1"/>
  <c r="AM3023" i="1"/>
  <c r="AN3023" i="1"/>
  <c r="AL3023" i="1"/>
  <c r="AL733" i="1"/>
  <c r="AM733" i="1"/>
  <c r="AN733" i="1"/>
  <c r="AL823" i="1"/>
  <c r="AN823" i="1"/>
  <c r="AM823" i="1"/>
  <c r="AN1844" i="1"/>
  <c r="AL1844" i="1"/>
  <c r="AM1844" i="1"/>
  <c r="AL3013" i="1"/>
  <c r="AM3013" i="1"/>
  <c r="AN3013" i="1"/>
  <c r="AN969" i="1"/>
  <c r="AM969" i="1"/>
  <c r="AL969" i="1"/>
  <c r="AM2227" i="1"/>
  <c r="AL2227" i="1"/>
  <c r="AN2227" i="1"/>
  <c r="AL1896" i="1"/>
  <c r="AN1896" i="1"/>
  <c r="AM1896" i="1"/>
  <c r="AL2679" i="1"/>
  <c r="AM2679" i="1"/>
  <c r="AN2679" i="1"/>
  <c r="AL1950" i="1"/>
  <c r="AM1950" i="1"/>
  <c r="AN1950" i="1"/>
  <c r="AM3180" i="1"/>
  <c r="AL3180" i="1"/>
  <c r="AN3180" i="1"/>
  <c r="AM585" i="1"/>
  <c r="AL585" i="1"/>
  <c r="AN585" i="1"/>
  <c r="AM1847" i="1"/>
  <c r="AL1847" i="1"/>
  <c r="AN1847" i="1"/>
  <c r="AM2054" i="1"/>
  <c r="AN2054" i="1"/>
  <c r="AL2054" i="1"/>
  <c r="AL1514" i="1"/>
  <c r="AN1514" i="1"/>
  <c r="AM1514" i="1"/>
  <c r="AM2808" i="1"/>
  <c r="AL2808" i="1"/>
  <c r="AN2808" i="1"/>
  <c r="AM2724" i="1"/>
  <c r="AN2724" i="1"/>
  <c r="AL2724" i="1"/>
  <c r="AM430" i="1"/>
  <c r="AL430" i="1"/>
  <c r="AN430" i="1"/>
  <c r="AN1005" i="1"/>
  <c r="AM1005" i="1"/>
  <c r="AL1005" i="1"/>
  <c r="AM2155" i="1"/>
  <c r="AN2155" i="1"/>
  <c r="AL2155" i="1"/>
  <c r="AN2406" i="1"/>
  <c r="AM2406" i="1"/>
  <c r="AL2406" i="1"/>
  <c r="AM2509" i="1"/>
  <c r="AL2509" i="1"/>
  <c r="AN2509" i="1"/>
  <c r="AL2250" i="1"/>
  <c r="AN2250" i="1"/>
  <c r="AM2250" i="1"/>
  <c r="AN968" i="1"/>
  <c r="AM968" i="1"/>
  <c r="AL968" i="1"/>
  <c r="AM731" i="1"/>
  <c r="AL731" i="1"/>
  <c r="AN731" i="1"/>
  <c r="AM2149" i="1"/>
  <c r="AN2149" i="1"/>
  <c r="AL2149" i="1"/>
  <c r="AL2247" i="1"/>
  <c r="AN2247" i="1"/>
  <c r="AM2247" i="1"/>
  <c r="AM1255" i="1"/>
  <c r="AN1255" i="1"/>
  <c r="AL1255" i="1"/>
  <c r="AL816" i="1"/>
  <c r="AM816" i="1"/>
  <c r="AN816" i="1"/>
  <c r="AN2252" i="1"/>
  <c r="AL2252" i="1"/>
  <c r="AM2252" i="1"/>
  <c r="AM2709" i="1"/>
  <c r="AL2709" i="1"/>
  <c r="AN2709" i="1"/>
  <c r="AM1480" i="1"/>
  <c r="AL1480" i="1"/>
  <c r="AN1480" i="1"/>
  <c r="AN1945" i="1"/>
  <c r="AL1945" i="1"/>
  <c r="AM1945" i="1"/>
  <c r="AM2206" i="1"/>
  <c r="AL2206" i="1"/>
  <c r="AN2206" i="1"/>
  <c r="AL1474" i="1"/>
  <c r="AM1474" i="1"/>
  <c r="AN1474" i="1"/>
  <c r="AM1462" i="1"/>
  <c r="AN1462" i="1"/>
  <c r="AL1462" i="1"/>
  <c r="AN2511" i="1"/>
  <c r="AM2511" i="1"/>
  <c r="AL2511" i="1"/>
  <c r="AM3182" i="1"/>
  <c r="AL3182" i="1"/>
  <c r="AN3182" i="1"/>
  <c r="AN2551" i="1"/>
  <c r="AL2551" i="1"/>
  <c r="AM2551" i="1"/>
  <c r="AM2208" i="1"/>
  <c r="AL2208" i="1"/>
  <c r="AN2208" i="1"/>
  <c r="AN1837" i="1"/>
  <c r="AL1837" i="1"/>
  <c r="AM1837" i="1"/>
  <c r="AN1331" i="1"/>
  <c r="AM1331" i="1"/>
  <c r="AL1331" i="1"/>
  <c r="AL783" i="1"/>
  <c r="AM783" i="1"/>
  <c r="AN783" i="1"/>
  <c r="AM2156" i="1"/>
  <c r="AN2156" i="1"/>
  <c r="AL2156" i="1"/>
  <c r="AM1958" i="1"/>
  <c r="AN1958" i="1"/>
  <c r="AL1958" i="1"/>
  <c r="AL1400" i="1"/>
  <c r="AM1400" i="1"/>
  <c r="AN1400" i="1"/>
  <c r="AN955" i="1"/>
  <c r="AL955" i="1"/>
  <c r="AM955" i="1"/>
  <c r="AM1204" i="1"/>
  <c r="AL1204" i="1"/>
  <c r="AN1204" i="1"/>
  <c r="AM1899" i="1"/>
  <c r="AL1899" i="1"/>
  <c r="AN1899" i="1"/>
  <c r="AN477" i="1"/>
  <c r="AM477" i="1"/>
  <c r="AL477" i="1"/>
  <c r="AM1429" i="1"/>
  <c r="AL1429" i="1"/>
  <c r="AN1429" i="1"/>
  <c r="AL2280" i="1"/>
  <c r="AM2280" i="1"/>
  <c r="AN2280" i="1"/>
  <c r="AL822" i="1"/>
  <c r="AN822" i="1"/>
  <c r="AM822" i="1"/>
  <c r="AM523" i="1"/>
  <c r="AL523" i="1"/>
  <c r="AN523" i="1"/>
  <c r="AM1967" i="1"/>
  <c r="AL1967" i="1"/>
  <c r="AN1967" i="1"/>
  <c r="AN1015" i="1"/>
  <c r="AM1015" i="1"/>
  <c r="AL1015" i="1"/>
  <c r="AL609" i="1"/>
  <c r="AM609" i="1"/>
  <c r="AN609" i="1"/>
  <c r="AM525" i="1"/>
  <c r="AL525" i="1"/>
  <c r="AN525" i="1"/>
  <c r="AL2778" i="1"/>
  <c r="AM2778" i="1"/>
  <c r="AN2778" i="1"/>
  <c r="AN1919" i="1"/>
  <c r="AM1919" i="1"/>
  <c r="AL1919" i="1"/>
  <c r="AM3083" i="1"/>
  <c r="AL3083" i="1"/>
  <c r="AN3083" i="1"/>
  <c r="AM967" i="1"/>
  <c r="AL967" i="1"/>
  <c r="AN967" i="1"/>
  <c r="AM1799" i="1"/>
  <c r="AL1799" i="1"/>
  <c r="AN1799" i="1"/>
  <c r="AN1081" i="1"/>
  <c r="AM1081" i="1"/>
  <c r="AL1081" i="1"/>
  <c r="AM1481" i="1"/>
  <c r="AL1481" i="1"/>
  <c r="AN1481" i="1"/>
  <c r="AM503" i="1"/>
  <c r="AL503" i="1"/>
  <c r="AN503" i="1"/>
  <c r="AM2207" i="1"/>
  <c r="AL2207" i="1"/>
  <c r="AN2207" i="1"/>
  <c r="AN644" i="1"/>
  <c r="AL644" i="1"/>
  <c r="AM644" i="1"/>
  <c r="AM3168" i="1"/>
  <c r="AN3168" i="1"/>
  <c r="AL3168" i="1"/>
  <c r="AM2746" i="1"/>
  <c r="AL2746" i="1"/>
  <c r="AN2746" i="1"/>
  <c r="AM604" i="1"/>
  <c r="AN604" i="1"/>
  <c r="AL604" i="1"/>
  <c r="AN3174" i="1"/>
  <c r="AM3174" i="1"/>
  <c r="AL3174" i="1"/>
  <c r="AL798" i="1"/>
  <c r="AM798" i="1"/>
  <c r="AN798" i="1"/>
  <c r="AL1858" i="1"/>
  <c r="AM1858" i="1"/>
  <c r="AN1858" i="1"/>
  <c r="AL699" i="1"/>
  <c r="AN699" i="1"/>
  <c r="AM699" i="1"/>
  <c r="AM2916" i="1"/>
  <c r="AN2916" i="1"/>
  <c r="AL2916" i="1"/>
  <c r="AL2830" i="1"/>
  <c r="AM2830" i="1"/>
  <c r="AN2830" i="1"/>
  <c r="AM2311" i="1"/>
  <c r="AL2311" i="1"/>
  <c r="AN2311" i="1"/>
  <c r="AL2475" i="1"/>
  <c r="AN2475" i="1"/>
  <c r="AM2475" i="1"/>
  <c r="AM1889" i="1"/>
  <c r="AN1889" i="1"/>
  <c r="AL1889" i="1"/>
  <c r="AM445" i="1"/>
  <c r="AL445" i="1"/>
  <c r="AN445" i="1"/>
  <c r="AM2020" i="1"/>
  <c r="AL2020" i="1"/>
  <c r="AN2020" i="1"/>
  <c r="AM598" i="1"/>
  <c r="AL598" i="1"/>
  <c r="AN598" i="1"/>
  <c r="AL2273" i="1"/>
  <c r="AN2273" i="1"/>
  <c r="AM2273" i="1"/>
  <c r="AM1930" i="1"/>
  <c r="AN1930" i="1"/>
  <c r="AL1930" i="1"/>
  <c r="AL2276" i="1"/>
  <c r="AN2276" i="1"/>
  <c r="AM2276" i="1"/>
  <c r="AL984" i="1"/>
  <c r="AM984" i="1"/>
  <c r="AN984" i="1"/>
  <c r="AM1861" i="1"/>
  <c r="AL1861" i="1"/>
  <c r="AN1861" i="1"/>
  <c r="AL750" i="1"/>
  <c r="AN750" i="1"/>
  <c r="AM750" i="1"/>
  <c r="AM628" i="1"/>
  <c r="AL628" i="1"/>
  <c r="AN628" i="1"/>
  <c r="AN2529" i="1"/>
  <c r="AL2529" i="1"/>
  <c r="AM2529" i="1"/>
  <c r="AL2137" i="1"/>
  <c r="AM2137" i="1"/>
  <c r="AN2137" i="1"/>
  <c r="AM2505" i="1"/>
  <c r="AL2505" i="1"/>
  <c r="AN2505" i="1"/>
  <c r="AL1873" i="1"/>
  <c r="AM1873" i="1"/>
  <c r="AN1873" i="1"/>
  <c r="AM443" i="1"/>
  <c r="AL443" i="1"/>
  <c r="AN443" i="1"/>
  <c r="AM650" i="1"/>
  <c r="AL650" i="1"/>
  <c r="AN650" i="1"/>
  <c r="AL612" i="1"/>
  <c r="AM612" i="1"/>
  <c r="AN612" i="1"/>
  <c r="AL2177" i="1"/>
  <c r="AM2177" i="1"/>
  <c r="AN2177" i="1"/>
  <c r="AM3097" i="1"/>
  <c r="AL3097" i="1"/>
  <c r="AN3097" i="1"/>
  <c r="AM2322" i="1"/>
  <c r="AN2322" i="1"/>
  <c r="AL2322" i="1"/>
  <c r="AL216" i="1"/>
  <c r="AN216" i="1"/>
  <c r="AM216" i="1"/>
  <c r="AN1050" i="1"/>
  <c r="AM1050" i="1"/>
  <c r="AL1050" i="1"/>
  <c r="AM1398" i="1"/>
  <c r="AL1398" i="1"/>
  <c r="AN1398" i="1"/>
  <c r="AL1074" i="1"/>
  <c r="AN1074" i="1"/>
  <c r="AM1074" i="1"/>
  <c r="AM1016" i="1"/>
  <c r="AL1016" i="1"/>
  <c r="AN1016" i="1"/>
  <c r="AM2427" i="1"/>
  <c r="AL2427" i="1"/>
  <c r="AN2427" i="1"/>
  <c r="AL2134" i="1"/>
  <c r="AM2134" i="1"/>
  <c r="AN2134" i="1"/>
  <c r="AL2140" i="1"/>
  <c r="AM2140" i="1"/>
  <c r="AN2140" i="1"/>
  <c r="AM2448" i="1"/>
  <c r="AL2448" i="1"/>
  <c r="AN2448" i="1"/>
  <c r="AM2477" i="1"/>
  <c r="AL2477" i="1"/>
  <c r="AN2477" i="1"/>
  <c r="AM2175" i="1"/>
  <c r="AL2175" i="1"/>
  <c r="AN2175" i="1"/>
  <c r="AN986" i="1"/>
  <c r="AM986" i="1"/>
  <c r="AL986" i="1"/>
  <c r="AM2023" i="1"/>
  <c r="AL2023" i="1"/>
  <c r="AN2023" i="1"/>
  <c r="AL463" i="1"/>
  <c r="AM463" i="1"/>
  <c r="AN463" i="1"/>
  <c r="AM653" i="1"/>
  <c r="AN653" i="1"/>
  <c r="AL653" i="1"/>
  <c r="AL2829" i="1"/>
  <c r="AM2829" i="1"/>
  <c r="AN2829" i="1"/>
  <c r="AM2940" i="1"/>
  <c r="AL2940" i="1"/>
  <c r="AN2940" i="1"/>
  <c r="AM1191" i="1"/>
  <c r="AN1191" i="1"/>
  <c r="AL1191" i="1"/>
  <c r="AN438" i="1"/>
  <c r="AM438" i="1"/>
  <c r="AL438" i="1"/>
  <c r="AM2494" i="1"/>
  <c r="AL2494" i="1"/>
  <c r="AN2494" i="1"/>
  <c r="AM1566" i="1"/>
  <c r="AN1566" i="1"/>
  <c r="AL1566" i="1"/>
  <c r="AM527" i="1"/>
  <c r="AN527" i="1"/>
  <c r="AL527" i="1"/>
  <c r="AL828" i="1"/>
  <c r="AN828" i="1"/>
  <c r="AM828" i="1"/>
  <c r="AN1443" i="1"/>
  <c r="AL1443" i="1"/>
  <c r="AM1443" i="1"/>
  <c r="AN1024" i="1"/>
  <c r="AM1024" i="1"/>
  <c r="AL1024" i="1"/>
  <c r="AM2285" i="1"/>
  <c r="AL2285" i="1"/>
  <c r="AN2285" i="1"/>
  <c r="AM2194" i="1"/>
  <c r="AL2194" i="1"/>
  <c r="AN2194" i="1"/>
  <c r="AN3175" i="1"/>
  <c r="AM3175" i="1"/>
  <c r="AL3175" i="1"/>
  <c r="AM2004" i="1"/>
  <c r="AN2004" i="1"/>
  <c r="AL2004" i="1"/>
  <c r="AN1265" i="1"/>
  <c r="AM1265" i="1"/>
  <c r="AL1265" i="1"/>
  <c r="AL1490" i="1"/>
  <c r="AM1490" i="1"/>
  <c r="AN1490" i="1"/>
  <c r="AN1329" i="1"/>
  <c r="AL1329" i="1"/>
  <c r="AM1329" i="1"/>
  <c r="AM1517" i="1"/>
  <c r="AN1517" i="1"/>
  <c r="AL1517" i="1"/>
  <c r="AN2334" i="1"/>
  <c r="AM2334" i="1"/>
  <c r="AL2334" i="1"/>
  <c r="AM2975" i="1"/>
  <c r="AL2975" i="1"/>
  <c r="AN2975" i="1"/>
  <c r="AL2326" i="1"/>
  <c r="AN2326" i="1"/>
  <c r="AM2326" i="1"/>
  <c r="AN990" i="1"/>
  <c r="AM990" i="1"/>
  <c r="AL990" i="1"/>
  <c r="AM2623" i="1"/>
  <c r="AL2623" i="1"/>
  <c r="AN2623" i="1"/>
  <c r="AL490" i="1"/>
  <c r="AM490" i="1"/>
  <c r="AN490" i="1"/>
  <c r="AN966" i="1"/>
  <c r="AM966" i="1"/>
  <c r="AL966" i="1"/>
  <c r="AM3028" i="1"/>
  <c r="AL3028" i="1"/>
  <c r="AN3028" i="1"/>
  <c r="AM2939" i="1"/>
  <c r="AN2939" i="1"/>
  <c r="AL2939" i="1"/>
  <c r="AN2654" i="1"/>
  <c r="AM2654" i="1"/>
  <c r="AL2654" i="1"/>
  <c r="AM3095" i="1"/>
  <c r="AN3095" i="1"/>
  <c r="AL3095" i="1"/>
  <c r="AN1890" i="1"/>
  <c r="AM1890" i="1"/>
  <c r="AL1890" i="1"/>
  <c r="AM3183" i="1"/>
  <c r="AL3183" i="1"/>
  <c r="AN3183" i="1"/>
  <c r="AM2707" i="1"/>
  <c r="AN2707" i="1"/>
  <c r="AL2707" i="1"/>
  <c r="AL541" i="1"/>
  <c r="AM541" i="1"/>
  <c r="AN541" i="1"/>
  <c r="AL2782" i="1"/>
  <c r="AM2782" i="1"/>
  <c r="AN2782" i="1"/>
  <c r="AM498" i="1"/>
  <c r="AL498" i="1"/>
  <c r="AN498" i="1"/>
  <c r="AM657" i="1"/>
  <c r="AN657" i="1"/>
  <c r="AL657" i="1"/>
  <c r="AM2540" i="1"/>
  <c r="AL2540" i="1"/>
  <c r="AN2540" i="1"/>
  <c r="AL435" i="1"/>
  <c r="AM435" i="1"/>
  <c r="AN435" i="1"/>
  <c r="AL2767" i="1"/>
  <c r="AM2767" i="1"/>
  <c r="AN2767" i="1"/>
  <c r="AM2701" i="1"/>
  <c r="AL2701" i="1"/>
  <c r="AN2701" i="1"/>
  <c r="AM2143" i="1"/>
  <c r="AL2143" i="1"/>
  <c r="AN2143" i="1"/>
  <c r="AN1426" i="1"/>
  <c r="AL1426" i="1"/>
  <c r="AM1426" i="1"/>
  <c r="AN1561" i="1"/>
  <c r="AL1561" i="1"/>
  <c r="AM1561" i="1"/>
  <c r="AM2837" i="1"/>
  <c r="AN2837" i="1"/>
  <c r="AL2837" i="1"/>
  <c r="AL1110" i="1"/>
  <c r="AN1110" i="1"/>
  <c r="AM1110" i="1"/>
  <c r="AN1244" i="1"/>
  <c r="AM1244" i="1"/>
  <c r="AL1244" i="1"/>
  <c r="AM2337" i="1"/>
  <c r="AN2337" i="1"/>
  <c r="AL2337" i="1"/>
  <c r="AL2972" i="1"/>
  <c r="AM2972" i="1"/>
  <c r="AN2972" i="1"/>
  <c r="AL610" i="1"/>
  <c r="AN610" i="1"/>
  <c r="AM610" i="1"/>
  <c r="AN2170" i="1"/>
  <c r="AL2170" i="1"/>
  <c r="AM2170" i="1"/>
  <c r="AL2261" i="1"/>
  <c r="AM2261" i="1"/>
  <c r="AN2261" i="1"/>
  <c r="AL1129" i="1"/>
  <c r="AM1129" i="1"/>
  <c r="AN1129" i="1"/>
  <c r="AN538" i="1"/>
  <c r="AL538" i="1"/>
  <c r="AM538" i="1"/>
  <c r="AN434" i="1"/>
  <c r="AM434" i="1"/>
  <c r="AL434" i="1"/>
  <c r="AL2472" i="1"/>
  <c r="AM2472" i="1"/>
  <c r="AN2472" i="1"/>
  <c r="AM1018" i="1"/>
  <c r="AL1018" i="1"/>
  <c r="AN1018" i="1"/>
  <c r="AM2329" i="1"/>
  <c r="AN2329" i="1"/>
  <c r="AL2329" i="1"/>
  <c r="AM2784" i="1"/>
  <c r="AN2784" i="1"/>
  <c r="AL2784" i="1"/>
  <c r="AN1097" i="1"/>
  <c r="AM1097" i="1"/>
  <c r="AL1097" i="1"/>
  <c r="AL2139" i="1"/>
  <c r="AM2139" i="1"/>
  <c r="AN2139" i="1"/>
  <c r="AM2017" i="1"/>
  <c r="AL2017" i="1"/>
  <c r="AN2017" i="1"/>
  <c r="AL1036" i="1"/>
  <c r="AN1036" i="1"/>
  <c r="AM1036" i="1"/>
  <c r="AM2656" i="1"/>
  <c r="AL2656" i="1"/>
  <c r="AN2656" i="1"/>
  <c r="AL2450" i="1"/>
  <c r="AM2450" i="1"/>
  <c r="AN2450" i="1"/>
  <c r="AM3024" i="1"/>
  <c r="AL3024" i="1"/>
  <c r="AN3024" i="1"/>
  <c r="AL2828" i="1"/>
  <c r="AM2828" i="1"/>
  <c r="AN2828" i="1"/>
  <c r="AL2377" i="1"/>
  <c r="AM2377" i="1"/>
  <c r="AN2377" i="1"/>
  <c r="AM1846" i="1"/>
  <c r="AL1846" i="1"/>
  <c r="AN1846" i="1"/>
  <c r="AM3030" i="1"/>
  <c r="AL3030" i="1"/>
  <c r="AN3030" i="1"/>
  <c r="AM3172" i="1"/>
  <c r="AN3172" i="1"/>
  <c r="AL3172" i="1"/>
  <c r="AM1920" i="1"/>
  <c r="AL1920" i="1"/>
  <c r="AN1920" i="1"/>
  <c r="AM2050" i="1"/>
  <c r="AN2050" i="1"/>
  <c r="AL2050" i="1"/>
  <c r="AN1027" i="1"/>
  <c r="AL1027" i="1"/>
  <c r="AM1027" i="1"/>
  <c r="AM1960" i="1"/>
  <c r="AL1960" i="1"/>
  <c r="AN1960" i="1"/>
  <c r="AM2130" i="1"/>
  <c r="AL2130" i="1"/>
  <c r="AN2130" i="1"/>
  <c r="AN1023" i="1"/>
  <c r="AM1023" i="1"/>
  <c r="AL1023" i="1"/>
  <c r="AL1173" i="1"/>
  <c r="AM1173" i="1"/>
  <c r="AN1173" i="1"/>
  <c r="AM702" i="1"/>
  <c r="AL702" i="1"/>
  <c r="AN702" i="1"/>
  <c r="AM446" i="1"/>
  <c r="AL446" i="1"/>
  <c r="AN446" i="1"/>
  <c r="AM1100" i="1"/>
  <c r="AN1100" i="1"/>
  <c r="AL1100" i="1"/>
  <c r="AM1439" i="1"/>
  <c r="AN1439" i="1"/>
  <c r="AL1439" i="1"/>
  <c r="AN645" i="1"/>
  <c r="AM645" i="1"/>
  <c r="AL645" i="1"/>
  <c r="AL579" i="1"/>
  <c r="AM579" i="1"/>
  <c r="AN579" i="1"/>
  <c r="AL666" i="1"/>
  <c r="AM666" i="1"/>
  <c r="AN666" i="1"/>
  <c r="AL1777" i="1"/>
  <c r="AM1777" i="1"/>
  <c r="AN1777" i="1"/>
  <c r="AL2360" i="1"/>
  <c r="AM2360" i="1"/>
  <c r="AN2360" i="1"/>
  <c r="AL817" i="1"/>
  <c r="AM817" i="1"/>
  <c r="AN817" i="1"/>
  <c r="AM1903" i="1"/>
  <c r="AN1903" i="1"/>
  <c r="AL1903" i="1"/>
  <c r="AN1032" i="1"/>
  <c r="AM1032" i="1"/>
  <c r="AL1032" i="1"/>
  <c r="AN1056" i="1"/>
  <c r="AM1056" i="1"/>
  <c r="AL1056" i="1"/>
  <c r="AM2628" i="1"/>
  <c r="AN2628" i="1"/>
  <c r="AL2628" i="1"/>
  <c r="AM2766" i="1"/>
  <c r="AL2766" i="1"/>
  <c r="AN2766" i="1"/>
  <c r="AN1985" i="1"/>
  <c r="AL1985" i="1"/>
  <c r="AM1985" i="1"/>
  <c r="AM3166" i="1"/>
  <c r="AN3166" i="1"/>
  <c r="AL3166" i="1"/>
  <c r="AL1754" i="1"/>
  <c r="AM1754" i="1"/>
  <c r="AN1754" i="1"/>
  <c r="AM2338" i="1"/>
  <c r="AL2338" i="1"/>
  <c r="AN2338" i="1"/>
  <c r="AM3150" i="1"/>
  <c r="AL3150" i="1"/>
  <c r="AN3150" i="1"/>
  <c r="AN2838" i="1"/>
  <c r="AM2838" i="1"/>
  <c r="AL2838" i="1"/>
  <c r="AM1486" i="1"/>
  <c r="AL1486" i="1"/>
  <c r="AN1486" i="1"/>
  <c r="AL2468" i="1"/>
  <c r="AM2468" i="1"/>
  <c r="AN2468" i="1"/>
  <c r="AM1219" i="1"/>
  <c r="AL1219" i="1"/>
  <c r="AN1219" i="1"/>
  <c r="AL2531" i="1"/>
  <c r="AN2531" i="1"/>
  <c r="AM2531" i="1"/>
  <c r="AM2951" i="1"/>
  <c r="AL2951" i="1"/>
  <c r="AN2951" i="1"/>
  <c r="AM1148" i="1"/>
  <c r="AL1148" i="1"/>
  <c r="AN1148" i="1"/>
  <c r="AM2150" i="1"/>
  <c r="AN2150" i="1"/>
  <c r="AL2150" i="1"/>
  <c r="AN1516" i="1"/>
  <c r="AL1516" i="1"/>
  <c r="AM1516" i="1"/>
  <c r="AL670" i="1"/>
  <c r="AM670" i="1"/>
  <c r="AN670" i="1"/>
  <c r="AM2941" i="1"/>
  <c r="AN2941" i="1"/>
  <c r="AL2941" i="1"/>
  <c r="AL741" i="1"/>
  <c r="AM741" i="1"/>
  <c r="AN741" i="1"/>
  <c r="AL1248" i="1"/>
  <c r="AM1248" i="1"/>
  <c r="AN1248" i="1"/>
  <c r="AM827" i="1"/>
  <c r="AN827" i="1"/>
  <c r="AL827" i="1"/>
  <c r="AM2051" i="1"/>
  <c r="AN2051" i="1"/>
  <c r="AL2051" i="1"/>
  <c r="AM1852" i="1"/>
  <c r="AN1852" i="1"/>
  <c r="AL1852" i="1"/>
  <c r="AL494" i="1"/>
  <c r="AM494" i="1"/>
  <c r="AN494" i="1"/>
  <c r="AM1144" i="1"/>
  <c r="AL1144" i="1"/>
  <c r="AN1144" i="1"/>
  <c r="AL1256" i="1"/>
  <c r="AM1256" i="1"/>
  <c r="AN1256" i="1"/>
  <c r="AN1035" i="1"/>
  <c r="AL1035" i="1"/>
  <c r="AM1035" i="1"/>
  <c r="AL2321" i="1"/>
  <c r="AM2321" i="1"/>
  <c r="AN2321" i="1"/>
  <c r="AM772" i="1"/>
  <c r="AL772" i="1"/>
  <c r="AN772" i="1"/>
  <c r="AL2810" i="1"/>
  <c r="AN2810" i="1"/>
  <c r="AM2810" i="1"/>
  <c r="AM2917" i="1"/>
  <c r="AN2917" i="1"/>
  <c r="AL2917" i="1"/>
  <c r="AM2455" i="1"/>
  <c r="AL2455" i="1"/>
  <c r="AN2455" i="1"/>
  <c r="AL964" i="1"/>
  <c r="AM964" i="1"/>
  <c r="AN964" i="1"/>
  <c r="AM603" i="1"/>
  <c r="AN603" i="1"/>
  <c r="AL603" i="1"/>
  <c r="AL1856" i="1"/>
  <c r="AN1856" i="1"/>
  <c r="AM1856" i="1"/>
  <c r="AN2243" i="1"/>
  <c r="AM2243" i="1"/>
  <c r="AL2243" i="1"/>
  <c r="AM508" i="1"/>
  <c r="AL508" i="1"/>
  <c r="AN508" i="1"/>
  <c r="AL2333" i="1"/>
  <c r="AM2333" i="1"/>
  <c r="AN2333" i="1"/>
  <c r="AN1090" i="1"/>
  <c r="AM1090" i="1"/>
  <c r="AL1090" i="1"/>
  <c r="AL1874" i="1"/>
  <c r="AM1874" i="1"/>
  <c r="AN1874" i="1"/>
  <c r="AN1918" i="1"/>
  <c r="AM1918" i="1"/>
  <c r="AL1918" i="1"/>
  <c r="AL2547" i="1"/>
  <c r="AM2547" i="1"/>
  <c r="AN2547" i="1"/>
  <c r="AM2003" i="1"/>
  <c r="AL2003" i="1"/>
  <c r="AN2003" i="1"/>
  <c r="AL3014" i="1"/>
  <c r="AM3014" i="1"/>
  <c r="AN3014" i="1"/>
  <c r="AL459" i="1"/>
  <c r="AM459" i="1"/>
  <c r="AN459" i="1"/>
  <c r="AN1431" i="1"/>
  <c r="AM1431" i="1"/>
  <c r="AL1431" i="1"/>
  <c r="AM2914" i="1"/>
  <c r="AL2914" i="1"/>
  <c r="AN2914" i="1"/>
  <c r="AM2436" i="1"/>
  <c r="AN2436" i="1"/>
  <c r="AL2436" i="1"/>
  <c r="AL2822" i="1"/>
  <c r="AM2822" i="1"/>
  <c r="AN2822" i="1"/>
  <c r="AL1029" i="1"/>
  <c r="AM1029" i="1"/>
  <c r="AN1029" i="1"/>
  <c r="AL1504" i="1"/>
  <c r="AN1504" i="1"/>
  <c r="AM1504" i="1"/>
  <c r="AL2189" i="1"/>
  <c r="AN2189" i="1"/>
  <c r="AM2189" i="1"/>
  <c r="AM2022" i="1"/>
  <c r="AL2022" i="1"/>
  <c r="AN2022" i="1"/>
  <c r="AM735" i="1"/>
  <c r="AN735" i="1"/>
  <c r="AL735" i="1"/>
  <c r="AM586" i="1"/>
  <c r="AL586" i="1"/>
  <c r="AN586" i="1"/>
  <c r="AM779" i="1"/>
  <c r="AL779" i="1"/>
  <c r="AN779" i="1"/>
  <c r="AM3048" i="1"/>
  <c r="AL3048" i="1"/>
  <c r="AN3048" i="1"/>
  <c r="AL1388" i="1"/>
  <c r="AM1388" i="1"/>
  <c r="AN1388" i="1"/>
  <c r="AL3015" i="1"/>
  <c r="AM3015" i="1"/>
  <c r="AN3015" i="1"/>
  <c r="AN1069" i="1"/>
  <c r="AM1069" i="1"/>
  <c r="AL1069" i="1"/>
  <c r="AN2029" i="1"/>
  <c r="AM2029" i="1"/>
  <c r="AL2029" i="1"/>
  <c r="AL2342" i="1"/>
  <c r="AM2342" i="1"/>
  <c r="AN2342" i="1"/>
  <c r="AL1112" i="1"/>
  <c r="AN1112" i="1"/>
  <c r="AM1112" i="1"/>
  <c r="AM2057" i="1"/>
  <c r="AL2057" i="1"/>
  <c r="AN2057" i="1"/>
  <c r="AM677" i="1"/>
  <c r="AN677" i="1"/>
  <c r="AL677" i="1"/>
  <c r="AM1192" i="1"/>
  <c r="AL1192" i="1"/>
  <c r="AN1192" i="1"/>
  <c r="AL2510" i="1"/>
  <c r="AM2510" i="1"/>
  <c r="AN2510" i="1"/>
  <c r="AM633" i="1"/>
  <c r="AN633" i="1"/>
  <c r="AL633" i="1"/>
  <c r="AL2081" i="1"/>
  <c r="AN2081" i="1"/>
  <c r="AM2081" i="1"/>
  <c r="AM1328" i="1"/>
  <c r="AN1328" i="1"/>
  <c r="AL1328" i="1"/>
  <c r="AM2926" i="1"/>
  <c r="AL2926" i="1"/>
  <c r="AN2926" i="1"/>
  <c r="AM3170" i="1"/>
  <c r="AN3170" i="1"/>
  <c r="AL3170" i="1"/>
  <c r="AN1361" i="1"/>
  <c r="AM1361" i="1"/>
  <c r="AL1361" i="1"/>
  <c r="AM2444" i="1"/>
  <c r="AL2444" i="1"/>
  <c r="AN2444" i="1"/>
  <c r="AL1822" i="1"/>
  <c r="AN1822" i="1"/>
  <c r="AM1822" i="1"/>
  <c r="AL793" i="1"/>
  <c r="AN793" i="1"/>
  <c r="AM793" i="1"/>
  <c r="AM526" i="1"/>
  <c r="AN526" i="1"/>
  <c r="AL526" i="1"/>
  <c r="AL2604" i="1"/>
  <c r="AM2604" i="1"/>
  <c r="AN2604" i="1"/>
  <c r="AL2172" i="1"/>
  <c r="AM2172" i="1"/>
  <c r="AN2172" i="1"/>
  <c r="AM2593" i="1"/>
  <c r="AL2593" i="1"/>
  <c r="AN2593" i="1"/>
  <c r="AM3169" i="1"/>
  <c r="AN3169" i="1"/>
  <c r="AL3169" i="1"/>
  <c r="AM2562" i="1"/>
  <c r="AL2562" i="1"/>
  <c r="AN2562" i="1"/>
  <c r="AL1280" i="1"/>
  <c r="AN1280" i="1"/>
  <c r="AM1280" i="1"/>
  <c r="AL1401" i="1"/>
  <c r="AM1401" i="1"/>
  <c r="AN1401" i="1"/>
  <c r="AM1273" i="1"/>
  <c r="AL1273" i="1"/>
  <c r="AN1273" i="1"/>
  <c r="AM2008" i="1"/>
  <c r="AL2008" i="1"/>
  <c r="AN2008" i="1"/>
  <c r="AM680" i="1"/>
  <c r="AL680" i="1"/>
  <c r="AN680" i="1"/>
  <c r="AM1225" i="1"/>
  <c r="AN1225" i="1"/>
  <c r="AL1225" i="1"/>
  <c r="AN3176" i="1"/>
  <c r="AM3176" i="1"/>
  <c r="AL3176" i="1"/>
  <c r="AN1234" i="1"/>
  <c r="AM1234" i="1"/>
  <c r="AL1234" i="1"/>
  <c r="AL727" i="1"/>
  <c r="AM727" i="1"/>
  <c r="AN727" i="1"/>
  <c r="AN1237" i="1"/>
  <c r="AL1237" i="1"/>
  <c r="AM1237" i="1"/>
  <c r="AN1182" i="1"/>
  <c r="AM1182" i="1"/>
  <c r="AL1182" i="1"/>
  <c r="AL1425" i="1"/>
  <c r="AN1425" i="1"/>
  <c r="AM1425" i="1"/>
  <c r="AM2895" i="1"/>
  <c r="AL2895" i="1"/>
  <c r="AN2895" i="1"/>
  <c r="AM2820" i="1"/>
  <c r="AN2820" i="1"/>
  <c r="AL2820" i="1"/>
  <c r="AL2479" i="1"/>
  <c r="AM2479" i="1"/>
  <c r="AN2479" i="1"/>
  <c r="AL1385" i="1"/>
  <c r="AM1385" i="1"/>
  <c r="AN1385" i="1"/>
  <c r="AL1402" i="1"/>
  <c r="AM1402" i="1"/>
  <c r="AN1402" i="1"/>
  <c r="AL1477" i="1"/>
  <c r="AN1477" i="1"/>
  <c r="AM1477" i="1"/>
  <c r="AM1936" i="1"/>
  <c r="AN1936" i="1"/>
  <c r="AL1936" i="1"/>
  <c r="AM578" i="1"/>
  <c r="AL578" i="1"/>
  <c r="AN578" i="1"/>
  <c r="AL664" i="1"/>
  <c r="AM664" i="1"/>
  <c r="AN664" i="1"/>
  <c r="AM2590" i="1"/>
  <c r="AN2590" i="1"/>
  <c r="AL2590" i="1"/>
  <c r="AL2965" i="1"/>
  <c r="AN2965" i="1"/>
  <c r="AM2965" i="1"/>
  <c r="AL807" i="1"/>
  <c r="AM807" i="1"/>
  <c r="AN807" i="1"/>
  <c r="AM1999" i="1"/>
  <c r="AL1999" i="1"/>
  <c r="AN1999" i="1"/>
  <c r="AL688" i="1"/>
  <c r="AM688" i="1"/>
  <c r="AN688" i="1"/>
  <c r="AM2376" i="1"/>
  <c r="AL2376" i="1"/>
  <c r="AN2376" i="1"/>
  <c r="AM3016" i="1"/>
  <c r="AL3016" i="1"/>
  <c r="AN3016" i="1"/>
  <c r="AL2253" i="1"/>
  <c r="AM2253" i="1"/>
  <c r="AN2253" i="1"/>
  <c r="AM1120" i="1"/>
  <c r="AL1120" i="1"/>
  <c r="AN1120" i="1"/>
  <c r="AM1926" i="1"/>
  <c r="AL1926" i="1"/>
  <c r="AN1926" i="1"/>
  <c r="AN1117" i="1"/>
  <c r="AM1117" i="1"/>
  <c r="AL1117" i="1"/>
  <c r="AM2508" i="1"/>
  <c r="AL2508" i="1"/>
  <c r="AN2508" i="1"/>
  <c r="AM1965" i="1"/>
  <c r="AN1965" i="1"/>
  <c r="AL1965" i="1"/>
  <c r="AM1271" i="1"/>
  <c r="AL1271" i="1"/>
  <c r="AN1271" i="1"/>
  <c r="AL1882" i="1"/>
  <c r="AN1882" i="1"/>
  <c r="AM1882" i="1"/>
  <c r="AM2374" i="1"/>
  <c r="AL2374" i="1"/>
  <c r="AN2374" i="1"/>
  <c r="AL1446" i="1"/>
  <c r="AN1446" i="1"/>
  <c r="AM1446" i="1"/>
  <c r="AL2277" i="1"/>
  <c r="AM2277" i="1"/>
  <c r="AN2277" i="1"/>
  <c r="AL580" i="1"/>
  <c r="AN580" i="1"/>
  <c r="AM580" i="1"/>
  <c r="AN1428" i="1"/>
  <c r="AL1428" i="1"/>
  <c r="AM1428" i="1"/>
  <c r="AL2145" i="1"/>
  <c r="AM2145" i="1"/>
  <c r="AN2145" i="1"/>
  <c r="AL2688" i="1"/>
  <c r="AM2688" i="1"/>
  <c r="AN2688" i="1"/>
  <c r="AL1745" i="1"/>
  <c r="AN1745" i="1"/>
  <c r="AM1745" i="1"/>
  <c r="AM2963" i="1"/>
  <c r="AN2963" i="1"/>
  <c r="AL2963" i="1"/>
  <c r="AN473" i="1"/>
  <c r="AM473" i="1"/>
  <c r="AL473" i="1"/>
  <c r="AL607" i="1"/>
  <c r="AM607" i="1"/>
  <c r="AN607" i="1"/>
  <c r="AN1063" i="1"/>
  <c r="AM1063" i="1"/>
  <c r="AL1063" i="1"/>
  <c r="AM1869" i="1"/>
  <c r="AN1869" i="1"/>
  <c r="AL1869" i="1"/>
  <c r="AM703" i="1"/>
  <c r="AL703" i="1"/>
  <c r="AN703" i="1"/>
  <c r="AM1520" i="1"/>
  <c r="AL1520" i="1"/>
  <c r="AN1520" i="1"/>
  <c r="AM981" i="1"/>
  <c r="AL981" i="1"/>
  <c r="AN981" i="1"/>
  <c r="AN1975" i="1"/>
  <c r="AL1975" i="1"/>
  <c r="AM1975" i="1"/>
  <c r="AM2375" i="1"/>
  <c r="AL2375" i="1"/>
  <c r="AN2375" i="1"/>
  <c r="AM1078" i="1"/>
  <c r="AL1078" i="1"/>
  <c r="AN1078" i="1"/>
  <c r="AM3110" i="1"/>
  <c r="AL3110" i="1"/>
  <c r="AN3110" i="1"/>
  <c r="AL697" i="1"/>
  <c r="AN697" i="1"/>
  <c r="AM697" i="1"/>
  <c r="AL1216" i="1"/>
  <c r="AM1216" i="1"/>
  <c r="AN1216" i="1"/>
  <c r="AL2173" i="1"/>
  <c r="AN2173" i="1"/>
  <c r="AM2173" i="1"/>
  <c r="AL1382" i="1"/>
  <c r="AM1382" i="1"/>
  <c r="AN1382" i="1"/>
  <c r="AN1205" i="1"/>
  <c r="AL1205" i="1"/>
  <c r="AM1205" i="1"/>
  <c r="AL2025" i="1"/>
  <c r="AM2025" i="1"/>
  <c r="AN2025" i="1"/>
  <c r="AN2925" i="1"/>
  <c r="AM2925" i="1"/>
  <c r="AL2925" i="1"/>
  <c r="AM2728" i="1"/>
  <c r="AN2728" i="1"/>
  <c r="AL2728" i="1"/>
  <c r="AN1043" i="1"/>
  <c r="AM1043" i="1"/>
  <c r="AL1043" i="1"/>
  <c r="AM1951" i="1"/>
  <c r="AN1951" i="1"/>
  <c r="AL1951" i="1"/>
  <c r="AL1197" i="1"/>
  <c r="AN1197" i="1"/>
  <c r="AM1197" i="1"/>
  <c r="AM456" i="1"/>
  <c r="AL456" i="1"/>
  <c r="AN456" i="1"/>
  <c r="AL2052" i="1"/>
  <c r="AM2052" i="1"/>
  <c r="AN2052" i="1"/>
  <c r="AL2961" i="1"/>
  <c r="AN2961" i="1"/>
  <c r="AM2961" i="1"/>
  <c r="AL999" i="1"/>
  <c r="AN999" i="1"/>
  <c r="AM999" i="1"/>
  <c r="AM483" i="1"/>
  <c r="AL483" i="1"/>
  <c r="AN483" i="1"/>
  <c r="AM1909" i="1"/>
  <c r="AL1909" i="1"/>
  <c r="AN1909" i="1"/>
  <c r="AL2184" i="1"/>
  <c r="AM2184" i="1"/>
  <c r="AN2184" i="1"/>
  <c r="AM2488" i="1"/>
  <c r="AL2488" i="1"/>
  <c r="AN2488" i="1"/>
  <c r="AL1391" i="1"/>
  <c r="AM1391" i="1"/>
  <c r="AN1391" i="1"/>
  <c r="AM1473" i="1"/>
  <c r="AL1473" i="1"/>
  <c r="AN1473" i="1"/>
  <c r="AM1502" i="1"/>
  <c r="AN1502" i="1"/>
  <c r="AL1502" i="1"/>
  <c r="AM2783" i="1"/>
  <c r="AN2783" i="1"/>
  <c r="AL2783" i="1"/>
  <c r="AL1492" i="1"/>
  <c r="AM1492" i="1"/>
  <c r="AN1492" i="1"/>
  <c r="AL1399" i="1"/>
  <c r="AN1399" i="1"/>
  <c r="AM1399" i="1"/>
  <c r="AL788" i="1"/>
  <c r="AM788" i="1"/>
  <c r="AN788" i="1"/>
  <c r="AL1794" i="1"/>
  <c r="AM1794" i="1"/>
  <c r="AN1794" i="1"/>
  <c r="AN1088" i="1"/>
  <c r="AM1088" i="1"/>
  <c r="AL1088" i="1"/>
  <c r="AN1020" i="1"/>
  <c r="AM1020" i="1"/>
  <c r="AL1020" i="1"/>
  <c r="AL2037" i="1"/>
  <c r="AM2037" i="1"/>
  <c r="AN2037" i="1"/>
  <c r="AL2712" i="1"/>
  <c r="AM2712" i="1"/>
  <c r="AN2712" i="1"/>
  <c r="AM2997" i="1"/>
  <c r="AN2997" i="1"/>
  <c r="AL2997" i="1"/>
  <c r="AN992" i="1"/>
  <c r="AM992" i="1"/>
  <c r="AL992" i="1"/>
  <c r="AM520" i="1"/>
  <c r="AL520" i="1"/>
  <c r="AN520" i="1"/>
  <c r="AN738" i="1"/>
  <c r="AM738" i="1"/>
  <c r="AL738" i="1"/>
  <c r="AM2986" i="1"/>
  <c r="AN2986" i="1"/>
  <c r="AL2986" i="1"/>
  <c r="AM811" i="1"/>
  <c r="AN811" i="1"/>
  <c r="AL811" i="1"/>
  <c r="AL759" i="1"/>
  <c r="AM759" i="1"/>
  <c r="AN759" i="1"/>
  <c r="AN1422" i="1"/>
  <c r="AM1422" i="1"/>
  <c r="AL1422" i="1"/>
  <c r="AM3092" i="1"/>
  <c r="AL3092" i="1"/>
  <c r="AN3092" i="1"/>
  <c r="AM974" i="1"/>
  <c r="AL974" i="1"/>
  <c r="AN974" i="1"/>
  <c r="AM2278" i="1"/>
  <c r="AL2278" i="1"/>
  <c r="AN2278" i="1"/>
  <c r="AL667" i="1"/>
  <c r="AM667" i="1"/>
  <c r="AN667" i="1"/>
  <c r="AM1994" i="1"/>
  <c r="AL1994" i="1"/>
  <c r="AN1994" i="1"/>
  <c r="AL542" i="1"/>
  <c r="AM542" i="1"/>
  <c r="AN542" i="1"/>
  <c r="AL1284" i="1"/>
  <c r="AM1284" i="1"/>
  <c r="AN1284" i="1"/>
  <c r="AM2202" i="1"/>
  <c r="AL2202" i="1"/>
  <c r="AN2202" i="1"/>
  <c r="AL1948" i="1"/>
  <c r="AM1948" i="1"/>
  <c r="AN1948" i="1"/>
  <c r="AM2354" i="1"/>
  <c r="AL2354" i="1"/>
  <c r="AN2354" i="1"/>
  <c r="AN950" i="1"/>
  <c r="AM950" i="1"/>
  <c r="AL950" i="1"/>
  <c r="AM1093" i="1"/>
  <c r="AN1093" i="1"/>
  <c r="AL1093" i="1"/>
  <c r="AM2868" i="1"/>
  <c r="AN2868" i="1"/>
  <c r="AL2868" i="1"/>
  <c r="AM524" i="1"/>
  <c r="AL524" i="1"/>
  <c r="AN524" i="1"/>
  <c r="AM3036" i="1"/>
  <c r="AL3036" i="1"/>
  <c r="AN3036" i="1"/>
  <c r="AM3060" i="1"/>
  <c r="AN3060" i="1"/>
  <c r="AL3060" i="1"/>
  <c r="AM3132" i="1"/>
  <c r="AN3132" i="1"/>
  <c r="AL3132" i="1"/>
  <c r="AM2694" i="1"/>
  <c r="AL2694" i="1"/>
  <c r="AN2694" i="1"/>
  <c r="AN762" i="1"/>
  <c r="AM762" i="1"/>
  <c r="AL762" i="1"/>
  <c r="AL530" i="1"/>
  <c r="AM530" i="1"/>
  <c r="AN530" i="1"/>
  <c r="AL2462" i="1"/>
  <c r="AM2462" i="1"/>
  <c r="AN2462" i="1"/>
  <c r="AL1423" i="1"/>
  <c r="AM1423" i="1"/>
  <c r="AN1423" i="1"/>
  <c r="AL2132" i="1"/>
  <c r="AM2132" i="1"/>
  <c r="AN2132" i="1"/>
  <c r="AM2351" i="1"/>
  <c r="AL2351" i="1"/>
  <c r="AN2351" i="1"/>
  <c r="AM1770" i="1"/>
  <c r="AN1770" i="1"/>
  <c r="AL1770" i="1"/>
  <c r="AM1485" i="1"/>
  <c r="AL1485" i="1"/>
  <c r="AN1485" i="1"/>
  <c r="AN1038" i="1"/>
  <c r="AM1038" i="1"/>
  <c r="AL1038" i="1"/>
  <c r="AM3000" i="1"/>
  <c r="AN3000" i="1"/>
  <c r="AL3000" i="1"/>
  <c r="AM1872" i="1"/>
  <c r="AL1872" i="1"/>
  <c r="AN1872" i="1"/>
  <c r="AM2203" i="1"/>
  <c r="AL2203" i="1"/>
  <c r="AN2203" i="1"/>
  <c r="AL2417" i="1"/>
  <c r="AM2417" i="1"/>
  <c r="AN2417" i="1"/>
  <c r="AM2880" i="1"/>
  <c r="AL2880" i="1"/>
  <c r="AN2880" i="1"/>
  <c r="AM2919" i="1"/>
  <c r="AL2919" i="1"/>
  <c r="AN2919" i="1"/>
  <c r="AN2666" i="1"/>
  <c r="AL2666" i="1"/>
  <c r="AM2666" i="1"/>
  <c r="AN2966" i="1"/>
  <c r="AM2966" i="1"/>
  <c r="AL2966" i="1"/>
  <c r="AN2218" i="1"/>
  <c r="AL2218" i="1"/>
  <c r="AM2218" i="1"/>
  <c r="AM2355" i="1"/>
  <c r="AL2355" i="1"/>
  <c r="AN2355" i="1"/>
  <c r="AN3181" i="1"/>
  <c r="AM3181" i="1"/>
  <c r="AL3181" i="1"/>
  <c r="AL1227" i="1"/>
  <c r="AN1227" i="1"/>
  <c r="AM1227" i="1"/>
  <c r="AL1836" i="1"/>
  <c r="AM1836" i="1"/>
  <c r="AN1836" i="1"/>
  <c r="AL1755" i="1"/>
  <c r="AM1755" i="1"/>
  <c r="AN1755" i="1"/>
  <c r="AM1239" i="1"/>
  <c r="AN1239" i="1"/>
  <c r="AL1239" i="1"/>
  <c r="AM2670" i="1"/>
  <c r="AL2670" i="1"/>
  <c r="AN2670" i="1"/>
  <c r="AM3131" i="1"/>
  <c r="AN3131" i="1"/>
  <c r="AL3131" i="1"/>
  <c r="AN2298" i="1"/>
  <c r="AL2298" i="1"/>
  <c r="AM2298" i="1"/>
  <c r="AM700" i="1"/>
  <c r="AL700" i="1"/>
  <c r="AN700" i="1"/>
  <c r="AM2002" i="1"/>
  <c r="AN2002" i="1"/>
  <c r="AL2002" i="1"/>
  <c r="AN1418" i="1"/>
  <c r="AM1418" i="1"/>
  <c r="AL1418" i="1"/>
  <c r="AN3100" i="1"/>
  <c r="AL3100" i="1"/>
  <c r="AM3100" i="1"/>
  <c r="AL2512" i="1"/>
  <c r="AM2512" i="1"/>
  <c r="AN2512" i="1"/>
  <c r="AL2642" i="1"/>
  <c r="AM2642" i="1"/>
  <c r="AN2642" i="1"/>
  <c r="AL1128" i="1"/>
  <c r="AM1128" i="1"/>
  <c r="AN1128" i="1"/>
  <c r="AM1039" i="1"/>
  <c r="AL1039" i="1"/>
  <c r="AN1039" i="1"/>
  <c r="AL2811" i="1"/>
  <c r="AM2811" i="1"/>
  <c r="AN2811" i="1"/>
  <c r="AL790" i="1"/>
  <c r="AN790" i="1"/>
  <c r="AM790" i="1"/>
  <c r="AL2884" i="1"/>
  <c r="AM2884" i="1"/>
  <c r="AN2884" i="1"/>
  <c r="AL1160" i="1"/>
  <c r="AN1160" i="1"/>
  <c r="AM1160" i="1"/>
  <c r="AM2196" i="1"/>
  <c r="AL2196" i="1"/>
  <c r="AN2196" i="1"/>
  <c r="AM2777" i="1"/>
  <c r="AL2777" i="1"/>
  <c r="AN2777" i="1"/>
  <c r="AN995" i="1"/>
  <c r="AM995" i="1"/>
  <c r="AL995" i="1"/>
  <c r="AL548" i="1"/>
  <c r="AM548" i="1"/>
  <c r="AN548" i="1"/>
  <c r="AM2785" i="1"/>
  <c r="AN2785" i="1"/>
  <c r="AL2785" i="1"/>
  <c r="AN2442" i="1"/>
  <c r="AM2442" i="1"/>
  <c r="AL2442" i="1"/>
  <c r="AM649" i="1"/>
  <c r="AL649" i="1"/>
  <c r="AN649" i="1"/>
  <c r="AN1302" i="1"/>
  <c r="AL1302" i="1"/>
  <c r="AM1302" i="1"/>
  <c r="AL1217" i="1"/>
  <c r="AN1217" i="1"/>
  <c r="AM1217" i="1"/>
  <c r="AM3125" i="1"/>
  <c r="AL3125" i="1"/>
  <c r="AN3125" i="1"/>
  <c r="AN2556" i="1"/>
  <c r="AL2556" i="1"/>
  <c r="AM2556" i="1"/>
  <c r="AL1915" i="1"/>
  <c r="AM1915" i="1"/>
  <c r="AN1915" i="1"/>
  <c r="AL1840" i="1"/>
  <c r="AM1840" i="1"/>
  <c r="AN1840" i="1"/>
  <c r="AL2265" i="1"/>
  <c r="AM2265" i="1"/>
  <c r="AN2265" i="1"/>
  <c r="AM2737" i="1"/>
  <c r="AN2737" i="1"/>
  <c r="AL2737" i="1"/>
  <c r="AL2305" i="1"/>
  <c r="AM2305" i="1"/>
  <c r="AN2305" i="1"/>
  <c r="AM3003" i="1"/>
  <c r="AN3003" i="1"/>
  <c r="AL3003" i="1"/>
  <c r="AN2245" i="1"/>
  <c r="AL2245" i="1"/>
  <c r="AM2245" i="1"/>
  <c r="AM685" i="1"/>
  <c r="AL685" i="1"/>
  <c r="AN685" i="1"/>
  <c r="AL2652" i="1"/>
  <c r="AN2652" i="1"/>
  <c r="AM2652" i="1"/>
  <c r="AL1472" i="1"/>
  <c r="AM1472" i="1"/>
  <c r="AN1472" i="1"/>
  <c r="AM3025" i="1"/>
  <c r="AL3025" i="1"/>
  <c r="AN3025" i="1"/>
  <c r="AL2978" i="1"/>
  <c r="AN2978" i="1"/>
  <c r="AM2978" i="1"/>
  <c r="AL2416" i="1"/>
  <c r="AM2416" i="1"/>
  <c r="AN2416" i="1"/>
  <c r="AM3122" i="1"/>
  <c r="AL3122" i="1"/>
  <c r="AN3122" i="1"/>
  <c r="AM2200" i="1"/>
  <c r="AL2200" i="1"/>
  <c r="AN2200" i="1"/>
  <c r="AM3155" i="1"/>
  <c r="AL3155" i="1"/>
  <c r="AN3155" i="1"/>
  <c r="AM1175" i="1"/>
  <c r="AL1175" i="1"/>
  <c r="AN1175" i="1"/>
  <c r="AL758" i="1"/>
  <c r="AM758" i="1"/>
  <c r="AN758" i="1"/>
  <c r="AL753" i="1"/>
  <c r="AN753" i="1"/>
  <c r="AM753" i="1"/>
  <c r="AL1778" i="1"/>
  <c r="AM1778" i="1"/>
  <c r="AN1778" i="1"/>
  <c r="AN3139" i="1"/>
  <c r="AM3139" i="1"/>
  <c r="AL3139" i="1"/>
  <c r="AN1564" i="1"/>
  <c r="AM1564" i="1"/>
  <c r="AL1564" i="1"/>
  <c r="AM3129" i="1"/>
  <c r="AN3129" i="1"/>
  <c r="AL3129" i="1"/>
  <c r="AM2920" i="1"/>
  <c r="AL2920" i="1"/>
  <c r="AN2920" i="1"/>
  <c r="AL1483" i="1"/>
  <c r="AM1483" i="1"/>
  <c r="AN1483" i="1"/>
  <c r="AM2788" i="1"/>
  <c r="AN2788" i="1"/>
  <c r="AL2788" i="1"/>
  <c r="AM1185" i="1"/>
  <c r="AN1185" i="1"/>
  <c r="AL1185" i="1"/>
  <c r="AL1212" i="1"/>
  <c r="AN1212" i="1"/>
  <c r="AM1212" i="1"/>
  <c r="AN1198" i="1"/>
  <c r="AM1198" i="1"/>
  <c r="AL1198" i="1"/>
  <c r="AM1262" i="1"/>
  <c r="AL1262" i="1"/>
  <c r="AN1262" i="1"/>
  <c r="AM3120" i="1"/>
  <c r="AL3120" i="1"/>
  <c r="AN3120" i="1"/>
  <c r="AM3084" i="1"/>
  <c r="AL3084" i="1"/>
  <c r="AN3084" i="1"/>
  <c r="AL2979" i="1"/>
  <c r="AM2979" i="1"/>
  <c r="AN2979" i="1"/>
  <c r="AM2606" i="1"/>
  <c r="AN2606" i="1"/>
  <c r="AL2606" i="1"/>
  <c r="AM2044" i="1"/>
  <c r="AN2044" i="1"/>
  <c r="AL2044" i="1"/>
  <c r="AM1230" i="1"/>
  <c r="AL1230" i="1"/>
  <c r="AN1230" i="1"/>
  <c r="AM2605" i="1"/>
  <c r="AL2605" i="1"/>
  <c r="AN2605" i="1"/>
  <c r="AN2059" i="1"/>
  <c r="AL2059" i="1"/>
  <c r="AM2059" i="1"/>
  <c r="AL597" i="1"/>
  <c r="AM597" i="1"/>
  <c r="AN597" i="1"/>
  <c r="AM1761" i="1"/>
  <c r="AL1761" i="1"/>
  <c r="AN1761" i="1"/>
  <c r="AM3119" i="1"/>
  <c r="AL3119" i="1"/>
  <c r="AN3119" i="1"/>
  <c r="AM3054" i="1"/>
  <c r="AN3054" i="1"/>
  <c r="AL3054" i="1"/>
  <c r="AL2789" i="1"/>
  <c r="AN2789" i="1"/>
  <c r="AM2789" i="1"/>
  <c r="AM1139" i="1"/>
  <c r="AL1139" i="1"/>
  <c r="AN1139" i="1"/>
  <c r="AL581" i="1"/>
  <c r="AN581" i="1"/>
  <c r="AM581" i="1"/>
  <c r="AM1740" i="1"/>
  <c r="AL1740" i="1"/>
  <c r="AN1740" i="1"/>
  <c r="AN3075" i="1"/>
  <c r="AL3075" i="1"/>
  <c r="AM3075" i="1"/>
  <c r="AM2282" i="1"/>
  <c r="AL2282" i="1"/>
  <c r="AN2282" i="1"/>
  <c r="AM1169" i="1"/>
  <c r="AN1169" i="1"/>
  <c r="AL1169" i="1"/>
  <c r="AL2215" i="1"/>
  <c r="AN2215" i="1"/>
  <c r="AM2215" i="1"/>
  <c r="AM1288" i="1"/>
  <c r="AL1288" i="1"/>
  <c r="AN1288" i="1"/>
  <c r="AL2453" i="1"/>
  <c r="AM2453" i="1"/>
  <c r="AN2453" i="1"/>
  <c r="AM2294" i="1"/>
  <c r="AL2294" i="1"/>
  <c r="AN2294" i="1"/>
  <c r="AM2594" i="1"/>
  <c r="AL2594" i="1"/>
  <c r="AN2594" i="1"/>
  <c r="AL2084" i="1"/>
  <c r="AN2084" i="1"/>
  <c r="AM2084" i="1"/>
  <c r="AM2199" i="1"/>
  <c r="AL2199" i="1"/>
  <c r="AN2199" i="1"/>
  <c r="AM1109" i="1"/>
  <c r="AL1109" i="1"/>
  <c r="AN1109" i="1"/>
  <c r="AN2550" i="1"/>
  <c r="AM2550" i="1"/>
  <c r="AL2550" i="1"/>
  <c r="AM3098" i="1"/>
  <c r="AN3098" i="1"/>
  <c r="AL3098" i="1"/>
  <c r="AL2757" i="1"/>
  <c r="AN2757" i="1"/>
  <c r="AM2757" i="1"/>
  <c r="AN1881" i="1"/>
  <c r="AL1881" i="1"/>
  <c r="AM1881" i="1"/>
  <c r="AL1750" i="1"/>
  <c r="AM1750" i="1"/>
  <c r="AN1750" i="1"/>
  <c r="AM2962" i="1"/>
  <c r="AL2962" i="1"/>
  <c r="AN2962" i="1"/>
  <c r="AM3008" i="1"/>
  <c r="AN3008" i="1"/>
  <c r="AL3008" i="1"/>
  <c r="AM1082" i="1"/>
  <c r="AN1082" i="1"/>
  <c r="AL1082" i="1"/>
  <c r="AM3076" i="1"/>
  <c r="AN3076" i="1"/>
  <c r="AL3076" i="1"/>
  <c r="AN1741" i="1"/>
  <c r="AM1741" i="1"/>
  <c r="AL1741" i="1"/>
  <c r="AM3035" i="1"/>
  <c r="AL3035" i="1"/>
  <c r="AN3035" i="1"/>
  <c r="AM1801" i="1"/>
  <c r="AL1801" i="1"/>
  <c r="AN1801" i="1"/>
  <c r="AM2161" i="1"/>
  <c r="AN2161" i="1"/>
  <c r="AL2161" i="1"/>
  <c r="AN2493" i="1"/>
  <c r="AM2493" i="1"/>
  <c r="AL2493" i="1"/>
  <c r="AL2814" i="1"/>
  <c r="AM2814" i="1"/>
  <c r="AN2814" i="1"/>
  <c r="AM3188" i="1"/>
  <c r="AL3188" i="1"/>
  <c r="AN3188" i="1"/>
  <c r="AL754" i="1"/>
  <c r="AN754" i="1"/>
  <c r="AM754" i="1"/>
  <c r="AN2974" i="1"/>
  <c r="AM2974" i="1"/>
  <c r="AL2974" i="1"/>
  <c r="AM1272" i="1"/>
  <c r="AL1272" i="1"/>
  <c r="AN1272" i="1"/>
  <c r="AL1780" i="1"/>
  <c r="AM1780" i="1"/>
  <c r="AN1780" i="1"/>
  <c r="AM1195" i="1"/>
  <c r="AL1195" i="1"/>
  <c r="AN1195" i="1"/>
  <c r="AM2193" i="1"/>
  <c r="AN2193" i="1"/>
  <c r="AL2193" i="1"/>
  <c r="AM2339" i="1"/>
  <c r="AN2339" i="1"/>
  <c r="AL2339" i="1"/>
  <c r="AM3121" i="1"/>
  <c r="AL3121" i="1"/>
  <c r="AN3121" i="1"/>
  <c r="AM2615" i="1"/>
  <c r="AL2615" i="1"/>
  <c r="AN2615" i="1"/>
  <c r="AL1568" i="1"/>
  <c r="AM1568" i="1"/>
  <c r="AN1568" i="1"/>
  <c r="AN1974" i="1"/>
  <c r="AL1974" i="1"/>
  <c r="AM1974" i="1"/>
  <c r="AL2481" i="1"/>
  <c r="AM2481" i="1"/>
  <c r="AN2481" i="1"/>
  <c r="AM775" i="1"/>
  <c r="AL775" i="1"/>
  <c r="AN775" i="1"/>
  <c r="AM2878" i="1"/>
  <c r="AN2878" i="1"/>
  <c r="AL2878" i="1"/>
  <c r="AM3082" i="1"/>
  <c r="AL3082" i="1"/>
  <c r="AN3082" i="1"/>
  <c r="AM1565" i="1"/>
  <c r="AL1565" i="1"/>
  <c r="AN1565" i="1"/>
  <c r="AN2655" i="1"/>
  <c r="AM2655" i="1"/>
  <c r="AL2655" i="1"/>
  <c r="AM2226" i="1"/>
  <c r="AN2226" i="1"/>
  <c r="AL2226" i="1"/>
  <c r="AM2048" i="1"/>
  <c r="AN2048" i="1"/>
  <c r="AL2048" i="1"/>
  <c r="AM1792" i="1"/>
  <c r="AN1792" i="1"/>
  <c r="AL1792" i="1"/>
  <c r="AL2341" i="1"/>
  <c r="AM2341" i="1"/>
  <c r="AN2341" i="1"/>
  <c r="AL991" i="1"/>
  <c r="AM991" i="1"/>
  <c r="AN991" i="1"/>
  <c r="AL2693" i="1"/>
  <c r="AM2693" i="1"/>
  <c r="AN2693" i="1"/>
  <c r="AM1146" i="1"/>
  <c r="AL1146" i="1"/>
  <c r="AN1146" i="1"/>
  <c r="AM1791" i="1"/>
  <c r="AL1791" i="1"/>
  <c r="AN1791" i="1"/>
  <c r="AM2167" i="1"/>
  <c r="AL2167" i="1"/>
  <c r="AN2167" i="1"/>
  <c r="AM2627" i="1"/>
  <c r="AN2627" i="1"/>
  <c r="AL2627" i="1"/>
  <c r="AM2007" i="1"/>
  <c r="AN2007" i="1"/>
  <c r="AL2007" i="1"/>
  <c r="AM2027" i="1"/>
  <c r="AL2027" i="1"/>
  <c r="AN2027" i="1"/>
  <c r="AM1167" i="1"/>
  <c r="AN1167" i="1"/>
  <c r="AL1167" i="1"/>
  <c r="AM2178" i="1"/>
  <c r="AN2178" i="1"/>
  <c r="AL2178" i="1"/>
  <c r="AM1196" i="1"/>
  <c r="AN1196" i="1"/>
  <c r="AL1196" i="1"/>
  <c r="AN1946" i="1"/>
  <c r="AM1946" i="1"/>
  <c r="AL1946" i="1"/>
  <c r="AN2244" i="1"/>
  <c r="AM2244" i="1"/>
  <c r="AL2244" i="1"/>
  <c r="AL2528" i="1"/>
  <c r="AN2528" i="1"/>
  <c r="AM2528" i="1"/>
  <c r="AM1886" i="1"/>
  <c r="AN1886" i="1"/>
  <c r="AL1886" i="1"/>
  <c r="AM2918" i="1"/>
  <c r="AN2918" i="1"/>
  <c r="AL2918" i="1"/>
  <c r="AM2877" i="1"/>
  <c r="AN2877" i="1"/>
  <c r="AL2877" i="1"/>
  <c r="AM2710" i="1"/>
  <c r="AL2710" i="1"/>
  <c r="AN2710" i="1"/>
  <c r="AM1241" i="1"/>
  <c r="AN1241" i="1"/>
  <c r="AL1241" i="1"/>
  <c r="AM2153" i="1"/>
  <c r="AN2153" i="1"/>
  <c r="AL2153" i="1"/>
  <c r="AM1114" i="1"/>
  <c r="AN1114" i="1"/>
  <c r="AL1114" i="1"/>
  <c r="AL757" i="1"/>
  <c r="AM757" i="1"/>
  <c r="AN757" i="1"/>
  <c r="AL2775" i="1"/>
  <c r="AM2775" i="1"/>
  <c r="AN2775" i="1"/>
  <c r="AL2889" i="1"/>
  <c r="AN2889" i="1"/>
  <c r="AM2889" i="1"/>
  <c r="AM671" i="1"/>
  <c r="AL671" i="1"/>
  <c r="AN671" i="1"/>
  <c r="AN1335" i="1"/>
  <c r="AM1335" i="1"/>
  <c r="AL1335" i="1"/>
  <c r="AM2387" i="1"/>
  <c r="AL2387" i="1"/>
  <c r="AN2387" i="1"/>
  <c r="AM2987" i="1"/>
  <c r="AN2987" i="1"/>
  <c r="AL2987" i="1"/>
  <c r="AL2249" i="1"/>
  <c r="AM2249" i="1"/>
  <c r="AN2249" i="1"/>
  <c r="AM2228" i="1"/>
  <c r="AN2228" i="1"/>
  <c r="AL2228" i="1"/>
  <c r="AN740" i="1"/>
  <c r="AM740" i="1"/>
  <c r="AL740" i="1"/>
  <c r="AM2735" i="1"/>
  <c r="AL2735" i="1"/>
  <c r="AN2735" i="1"/>
  <c r="AN2874" i="1"/>
  <c r="AM2874" i="1"/>
  <c r="AL2874" i="1"/>
  <c r="AL2169" i="1"/>
  <c r="AN2169" i="1"/>
  <c r="AM2169" i="1"/>
  <c r="AM977" i="1"/>
  <c r="AL977" i="1"/>
  <c r="AN977" i="1"/>
  <c r="AN2561" i="1"/>
  <c r="AM2561" i="1"/>
  <c r="AL2561" i="1"/>
  <c r="AM1910" i="1"/>
  <c r="AL1910" i="1"/>
  <c r="AN1910" i="1"/>
  <c r="AM2409" i="1"/>
  <c r="AN2409" i="1"/>
  <c r="AL2409" i="1"/>
  <c r="AN2534" i="1"/>
  <c r="AL2534" i="1"/>
  <c r="AM2534" i="1"/>
  <c r="AM3186" i="1"/>
  <c r="AL3186" i="1"/>
  <c r="AN3186" i="1"/>
  <c r="AN2015" i="1"/>
  <c r="AM2015" i="1"/>
  <c r="AL2015" i="1"/>
  <c r="AM1466" i="1"/>
  <c r="AL1466" i="1"/>
  <c r="AN1466" i="1"/>
  <c r="AM3153" i="1"/>
  <c r="AL3153" i="1"/>
  <c r="AN3153" i="1"/>
  <c r="AM3067" i="1"/>
  <c r="AL3067" i="1"/>
  <c r="AN3067" i="1"/>
  <c r="AM2123" i="1"/>
  <c r="AL2123" i="1"/>
  <c r="AN2123" i="1"/>
  <c r="AN962" i="1"/>
  <c r="AM962" i="1"/>
  <c r="AL962" i="1"/>
  <c r="AN2544" i="1"/>
  <c r="AM2544" i="1"/>
  <c r="AL2544" i="1"/>
  <c r="AL1171" i="1"/>
  <c r="AM1171" i="1"/>
  <c r="AN1171" i="1"/>
  <c r="AM1931" i="1"/>
  <c r="AN1931" i="1"/>
  <c r="AL1931" i="1"/>
  <c r="AM2231" i="1"/>
  <c r="AL2231" i="1"/>
  <c r="AN2231" i="1"/>
  <c r="AN2251" i="1"/>
  <c r="AL2251" i="1"/>
  <c r="AM2251" i="1"/>
  <c r="AM2614" i="1"/>
  <c r="AL2614" i="1"/>
  <c r="AN2614" i="1"/>
  <c r="AL2180" i="1"/>
  <c r="AN2180" i="1"/>
  <c r="AM2180" i="1"/>
  <c r="AM954" i="1"/>
  <c r="AN954" i="1"/>
  <c r="AL954" i="1"/>
  <c r="AM1775" i="1"/>
  <c r="AL1775" i="1"/>
  <c r="AN1775" i="1"/>
  <c r="AL794" i="1"/>
  <c r="AM794" i="1"/>
  <c r="AN794" i="1"/>
  <c r="AM1898" i="1"/>
  <c r="AL1898" i="1"/>
  <c r="AN1898" i="1"/>
  <c r="AM1150" i="1"/>
  <c r="AL1150" i="1"/>
  <c r="AN1150" i="1"/>
  <c r="AN796" i="1"/>
  <c r="AL796" i="1"/>
  <c r="AM796" i="1"/>
  <c r="AM2483" i="1"/>
  <c r="AL2483" i="1"/>
  <c r="AN2483" i="1"/>
  <c r="AL632" i="1"/>
  <c r="AM632" i="1"/>
  <c r="AN632" i="1"/>
  <c r="AM2446" i="1"/>
  <c r="AL2446" i="1"/>
  <c r="AN2446" i="1"/>
  <c r="AM3087" i="1"/>
  <c r="AL3087" i="1"/>
  <c r="AN3087" i="1"/>
  <c r="AM2867" i="1"/>
  <c r="AN2867" i="1"/>
  <c r="AL2867" i="1"/>
  <c r="AM3144" i="1"/>
  <c r="AN3144" i="1"/>
  <c r="AL3144" i="1"/>
  <c r="AL2183" i="1"/>
  <c r="AM2183" i="1"/>
  <c r="AN2183" i="1"/>
  <c r="AM2386" i="1"/>
  <c r="AL2386" i="1"/>
  <c r="AN2386" i="1"/>
  <c r="AM1901" i="1"/>
  <c r="AN1901" i="1"/>
  <c r="AL1901" i="1"/>
  <c r="AL2532" i="1"/>
  <c r="AM2532" i="1"/>
  <c r="AN2532" i="1"/>
  <c r="AL2651" i="1"/>
  <c r="AN2651" i="1"/>
  <c r="AM2651" i="1"/>
  <c r="AM2058" i="1"/>
  <c r="AL2058" i="1"/>
  <c r="AN2058" i="1"/>
  <c r="AN994" i="1"/>
  <c r="AM994" i="1"/>
  <c r="AL994" i="1"/>
  <c r="AM501" i="1"/>
  <c r="AL501" i="1"/>
  <c r="AN501" i="1"/>
  <c r="AN1413" i="1"/>
  <c r="AL1413" i="1"/>
  <c r="AM1413" i="1"/>
  <c r="AM2284" i="1"/>
  <c r="AL2284" i="1"/>
  <c r="AN2284" i="1"/>
  <c r="AL2260" i="1"/>
  <c r="AM2260" i="1"/>
  <c r="AN2260" i="1"/>
  <c r="AM3143" i="1"/>
  <c r="AL3143" i="1"/>
  <c r="AN3143" i="1"/>
  <c r="AM2461" i="1"/>
  <c r="AL2461" i="1"/>
  <c r="AN2461" i="1"/>
  <c r="AL826" i="1"/>
  <c r="AN826" i="1"/>
  <c r="AM826" i="1"/>
  <c r="AL825" i="1"/>
  <c r="AN825" i="1"/>
  <c r="AM825" i="1"/>
  <c r="AL535" i="1"/>
  <c r="AM535" i="1"/>
  <c r="AN535" i="1"/>
  <c r="AM1118" i="1"/>
  <c r="AN1118" i="1"/>
  <c r="AL1118" i="1"/>
  <c r="AL1135" i="1"/>
  <c r="AM1135" i="1"/>
  <c r="AN1135" i="1"/>
  <c r="AM1300" i="1"/>
  <c r="AL1300" i="1"/>
  <c r="AN1300" i="1"/>
  <c r="AN1415" i="1"/>
  <c r="AM1415" i="1"/>
  <c r="AL1415" i="1"/>
  <c r="AL745" i="1"/>
  <c r="AM745" i="1"/>
  <c r="AN745" i="1"/>
  <c r="AL573" i="1"/>
  <c r="AM573" i="1"/>
  <c r="AN573" i="1"/>
  <c r="AL1406" i="1"/>
  <c r="AM1406" i="1"/>
  <c r="AN1406" i="1"/>
  <c r="AL2687" i="1"/>
  <c r="AM2687" i="1"/>
  <c r="AN2687" i="1"/>
  <c r="AL2414" i="1"/>
  <c r="AM2414" i="1"/>
  <c r="AN2414" i="1"/>
  <c r="AN2411" i="1"/>
  <c r="AM2411" i="1"/>
  <c r="AL2411" i="1"/>
  <c r="AL2835" i="1"/>
  <c r="AM2835" i="1"/>
  <c r="AN2835" i="1"/>
  <c r="AM2383" i="1"/>
  <c r="AN2383" i="1"/>
  <c r="AL2383" i="1"/>
  <c r="AM3130" i="1"/>
  <c r="AN3130" i="1"/>
  <c r="AL3130" i="1"/>
  <c r="AM2824" i="1"/>
  <c r="AL2824" i="1"/>
  <c r="AN2824" i="1"/>
  <c r="AL2772" i="1"/>
  <c r="AN2772" i="1"/>
  <c r="AM2772" i="1"/>
  <c r="AM2971" i="1"/>
  <c r="AN2971" i="1"/>
  <c r="AL2971" i="1"/>
  <c r="AM2293" i="1"/>
  <c r="AL2293" i="1"/>
  <c r="AN2293" i="1"/>
  <c r="AM590" i="1"/>
  <c r="AL590" i="1"/>
  <c r="AN590" i="1"/>
  <c r="AN1857" i="1"/>
  <c r="AL1857" i="1"/>
  <c r="AM1857" i="1"/>
  <c r="AM2879" i="1"/>
  <c r="AL2879" i="1"/>
  <c r="AN2879" i="1"/>
  <c r="AL1202" i="1"/>
  <c r="AM1202" i="1"/>
  <c r="AN1202" i="1"/>
  <c r="AN457" i="1"/>
  <c r="AL457" i="1"/>
  <c r="AM457" i="1"/>
  <c r="AL2969" i="1"/>
  <c r="AM2969" i="1"/>
  <c r="AN2969" i="1"/>
  <c r="AN2683" i="1"/>
  <c r="AL2683" i="1"/>
  <c r="AM2683" i="1"/>
  <c r="AM1959" i="1"/>
  <c r="AL1959" i="1"/>
  <c r="AN1959" i="1"/>
  <c r="AM3096" i="1"/>
  <c r="AL3096" i="1"/>
  <c r="AN3096" i="1"/>
  <c r="AM2313" i="1"/>
  <c r="AL2313" i="1"/>
  <c r="AN2313" i="1"/>
  <c r="AM2404" i="1"/>
  <c r="AN2404" i="1"/>
  <c r="AL2404" i="1"/>
  <c r="AL2470" i="1"/>
  <c r="AN2470" i="1"/>
  <c r="AM2470" i="1"/>
  <c r="AM643" i="1"/>
  <c r="AN643" i="1"/>
  <c r="AL643" i="1"/>
  <c r="AM2005" i="1"/>
  <c r="AN2005" i="1"/>
  <c r="AL2005" i="1"/>
  <c r="AM2040" i="1"/>
  <c r="AL2040" i="1"/>
  <c r="AN2040" i="1"/>
  <c r="AM812" i="1"/>
  <c r="AL812" i="1"/>
  <c r="AN812" i="1"/>
  <c r="AN1231" i="1"/>
  <c r="AM1231" i="1"/>
  <c r="AL1231" i="1"/>
  <c r="AN1224" i="1"/>
  <c r="AM1224" i="1"/>
  <c r="AL1224" i="1"/>
  <c r="AM1332" i="1"/>
  <c r="AN1332" i="1"/>
  <c r="AL1332" i="1"/>
  <c r="AM676" i="1"/>
  <c r="AL676" i="1"/>
  <c r="AN676" i="1"/>
  <c r="AN1019" i="1"/>
  <c r="AM1019" i="1"/>
  <c r="AL1019" i="1"/>
  <c r="AM544" i="1"/>
  <c r="AL544" i="1"/>
  <c r="AN544" i="1"/>
  <c r="AN979" i="1"/>
  <c r="AM979" i="1"/>
  <c r="AL979" i="1"/>
  <c r="AL1989" i="1"/>
  <c r="AM1989" i="1"/>
  <c r="AN1989" i="1"/>
  <c r="AM803" i="1"/>
  <c r="AL803" i="1"/>
  <c r="AN803" i="1"/>
  <c r="AN3101" i="1"/>
  <c r="AL3101" i="1"/>
  <c r="AM3101" i="1"/>
  <c r="AL1327" i="1"/>
  <c r="AN1327" i="1"/>
  <c r="AM1327" i="1"/>
  <c r="AL2631" i="1"/>
  <c r="AM2631" i="1"/>
  <c r="AN2631" i="1"/>
  <c r="AM2438" i="1"/>
  <c r="AN2438" i="1"/>
  <c r="AL2438" i="1"/>
  <c r="AM1956" i="1"/>
  <c r="AN1956" i="1"/>
  <c r="AL1956" i="1"/>
  <c r="AM2489" i="1"/>
  <c r="AL2489" i="1"/>
  <c r="AN2489" i="1"/>
  <c r="AM1987" i="1"/>
  <c r="AL1987" i="1"/>
  <c r="AN1987" i="1"/>
  <c r="AL2454" i="1"/>
  <c r="AN2454" i="1"/>
  <c r="AM2454" i="1"/>
  <c r="AN978" i="1"/>
  <c r="AM978" i="1"/>
  <c r="AL978" i="1"/>
  <c r="AM2942" i="1"/>
  <c r="AN2942" i="1"/>
  <c r="AL2942" i="1"/>
  <c r="AM485" i="1"/>
  <c r="AL485" i="1"/>
  <c r="AN485" i="1"/>
  <c r="AL1211" i="1"/>
  <c r="AM1211" i="1"/>
  <c r="AN1211" i="1"/>
  <c r="AM1223" i="1"/>
  <c r="AN1223" i="1"/>
  <c r="AL1223" i="1"/>
  <c r="AN3108" i="1"/>
  <c r="AL3108" i="1"/>
  <c r="AM3108" i="1"/>
  <c r="AL1085" i="1"/>
  <c r="AM1085" i="1"/>
  <c r="AN1085" i="1"/>
  <c r="AN2560" i="1"/>
  <c r="AM2560" i="1"/>
  <c r="AL2560" i="1"/>
  <c r="AM2903" i="1"/>
  <c r="AL2903" i="1"/>
  <c r="AN2903" i="1"/>
  <c r="AN2723" i="1"/>
  <c r="AL2723" i="1"/>
  <c r="AM2723" i="1"/>
  <c r="AM2353" i="1"/>
  <c r="AL2353" i="1"/>
  <c r="AN2353" i="1"/>
  <c r="AM1080" i="1"/>
  <c r="AN1080" i="1"/>
  <c r="AL1080" i="1"/>
  <c r="AL729" i="1"/>
  <c r="AM729" i="1"/>
  <c r="AN729" i="1"/>
  <c r="AN3105" i="1"/>
  <c r="AL3105" i="1"/>
  <c r="AM3105" i="1"/>
  <c r="AL2922" i="1"/>
  <c r="AN2922" i="1"/>
  <c r="AM2922" i="1"/>
  <c r="AN976" i="1"/>
  <c r="AL976" i="1"/>
  <c r="AM976" i="1"/>
  <c r="AN1444" i="1"/>
  <c r="AL1444" i="1"/>
  <c r="AM1444" i="1"/>
  <c r="AM550" i="1"/>
  <c r="AN550" i="1"/>
  <c r="AL550" i="1"/>
  <c r="AL1130" i="1"/>
  <c r="AM1130" i="1"/>
  <c r="AN1130" i="1"/>
  <c r="AM1803" i="1"/>
  <c r="AL1803" i="1"/>
  <c r="AN1803" i="1"/>
  <c r="AM1850" i="1"/>
  <c r="AN1850" i="1"/>
  <c r="AL1850" i="1"/>
  <c r="AL1912" i="1"/>
  <c r="AM1912" i="1"/>
  <c r="AN1912" i="1"/>
  <c r="AL1158" i="1"/>
  <c r="AN1158" i="1"/>
  <c r="AM1158" i="1"/>
  <c r="AL2262" i="1"/>
  <c r="AM2262" i="1"/>
  <c r="AN2262" i="1"/>
  <c r="AN2485" i="1"/>
  <c r="AL2485" i="1"/>
  <c r="AM2485" i="1"/>
  <c r="AN1812" i="1"/>
  <c r="AL1812" i="1"/>
  <c r="AM1812" i="1"/>
  <c r="AL2125" i="1"/>
  <c r="AM2125" i="1"/>
  <c r="AN2125" i="1"/>
  <c r="AL2142" i="1"/>
  <c r="AM2142" i="1"/>
  <c r="AN2142" i="1"/>
  <c r="AM755" i="1"/>
  <c r="AL755" i="1"/>
  <c r="AN755" i="1"/>
  <c r="AM1461" i="1"/>
  <c r="AL1461" i="1"/>
  <c r="AN1461" i="1"/>
  <c r="AM2977" i="1"/>
  <c r="AL2977" i="1"/>
  <c r="AN2977" i="1"/>
  <c r="AN1386" i="1"/>
  <c r="AL1386" i="1"/>
  <c r="AM1386" i="1"/>
  <c r="AN2430" i="1"/>
  <c r="AM2430" i="1"/>
  <c r="AL2430" i="1"/>
  <c r="AM1166" i="1"/>
  <c r="AN1166" i="1"/>
  <c r="AL1166" i="1"/>
  <c r="AM1232" i="1"/>
  <c r="AN1232" i="1"/>
  <c r="AL1232" i="1"/>
  <c r="AM625" i="1"/>
  <c r="AL625" i="1"/>
  <c r="AN625" i="1"/>
  <c r="AM1998" i="1"/>
  <c r="AN1998" i="1"/>
  <c r="AL1998" i="1"/>
  <c r="AL2921" i="1"/>
  <c r="AN2921" i="1"/>
  <c r="AM2921" i="1"/>
  <c r="AL1326" i="1"/>
  <c r="AN1326" i="1"/>
  <c r="AM1326" i="1"/>
  <c r="AM1330" i="1"/>
  <c r="AL1330" i="1"/>
  <c r="AN1330" i="1"/>
  <c r="AM3061" i="1"/>
  <c r="AN3061" i="1"/>
  <c r="AL3061" i="1"/>
  <c r="AM1879" i="1"/>
  <c r="AL1879" i="1"/>
  <c r="AN1879" i="1"/>
  <c r="AN1236" i="1"/>
  <c r="AM1236" i="1"/>
  <c r="AL1236" i="1"/>
  <c r="AM2062" i="1"/>
  <c r="AL2062" i="1"/>
  <c r="AN2062" i="1"/>
  <c r="AM815" i="1"/>
  <c r="AN815" i="1"/>
  <c r="AL815" i="1"/>
  <c r="AM776" i="1"/>
  <c r="AL776" i="1"/>
  <c r="AN776" i="1"/>
  <c r="AM2122" i="1"/>
  <c r="AL2122" i="1"/>
  <c r="AN2122" i="1"/>
  <c r="AM1022" i="1"/>
  <c r="AL1022" i="1"/>
  <c r="AN1022" i="1"/>
  <c r="AL1875" i="1"/>
  <c r="AM1875" i="1"/>
  <c r="AN1875" i="1"/>
  <c r="AL2482" i="1"/>
  <c r="AM2482" i="1"/>
  <c r="AN2482" i="1"/>
  <c r="AM3029" i="1"/>
  <c r="AL3029" i="1"/>
  <c r="AN3029" i="1"/>
  <c r="AM3187" i="1"/>
  <c r="AL3187" i="1"/>
  <c r="AN3187" i="1"/>
  <c r="AM1352" i="1"/>
  <c r="AN1352" i="1"/>
  <c r="AL1352" i="1"/>
  <c r="AM3093" i="1"/>
  <c r="AL3093" i="1"/>
  <c r="AN3093" i="1"/>
  <c r="AL1408" i="1"/>
  <c r="AM1408" i="1"/>
  <c r="AN1408" i="1"/>
  <c r="AM3154" i="1"/>
  <c r="AN3154" i="1"/>
  <c r="AL3154" i="1"/>
  <c r="AM2706" i="1"/>
  <c r="AN2706" i="1"/>
  <c r="AL2706" i="1"/>
  <c r="AM1086" i="1"/>
  <c r="AN1086" i="1"/>
  <c r="AL1086" i="1"/>
  <c r="AN2067" i="1"/>
  <c r="AL2067" i="1"/>
  <c r="AM2067" i="1"/>
  <c r="AL436" i="1"/>
  <c r="AM436" i="1"/>
  <c r="AN436" i="1"/>
  <c r="AL2611" i="1"/>
  <c r="AN2611" i="1"/>
  <c r="AM2611" i="1"/>
  <c r="AL1045" i="1"/>
  <c r="AM1045" i="1"/>
  <c r="AN1045" i="1"/>
  <c r="AL1076" i="1"/>
  <c r="AN1076" i="1"/>
  <c r="AM1076" i="1"/>
  <c r="AL2345" i="1"/>
  <c r="AM2345" i="1"/>
  <c r="AN2345" i="1"/>
  <c r="AL440" i="1"/>
  <c r="AM440" i="1"/>
  <c r="AN440" i="1"/>
  <c r="AL2875" i="1"/>
  <c r="AN2875" i="1"/>
  <c r="AM2875" i="1"/>
  <c r="AM1771" i="1"/>
  <c r="AN1771" i="1"/>
  <c r="AL1771" i="1"/>
  <c r="AM2618" i="1"/>
  <c r="AL2618" i="1"/>
  <c r="AN2618" i="1"/>
  <c r="AM2973" i="1"/>
  <c r="AN2973" i="1"/>
  <c r="AL2973" i="1"/>
  <c r="AM1957" i="1"/>
  <c r="AL1957" i="1"/>
  <c r="AN1957" i="1"/>
  <c r="AM2287" i="1"/>
  <c r="AL2287" i="1"/>
  <c r="AN2287" i="1"/>
  <c r="AL734" i="1"/>
  <c r="AM734" i="1"/>
  <c r="AN734" i="1"/>
  <c r="AM2121" i="1"/>
  <c r="AL2121" i="1"/>
  <c r="AN2121" i="1"/>
  <c r="AL1258" i="1"/>
  <c r="AN1258" i="1"/>
  <c r="AM1258" i="1"/>
  <c r="AL821" i="1"/>
  <c r="AM821" i="1"/>
  <c r="AN821" i="1"/>
  <c r="AL2955" i="1"/>
  <c r="AM2955" i="1"/>
  <c r="AN2955" i="1"/>
  <c r="AM658" i="1"/>
  <c r="AN658" i="1"/>
  <c r="AL658" i="1"/>
  <c r="AL2794" i="1"/>
  <c r="AM2794" i="1"/>
  <c r="AN2794" i="1"/>
  <c r="AN2296" i="1"/>
  <c r="AL2296" i="1"/>
  <c r="AM2296" i="1"/>
  <c r="AM1776" i="1"/>
  <c r="AL1776" i="1"/>
  <c r="AN1776" i="1"/>
  <c r="AM3045" i="1"/>
  <c r="AL3045" i="1"/>
  <c r="AN3045" i="1"/>
  <c r="AL970" i="1"/>
  <c r="AM970" i="1"/>
  <c r="AN970" i="1"/>
  <c r="AM1240" i="1"/>
  <c r="AL1240" i="1"/>
  <c r="AN1240" i="1"/>
  <c r="AL1503" i="1"/>
  <c r="AM1503" i="1"/>
  <c r="AN1503" i="1"/>
  <c r="AN1199" i="1"/>
  <c r="AM1199" i="1"/>
  <c r="AL1199" i="1"/>
  <c r="AN1270" i="1"/>
  <c r="AL1270" i="1"/>
  <c r="AM1270" i="1"/>
  <c r="AN1259" i="1"/>
  <c r="AM1259" i="1"/>
  <c r="AL1259" i="1"/>
  <c r="AM3053" i="1"/>
  <c r="AN3053" i="1"/>
  <c r="AL3053" i="1"/>
  <c r="AM1800" i="1"/>
  <c r="AL1800" i="1"/>
  <c r="AN1800" i="1"/>
  <c r="AM1997" i="1"/>
  <c r="AL1997" i="1"/>
  <c r="AN1997" i="1"/>
  <c r="AM452" i="1"/>
  <c r="AL452" i="1"/>
  <c r="AN452" i="1"/>
  <c r="AL540" i="1"/>
  <c r="AM540" i="1"/>
  <c r="AN540" i="1"/>
  <c r="AN1351" i="1"/>
  <c r="AL1351" i="1"/>
  <c r="AM1351" i="1"/>
  <c r="AM2998" i="1"/>
  <c r="AN2998" i="1"/>
  <c r="AL2998" i="1"/>
  <c r="AM1935" i="1"/>
  <c r="AL1935" i="1"/>
  <c r="AN1935" i="1"/>
  <c r="AM499" i="1"/>
  <c r="AL499" i="1"/>
  <c r="AN499" i="1"/>
  <c r="AN749" i="1"/>
  <c r="AM749" i="1"/>
  <c r="AL749" i="1"/>
  <c r="AM778" i="1"/>
  <c r="AL778" i="1"/>
  <c r="AN778" i="1"/>
  <c r="AM1977" i="1"/>
  <c r="AN1977" i="1"/>
  <c r="AL1977" i="1"/>
  <c r="AM1851" i="1"/>
  <c r="AL1851" i="1"/>
  <c r="AN1851" i="1"/>
  <c r="AM2994" i="1"/>
  <c r="AN2994" i="1"/>
  <c r="AL2994" i="1"/>
  <c r="AL728" i="1"/>
  <c r="AM728" i="1"/>
  <c r="AN728" i="1"/>
  <c r="AM1925" i="1"/>
  <c r="AL1925" i="1"/>
  <c r="AN1925" i="1"/>
  <c r="AN1437" i="1"/>
  <c r="AM1437" i="1"/>
  <c r="AL1437" i="1"/>
  <c r="AM2665" i="1"/>
  <c r="AL2665" i="1"/>
  <c r="AN2665" i="1"/>
  <c r="AM2079" i="1"/>
  <c r="AL2079" i="1"/>
  <c r="AN2079" i="1"/>
  <c r="AL743" i="1"/>
  <c r="AM743" i="1"/>
  <c r="AN743" i="1"/>
  <c r="AN829" i="1"/>
  <c r="AL829" i="1"/>
  <c r="AM829" i="1"/>
  <c r="AM420" i="1"/>
  <c r="AL420" i="1"/>
  <c r="AN420" i="1"/>
  <c r="AL2821" i="1"/>
  <c r="AN2821" i="1"/>
  <c r="AM2821" i="1"/>
  <c r="AN1333" i="1"/>
  <c r="AM1333" i="1"/>
  <c r="AL1333" i="1"/>
  <c r="AM3127" i="1"/>
  <c r="AL3127" i="1"/>
  <c r="AN3127" i="1"/>
  <c r="AM2912" i="1"/>
  <c r="AL2912" i="1"/>
  <c r="AN2912" i="1"/>
  <c r="AM2538" i="1"/>
  <c r="AL2538" i="1"/>
  <c r="AN2538" i="1"/>
  <c r="AL2992" i="1"/>
  <c r="AN2992" i="1"/>
  <c r="AM2992" i="1"/>
  <c r="AM2584" i="1"/>
  <c r="AL2584" i="1"/>
  <c r="AN2584" i="1"/>
  <c r="AM3126" i="1"/>
  <c r="AL3126" i="1"/>
  <c r="AN3126" i="1"/>
  <c r="AM3104" i="1"/>
  <c r="AN3104" i="1"/>
  <c r="AL3104" i="1"/>
  <c r="AM1268" i="1"/>
  <c r="AL1268" i="1"/>
  <c r="AN1268" i="1"/>
  <c r="AN1419" i="1"/>
  <c r="AM1419" i="1"/>
  <c r="AL1419" i="1"/>
  <c r="AM1762" i="1"/>
  <c r="AL1762" i="1"/>
  <c r="AN1762" i="1"/>
  <c r="AL1807" i="1"/>
  <c r="AN1807" i="1"/>
  <c r="AM1807" i="1"/>
  <c r="AL2378" i="1"/>
  <c r="AM2378" i="1"/>
  <c r="AN2378" i="1"/>
  <c r="AM3022" i="1"/>
  <c r="AL3022" i="1"/>
  <c r="AN3022" i="1"/>
  <c r="AM2292" i="1"/>
  <c r="AL2292" i="1"/>
  <c r="AN2292" i="1"/>
  <c r="AM2984" i="1"/>
  <c r="AL2984" i="1"/>
  <c r="AN2984" i="1"/>
  <c r="AN2685" i="1"/>
  <c r="AL2685" i="1"/>
  <c r="AM2685" i="1"/>
  <c r="AM2582" i="1"/>
  <c r="AL2582" i="1"/>
  <c r="AN2582" i="1"/>
  <c r="AM2733" i="1"/>
  <c r="AL2733" i="1"/>
  <c r="AN2733" i="1"/>
  <c r="AN432" i="1"/>
  <c r="AL432" i="1"/>
  <c r="AM432" i="1"/>
  <c r="AL460" i="1"/>
  <c r="AM460" i="1"/>
  <c r="AN460" i="1"/>
  <c r="AL1353" i="1"/>
  <c r="AM1353" i="1"/>
  <c r="AN1353" i="1"/>
  <c r="AM3123" i="1"/>
  <c r="AL3123" i="1"/>
  <c r="AN3123" i="1"/>
  <c r="AM587" i="1"/>
  <c r="AL587" i="1"/>
  <c r="AN587" i="1"/>
  <c r="AM2587" i="1"/>
  <c r="AL2587" i="1"/>
  <c r="AN2587" i="1"/>
  <c r="AM606" i="1"/>
  <c r="AN606" i="1"/>
  <c r="AL606" i="1"/>
  <c r="AM1839" i="1"/>
  <c r="AL1839" i="1"/>
  <c r="AN1839" i="1"/>
  <c r="AN2999" i="1"/>
  <c r="AM2999" i="1"/>
  <c r="AL2999" i="1"/>
  <c r="AM2736" i="1"/>
  <c r="AN2736" i="1"/>
  <c r="AL2736" i="1"/>
  <c r="AN2686" i="1"/>
  <c r="AL2686" i="1"/>
  <c r="AM2686" i="1"/>
  <c r="AM1753" i="1"/>
  <c r="AL1753" i="1"/>
  <c r="AN1753" i="1"/>
  <c r="AL1841" i="1"/>
  <c r="AM1841" i="1"/>
  <c r="AN1841" i="1"/>
  <c r="AL426" i="1"/>
  <c r="AM426" i="1"/>
  <c r="AN426" i="1"/>
  <c r="AM1208" i="1"/>
  <c r="AL1208" i="1"/>
  <c r="AN1208" i="1"/>
  <c r="AL2350" i="1"/>
  <c r="AM2350" i="1"/>
  <c r="AN2350" i="1"/>
  <c r="AM1190" i="1"/>
  <c r="AL1190" i="1"/>
  <c r="AN1190" i="1"/>
  <c r="AM2171" i="1"/>
  <c r="AN2171" i="1"/>
  <c r="AL2171" i="1"/>
  <c r="AN429" i="1"/>
  <c r="AM429" i="1"/>
  <c r="AL429" i="1"/>
  <c r="AL486" i="1"/>
  <c r="AM486" i="1"/>
  <c r="AN486" i="1"/>
  <c r="AM1269" i="1"/>
  <c r="AL1269" i="1"/>
  <c r="AN1269" i="1"/>
  <c r="AM2222" i="1"/>
  <c r="AN2222" i="1"/>
  <c r="AL2222" i="1"/>
  <c r="AM510" i="1"/>
  <c r="AL510" i="1"/>
  <c r="AN510" i="1"/>
  <c r="AL1286" i="1"/>
  <c r="AN1286" i="1"/>
  <c r="AM1286" i="1"/>
  <c r="AL2690" i="1"/>
  <c r="AM2690" i="1"/>
  <c r="AN2690" i="1"/>
  <c r="AM449" i="1"/>
  <c r="AL449" i="1"/>
  <c r="AN449" i="1"/>
  <c r="AM451" i="1"/>
  <c r="AN451" i="1"/>
  <c r="AL451" i="1"/>
  <c r="AN1793" i="1"/>
  <c r="AM1793" i="1"/>
  <c r="AL1793" i="1"/>
  <c r="AN1267" i="1"/>
  <c r="AM1267" i="1"/>
  <c r="AL1267" i="1"/>
  <c r="AM627" i="1"/>
  <c r="AL627" i="1"/>
  <c r="AN627" i="1"/>
  <c r="AL2176" i="1"/>
  <c r="AN2176" i="1"/>
  <c r="AM2176" i="1"/>
  <c r="AN2246" i="1"/>
  <c r="AL2246" i="1"/>
  <c r="AM2246" i="1"/>
  <c r="AL1452" i="1"/>
  <c r="AM1452" i="1"/>
  <c r="AN1452" i="1"/>
  <c r="AL2267" i="1"/>
  <c r="AM2267" i="1"/>
  <c r="AN2267" i="1"/>
  <c r="AM1805" i="1"/>
  <c r="AN1805" i="1"/>
  <c r="AL1805" i="1"/>
  <c r="AL531" i="1"/>
  <c r="AM531" i="1"/>
  <c r="AN531" i="1"/>
  <c r="AM2734" i="1"/>
  <c r="AL2734" i="1"/>
  <c r="AN2734" i="1"/>
  <c r="AM3149" i="1"/>
  <c r="AL3149" i="1"/>
  <c r="AN3149" i="1"/>
  <c r="AL1976" i="1"/>
  <c r="AM1976" i="1"/>
  <c r="AN1976" i="1"/>
  <c r="AM3128" i="1"/>
  <c r="AL3128" i="1"/>
  <c r="AN3128" i="1"/>
  <c r="AM3031" i="1"/>
  <c r="AL3031" i="1"/>
  <c r="AN3031" i="1"/>
  <c r="AL1411" i="1"/>
  <c r="AN1411" i="1"/>
  <c r="AM1411" i="1"/>
  <c r="AM3135" i="1"/>
  <c r="AN3135" i="1"/>
  <c r="AL3135" i="1"/>
  <c r="AL1440" i="1"/>
  <c r="AM1440" i="1"/>
  <c r="AN1440" i="1"/>
  <c r="AN2297" i="1"/>
  <c r="AL2297" i="1"/>
  <c r="AM2297" i="1"/>
  <c r="AL2776" i="1"/>
  <c r="AM2776" i="1"/>
  <c r="AN2776" i="1"/>
  <c r="AM1849" i="1"/>
  <c r="AL1849" i="1"/>
  <c r="AN1849" i="1"/>
  <c r="AN2209" i="1"/>
  <c r="AM2209" i="1"/>
  <c r="AL2209" i="1"/>
  <c r="AM1115" i="1"/>
  <c r="AL1115" i="1"/>
  <c r="AN1115" i="1"/>
  <c r="AN1863" i="1"/>
  <c r="AL1863" i="1"/>
  <c r="AM1863" i="1"/>
  <c r="AM2221" i="1"/>
  <c r="AN2221" i="1"/>
  <c r="AL2221" i="1"/>
  <c r="AM655" i="1"/>
  <c r="AL655" i="1"/>
  <c r="AN655" i="1"/>
  <c r="AM3157" i="1"/>
  <c r="AN3157" i="1"/>
  <c r="AL3157" i="1"/>
  <c r="AN3002" i="1"/>
  <c r="AL3002" i="1"/>
  <c r="AM3002" i="1"/>
  <c r="AN1337" i="1"/>
  <c r="AM1337" i="1"/>
  <c r="AL1337" i="1"/>
  <c r="AM2876" i="1"/>
  <c r="AL2876" i="1"/>
  <c r="AN2876" i="1"/>
  <c r="AM3032" i="1"/>
  <c r="AL3032" i="1"/>
  <c r="AN3032" i="1"/>
  <c r="AL2557" i="1"/>
  <c r="AM2557" i="1"/>
  <c r="AN2557" i="1"/>
  <c r="AL1172" i="1"/>
  <c r="AM1172" i="1"/>
  <c r="AN1172" i="1"/>
  <c r="AN3010" i="1"/>
  <c r="AL3010" i="1"/>
  <c r="AM3010" i="1"/>
  <c r="AM2950" i="1"/>
  <c r="AL2950" i="1"/>
  <c r="AN2950" i="1"/>
  <c r="AN3102" i="1"/>
  <c r="AL3102" i="1"/>
  <c r="AM3102" i="1"/>
  <c r="AM2985" i="1"/>
  <c r="AL2985" i="1"/>
  <c r="AN2985" i="1"/>
  <c r="AL1870" i="1"/>
  <c r="AM1870" i="1"/>
  <c r="AN1870" i="1"/>
  <c r="AM2365" i="1"/>
  <c r="AL2365" i="1"/>
  <c r="AN2365" i="1"/>
  <c r="AN989" i="1"/>
  <c r="AM989" i="1"/>
  <c r="AL989" i="1"/>
  <c r="AL2680" i="1"/>
  <c r="AM2680" i="1"/>
  <c r="AN2680" i="1"/>
  <c r="AM1108" i="1"/>
  <c r="AN1108" i="1"/>
  <c r="AL1108" i="1"/>
  <c r="AL1479" i="1"/>
  <c r="AN1479" i="1"/>
  <c r="AM1479" i="1"/>
  <c r="AM2440" i="1"/>
  <c r="AN2440" i="1"/>
  <c r="AL2440" i="1"/>
  <c r="AL1942" i="1"/>
  <c r="AM1942" i="1"/>
  <c r="AN1942" i="1"/>
  <c r="AM2319" i="1"/>
  <c r="AN2319" i="1"/>
  <c r="AL2319" i="1"/>
  <c r="AL2343" i="1"/>
  <c r="AM2343" i="1"/>
  <c r="AN2343" i="1"/>
  <c r="AM2486" i="1"/>
  <c r="AL2486" i="1"/>
  <c r="AN2486" i="1"/>
  <c r="AM1760" i="1"/>
  <c r="AL1760" i="1"/>
  <c r="AN1760" i="1"/>
  <c r="AM1887" i="1"/>
  <c r="AN1887" i="1"/>
  <c r="AL1887" i="1"/>
  <c r="AN2558" i="1"/>
  <c r="AM2558" i="1"/>
  <c r="AL2558" i="1"/>
  <c r="AL2133" i="1"/>
  <c r="AM2133" i="1"/>
  <c r="AN2133" i="1"/>
  <c r="AL2576" i="1"/>
  <c r="AN2576" i="1"/>
  <c r="AM2576" i="1"/>
  <c r="AM2356" i="1"/>
  <c r="AL2356" i="1"/>
  <c r="AN2356" i="1"/>
  <c r="AM3046" i="1"/>
  <c r="AL3046" i="1"/>
  <c r="AN3046" i="1"/>
  <c r="AM1518" i="1"/>
  <c r="AL1518" i="1"/>
  <c r="AN1518" i="1"/>
  <c r="AM2191" i="1"/>
  <c r="AN2191" i="1"/>
  <c r="AL2191" i="1"/>
  <c r="AN1744" i="1"/>
  <c r="AM1744" i="1"/>
  <c r="AL1744" i="1"/>
  <c r="AL2217" i="1"/>
  <c r="AN2217" i="1"/>
  <c r="AM2217" i="1"/>
  <c r="AM2662" i="1"/>
  <c r="AL2662" i="1"/>
  <c r="AN2662" i="1"/>
  <c r="AM3109" i="1"/>
  <c r="AN3109" i="1"/>
  <c r="AL3109" i="1"/>
  <c r="AM2826" i="1"/>
  <c r="AN2826" i="1"/>
  <c r="AL2826" i="1"/>
  <c r="AL1790" i="1"/>
  <c r="AM1790" i="1"/>
  <c r="AN1790" i="1"/>
  <c r="AL2480" i="1"/>
  <c r="AM2480" i="1"/>
  <c r="AN2480" i="1"/>
  <c r="AL2473" i="1"/>
  <c r="AN2473" i="1"/>
  <c r="AM2473" i="1"/>
  <c r="AM3145" i="1"/>
  <c r="AL3145" i="1"/>
  <c r="AN3145" i="1"/>
  <c r="AM2135" i="1"/>
  <c r="AL2135" i="1"/>
  <c r="AN2135" i="1"/>
  <c r="AM3011" i="1"/>
  <c r="AN3011" i="1"/>
  <c r="AL3011" i="1"/>
  <c r="AM2799" i="1"/>
  <c r="AL2799" i="1"/>
  <c r="AN2799" i="1"/>
  <c r="AM2586" i="1"/>
  <c r="AL2586" i="1"/>
  <c r="AN2586" i="1"/>
  <c r="AM3068" i="1"/>
  <c r="AL3068" i="1"/>
  <c r="AN3068" i="1"/>
  <c r="AM2813" i="1"/>
  <c r="AL2813" i="1"/>
  <c r="AN2813" i="1"/>
  <c r="AN973" i="1"/>
  <c r="AM973" i="1"/>
  <c r="AL973" i="1"/>
  <c r="AL2676" i="1"/>
  <c r="AM2676" i="1"/>
  <c r="AN2676" i="1"/>
  <c r="AM1187" i="1"/>
  <c r="AN1187" i="1"/>
  <c r="AL1187" i="1"/>
  <c r="AM2705" i="1"/>
  <c r="AL2705" i="1"/>
  <c r="AN2705" i="1"/>
  <c r="AM1804" i="1"/>
  <c r="AL1804" i="1"/>
  <c r="AN1804" i="1"/>
  <c r="AN1233" i="1"/>
  <c r="AM1233" i="1"/>
  <c r="AL1233" i="1"/>
  <c r="AL747" i="1"/>
  <c r="AN747" i="1"/>
  <c r="AM747" i="1"/>
  <c r="AL2779" i="1"/>
  <c r="AM2779" i="1"/>
  <c r="AN2779" i="1"/>
  <c r="AM1026" i="1"/>
  <c r="AL1026" i="1"/>
  <c r="AN1026" i="1"/>
  <c r="AM1003" i="1"/>
  <c r="AL1003" i="1"/>
  <c r="AN1003" i="1"/>
  <c r="AL1131" i="1"/>
  <c r="AM1131" i="1"/>
  <c r="AN1131" i="1"/>
  <c r="AM2120" i="1"/>
  <c r="AL2120" i="1"/>
  <c r="AN2120" i="1"/>
  <c r="AN1170" i="1"/>
  <c r="AL1170" i="1"/>
  <c r="AM1170" i="1"/>
  <c r="AL1470" i="1"/>
  <c r="AN1470" i="1"/>
  <c r="AM1470" i="1"/>
  <c r="AL2248" i="1"/>
  <c r="AM2248" i="1"/>
  <c r="AN2248" i="1"/>
  <c r="AM2743" i="1"/>
  <c r="AL2743" i="1"/>
  <c r="AN2743" i="1"/>
  <c r="AM2198" i="1"/>
  <c r="AL2198" i="1"/>
  <c r="AN2198" i="1"/>
  <c r="AM522" i="1"/>
  <c r="AL522" i="1"/>
  <c r="AN522" i="1"/>
  <c r="AM1838" i="1"/>
  <c r="AL1838" i="1"/>
  <c r="AN1838" i="1"/>
  <c r="AM2976" i="1"/>
  <c r="AL2976" i="1"/>
  <c r="AN2976" i="1"/>
  <c r="AL458" i="1"/>
  <c r="AM458" i="1"/>
  <c r="AN458" i="1"/>
  <c r="AN2026" i="1"/>
  <c r="AM2026" i="1"/>
  <c r="AL2026" i="1"/>
  <c r="AL2266" i="1"/>
  <c r="AM2266" i="1"/>
  <c r="AN2266" i="1"/>
  <c r="AM2230" i="1"/>
  <c r="AL2230" i="1"/>
  <c r="AN2230" i="1"/>
  <c r="AM1137" i="1"/>
  <c r="AL1137" i="1"/>
  <c r="AN1137" i="1"/>
  <c r="AM2006" i="1"/>
  <c r="AN2006" i="1"/>
  <c r="AL2006" i="1"/>
  <c r="AL2281" i="1"/>
  <c r="AN2281" i="1"/>
  <c r="AM2281" i="1"/>
  <c r="AM1827" i="1"/>
  <c r="AN1827" i="1"/>
  <c r="AL1827" i="1"/>
  <c r="AN2514" i="1"/>
  <c r="AL2514" i="1"/>
  <c r="AM2514" i="1"/>
  <c r="AM1938" i="1"/>
  <c r="AL1938" i="1"/>
  <c r="AN1938" i="1"/>
  <c r="AM1802" i="1"/>
  <c r="AL1802" i="1"/>
  <c r="AN1802" i="1"/>
  <c r="AL1412" i="1"/>
  <c r="AM1412" i="1"/>
  <c r="AN1412" i="1"/>
  <c r="AL2144" i="1"/>
  <c r="AM2144" i="1"/>
  <c r="AN2144" i="1"/>
  <c r="AL1834" i="1"/>
  <c r="AN1834" i="1"/>
  <c r="AM1834" i="1"/>
  <c r="AL1214" i="1"/>
  <c r="AN1214" i="1"/>
  <c r="AM1214" i="1"/>
  <c r="AN982" i="1"/>
  <c r="AM982" i="1"/>
  <c r="AL982" i="1"/>
  <c r="AL2055" i="1"/>
  <c r="AM2055" i="1"/>
  <c r="AN2055" i="1"/>
  <c r="AN1007" i="1"/>
  <c r="AM1007" i="1"/>
  <c r="AL1007" i="1"/>
  <c r="AL489" i="1"/>
  <c r="AM489" i="1"/>
  <c r="AN489" i="1"/>
  <c r="AM1933" i="1"/>
  <c r="AN1933" i="1"/>
  <c r="AL1933" i="1"/>
  <c r="AL2968" i="1"/>
  <c r="AN2968" i="1"/>
  <c r="AM2968" i="1"/>
  <c r="AM1416" i="1"/>
  <c r="AN1416" i="1"/>
  <c r="AL1416" i="1"/>
  <c r="AM652" i="1"/>
  <c r="AN652" i="1"/>
  <c r="AL652" i="1"/>
  <c r="AN2727" i="1"/>
  <c r="AM2727" i="1"/>
  <c r="AL2727" i="1"/>
  <c r="AN1030" i="1"/>
  <c r="AM1030" i="1"/>
  <c r="AL1030" i="1"/>
  <c r="AN1995" i="1"/>
  <c r="AM1995" i="1"/>
  <c r="AL1995" i="1"/>
  <c r="AL2332" i="1"/>
  <c r="AM2332" i="1"/>
  <c r="AN2332" i="1"/>
  <c r="AN2545" i="1"/>
  <c r="AM2545" i="1"/>
  <c r="AL2545" i="1"/>
  <c r="AL2407" i="1"/>
  <c r="AM2407" i="1"/>
  <c r="AN2407" i="1"/>
  <c r="AL2515" i="1"/>
  <c r="AM2515" i="1"/>
  <c r="AN2515" i="1"/>
  <c r="AN2774" i="1"/>
  <c r="AM2774" i="1"/>
  <c r="AL2774" i="1"/>
  <c r="AL2613" i="1"/>
  <c r="AM2613" i="1"/>
  <c r="AN2613" i="1"/>
  <c r="AL1737" i="1"/>
  <c r="AN1737" i="1"/>
  <c r="AM1737" i="1"/>
  <c r="AM1201" i="1"/>
  <c r="AN1201" i="1"/>
  <c r="AL1201" i="1"/>
  <c r="AM648" i="1"/>
  <c r="AL648" i="1"/>
  <c r="AN648" i="1"/>
  <c r="AL1041" i="1"/>
  <c r="AM1041" i="1"/>
  <c r="AN1041" i="1"/>
  <c r="AL2380" i="1"/>
  <c r="AM2380" i="1"/>
  <c r="AN2380" i="1"/>
  <c r="AM2425" i="1"/>
  <c r="AL2425" i="1"/>
  <c r="AN2425" i="1"/>
  <c r="AM2324" i="1"/>
  <c r="AL2324" i="1"/>
  <c r="AN2324" i="1"/>
  <c r="AN204" i="1"/>
  <c r="AM204" i="1"/>
  <c r="AL204" i="1"/>
  <c r="AM1147" i="1"/>
  <c r="AN1147" i="1"/>
  <c r="AL1147" i="1"/>
  <c r="AL2344" i="1"/>
  <c r="AM2344" i="1"/>
  <c r="AN2344" i="1"/>
  <c r="AM496" i="1"/>
  <c r="AL496" i="1"/>
  <c r="AN496" i="1"/>
  <c r="AN819" i="1"/>
  <c r="AM819" i="1"/>
  <c r="AL819" i="1"/>
  <c r="AM3134" i="1"/>
  <c r="AN3134" i="1"/>
  <c r="AL3134" i="1"/>
  <c r="AL1179" i="1"/>
  <c r="AM1179" i="1"/>
  <c r="AN1179" i="1"/>
  <c r="AL785" i="1"/>
  <c r="AM785" i="1"/>
  <c r="AN785" i="1"/>
  <c r="AL824" i="1"/>
  <c r="AN824" i="1"/>
  <c r="AM824" i="1"/>
  <c r="AM2888" i="1"/>
  <c r="AL2888" i="1"/>
  <c r="AN2888" i="1"/>
  <c r="AM481" i="1"/>
  <c r="AL481" i="1"/>
  <c r="AN481" i="1"/>
  <c r="AN975" i="1"/>
  <c r="AM975" i="1"/>
  <c r="AL975" i="1"/>
  <c r="AM2452" i="1"/>
  <c r="AL2452" i="1"/>
  <c r="AN2452" i="1"/>
  <c r="AM3147" i="1"/>
  <c r="AL3147" i="1"/>
  <c r="AN3147" i="1"/>
  <c r="AM2359" i="1"/>
  <c r="AL2359" i="1"/>
  <c r="AN2359" i="1"/>
  <c r="AL1768" i="1"/>
  <c r="AN1768" i="1"/>
  <c r="AM1768" i="1"/>
  <c r="AN1971" i="1"/>
  <c r="AL1971" i="1"/>
  <c r="AM1971" i="1"/>
  <c r="AM2046" i="1"/>
  <c r="AN2046" i="1"/>
  <c r="AL2046" i="1"/>
  <c r="AL769" i="1"/>
  <c r="AN769" i="1"/>
  <c r="AM769" i="1"/>
  <c r="AL431" i="1"/>
  <c r="AN431" i="1"/>
  <c r="AM431" i="1"/>
  <c r="AL2641" i="1"/>
  <c r="AM2641" i="1"/>
  <c r="AN2641" i="1"/>
  <c r="AL2629" i="1"/>
  <c r="AM2629" i="1"/>
  <c r="AN2629" i="1"/>
  <c r="AN1354" i="1"/>
  <c r="AL1354" i="1"/>
  <c r="AM1354" i="1"/>
  <c r="AM2589" i="1"/>
  <c r="AN2589" i="1"/>
  <c r="AL2589" i="1"/>
  <c r="AM3017" i="1"/>
  <c r="AN3017" i="1"/>
  <c r="AL3017" i="1"/>
  <c r="AM2682" i="1"/>
  <c r="AN2682" i="1"/>
  <c r="AL2682" i="1"/>
  <c r="AL1867" i="1"/>
  <c r="AM1867" i="1"/>
  <c r="AN1867" i="1"/>
  <c r="AM1149" i="1"/>
  <c r="AN1149" i="1"/>
  <c r="AL1149" i="1"/>
  <c r="AL2212" i="1"/>
  <c r="AM2212" i="1"/>
  <c r="AN2212" i="1"/>
  <c r="AL1871" i="1"/>
  <c r="AM1871" i="1"/>
  <c r="AN1871" i="1"/>
  <c r="AM546" i="1"/>
  <c r="AL546" i="1"/>
  <c r="AN546" i="1"/>
  <c r="AL1181" i="1"/>
  <c r="AM1181" i="1"/>
  <c r="AN1181" i="1"/>
  <c r="AM475" i="1"/>
  <c r="AL475" i="1"/>
  <c r="AN475" i="1"/>
  <c r="AM601" i="1"/>
  <c r="AL601" i="1"/>
  <c r="AN601" i="1"/>
  <c r="AL1349" i="1"/>
  <c r="AN1349" i="1"/>
  <c r="AM1349" i="1"/>
  <c r="AM739" i="1"/>
  <c r="AN739" i="1"/>
  <c r="AL739" i="1"/>
  <c r="AN2317" i="1"/>
  <c r="AM2317" i="1"/>
  <c r="AL2317" i="1"/>
  <c r="AL2019" i="1"/>
  <c r="AM2019" i="1"/>
  <c r="AN2019" i="1"/>
  <c r="AM1445" i="1"/>
  <c r="AN1445" i="1"/>
  <c r="AL1445" i="1"/>
  <c r="AL1983" i="1"/>
  <c r="AM1983" i="1"/>
  <c r="AN1983" i="1"/>
  <c r="AN3177" i="1"/>
  <c r="AM3177" i="1"/>
  <c r="AL3177" i="1"/>
  <c r="AM1465" i="1"/>
  <c r="AN1465" i="1"/>
  <c r="AL1465" i="1"/>
  <c r="AM3051" i="1"/>
  <c r="AL3051" i="1"/>
  <c r="AN3051" i="1"/>
  <c r="AM2042" i="1"/>
  <c r="AN2042" i="1"/>
  <c r="AL2042" i="1"/>
  <c r="AM2426" i="1"/>
  <c r="AL2426" i="1"/>
  <c r="AN2426" i="1"/>
  <c r="AN2146" i="1"/>
  <c r="AL2146" i="1"/>
  <c r="AM2146" i="1"/>
  <c r="AN1206" i="1"/>
  <c r="AM1206" i="1"/>
  <c r="AL1206" i="1"/>
  <c r="AM2747" i="1"/>
  <c r="AL2747" i="1"/>
  <c r="AN2747" i="1"/>
  <c r="AM3146" i="1"/>
  <c r="AL3146" i="1"/>
  <c r="AN3146" i="1"/>
  <c r="AL2603" i="1"/>
  <c r="AM2603" i="1"/>
  <c r="AN2603" i="1"/>
  <c r="AM2617" i="1"/>
  <c r="AL2617" i="1"/>
  <c r="AN2617" i="1"/>
  <c r="AN2638" i="1"/>
  <c r="AM2638" i="1"/>
  <c r="AL2638" i="1"/>
  <c r="AL2214" i="1"/>
  <c r="AM2214" i="1"/>
  <c r="AN2214" i="1"/>
  <c r="AL2530" i="1"/>
  <c r="AN2530" i="1"/>
  <c r="AM2530" i="1"/>
  <c r="AM997" i="1"/>
  <c r="AL997" i="1"/>
  <c r="AN997" i="1"/>
  <c r="B60" i="7" l="1"/>
  <c r="A59" i="7"/>
  <c r="C59" i="7"/>
  <c r="E59" i="7"/>
  <c r="D59" i="7"/>
  <c r="I9" i="6"/>
  <c r="AM2899" i="1"/>
  <c r="AO2899" i="1" s="1"/>
  <c r="AL2899" i="1"/>
  <c r="AL1359" i="1"/>
  <c r="AM1359" i="1"/>
  <c r="AO1359" i="1" s="1"/>
  <c r="AL2865" i="1"/>
  <c r="AM2865" i="1"/>
  <c r="AO2865" i="1" s="1"/>
  <c r="Q2868" i="1" s="1"/>
  <c r="I1792" i="6" s="1"/>
  <c r="D1792" i="6" s="1"/>
  <c r="AL2892" i="1"/>
  <c r="AM2892" i="1"/>
  <c r="AO2892" i="1" s="1"/>
  <c r="Q2894" i="1" s="1"/>
  <c r="I2174" i="6" s="1"/>
  <c r="D2174" i="6" s="1"/>
  <c r="AM1164" i="1"/>
  <c r="AO1164" i="1" s="1"/>
  <c r="AM1435" i="1"/>
  <c r="AO1435" i="1" s="1"/>
  <c r="Q1454" i="1" s="1"/>
  <c r="I1898" i="6" s="1"/>
  <c r="D1898" i="6" s="1"/>
  <c r="AL2579" i="1"/>
  <c r="AL1435" i="1"/>
  <c r="AL2635" i="1"/>
  <c r="AM2660" i="1"/>
  <c r="AL1380" i="1"/>
  <c r="AL2290" i="1"/>
  <c r="AM2290" i="1"/>
  <c r="AO2290" i="1" s="1"/>
  <c r="AM2258" i="1"/>
  <c r="AO2258" i="1" s="1"/>
  <c r="AL2818" i="1"/>
  <c r="AL2235" i="1"/>
  <c r="AM3020" i="1"/>
  <c r="AO3020" i="1" s="1"/>
  <c r="AL2959" i="1"/>
  <c r="AM2818" i="1"/>
  <c r="AO2818" i="1" s="1"/>
  <c r="AL2731" i="1"/>
  <c r="AM2522" i="1"/>
  <c r="AM2716" i="1"/>
  <c r="AL2421" i="1"/>
  <c r="AL2716" i="1"/>
  <c r="AM1508" i="1"/>
  <c r="AM766" i="1"/>
  <c r="AO766" i="1" s="1"/>
  <c r="AL1508" i="1"/>
  <c r="AM1784" i="1"/>
  <c r="AO1784" i="1" s="1"/>
  <c r="AM2065" i="1"/>
  <c r="AO2065" i="1" s="1"/>
  <c r="AL1459" i="1"/>
  <c r="AL3065" i="1"/>
  <c r="AM1342" i="1"/>
  <c r="AL2065" i="1"/>
  <c r="AM1459" i="1"/>
  <c r="AO1459" i="1" s="1"/>
  <c r="AM3065" i="1"/>
  <c r="AO3065" i="1" s="1"/>
  <c r="AL1011" i="1"/>
  <c r="AM1893" i="1"/>
  <c r="AM2012" i="1"/>
  <c r="AO2012" i="1" s="1"/>
  <c r="AL2108" i="1"/>
  <c r="AL766" i="1"/>
  <c r="AL1105" i="1"/>
  <c r="AM2235" i="1"/>
  <c r="AO2235" i="1" s="1"/>
  <c r="AL2945" i="1"/>
  <c r="AL1954" i="1"/>
  <c r="AM2421" i="1"/>
  <c r="AO2421" i="1" s="1"/>
  <c r="AM2945" i="1"/>
  <c r="AO2945" i="1" s="1"/>
  <c r="AL2937" i="1"/>
  <c r="AL2567" i="1"/>
  <c r="AL2117" i="1"/>
  <c r="AM1732" i="1"/>
  <c r="AL196" i="1"/>
  <c r="AM2567" i="1"/>
  <c r="AO2567" i="1" s="1"/>
  <c r="AL1123" i="1"/>
  <c r="AM2937" i="1"/>
  <c r="AO2937" i="1" s="1"/>
  <c r="AM196" i="1"/>
  <c r="AM2117" i="1"/>
  <c r="AM1123" i="1"/>
  <c r="AO1123" i="1" s="1"/>
  <c r="AL3160" i="1"/>
  <c r="AL2909" i="1"/>
  <c r="AM3160" i="1"/>
  <c r="AO3160" i="1" s="1"/>
  <c r="AL417" i="1"/>
  <c r="AL1251" i="1"/>
  <c r="AL833" i="1"/>
  <c r="AM2792" i="1"/>
  <c r="AO2792" i="1" s="1"/>
  <c r="AM2466" i="1"/>
  <c r="AO2466" i="1" s="1"/>
  <c r="AM417" i="1"/>
  <c r="AO417" i="1" s="1"/>
  <c r="AL2760" i="1"/>
  <c r="AM1251" i="1"/>
  <c r="AO1251" i="1" s="1"/>
  <c r="AM2909" i="1"/>
  <c r="AO2909" i="1" s="1"/>
  <c r="AM833" i="1"/>
  <c r="AO833" i="1" s="1"/>
  <c r="AM2348" i="1"/>
  <c r="AO2348" i="1" s="1"/>
  <c r="AL2792" i="1"/>
  <c r="AL2466" i="1"/>
  <c r="AM2760" i="1"/>
  <c r="AO2760" i="1" s="1"/>
  <c r="AL2348" i="1"/>
  <c r="AL1558" i="1"/>
  <c r="AM2033" i="1"/>
  <c r="AO2033" i="1" s="1"/>
  <c r="AL2458" i="1"/>
  <c r="AM1832" i="1"/>
  <c r="AO1832" i="1" s="1"/>
  <c r="AM2990" i="1"/>
  <c r="AO2990" i="1" s="1"/>
  <c r="AL2301" i="1"/>
  <c r="AL3006" i="1"/>
  <c r="AM1558" i="1"/>
  <c r="AO1558" i="1" s="1"/>
  <c r="AL2033" i="1"/>
  <c r="AM1305" i="1"/>
  <c r="AM2458" i="1"/>
  <c r="AO2458" i="1" s="1"/>
  <c r="AL2371" i="1"/>
  <c r="AM2609" i="1"/>
  <c r="AM2301" i="1"/>
  <c r="AO2301" i="1" s="1"/>
  <c r="AM2959" i="1"/>
  <c r="AO2959" i="1" s="1"/>
  <c r="AL3115" i="1"/>
  <c r="AL1305" i="1"/>
  <c r="AL1832" i="1"/>
  <c r="AL2497" i="1"/>
  <c r="AL2660" i="1"/>
  <c r="AM1954" i="1"/>
  <c r="AO1954" i="1" s="1"/>
  <c r="Q1963" i="1" s="1"/>
  <c r="I386" i="6" s="1"/>
  <c r="D386" i="6" s="1"/>
  <c r="AL2990" i="1"/>
  <c r="AM3006" i="1"/>
  <c r="AO3006" i="1" s="1"/>
  <c r="AM3115" i="1"/>
  <c r="AO3115" i="1" s="1"/>
  <c r="AM2270" i="1"/>
  <c r="AO2270" i="1" s="1"/>
  <c r="AM2371" i="1"/>
  <c r="AL1893" i="1"/>
  <c r="AM1105" i="1"/>
  <c r="AO1105" i="1" s="1"/>
  <c r="AL2609" i="1"/>
  <c r="AL2165" i="1"/>
  <c r="AL958" i="1"/>
  <c r="AM2497" i="1"/>
  <c r="AO2497" i="1" s="1"/>
  <c r="AL1784" i="1"/>
  <c r="AM1011" i="1"/>
  <c r="AL2270" i="1"/>
  <c r="AL636" i="1"/>
  <c r="AL3040" i="1"/>
  <c r="AM958" i="1"/>
  <c r="AO958" i="1" s="1"/>
  <c r="AL2982" i="1"/>
  <c r="AL2833" i="1"/>
  <c r="AL2258" i="1"/>
  <c r="AM636" i="1"/>
  <c r="AO636" i="1" s="1"/>
  <c r="AL2012" i="1"/>
  <c r="AL1342" i="1"/>
  <c r="AL3020" i="1"/>
  <c r="AL2802" i="1"/>
  <c r="AL1732" i="1"/>
  <c r="AM2982" i="1"/>
  <c r="AO2982" i="1" s="1"/>
  <c r="AL2699" i="1"/>
  <c r="AM564" i="1"/>
  <c r="AO564" i="1" s="1"/>
  <c r="AM3071" i="1"/>
  <c r="AO3071" i="1" s="1"/>
  <c r="AM1396" i="1"/>
  <c r="AO1396" i="1" s="1"/>
  <c r="AM2731" i="1"/>
  <c r="AO2731" i="1" s="1"/>
  <c r="AM2802" i="1"/>
  <c r="AO2802" i="1" s="1"/>
  <c r="AL1164" i="1"/>
  <c r="AM2699" i="1"/>
  <c r="AO2699" i="1" s="1"/>
  <c r="AL564" i="1"/>
  <c r="AM2579" i="1"/>
  <c r="AO2579" i="1" s="1"/>
  <c r="AL3071" i="1"/>
  <c r="AL1396" i="1"/>
  <c r="AM2108" i="1"/>
  <c r="AL2522" i="1"/>
  <c r="AJ2522" i="1" s="1"/>
  <c r="AM2833" i="1"/>
  <c r="AM2165" i="1"/>
  <c r="AO2165" i="1" s="1"/>
  <c r="AL2872" i="1"/>
  <c r="AM2872" i="1"/>
  <c r="AO2872" i="1" s="1"/>
  <c r="AM1380" i="1"/>
  <c r="AO1380" i="1" s="1"/>
  <c r="AM2635" i="1"/>
  <c r="AO2635" i="1" s="1"/>
  <c r="AM3040" i="1"/>
  <c r="AO3040" i="1" s="1"/>
  <c r="AJ1105" i="1" l="1"/>
  <c r="AJ1508" i="1"/>
  <c r="AJ1732" i="1"/>
  <c r="AJ1342" i="1"/>
  <c r="AJ2833" i="1"/>
  <c r="AJ2301" i="1"/>
  <c r="AO2833" i="1"/>
  <c r="AO2716" i="1"/>
  <c r="AJ2609" i="1"/>
  <c r="AO2609" i="1"/>
  <c r="AO2522" i="1"/>
  <c r="AO2371" i="1"/>
  <c r="AJ2371" i="1"/>
  <c r="Q2305" i="1"/>
  <c r="Q2333" i="1"/>
  <c r="Q2335" i="1"/>
  <c r="Q2337" i="1"/>
  <c r="I1105" i="6" s="1"/>
  <c r="D1105" i="6" s="1"/>
  <c r="Q2330" i="1"/>
  <c r="Q2304" i="1"/>
  <c r="I1065" i="6" s="1"/>
  <c r="D1065" i="6" s="1"/>
  <c r="Q2306" i="1"/>
  <c r="Q2334" i="1"/>
  <c r="Q2307" i="1"/>
  <c r="Q2336" i="1"/>
  <c r="I1104" i="6" s="1"/>
  <c r="D1104" i="6" s="1"/>
  <c r="Q2309" i="1"/>
  <c r="I1070" i="6" s="1"/>
  <c r="D1070" i="6" s="1"/>
  <c r="Q2310" i="1"/>
  <c r="I1071" i="6" s="1"/>
  <c r="D1071" i="6" s="1"/>
  <c r="Q2338" i="1"/>
  <c r="I1096" i="6" s="1"/>
  <c r="D1096" i="6" s="1"/>
  <c r="Q2311" i="1"/>
  <c r="Q2339" i="1"/>
  <c r="Q2312" i="1"/>
  <c r="Q2340" i="1"/>
  <c r="Q2313" i="1"/>
  <c r="Q2341" i="1"/>
  <c r="Q2322" i="1"/>
  <c r="Q2326" i="1"/>
  <c r="Q2329" i="1"/>
  <c r="Q2314" i="1"/>
  <c r="Q2342" i="1"/>
  <c r="Q2316" i="1"/>
  <c r="Q2344" i="1"/>
  <c r="I1106" i="6" s="1"/>
  <c r="D1106" i="6" s="1"/>
  <c r="Q2345" i="1"/>
  <c r="Q2318" i="1"/>
  <c r="Q2324" i="1"/>
  <c r="Q2325" i="1"/>
  <c r="Q2315" i="1"/>
  <c r="Q2343" i="1"/>
  <c r="Q2317" i="1"/>
  <c r="Q2303" i="1"/>
  <c r="Q2319" i="1"/>
  <c r="Q2320" i="1"/>
  <c r="Q2321" i="1"/>
  <c r="Q2323" i="1"/>
  <c r="I1084" i="6" s="1"/>
  <c r="D1084" i="6" s="1"/>
  <c r="Q2327" i="1"/>
  <c r="I1088" i="6" s="1"/>
  <c r="D1088" i="6" s="1"/>
  <c r="Q2331" i="1"/>
  <c r="Q2332" i="1"/>
  <c r="AJ2258" i="1"/>
  <c r="Q2261" i="1"/>
  <c r="Q2263" i="1"/>
  <c r="Q2264" i="1"/>
  <c r="Q2265" i="1"/>
  <c r="Q2266" i="1"/>
  <c r="Q2267" i="1"/>
  <c r="Q2260" i="1"/>
  <c r="Q2262" i="1"/>
  <c r="AO1732" i="1"/>
  <c r="AO1508" i="1"/>
  <c r="Q1511" i="1" s="1"/>
  <c r="AO1305" i="1"/>
  <c r="Q1315" i="1" s="1"/>
  <c r="I1614" i="6" s="1"/>
  <c r="D1614" i="6" s="1"/>
  <c r="AO1342" i="1"/>
  <c r="Q1298" i="1"/>
  <c r="Q1266" i="1"/>
  <c r="Q1299" i="1"/>
  <c r="Q1267" i="1"/>
  <c r="Q1284" i="1"/>
  <c r="Q1300" i="1"/>
  <c r="I1753" i="6" s="1"/>
  <c r="D1753" i="6" s="1"/>
  <c r="Q1268" i="1"/>
  <c r="Q1301" i="1"/>
  <c r="Q1269" i="1"/>
  <c r="Q1302" i="1"/>
  <c r="Q1270" i="1"/>
  <c r="Q1297" i="1"/>
  <c r="I1750" i="6" s="1"/>
  <c r="D1750" i="6" s="1"/>
  <c r="Q1271" i="1"/>
  <c r="I1771" i="6" s="1"/>
  <c r="D1771" i="6" s="1"/>
  <c r="Q1291" i="1"/>
  <c r="I1745" i="6" s="1"/>
  <c r="D1745" i="6" s="1"/>
  <c r="Q1272" i="1"/>
  <c r="I1772" i="6" s="1"/>
  <c r="D1772" i="6" s="1"/>
  <c r="Q1283" i="1"/>
  <c r="I1782" i="6" s="1"/>
  <c r="D1782" i="6" s="1"/>
  <c r="Q1254" i="1"/>
  <c r="Q1275" i="1"/>
  <c r="I1774" i="6" s="1"/>
  <c r="D1774" i="6" s="1"/>
  <c r="Q1280" i="1"/>
  <c r="Q1292" i="1"/>
  <c r="Q1273" i="1"/>
  <c r="Q1293" i="1"/>
  <c r="Q1262" i="1"/>
  <c r="Q1294" i="1"/>
  <c r="Q1259" i="1"/>
  <c r="Q1281" i="1"/>
  <c r="Q1255" i="1"/>
  <c r="Q1277" i="1"/>
  <c r="Q1265" i="1"/>
  <c r="Q1295" i="1"/>
  <c r="Q1260" i="1"/>
  <c r="Q1258" i="1"/>
  <c r="Q1290" i="1"/>
  <c r="I1744" i="6" s="1"/>
  <c r="D1744" i="6" s="1"/>
  <c r="Q1282" i="1"/>
  <c r="Q1256" i="1"/>
  <c r="Q1285" i="1"/>
  <c r="Q1286" i="1"/>
  <c r="Q1287" i="1"/>
  <c r="Q1288" i="1"/>
  <c r="Q1276" i="1"/>
  <c r="I1775" i="6" s="1"/>
  <c r="D1775" i="6" s="1"/>
  <c r="Q1278" i="1"/>
  <c r="I1777" i="6" s="1"/>
  <c r="D1777" i="6" s="1"/>
  <c r="Q1263" i="1"/>
  <c r="I1763" i="6" s="1"/>
  <c r="D1763" i="6" s="1"/>
  <c r="Q1264" i="1"/>
  <c r="I1764" i="6" s="1"/>
  <c r="D1764" i="6" s="1"/>
  <c r="AJ1251" i="1"/>
  <c r="G1251" i="1" s="1"/>
  <c r="AJ833" i="1"/>
  <c r="Q953" i="1"/>
  <c r="Q918" i="1"/>
  <c r="Q854" i="1"/>
  <c r="Q882" i="1"/>
  <c r="Q910" i="1"/>
  <c r="Q954" i="1"/>
  <c r="Q919" i="1"/>
  <c r="Q855" i="1"/>
  <c r="Q883" i="1"/>
  <c r="Q911" i="1"/>
  <c r="Q844" i="1"/>
  <c r="Q929" i="1"/>
  <c r="Q845" i="1"/>
  <c r="Q873" i="1"/>
  <c r="Q901" i="1"/>
  <c r="Q846" i="1"/>
  <c r="Q874" i="1"/>
  <c r="Q902" i="1"/>
  <c r="Q847" i="1"/>
  <c r="Q903" i="1"/>
  <c r="Q932" i="1"/>
  <c r="Q905" i="1"/>
  <c r="I2506" i="6" s="1"/>
  <c r="D2506" i="6" s="1"/>
  <c r="Q914" i="1"/>
  <c r="Q955" i="1"/>
  <c r="Q920" i="1"/>
  <c r="Q856" i="1"/>
  <c r="Q884" i="1"/>
  <c r="Q835" i="1"/>
  <c r="Q952" i="1"/>
  <c r="Q921" i="1"/>
  <c r="Q857" i="1"/>
  <c r="Q885" i="1"/>
  <c r="Q950" i="1"/>
  <c r="Q922" i="1"/>
  <c r="Q858" i="1"/>
  <c r="Q886" i="1"/>
  <c r="Q861" i="1"/>
  <c r="Q889" i="1"/>
  <c r="Q837" i="1"/>
  <c r="Q839" i="1"/>
  <c r="Q840" i="1"/>
  <c r="Q949" i="1"/>
  <c r="Q923" i="1"/>
  <c r="Q859" i="1"/>
  <c r="Q887" i="1"/>
  <c r="Q925" i="1"/>
  <c r="Q865" i="1"/>
  <c r="Q894" i="1"/>
  <c r="Q867" i="1"/>
  <c r="Q896" i="1"/>
  <c r="Q841" i="1"/>
  <c r="Q897" i="1"/>
  <c r="Q842" i="1"/>
  <c r="Q898" i="1"/>
  <c r="Q945" i="1"/>
  <c r="Q843" i="1"/>
  <c r="Q871" i="1"/>
  <c r="Q899" i="1"/>
  <c r="Q904" i="1"/>
  <c r="Q928" i="1"/>
  <c r="Q879" i="1"/>
  <c r="Q908" i="1"/>
  <c r="Q917" i="1"/>
  <c r="Q947" i="1"/>
  <c r="Q924" i="1"/>
  <c r="Q860" i="1"/>
  <c r="Q888" i="1"/>
  <c r="Q935" i="1"/>
  <c r="Q939" i="1"/>
  <c r="Q866" i="1"/>
  <c r="Q942" i="1"/>
  <c r="Q869" i="1"/>
  <c r="Q944" i="1"/>
  <c r="Q870" i="1"/>
  <c r="Q931" i="1"/>
  <c r="Q876" i="1"/>
  <c r="Q849" i="1"/>
  <c r="Q850" i="1"/>
  <c r="Q906" i="1"/>
  <c r="Q907" i="1"/>
  <c r="Q916" i="1"/>
  <c r="Q881" i="1"/>
  <c r="Q941" i="1"/>
  <c r="Q934" i="1"/>
  <c r="Q872" i="1"/>
  <c r="Q900" i="1"/>
  <c r="Q875" i="1"/>
  <c r="Q848" i="1"/>
  <c r="Q877" i="1"/>
  <c r="Q878" i="1"/>
  <c r="Q851" i="1"/>
  <c r="Q852" i="1"/>
  <c r="Q936" i="1"/>
  <c r="Q926" i="1"/>
  <c r="Q862" i="1"/>
  <c r="Q890" i="1"/>
  <c r="Q938" i="1"/>
  <c r="Q864" i="1"/>
  <c r="Q892" i="1"/>
  <c r="Q940" i="1"/>
  <c r="Q895" i="1"/>
  <c r="Q868" i="1"/>
  <c r="Q943" i="1"/>
  <c r="Q937" i="1"/>
  <c r="Q913" i="1"/>
  <c r="Q863" i="1"/>
  <c r="Q891" i="1"/>
  <c r="Q836" i="1"/>
  <c r="Q893" i="1"/>
  <c r="Q838" i="1"/>
  <c r="Q930" i="1"/>
  <c r="Q915" i="1"/>
  <c r="Q880" i="1"/>
  <c r="Q853" i="1"/>
  <c r="Q909" i="1"/>
  <c r="AJ636" i="1"/>
  <c r="Q737" i="1"/>
  <c r="Q651" i="1"/>
  <c r="Q689" i="1"/>
  <c r="Q725" i="1"/>
  <c r="Q753" i="1"/>
  <c r="Q734" i="1"/>
  <c r="Q761" i="1"/>
  <c r="Q723" i="1"/>
  <c r="Q724" i="1"/>
  <c r="Q687" i="1"/>
  <c r="Q748" i="1"/>
  <c r="Q688" i="1"/>
  <c r="Q744" i="1"/>
  <c r="Q715" i="1"/>
  <c r="Q666" i="1"/>
  <c r="Q743" i="1"/>
  <c r="Q673" i="1"/>
  <c r="Q680" i="1"/>
  <c r="Q649" i="1"/>
  <c r="Q700" i="1"/>
  <c r="Q762" i="1"/>
  <c r="Q694" i="1"/>
  <c r="Q663" i="1"/>
  <c r="Q713" i="1"/>
  <c r="Q662" i="1"/>
  <c r="Q647" i="1"/>
  <c r="Q760" i="1"/>
  <c r="Q678" i="1"/>
  <c r="Q661" i="1"/>
  <c r="Q693" i="1"/>
  <c r="Q660" i="1"/>
  <c r="Q712" i="1"/>
  <c r="Q758" i="1"/>
  <c r="Q719" i="1"/>
  <c r="Q646" i="1"/>
  <c r="Q755" i="1"/>
  <c r="Q643" i="1"/>
  <c r="Q711" i="1"/>
  <c r="Q747" i="1"/>
  <c r="Q653" i="1"/>
  <c r="Q658" i="1"/>
  <c r="Q657" i="1"/>
  <c r="Q706" i="1"/>
  <c r="Q716" i="1"/>
  <c r="Q756" i="1"/>
  <c r="Q752" i="1"/>
  <c r="Q738" i="1"/>
  <c r="Q750" i="1"/>
  <c r="Q763" i="1"/>
  <c r="Q718" i="1"/>
  <c r="Q675" i="1"/>
  <c r="Q665" i="1"/>
  <c r="Q704" i="1"/>
  <c r="Q672" i="1"/>
  <c r="Q727" i="1"/>
  <c r="Q714" i="1"/>
  <c r="Q736" i="1"/>
  <c r="Q697" i="1"/>
  <c r="Q671" i="1"/>
  <c r="Q691" i="1"/>
  <c r="Q645" i="1"/>
  <c r="Q732" i="1"/>
  <c r="Q709" i="1"/>
  <c r="Q745" i="1"/>
  <c r="Q664" i="1"/>
  <c r="Q742" i="1"/>
  <c r="Q731" i="1"/>
  <c r="Q674" i="1"/>
  <c r="Q701" i="1"/>
  <c r="Q741" i="1"/>
  <c r="Q670" i="1"/>
  <c r="Q679" i="1"/>
  <c r="Q708" i="1"/>
  <c r="Q648" i="1"/>
  <c r="Q730" i="1"/>
  <c r="Q699" i="1"/>
  <c r="Q740" i="1"/>
  <c r="Q749" i="1"/>
  <c r="Q639" i="1"/>
  <c r="Q698" i="1"/>
  <c r="Q669" i="1"/>
  <c r="Q757" i="1"/>
  <c r="Q707" i="1"/>
  <c r="Q685" i="1"/>
  <c r="Q729" i="1"/>
  <c r="Q677" i="1"/>
  <c r="Q739" i="1"/>
  <c r="Q692" i="1"/>
  <c r="Q659" i="1"/>
  <c r="Q722" i="1"/>
  <c r="Q655" i="1"/>
  <c r="Q703" i="1"/>
  <c r="Q717" i="1"/>
  <c r="Q640" i="1"/>
  <c r="Q759" i="1"/>
  <c r="Q668" i="1"/>
  <c r="Q654" i="1"/>
  <c r="Q720" i="1"/>
  <c r="Q702" i="1"/>
  <c r="Q728" i="1"/>
  <c r="Q650" i="1"/>
  <c r="Q684" i="1"/>
  <c r="Q681" i="1"/>
  <c r="Q746" i="1"/>
  <c r="Q642" i="1"/>
  <c r="Q667" i="1"/>
  <c r="Q690" i="1"/>
  <c r="Q683" i="1"/>
  <c r="Q682" i="1"/>
  <c r="Q656" i="1"/>
  <c r="Q751" i="1"/>
  <c r="Q695" i="1"/>
  <c r="Q676" i="1"/>
  <c r="Q705" i="1"/>
  <c r="Q754" i="1"/>
  <c r="Q557" i="1"/>
  <c r="Q558" i="1"/>
  <c r="Q559" i="1"/>
  <c r="I122" i="6" s="1"/>
  <c r="D122" i="6" s="1"/>
  <c r="Q555" i="1"/>
  <c r="I118" i="6" s="1"/>
  <c r="D118" i="6" s="1"/>
  <c r="Q556" i="1"/>
  <c r="Q2572" i="1"/>
  <c r="I837" i="6" s="1"/>
  <c r="D837" i="6" s="1"/>
  <c r="Q2571" i="1"/>
  <c r="Q1484" i="1"/>
  <c r="Q1485" i="1"/>
  <c r="AO2108" i="1"/>
  <c r="Q2111" i="1" s="1"/>
  <c r="I2164" i="6" s="1"/>
  <c r="D2164" i="6" s="1"/>
  <c r="Q1373" i="1"/>
  <c r="I2105" i="6" s="1"/>
  <c r="D2105" i="6" s="1"/>
  <c r="Q1374" i="1"/>
  <c r="I2106" i="6" s="1"/>
  <c r="D2106" i="6" s="1"/>
  <c r="Q1375" i="1"/>
  <c r="I2107" i="6" s="1"/>
  <c r="D2107" i="6" s="1"/>
  <c r="Q1376" i="1"/>
  <c r="I2108" i="6" s="1"/>
  <c r="D2108" i="6" s="1"/>
  <c r="Q1377" i="1"/>
  <c r="I2109" i="6" s="1"/>
  <c r="D2109" i="6" s="1"/>
  <c r="Q1366" i="1"/>
  <c r="I2110" i="6" s="1"/>
  <c r="D2110" i="6" s="1"/>
  <c r="Q1372" i="1"/>
  <c r="I2104" i="6" s="1"/>
  <c r="D2104" i="6" s="1"/>
  <c r="Q1368" i="1"/>
  <c r="I2112" i="6" s="1"/>
  <c r="D2112" i="6" s="1"/>
  <c r="Q1369" i="1"/>
  <c r="I2113" i="6" s="1"/>
  <c r="D2113" i="6" s="1"/>
  <c r="Q1371" i="1"/>
  <c r="I2103" i="6" s="1"/>
  <c r="D2103" i="6" s="1"/>
  <c r="Q1367" i="1"/>
  <c r="I2111" i="6" s="1"/>
  <c r="D2111" i="6" s="1"/>
  <c r="AO1011" i="1"/>
  <c r="Q1058" i="1" s="1"/>
  <c r="I689" i="6" s="1"/>
  <c r="D689" i="6" s="1"/>
  <c r="AO2660" i="1"/>
  <c r="Q2695" i="1" s="1"/>
  <c r="I2364" i="6" s="1"/>
  <c r="D2364" i="6" s="1"/>
  <c r="I326" i="6"/>
  <c r="D326" i="6" s="1"/>
  <c r="I1066" i="6"/>
  <c r="D1066" i="6" s="1"/>
  <c r="Q3053" i="1"/>
  <c r="I2975" i="6" s="1"/>
  <c r="D2975" i="6" s="1"/>
  <c r="Q3054" i="1"/>
  <c r="I2977" i="6" s="1"/>
  <c r="D2977" i="6" s="1"/>
  <c r="Q3055" i="1"/>
  <c r="I2984" i="6" s="1"/>
  <c r="D2984" i="6" s="1"/>
  <c r="Q3056" i="1"/>
  <c r="I2981" i="6" s="1"/>
  <c r="D2981" i="6" s="1"/>
  <c r="Q3057" i="1"/>
  <c r="I76" i="6" s="1"/>
  <c r="D76" i="6" s="1"/>
  <c r="Q3058" i="1"/>
  <c r="I77" i="6" s="1"/>
  <c r="D77" i="6" s="1"/>
  <c r="Q3059" i="1"/>
  <c r="I2965" i="6" s="1"/>
  <c r="D2965" i="6" s="1"/>
  <c r="Q3060" i="1"/>
  <c r="I78" i="6" s="1"/>
  <c r="D78" i="6" s="1"/>
  <c r="Q3061" i="1"/>
  <c r="I79" i="6" s="1"/>
  <c r="D79" i="6" s="1"/>
  <c r="Q3062" i="1"/>
  <c r="I2966" i="6" s="1"/>
  <c r="D2966" i="6" s="1"/>
  <c r="Q2569" i="1"/>
  <c r="I839" i="6" s="1"/>
  <c r="D839" i="6" s="1"/>
  <c r="Q2574" i="1"/>
  <c r="Q2576" i="1"/>
  <c r="Q2575" i="1"/>
  <c r="Q2573" i="1"/>
  <c r="I838" i="6" s="1"/>
  <c r="D838" i="6" s="1"/>
  <c r="D60" i="7"/>
  <c r="A60" i="7"/>
  <c r="B61" i="7"/>
  <c r="C60" i="7"/>
  <c r="E60" i="7"/>
  <c r="F60" i="7"/>
  <c r="G60" i="7"/>
  <c r="Q618" i="1"/>
  <c r="I1160" i="6" s="1"/>
  <c r="D1160" i="6" s="1"/>
  <c r="Q617" i="1"/>
  <c r="I1159" i="6" s="1"/>
  <c r="D1159" i="6" s="1"/>
  <c r="Q615" i="1"/>
  <c r="I1157" i="6" s="1"/>
  <c r="D1157" i="6" s="1"/>
  <c r="Q616" i="1"/>
  <c r="I1158" i="6" s="1"/>
  <c r="D1158" i="6" s="1"/>
  <c r="Q2778" i="1"/>
  <c r="I2038" i="6" s="1"/>
  <c r="D2038" i="6" s="1"/>
  <c r="Q2779" i="1"/>
  <c r="I2039" i="6" s="1"/>
  <c r="D2039" i="6" s="1"/>
  <c r="Q2780" i="1"/>
  <c r="I2040" i="6" s="1"/>
  <c r="D2040" i="6" s="1"/>
  <c r="Q2781" i="1"/>
  <c r="I2041" i="6" s="1"/>
  <c r="D2041" i="6" s="1"/>
  <c r="Q2782" i="1"/>
  <c r="Q2783" i="1"/>
  <c r="I2044" i="6" s="1"/>
  <c r="D2044" i="6" s="1"/>
  <c r="Q2784" i="1"/>
  <c r="I2046" i="6" s="1"/>
  <c r="D2046" i="6" s="1"/>
  <c r="Q2762" i="1"/>
  <c r="I2021" i="6" s="1"/>
  <c r="D2021" i="6" s="1"/>
  <c r="Q2763" i="1"/>
  <c r="I2022" i="6" s="1"/>
  <c r="D2022" i="6" s="1"/>
  <c r="Q2764" i="1"/>
  <c r="I2024" i="6" s="1"/>
  <c r="D2024" i="6" s="1"/>
  <c r="Q2765" i="1"/>
  <c r="I2025" i="6" s="1"/>
  <c r="D2025" i="6" s="1"/>
  <c r="Q2767" i="1"/>
  <c r="I2028" i="6" s="1"/>
  <c r="D2028" i="6" s="1"/>
  <c r="Q2766" i="1"/>
  <c r="I2026" i="6" s="1"/>
  <c r="D2026" i="6" s="1"/>
  <c r="D9" i="6"/>
  <c r="AO2117" i="1"/>
  <c r="Q2142" i="1" s="1"/>
  <c r="I2560" i="6" s="1"/>
  <c r="D2560" i="6" s="1"/>
  <c r="Q2751" i="1"/>
  <c r="I2200" i="6" s="1"/>
  <c r="D2200" i="6" s="1"/>
  <c r="Q2749" i="1"/>
  <c r="I2198" i="6" s="1"/>
  <c r="D2198" i="6" s="1"/>
  <c r="Q2750" i="1"/>
  <c r="I2199" i="6" s="1"/>
  <c r="D2199" i="6" s="1"/>
  <c r="Q1153" i="1"/>
  <c r="I2576" i="6" s="1"/>
  <c r="D2576" i="6" s="1"/>
  <c r="Q1154" i="1"/>
  <c r="I2577" i="6" s="1"/>
  <c r="D2577" i="6" s="1"/>
  <c r="Q1155" i="1"/>
  <c r="I2578" i="6" s="1"/>
  <c r="D2578" i="6" s="1"/>
  <c r="Q1156" i="1"/>
  <c r="I2579" i="6" s="1"/>
  <c r="D2579" i="6" s="1"/>
  <c r="Q1321" i="1"/>
  <c r="I1608" i="6" s="1"/>
  <c r="D1608" i="6" s="1"/>
  <c r="Q1322" i="1"/>
  <c r="I1609" i="6" s="1"/>
  <c r="D1609" i="6" s="1"/>
  <c r="Q1323" i="1"/>
  <c r="I1610" i="6" s="1"/>
  <c r="D1610" i="6" s="1"/>
  <c r="Q1324" i="1"/>
  <c r="I1602" i="6" s="1"/>
  <c r="D1602" i="6" s="1"/>
  <c r="Q2741" i="1"/>
  <c r="I2197" i="6" s="1"/>
  <c r="D2197" i="6" s="1"/>
  <c r="Q2743" i="1"/>
  <c r="I2193" i="6" s="1"/>
  <c r="D2193" i="6" s="1"/>
  <c r="Q2742" i="1"/>
  <c r="I2195" i="6" s="1"/>
  <c r="D2195" i="6" s="1"/>
  <c r="Q1383" i="1"/>
  <c r="I2258" i="6" s="1"/>
  <c r="D2258" i="6" s="1"/>
  <c r="Q1382" i="1"/>
  <c r="I2256" i="6" s="1"/>
  <c r="D2256" i="6" s="1"/>
  <c r="Q1445" i="1"/>
  <c r="I1899" i="6" s="1"/>
  <c r="D1899" i="6" s="1"/>
  <c r="Q1446" i="1"/>
  <c r="I1900" i="6" s="1"/>
  <c r="D1900" i="6" s="1"/>
  <c r="Q1447" i="1"/>
  <c r="I1901" i="6" s="1"/>
  <c r="D1901" i="6" s="1"/>
  <c r="Q1448" i="1"/>
  <c r="I1902" i="6" s="1"/>
  <c r="D1902" i="6" s="1"/>
  <c r="Q1449" i="1"/>
  <c r="I1903" i="6" s="1"/>
  <c r="D1903" i="6" s="1"/>
  <c r="Q1451" i="1"/>
  <c r="I1904" i="6" s="1"/>
  <c r="D1904" i="6" s="1"/>
  <c r="I1647" i="6"/>
  <c r="D1647" i="6" s="1"/>
  <c r="Q2934" i="1"/>
  <c r="I1646" i="6" s="1"/>
  <c r="D1646" i="6" s="1"/>
  <c r="Q2933" i="1"/>
  <c r="I1645" i="6" s="1"/>
  <c r="D1645" i="6" s="1"/>
  <c r="Q2930" i="1"/>
  <c r="I1642" i="6" s="1"/>
  <c r="D1642" i="6" s="1"/>
  <c r="Q2929" i="1"/>
  <c r="I1641" i="6" s="1"/>
  <c r="D1641" i="6" s="1"/>
  <c r="Q2932" i="1"/>
  <c r="I1644" i="6" s="1"/>
  <c r="D1644" i="6" s="1"/>
  <c r="Q2931" i="1"/>
  <c r="I1643" i="6" s="1"/>
  <c r="D1643" i="6" s="1"/>
  <c r="Q2927" i="1"/>
  <c r="I1656" i="6" s="1"/>
  <c r="D1656" i="6" s="1"/>
  <c r="Q467" i="1"/>
  <c r="I188" i="6" s="1"/>
  <c r="D188" i="6" s="1"/>
  <c r="Q468" i="1"/>
  <c r="I192" i="6" s="1"/>
  <c r="D192" i="6" s="1"/>
  <c r="Q466" i="1"/>
  <c r="I279" i="6" s="1"/>
  <c r="D279" i="6" s="1"/>
  <c r="Q1391" i="1"/>
  <c r="I2269" i="6" s="1"/>
  <c r="D2269" i="6" s="1"/>
  <c r="Q1392" i="1"/>
  <c r="I2270" i="6" s="1"/>
  <c r="D2270" i="6" s="1"/>
  <c r="Q1393" i="1"/>
  <c r="I2266" i="6" s="1"/>
  <c r="D2266" i="6" s="1"/>
  <c r="Q2906" i="1"/>
  <c r="I2057" i="6" s="1"/>
  <c r="D2057" i="6" s="1"/>
  <c r="Q2905" i="1"/>
  <c r="I2056" i="6" s="1"/>
  <c r="D2056" i="6" s="1"/>
  <c r="Q2186" i="1"/>
  <c r="I496" i="6" s="1"/>
  <c r="D496" i="6" s="1"/>
  <c r="Q2187" i="1"/>
  <c r="I497" i="6" s="1"/>
  <c r="D497" i="6" s="1"/>
  <c r="Q2093" i="1"/>
  <c r="I250" i="6" s="1"/>
  <c r="D250" i="6" s="1"/>
  <c r="Q2095" i="1"/>
  <c r="I252" i="6" s="1"/>
  <c r="D252" i="6" s="1"/>
  <c r="Q2092" i="1"/>
  <c r="I249" i="6" s="1"/>
  <c r="D249" i="6" s="1"/>
  <c r="Q2094" i="1"/>
  <c r="I251" i="6" s="1"/>
  <c r="D251" i="6" s="1"/>
  <c r="Q1152" i="1"/>
  <c r="I2575" i="6" s="1"/>
  <c r="D2575" i="6" s="1"/>
  <c r="Q1151" i="1"/>
  <c r="I2572" i="6" s="1"/>
  <c r="D2572" i="6" s="1"/>
  <c r="I323" i="6"/>
  <c r="D323" i="6" s="1"/>
  <c r="I334" i="6"/>
  <c r="D334" i="6" s="1"/>
  <c r="Q1317" i="1"/>
  <c r="I1616" i="6" s="1"/>
  <c r="D1616" i="6" s="1"/>
  <c r="Q1319" i="1"/>
  <c r="I1618" i="6" s="1"/>
  <c r="D1618" i="6" s="1"/>
  <c r="Q1312" i="1"/>
  <c r="I1611" i="6" s="1"/>
  <c r="D1611" i="6" s="1"/>
  <c r="Q1314" i="1"/>
  <c r="I1613" i="6" s="1"/>
  <c r="D1613" i="6" s="1"/>
  <c r="Q2432" i="1"/>
  <c r="I1354" i="6" s="1"/>
  <c r="D1354" i="6" s="1"/>
  <c r="Q2431" i="1"/>
  <c r="I25" i="6" s="1"/>
  <c r="D25" i="6" s="1"/>
  <c r="Q1361" i="1"/>
  <c r="I2099" i="6" s="1"/>
  <c r="D2099" i="6" s="1"/>
  <c r="Q1365" i="1"/>
  <c r="I2102" i="6" s="1"/>
  <c r="D2102" i="6" s="1"/>
  <c r="Q1363" i="1"/>
  <c r="Q2451" i="1"/>
  <c r="I1343" i="6" s="1"/>
  <c r="D1343" i="6" s="1"/>
  <c r="Q2452" i="1"/>
  <c r="I31" i="6" s="1"/>
  <c r="D31" i="6" s="1"/>
  <c r="I32" i="6"/>
  <c r="D32" i="6" s="1"/>
  <c r="Q512" i="1"/>
  <c r="I173" i="6" s="1"/>
  <c r="D173" i="6" s="1"/>
  <c r="Q2102" i="1"/>
  <c r="I260" i="6" s="1"/>
  <c r="D260" i="6" s="1"/>
  <c r="Q2103" i="1"/>
  <c r="I261" i="6" s="1"/>
  <c r="D261" i="6" s="1"/>
  <c r="Q2104" i="1"/>
  <c r="I258" i="6" s="1"/>
  <c r="D258" i="6" s="1"/>
  <c r="Q2105" i="1"/>
  <c r="I262" i="6" s="1"/>
  <c r="D262" i="6" s="1"/>
  <c r="Q2096" i="1"/>
  <c r="I253" i="6" s="1"/>
  <c r="D253" i="6" s="1"/>
  <c r="Q2099" i="1"/>
  <c r="I257" i="6" s="1"/>
  <c r="D257" i="6" s="1"/>
  <c r="Q2087" i="1"/>
  <c r="I243" i="6" s="1"/>
  <c r="D243" i="6" s="1"/>
  <c r="Q2090" i="1"/>
  <c r="I246" i="6" s="1"/>
  <c r="D246" i="6" s="1"/>
  <c r="Q2091" i="1"/>
  <c r="I248" i="6" s="1"/>
  <c r="D248" i="6" s="1"/>
  <c r="Q2086" i="1"/>
  <c r="I242" i="6" s="1"/>
  <c r="D242" i="6" s="1"/>
  <c r="Q2084" i="1"/>
  <c r="I240" i="6" s="1"/>
  <c r="D240" i="6" s="1"/>
  <c r="Q2085" i="1"/>
  <c r="I241" i="6" s="1"/>
  <c r="D241" i="6" s="1"/>
  <c r="Q2089" i="1"/>
  <c r="I245" i="6" s="1"/>
  <c r="D245" i="6" s="1"/>
  <c r="Q2088" i="1"/>
  <c r="I244" i="6" s="1"/>
  <c r="D244" i="6" s="1"/>
  <c r="Q2070" i="1"/>
  <c r="I228" i="6" s="1"/>
  <c r="D228" i="6" s="1"/>
  <c r="Q2071" i="1"/>
  <c r="I226" i="6" s="1"/>
  <c r="D226" i="6" s="1"/>
  <c r="Q2072" i="1"/>
  <c r="I229" i="6" s="1"/>
  <c r="D229" i="6" s="1"/>
  <c r="Q2073" i="1"/>
  <c r="I230" i="6" s="1"/>
  <c r="D230" i="6" s="1"/>
  <c r="Q2074" i="1"/>
  <c r="I227" i="6" s="1"/>
  <c r="D227" i="6" s="1"/>
  <c r="Q2075" i="1"/>
  <c r="I231" i="6" s="1"/>
  <c r="D231" i="6" s="1"/>
  <c r="Q2077" i="1"/>
  <c r="I233" i="6" s="1"/>
  <c r="D233" i="6" s="1"/>
  <c r="Q2076" i="1"/>
  <c r="I232" i="6" s="1"/>
  <c r="D232" i="6" s="1"/>
  <c r="Q2078" i="1"/>
  <c r="I234" i="6" s="1"/>
  <c r="D234" i="6" s="1"/>
  <c r="Q2079" i="1"/>
  <c r="I235" i="6" s="1"/>
  <c r="D235" i="6" s="1"/>
  <c r="Q2069" i="1"/>
  <c r="I225" i="6" s="1"/>
  <c r="D225" i="6" s="1"/>
  <c r="AO1893" i="1"/>
  <c r="Q1915" i="1" s="1"/>
  <c r="I1295" i="6" s="1"/>
  <c r="D1295" i="6" s="1"/>
  <c r="AJ1359" i="1"/>
  <c r="G1359" i="1" s="1"/>
  <c r="Q516" i="1"/>
  <c r="I154" i="6" s="1"/>
  <c r="D154" i="6" s="1"/>
  <c r="Q517" i="1"/>
  <c r="I155" i="6" s="1"/>
  <c r="D155" i="6" s="1"/>
  <c r="Q544" i="1"/>
  <c r="I528" i="6" s="1"/>
  <c r="D528" i="6" s="1"/>
  <c r="I523" i="6"/>
  <c r="D523" i="6" s="1"/>
  <c r="Q545" i="1"/>
  <c r="I541" i="6" s="1"/>
  <c r="D541" i="6" s="1"/>
  <c r="I105" i="6"/>
  <c r="D105" i="6" s="1"/>
  <c r="Q2110" i="1"/>
  <c r="I2159" i="6" s="1"/>
  <c r="D2159" i="6" s="1"/>
  <c r="I2160" i="6"/>
  <c r="D2160" i="6" s="1"/>
  <c r="I2161" i="6"/>
  <c r="D2161" i="6" s="1"/>
  <c r="I2162" i="6"/>
  <c r="D2162" i="6" s="1"/>
  <c r="I2163" i="6"/>
  <c r="D2163" i="6" s="1"/>
  <c r="I2167" i="6"/>
  <c r="D2167" i="6" s="1"/>
  <c r="I2168" i="6"/>
  <c r="D2168" i="6" s="1"/>
  <c r="Q1455" i="1"/>
  <c r="I1908" i="6" s="1"/>
  <c r="D1908" i="6" s="1"/>
  <c r="I1910" i="6"/>
  <c r="D1910" i="6" s="1"/>
  <c r="AO196" i="1"/>
  <c r="Q1362" i="1"/>
  <c r="I2100" i="6" s="1"/>
  <c r="D2100" i="6" s="1"/>
  <c r="I299" i="6"/>
  <c r="D299" i="6" s="1"/>
  <c r="I321" i="6"/>
  <c r="D321" i="6" s="1"/>
  <c r="I320" i="6"/>
  <c r="D320" i="6" s="1"/>
  <c r="I322" i="6"/>
  <c r="D322" i="6" s="1"/>
  <c r="I295" i="6"/>
  <c r="D295" i="6" s="1"/>
  <c r="I296" i="6"/>
  <c r="D296" i="6" s="1"/>
  <c r="I293" i="6"/>
  <c r="D293" i="6" s="1"/>
  <c r="I294" i="6"/>
  <c r="D294" i="6" s="1"/>
  <c r="I297" i="6"/>
  <c r="D297" i="6" s="1"/>
  <c r="I298" i="6"/>
  <c r="D298" i="6" s="1"/>
  <c r="I300" i="6"/>
  <c r="D300" i="6" s="1"/>
  <c r="I331" i="6"/>
  <c r="D331" i="6" s="1"/>
  <c r="I333" i="6"/>
  <c r="D333" i="6" s="1"/>
  <c r="I332" i="6"/>
  <c r="D332" i="6" s="1"/>
  <c r="I328" i="6"/>
  <c r="D328" i="6" s="1"/>
  <c r="I329" i="6"/>
  <c r="D329" i="6" s="1"/>
  <c r="AK354" i="1"/>
  <c r="D354" i="1" s="1"/>
  <c r="G1732" i="1"/>
  <c r="AJ1396" i="1"/>
  <c r="G1396" i="1" s="1"/>
  <c r="AJ2892" i="1"/>
  <c r="G2892" i="1" s="1"/>
  <c r="AJ2716" i="1"/>
  <c r="G2716" i="1" s="1"/>
  <c r="AJ2012" i="1"/>
  <c r="G2012" i="1" s="1"/>
  <c r="AJ2792" i="1"/>
  <c r="G2792" i="1" s="1"/>
  <c r="AJ1164" i="1"/>
  <c r="G1164" i="1" s="1"/>
  <c r="Q2867" i="1"/>
  <c r="I1790" i="6" s="1"/>
  <c r="D1790" i="6" s="1"/>
  <c r="AJ1305" i="1"/>
  <c r="G1305" i="1" s="1"/>
  <c r="AJ564" i="1"/>
  <c r="G564" i="1" s="1"/>
  <c r="Q2896" i="1"/>
  <c r="I2170" i="6" s="1"/>
  <c r="D2170" i="6" s="1"/>
  <c r="Q2895" i="1"/>
  <c r="I2171" i="6" s="1"/>
  <c r="D2171" i="6" s="1"/>
  <c r="G1508" i="1"/>
  <c r="AJ2660" i="1"/>
  <c r="G2660" i="1" s="1"/>
  <c r="Q2869" i="1"/>
  <c r="I1791" i="6" s="1"/>
  <c r="D1791" i="6" s="1"/>
  <c r="AJ2865" i="1"/>
  <c r="G2865" i="1" s="1"/>
  <c r="G2522" i="1"/>
  <c r="AJ2909" i="1"/>
  <c r="G2909" i="1" s="1"/>
  <c r="AJ3020" i="1"/>
  <c r="G3020" i="1" s="1"/>
  <c r="AJ1558" i="1"/>
  <c r="G1558" i="1" s="1"/>
  <c r="G2258" i="1"/>
  <c r="AJ2497" i="1"/>
  <c r="G2497" i="1" s="1"/>
  <c r="AJ1435" i="1"/>
  <c r="G1435" i="1" s="1"/>
  <c r="AJ1011" i="1"/>
  <c r="AJ3040" i="1"/>
  <c r="G3040" i="1" s="1"/>
  <c r="AJ2760" i="1"/>
  <c r="G2760" i="1" s="1"/>
  <c r="AJ766" i="1"/>
  <c r="G766" i="1" s="1"/>
  <c r="AJ2872" i="1"/>
  <c r="G2872" i="1" s="1"/>
  <c r="AJ1893" i="1"/>
  <c r="AJ3006" i="1"/>
  <c r="G3006" i="1" s="1"/>
  <c r="AJ2937" i="1"/>
  <c r="G2937" i="1" s="1"/>
  <c r="G2301" i="1"/>
  <c r="AJ2290" i="1"/>
  <c r="G2290" i="1" s="1"/>
  <c r="Q2242" i="1"/>
  <c r="I2073" i="6" s="1"/>
  <c r="D2073" i="6" s="1"/>
  <c r="Q2243" i="1"/>
  <c r="I2074" i="6" s="1"/>
  <c r="D2074" i="6" s="1"/>
  <c r="Q2244" i="1"/>
  <c r="I2075" i="6" s="1"/>
  <c r="D2075" i="6" s="1"/>
  <c r="Q2245" i="1"/>
  <c r="I2076" i="6" s="1"/>
  <c r="D2076" i="6" s="1"/>
  <c r="Q2246" i="1"/>
  <c r="I2077" i="6" s="1"/>
  <c r="D2077" i="6" s="1"/>
  <c r="Q2247" i="1"/>
  <c r="I2078" i="6" s="1"/>
  <c r="D2078" i="6" s="1"/>
  <c r="Q2248" i="1"/>
  <c r="I2079" i="6" s="1"/>
  <c r="D2079" i="6" s="1"/>
  <c r="Q2249" i="1"/>
  <c r="I2080" i="6" s="1"/>
  <c r="D2080" i="6" s="1"/>
  <c r="Q2250" i="1"/>
  <c r="I2081" i="6" s="1"/>
  <c r="D2081" i="6" s="1"/>
  <c r="I2086" i="6"/>
  <c r="D2086" i="6" s="1"/>
  <c r="Q2251" i="1"/>
  <c r="I2082" i="6" s="1"/>
  <c r="D2082" i="6" s="1"/>
  <c r="Q2252" i="1"/>
  <c r="I2083" i="6" s="1"/>
  <c r="D2083" i="6" s="1"/>
  <c r="I2084" i="6"/>
  <c r="D2084" i="6" s="1"/>
  <c r="Q2253" i="1"/>
  <c r="I2085" i="6" s="1"/>
  <c r="D2085" i="6" s="1"/>
  <c r="Q2254" i="1"/>
  <c r="I2087" i="6" s="1"/>
  <c r="D2087" i="6" s="1"/>
  <c r="Q2255" i="1"/>
  <c r="I2089" i="6" s="1"/>
  <c r="D2089" i="6" s="1"/>
  <c r="Q2361" i="1"/>
  <c r="I2151" i="6" s="1"/>
  <c r="D2151" i="6" s="1"/>
  <c r="Q2362" i="1"/>
  <c r="I2152" i="6" s="1"/>
  <c r="D2152" i="6" s="1"/>
  <c r="Q2363" i="1"/>
  <c r="I2153" i="6" s="1"/>
  <c r="D2153" i="6" s="1"/>
  <c r="Q2364" i="1"/>
  <c r="I2154" i="6" s="1"/>
  <c r="D2154" i="6" s="1"/>
  <c r="Q2365" i="1"/>
  <c r="I2155" i="6" s="1"/>
  <c r="D2155" i="6" s="1"/>
  <c r="Q2366" i="1"/>
  <c r="I2156" i="6" s="1"/>
  <c r="D2156" i="6" s="1"/>
  <c r="Q2367" i="1"/>
  <c r="I2157" i="6" s="1"/>
  <c r="D2157" i="6" s="1"/>
  <c r="Q2368" i="1"/>
  <c r="I2158" i="6" s="1"/>
  <c r="D2158" i="6" s="1"/>
  <c r="Q2357" i="1"/>
  <c r="I2147" i="6" s="1"/>
  <c r="D2147" i="6" s="1"/>
  <c r="Q2358" i="1"/>
  <c r="I2148" i="6" s="1"/>
  <c r="D2148" i="6" s="1"/>
  <c r="Q2359" i="1"/>
  <c r="I2149" i="6" s="1"/>
  <c r="D2149" i="6" s="1"/>
  <c r="Q2360" i="1"/>
  <c r="I2150" i="6" s="1"/>
  <c r="D2150" i="6" s="1"/>
  <c r="Q2350" i="1"/>
  <c r="I2140" i="6" s="1"/>
  <c r="D2140" i="6" s="1"/>
  <c r="Q2352" i="1"/>
  <c r="I2142" i="6" s="1"/>
  <c r="D2142" i="6" s="1"/>
  <c r="Q2351" i="1"/>
  <c r="I2141" i="6" s="1"/>
  <c r="D2141" i="6" s="1"/>
  <c r="Q2353" i="1"/>
  <c r="I2143" i="6" s="1"/>
  <c r="D2143" i="6" s="1"/>
  <c r="Q2355" i="1"/>
  <c r="I2145" i="6" s="1"/>
  <c r="D2145" i="6" s="1"/>
  <c r="Q2356" i="1"/>
  <c r="I2146" i="6" s="1"/>
  <c r="D2146" i="6" s="1"/>
  <c r="Q2354" i="1"/>
  <c r="I2144" i="6" s="1"/>
  <c r="D2144" i="6" s="1"/>
  <c r="Q3169" i="1"/>
  <c r="I2922" i="6" s="1"/>
  <c r="D2922" i="6" s="1"/>
  <c r="Q3197" i="1"/>
  <c r="I2952" i="6" s="1"/>
  <c r="D2952" i="6" s="1"/>
  <c r="Q3170" i="1"/>
  <c r="I2923" i="6" s="1"/>
  <c r="D2923" i="6" s="1"/>
  <c r="Q3198" i="1"/>
  <c r="I2953" i="6" s="1"/>
  <c r="D2953" i="6" s="1"/>
  <c r="Q3171" i="1"/>
  <c r="I2924" i="6" s="1"/>
  <c r="D2924" i="6" s="1"/>
  <c r="Q3199" i="1"/>
  <c r="I2954" i="6" s="1"/>
  <c r="D2954" i="6" s="1"/>
  <c r="Q3172" i="1"/>
  <c r="I2925" i="6" s="1"/>
  <c r="D2925" i="6" s="1"/>
  <c r="Q3200" i="1"/>
  <c r="I2955" i="6" s="1"/>
  <c r="D2955" i="6" s="1"/>
  <c r="Q3173" i="1"/>
  <c r="I2926" i="6" s="1"/>
  <c r="D2926" i="6" s="1"/>
  <c r="Q3201" i="1"/>
  <c r="I2956" i="6" s="1"/>
  <c r="D2956" i="6" s="1"/>
  <c r="Q3174" i="1"/>
  <c r="I2927" i="6" s="1"/>
  <c r="D2927" i="6" s="1"/>
  <c r="Q3202" i="1"/>
  <c r="I2957" i="6" s="1"/>
  <c r="D2957" i="6" s="1"/>
  <c r="Q3175" i="1"/>
  <c r="I2928" i="6" s="1"/>
  <c r="D2928" i="6" s="1"/>
  <c r="Q3203" i="1"/>
  <c r="I2958" i="6" s="1"/>
  <c r="D2958" i="6" s="1"/>
  <c r="Q3176" i="1"/>
  <c r="I2931" i="6" s="1"/>
  <c r="D2931" i="6" s="1"/>
  <c r="Q3204" i="1"/>
  <c r="I2959" i="6" s="1"/>
  <c r="D2959" i="6" s="1"/>
  <c r="Q3177" i="1"/>
  <c r="I2932" i="6" s="1"/>
  <c r="D2932" i="6" s="1"/>
  <c r="Q3205" i="1"/>
  <c r="I2960" i="6" s="1"/>
  <c r="D2960" i="6" s="1"/>
  <c r="Q3178" i="1"/>
  <c r="I2933" i="6" s="1"/>
  <c r="D2933" i="6" s="1"/>
  <c r="Q3206" i="1"/>
  <c r="I2961" i="6" s="1"/>
  <c r="D2961" i="6" s="1"/>
  <c r="Q3179" i="1"/>
  <c r="I2934" i="6" s="1"/>
  <c r="D2934" i="6" s="1"/>
  <c r="Q3207" i="1"/>
  <c r="I2962" i="6" s="1"/>
  <c r="D2962" i="6" s="1"/>
  <c r="Q3180" i="1"/>
  <c r="I2935" i="6" s="1"/>
  <c r="D2935" i="6" s="1"/>
  <c r="Q3208" i="1"/>
  <c r="I2963" i="6" s="1"/>
  <c r="D2963" i="6" s="1"/>
  <c r="Q3181" i="1"/>
  <c r="I2936" i="6" s="1"/>
  <c r="D2936" i="6" s="1"/>
  <c r="Q3166" i="1"/>
  <c r="I2919" i="6" s="1"/>
  <c r="D2919" i="6" s="1"/>
  <c r="Q3167" i="1"/>
  <c r="I2920" i="6" s="1"/>
  <c r="D2920" i="6" s="1"/>
  <c r="Q3168" i="1"/>
  <c r="I2921" i="6" s="1"/>
  <c r="D2921" i="6" s="1"/>
  <c r="Q3182" i="1"/>
  <c r="I2937" i="6" s="1"/>
  <c r="D2937" i="6" s="1"/>
  <c r="Q3183" i="1"/>
  <c r="I2938" i="6" s="1"/>
  <c r="D2938" i="6" s="1"/>
  <c r="Q3184" i="1"/>
  <c r="I2939" i="6" s="1"/>
  <c r="D2939" i="6" s="1"/>
  <c r="Q3185" i="1"/>
  <c r="I2940" i="6" s="1"/>
  <c r="D2940" i="6" s="1"/>
  <c r="Q3186" i="1"/>
  <c r="I2941" i="6" s="1"/>
  <c r="D2941" i="6" s="1"/>
  <c r="Q3189" i="1"/>
  <c r="I2944" i="6" s="1"/>
  <c r="D2944" i="6" s="1"/>
  <c r="Q3187" i="1"/>
  <c r="I2942" i="6" s="1"/>
  <c r="D2942" i="6" s="1"/>
  <c r="Q3196" i="1"/>
  <c r="I2951" i="6" s="1"/>
  <c r="D2951" i="6" s="1"/>
  <c r="Q3188" i="1"/>
  <c r="I2943" i="6" s="1"/>
  <c r="D2943" i="6" s="1"/>
  <c r="Q3194" i="1"/>
  <c r="I2949" i="6" s="1"/>
  <c r="D2949" i="6" s="1"/>
  <c r="Q3195" i="1"/>
  <c r="I2950" i="6" s="1"/>
  <c r="D2950" i="6" s="1"/>
  <c r="Q3190" i="1"/>
  <c r="I2945" i="6" s="1"/>
  <c r="D2945" i="6" s="1"/>
  <c r="Q3192" i="1"/>
  <c r="I2947" i="6" s="1"/>
  <c r="D2947" i="6" s="1"/>
  <c r="Q3193" i="1"/>
  <c r="I2948" i="6" s="1"/>
  <c r="D2948" i="6" s="1"/>
  <c r="Q3191" i="1"/>
  <c r="I2946" i="6" s="1"/>
  <c r="D2946" i="6" s="1"/>
  <c r="Q3165" i="1"/>
  <c r="I2918" i="6" s="1"/>
  <c r="D2918" i="6" s="1"/>
  <c r="Q3164" i="1"/>
  <c r="I2916" i="6" s="1"/>
  <c r="D2916" i="6" s="1"/>
  <c r="Q3162" i="1"/>
  <c r="I2914" i="6" s="1"/>
  <c r="D2914" i="6" s="1"/>
  <c r="Q3163" i="1"/>
  <c r="I2915" i="6" s="1"/>
  <c r="D2915" i="6" s="1"/>
  <c r="Q1797" i="1"/>
  <c r="I1406" i="6" s="1"/>
  <c r="D1406" i="6" s="1"/>
  <c r="Q1818" i="1"/>
  <c r="I1418" i="6" s="1"/>
  <c r="D1418" i="6" s="1"/>
  <c r="I1428" i="6"/>
  <c r="D1428" i="6" s="1"/>
  <c r="Q1819" i="1"/>
  <c r="I1415" i="6" s="1"/>
  <c r="D1415" i="6" s="1"/>
  <c r="Q1792" i="1"/>
  <c r="I1411" i="6" s="1"/>
  <c r="D1411" i="6" s="1"/>
  <c r="Q1820" i="1"/>
  <c r="I1417" i="6" s="1"/>
  <c r="D1417" i="6" s="1"/>
  <c r="I1402" i="6"/>
  <c r="D1402" i="6" s="1"/>
  <c r="Q1821" i="1"/>
  <c r="I1423" i="6" s="1"/>
  <c r="D1423" i="6" s="1"/>
  <c r="I1403" i="6"/>
  <c r="D1403" i="6" s="1"/>
  <c r="Q1822" i="1"/>
  <c r="I1424" i="6" s="1"/>
  <c r="D1424" i="6" s="1"/>
  <c r="Q1793" i="1"/>
  <c r="I1409" i="6" s="1"/>
  <c r="D1409" i="6" s="1"/>
  <c r="Q1823" i="1"/>
  <c r="I1414" i="6" s="1"/>
  <c r="D1414" i="6" s="1"/>
  <c r="I1407" i="6"/>
  <c r="D1407" i="6" s="1"/>
  <c r="I1420" i="6"/>
  <c r="D1420" i="6" s="1"/>
  <c r="I1412" i="6"/>
  <c r="D1412" i="6" s="1"/>
  <c r="I1437" i="6"/>
  <c r="D1437" i="6" s="1"/>
  <c r="Q1791" i="1"/>
  <c r="I1401" i="6" s="1"/>
  <c r="D1401" i="6" s="1"/>
  <c r="Q1824" i="1"/>
  <c r="I1416" i="6" s="1"/>
  <c r="D1416" i="6" s="1"/>
  <c r="I1410" i="6"/>
  <c r="D1410" i="6" s="1"/>
  <c r="I1422" i="6"/>
  <c r="D1422" i="6" s="1"/>
  <c r="I1405" i="6"/>
  <c r="D1405" i="6" s="1"/>
  <c r="Q1826" i="1"/>
  <c r="I1440" i="6" s="1"/>
  <c r="D1440" i="6" s="1"/>
  <c r="Q1794" i="1"/>
  <c r="I1408" i="6" s="1"/>
  <c r="D1408" i="6" s="1"/>
  <c r="Q1827" i="1"/>
  <c r="I1438" i="6" s="1"/>
  <c r="D1438" i="6" s="1"/>
  <c r="Q1814" i="1"/>
  <c r="I1436" i="6" s="1"/>
  <c r="D1436" i="6" s="1"/>
  <c r="Q1815" i="1"/>
  <c r="I1429" i="6" s="1"/>
  <c r="D1429" i="6" s="1"/>
  <c r="Q1816" i="1"/>
  <c r="I1421" i="6" s="1"/>
  <c r="D1421" i="6" s="1"/>
  <c r="Q1817" i="1"/>
  <c r="I1413" i="6" s="1"/>
  <c r="D1413" i="6" s="1"/>
  <c r="Q1829" i="1"/>
  <c r="I1432" i="6" s="1"/>
  <c r="D1432" i="6" s="1"/>
  <c r="I1433" i="6"/>
  <c r="D1433" i="6" s="1"/>
  <c r="Q1790" i="1"/>
  <c r="I1427" i="6" s="1"/>
  <c r="D1427" i="6" s="1"/>
  <c r="Q1787" i="1"/>
  <c r="I1431" i="6" s="1"/>
  <c r="D1431" i="6" s="1"/>
  <c r="Q1795" i="1"/>
  <c r="I1430" i="6" s="1"/>
  <c r="D1430" i="6" s="1"/>
  <c r="Q1789" i="1"/>
  <c r="I1449" i="6" s="1"/>
  <c r="D1449" i="6" s="1"/>
  <c r="Q1788" i="1"/>
  <c r="I1425" i="6" s="1"/>
  <c r="D1425" i="6" s="1"/>
  <c r="Q1804" i="1"/>
  <c r="I1426" i="6" s="1"/>
  <c r="D1426" i="6" s="1"/>
  <c r="Q1803" i="1"/>
  <c r="I1398" i="6" s="1"/>
  <c r="D1398" i="6" s="1"/>
  <c r="Q1796" i="1"/>
  <c r="I1404" i="6" s="1"/>
  <c r="D1404" i="6" s="1"/>
  <c r="Q1799" i="1"/>
  <c r="I1442" i="6" s="1"/>
  <c r="D1442" i="6" s="1"/>
  <c r="Q1801" i="1"/>
  <c r="I1397" i="6" s="1"/>
  <c r="D1397" i="6" s="1"/>
  <c r="I1399" i="6"/>
  <c r="D1399" i="6" s="1"/>
  <c r="Q1800" i="1"/>
  <c r="I1443" i="6" s="1"/>
  <c r="D1443" i="6" s="1"/>
  <c r="Q1805" i="1"/>
  <c r="I1446" i="6" s="1"/>
  <c r="D1446" i="6" s="1"/>
  <c r="Q1806" i="1"/>
  <c r="I1445" i="6" s="1"/>
  <c r="D1445" i="6" s="1"/>
  <c r="Q1808" i="1"/>
  <c r="I1441" i="6" s="1"/>
  <c r="D1441" i="6" s="1"/>
  <c r="Q1810" i="1"/>
  <c r="I1447" i="6" s="1"/>
  <c r="D1447" i="6" s="1"/>
  <c r="Q1811" i="1"/>
  <c r="I1448" i="6" s="1"/>
  <c r="D1448" i="6" s="1"/>
  <c r="Q1813" i="1"/>
  <c r="I1419" i="6" s="1"/>
  <c r="D1419" i="6" s="1"/>
  <c r="Q2701" i="1"/>
  <c r="I788" i="6" s="1"/>
  <c r="D788" i="6" s="1"/>
  <c r="Q2702" i="1"/>
  <c r="I794" i="6" s="1"/>
  <c r="D794" i="6" s="1"/>
  <c r="Q2703" i="1"/>
  <c r="I785" i="6" s="1"/>
  <c r="D785" i="6" s="1"/>
  <c r="Q2704" i="1"/>
  <c r="I782" i="6" s="1"/>
  <c r="D782" i="6" s="1"/>
  <c r="I792" i="6"/>
  <c r="D792" i="6" s="1"/>
  <c r="Q2705" i="1"/>
  <c r="I790" i="6" s="1"/>
  <c r="D790" i="6" s="1"/>
  <c r="Q2706" i="1"/>
  <c r="I791" i="6" s="1"/>
  <c r="D791" i="6" s="1"/>
  <c r="Q2707" i="1"/>
  <c r="I784" i="6" s="1"/>
  <c r="D784" i="6" s="1"/>
  <c r="Q2709" i="1"/>
  <c r="I793" i="6" s="1"/>
  <c r="D793" i="6" s="1"/>
  <c r="I795" i="6"/>
  <c r="D795" i="6" s="1"/>
  <c r="Q2708" i="1"/>
  <c r="I787" i="6" s="1"/>
  <c r="D787" i="6" s="1"/>
  <c r="I797" i="6"/>
  <c r="D797" i="6" s="1"/>
  <c r="Q2711" i="1"/>
  <c r="I796" i="6" s="1"/>
  <c r="D796" i="6" s="1"/>
  <c r="Q2712" i="1"/>
  <c r="I798" i="6" s="1"/>
  <c r="D798" i="6" s="1"/>
  <c r="Q2713" i="1"/>
  <c r="I799" i="6" s="1"/>
  <c r="D799" i="6" s="1"/>
  <c r="Q2168" i="1"/>
  <c r="I485" i="6" s="1"/>
  <c r="D485" i="6" s="1"/>
  <c r="Q2198" i="1"/>
  <c r="I449" i="6" s="1"/>
  <c r="D449" i="6" s="1"/>
  <c r="Q2229" i="1"/>
  <c r="I464" i="6" s="1"/>
  <c r="D464" i="6" s="1"/>
  <c r="Q2169" i="1"/>
  <c r="I486" i="6" s="1"/>
  <c r="D486" i="6" s="1"/>
  <c r="Q2199" i="1"/>
  <c r="I445" i="6" s="1"/>
  <c r="D445" i="6" s="1"/>
  <c r="Q2170" i="1"/>
  <c r="I487" i="6" s="1"/>
  <c r="D487" i="6" s="1"/>
  <c r="Q2200" i="1"/>
  <c r="I446" i="6" s="1"/>
  <c r="D446" i="6" s="1"/>
  <c r="Q2230" i="1"/>
  <c r="I468" i="6" s="1"/>
  <c r="D468" i="6" s="1"/>
  <c r="Q2171" i="1"/>
  <c r="I488" i="6" s="1"/>
  <c r="D488" i="6" s="1"/>
  <c r="Q2201" i="1"/>
  <c r="I444" i="6" s="1"/>
  <c r="D444" i="6" s="1"/>
  <c r="Q2231" i="1"/>
  <c r="I463" i="6" s="1"/>
  <c r="D463" i="6" s="1"/>
  <c r="Q2172" i="1"/>
  <c r="I474" i="6" s="1"/>
  <c r="D474" i="6" s="1"/>
  <c r="Q2202" i="1"/>
  <c r="I443" i="6" s="1"/>
  <c r="D443" i="6" s="1"/>
  <c r="Q2232" i="1"/>
  <c r="I465" i="6" s="1"/>
  <c r="D465" i="6" s="1"/>
  <c r="Q2173" i="1"/>
  <c r="I475" i="6" s="1"/>
  <c r="D475" i="6" s="1"/>
  <c r="Q2203" i="1"/>
  <c r="I442" i="6" s="1"/>
  <c r="D442" i="6" s="1"/>
  <c r="Q2174" i="1"/>
  <c r="I476" i="6" s="1"/>
  <c r="D476" i="6" s="1"/>
  <c r="Q2204" i="1"/>
  <c r="I440" i="6" s="1"/>
  <c r="D440" i="6" s="1"/>
  <c r="Q2175" i="1"/>
  <c r="I477" i="6" s="1"/>
  <c r="D477" i="6" s="1"/>
  <c r="Q2205" i="1"/>
  <c r="I441" i="6" s="1"/>
  <c r="D441" i="6" s="1"/>
  <c r="Q2176" i="1"/>
  <c r="I478" i="6" s="1"/>
  <c r="D478" i="6" s="1"/>
  <c r="Q2207" i="1"/>
  <c r="I461" i="6" s="1"/>
  <c r="D461" i="6" s="1"/>
  <c r="Q2177" i="1"/>
  <c r="I479" i="6" s="1"/>
  <c r="D479" i="6" s="1"/>
  <c r="Q2208" i="1"/>
  <c r="I456" i="6" s="1"/>
  <c r="D456" i="6" s="1"/>
  <c r="Q2209" i="1"/>
  <c r="I460" i="6" s="1"/>
  <c r="D460" i="6" s="1"/>
  <c r="Q2178" i="1"/>
  <c r="I481" i="6" s="1"/>
  <c r="D481" i="6" s="1"/>
  <c r="Q2210" i="1"/>
  <c r="I457" i="6" s="1"/>
  <c r="D457" i="6" s="1"/>
  <c r="Q2179" i="1"/>
  <c r="I490" i="6" s="1"/>
  <c r="D490" i="6" s="1"/>
  <c r="Q2225" i="1"/>
  <c r="I471" i="6" s="1"/>
  <c r="D471" i="6" s="1"/>
  <c r="Q2180" i="1"/>
  <c r="I483" i="6" s="1"/>
  <c r="D483" i="6" s="1"/>
  <c r="Q2226" i="1"/>
  <c r="I472" i="6" s="1"/>
  <c r="D472" i="6" s="1"/>
  <c r="Q2181" i="1"/>
  <c r="I480" i="6" s="1"/>
  <c r="D480" i="6" s="1"/>
  <c r="Q2227" i="1"/>
  <c r="I473" i="6" s="1"/>
  <c r="D473" i="6" s="1"/>
  <c r="Q2183" i="1"/>
  <c r="I495" i="6" s="1"/>
  <c r="D495" i="6" s="1"/>
  <c r="Q2228" i="1"/>
  <c r="I469" i="6" s="1"/>
  <c r="D469" i="6" s="1"/>
  <c r="Q2184" i="1"/>
  <c r="I493" i="6" s="1"/>
  <c r="D493" i="6" s="1"/>
  <c r="Q2185" i="1"/>
  <c r="I494" i="6" s="1"/>
  <c r="D494" i="6" s="1"/>
  <c r="Q2189" i="1"/>
  <c r="I435" i="6" s="1"/>
  <c r="D435" i="6" s="1"/>
  <c r="Q2195" i="1"/>
  <c r="I437" i="6" s="1"/>
  <c r="D437" i="6" s="1"/>
  <c r="Q2190" i="1"/>
  <c r="I439" i="6" s="1"/>
  <c r="D439" i="6" s="1"/>
  <c r="Q2191" i="1"/>
  <c r="I434" i="6" s="1"/>
  <c r="D434" i="6" s="1"/>
  <c r="Q2192" i="1"/>
  <c r="I436" i="6" s="1"/>
  <c r="D436" i="6" s="1"/>
  <c r="Q2193" i="1"/>
  <c r="I438" i="6" s="1"/>
  <c r="D438" i="6" s="1"/>
  <c r="Q2194" i="1"/>
  <c r="I433" i="6" s="1"/>
  <c r="D433" i="6" s="1"/>
  <c r="Q2196" i="1"/>
  <c r="I448" i="6" s="1"/>
  <c r="D448" i="6" s="1"/>
  <c r="Q2215" i="1"/>
  <c r="I499" i="6" s="1"/>
  <c r="D499" i="6" s="1"/>
  <c r="Q2217" i="1"/>
  <c r="I501" i="6" s="1"/>
  <c r="D501" i="6" s="1"/>
  <c r="Q2167" i="1"/>
  <c r="I484" i="6" s="1"/>
  <c r="D484" i="6" s="1"/>
  <c r="Q2197" i="1"/>
  <c r="I447" i="6" s="1"/>
  <c r="D447" i="6" s="1"/>
  <c r="Q2213" i="1"/>
  <c r="I492" i="6" s="1"/>
  <c r="D492" i="6" s="1"/>
  <c r="Q2214" i="1"/>
  <c r="I498" i="6" s="1"/>
  <c r="D498" i="6" s="1"/>
  <c r="Q2212" i="1"/>
  <c r="I504" i="6" s="1"/>
  <c r="D504" i="6" s="1"/>
  <c r="Q2216" i="1"/>
  <c r="I500" i="6" s="1"/>
  <c r="D500" i="6" s="1"/>
  <c r="Q2218" i="1"/>
  <c r="I450" i="6" s="1"/>
  <c r="D450" i="6" s="1"/>
  <c r="Q2219" i="1"/>
  <c r="I451" i="6" s="1"/>
  <c r="D451" i="6" s="1"/>
  <c r="Q2220" i="1"/>
  <c r="I453" i="6" s="1"/>
  <c r="D453" i="6" s="1"/>
  <c r="Q2221" i="1"/>
  <c r="I452" i="6" s="1"/>
  <c r="D452" i="6" s="1"/>
  <c r="Q2222" i="1"/>
  <c r="I454" i="6" s="1"/>
  <c r="D454" i="6" s="1"/>
  <c r="Q2224" i="1"/>
  <c r="I470" i="6" s="1"/>
  <c r="D470" i="6" s="1"/>
  <c r="Q2808" i="1"/>
  <c r="I2065" i="6" s="1"/>
  <c r="D2065" i="6" s="1"/>
  <c r="Q2809" i="1"/>
  <c r="I2066" i="6" s="1"/>
  <c r="D2066" i="6" s="1"/>
  <c r="Q2810" i="1"/>
  <c r="I2067" i="6" s="1"/>
  <c r="D2067" i="6" s="1"/>
  <c r="Q2811" i="1"/>
  <c r="I2068" i="6" s="1"/>
  <c r="D2068" i="6" s="1"/>
  <c r="Q2812" i="1"/>
  <c r="I2069" i="6" s="1"/>
  <c r="D2069" i="6" s="1"/>
  <c r="Q2814" i="1"/>
  <c r="I2072" i="6" s="1"/>
  <c r="D2072" i="6" s="1"/>
  <c r="Q2813" i="1"/>
  <c r="I2071" i="6" s="1"/>
  <c r="D2071" i="6" s="1"/>
  <c r="Q2815" i="1"/>
  <c r="I2070" i="6" s="1"/>
  <c r="D2070" i="6" s="1"/>
  <c r="Q1107" i="1"/>
  <c r="I1383" i="6" s="1"/>
  <c r="D1383" i="6" s="1"/>
  <c r="Q1108" i="1"/>
  <c r="I1384" i="6" s="1"/>
  <c r="D1384" i="6" s="1"/>
  <c r="Q1109" i="1"/>
  <c r="I1385" i="6" s="1"/>
  <c r="D1385" i="6" s="1"/>
  <c r="Q1114" i="1"/>
  <c r="I1390" i="6" s="1"/>
  <c r="D1390" i="6" s="1"/>
  <c r="Q1115" i="1"/>
  <c r="I1391" i="6" s="1"/>
  <c r="D1391" i="6" s="1"/>
  <c r="Q1116" i="1"/>
  <c r="I1392" i="6" s="1"/>
  <c r="D1392" i="6" s="1"/>
  <c r="Q1117" i="1"/>
  <c r="I1393" i="6" s="1"/>
  <c r="D1393" i="6" s="1"/>
  <c r="Q1118" i="1"/>
  <c r="I1394" i="6" s="1"/>
  <c r="D1394" i="6" s="1"/>
  <c r="Q1119" i="1"/>
  <c r="I1395" i="6" s="1"/>
  <c r="D1395" i="6" s="1"/>
  <c r="Q1120" i="1"/>
  <c r="I1396" i="6" s="1"/>
  <c r="D1396" i="6" s="1"/>
  <c r="Q1110" i="1"/>
  <c r="I1386" i="6" s="1"/>
  <c r="D1386" i="6" s="1"/>
  <c r="Q1111" i="1"/>
  <c r="I1387" i="6" s="1"/>
  <c r="D1387" i="6" s="1"/>
  <c r="Q1112" i="1"/>
  <c r="I1388" i="6" s="1"/>
  <c r="D1388" i="6" s="1"/>
  <c r="Q1113" i="1"/>
  <c r="I1389" i="6" s="1"/>
  <c r="D1389" i="6" s="1"/>
  <c r="Q3001" i="1"/>
  <c r="I600" i="6" s="1"/>
  <c r="D600" i="6" s="1"/>
  <c r="Q3002" i="1"/>
  <c r="I587" i="6" s="1"/>
  <c r="D587" i="6" s="1"/>
  <c r="Q3003" i="1"/>
  <c r="I598" i="6" s="1"/>
  <c r="D598" i="6" s="1"/>
  <c r="Q2992" i="1"/>
  <c r="I592" i="6" s="1"/>
  <c r="D592" i="6" s="1"/>
  <c r="Q2993" i="1"/>
  <c r="I597" i="6" s="1"/>
  <c r="D597" i="6" s="1"/>
  <c r="Q2998" i="1"/>
  <c r="I596" i="6" s="1"/>
  <c r="D596" i="6" s="1"/>
  <c r="Q2994" i="1"/>
  <c r="I589" i="6" s="1"/>
  <c r="D589" i="6" s="1"/>
  <c r="Q2995" i="1"/>
  <c r="I584" i="6" s="1"/>
  <c r="D584" i="6" s="1"/>
  <c r="Q2996" i="1"/>
  <c r="I594" i="6" s="1"/>
  <c r="D594" i="6" s="1"/>
  <c r="Q2997" i="1"/>
  <c r="I595" i="6" s="1"/>
  <c r="D595" i="6" s="1"/>
  <c r="Q2999" i="1"/>
  <c r="I590" i="6" s="1"/>
  <c r="D590" i="6" s="1"/>
  <c r="Q3000" i="1"/>
  <c r="I599" i="6" s="1"/>
  <c r="D599" i="6" s="1"/>
  <c r="I834" i="6"/>
  <c r="D834" i="6" s="1"/>
  <c r="I835" i="6"/>
  <c r="D835" i="6" s="1"/>
  <c r="I832" i="6"/>
  <c r="D832" i="6" s="1"/>
  <c r="Q2733" i="1"/>
  <c r="I2175" i="6" s="1"/>
  <c r="D2175" i="6" s="1"/>
  <c r="Q2734" i="1"/>
  <c r="I2177" i="6" s="1"/>
  <c r="D2177" i="6" s="1"/>
  <c r="Q2735" i="1"/>
  <c r="I2178" i="6" s="1"/>
  <c r="D2178" i="6" s="1"/>
  <c r="Q2736" i="1"/>
  <c r="I2184" i="6" s="1"/>
  <c r="D2184" i="6" s="1"/>
  <c r="Q2737" i="1"/>
  <c r="I2186" i="6" s="1"/>
  <c r="D2186" i="6" s="1"/>
  <c r="Q2738" i="1"/>
  <c r="I2187" i="6" s="1"/>
  <c r="D2187" i="6" s="1"/>
  <c r="Q2739" i="1"/>
  <c r="I2185" i="6" s="1"/>
  <c r="D2185" i="6" s="1"/>
  <c r="Q2744" i="1"/>
  <c r="I2190" i="6" s="1"/>
  <c r="D2190" i="6" s="1"/>
  <c r="Q2745" i="1"/>
  <c r="I2191" i="6" s="1"/>
  <c r="D2191" i="6" s="1"/>
  <c r="Q2746" i="1"/>
  <c r="I2196" i="6" s="1"/>
  <c r="D2196" i="6" s="1"/>
  <c r="Q2747" i="1"/>
  <c r="I2189" i="6" s="1"/>
  <c r="D2189" i="6" s="1"/>
  <c r="I2179" i="6"/>
  <c r="D2179" i="6" s="1"/>
  <c r="I2180" i="6"/>
  <c r="D2180" i="6" s="1"/>
  <c r="Q2753" i="1"/>
  <c r="I2202" i="6" s="1"/>
  <c r="D2202" i="6" s="1"/>
  <c r="I2181" i="6"/>
  <c r="D2181" i="6" s="1"/>
  <c r="Q2752" i="1"/>
  <c r="I2201" i="6" s="1"/>
  <c r="D2201" i="6" s="1"/>
  <c r="Q2754" i="1"/>
  <c r="I2203" i="6" s="1"/>
  <c r="D2203" i="6" s="1"/>
  <c r="Q2756" i="1"/>
  <c r="I2205" i="6" s="1"/>
  <c r="D2205" i="6" s="1"/>
  <c r="Q2755" i="1"/>
  <c r="I2204" i="6" s="1"/>
  <c r="D2204" i="6" s="1"/>
  <c r="Q2757" i="1"/>
  <c r="I2206" i="6" s="1"/>
  <c r="D2206" i="6" s="1"/>
  <c r="Q429" i="1"/>
  <c r="I17" i="6" s="1"/>
  <c r="D17" i="6" s="1"/>
  <c r="Q447" i="1"/>
  <c r="I201" i="6" s="1"/>
  <c r="D201" i="6" s="1"/>
  <c r="I282" i="6"/>
  <c r="D282" i="6" s="1"/>
  <c r="Q496" i="1"/>
  <c r="I267" i="6" s="1"/>
  <c r="D267" i="6" s="1"/>
  <c r="Q520" i="1"/>
  <c r="I163" i="6" s="1"/>
  <c r="D163" i="6" s="1"/>
  <c r="I535" i="6"/>
  <c r="D535" i="6" s="1"/>
  <c r="Q561" i="1"/>
  <c r="I582" i="6" s="1"/>
  <c r="D582" i="6" s="1"/>
  <c r="Q430" i="1"/>
  <c r="I20" i="6" s="1"/>
  <c r="D20" i="6" s="1"/>
  <c r="Q448" i="1"/>
  <c r="I187" i="6" s="1"/>
  <c r="D187" i="6" s="1"/>
  <c r="I108" i="6"/>
  <c r="D108" i="6" s="1"/>
  <c r="Q522" i="1"/>
  <c r="I112" i="6" s="1"/>
  <c r="D112" i="6" s="1"/>
  <c r="Q541" i="1"/>
  <c r="I537" i="6" s="1"/>
  <c r="D537" i="6" s="1"/>
  <c r="I16" i="6"/>
  <c r="D16" i="6" s="1"/>
  <c r="Q449" i="1"/>
  <c r="I270" i="6" s="1"/>
  <c r="D270" i="6" s="1"/>
  <c r="I107" i="6"/>
  <c r="D107" i="6" s="1"/>
  <c r="I110" i="6"/>
  <c r="D110" i="6" s="1"/>
  <c r="Q542" i="1"/>
  <c r="I539" i="6" s="1"/>
  <c r="D539" i="6" s="1"/>
  <c r="Q450" i="1"/>
  <c r="I186" i="6" s="1"/>
  <c r="D186" i="6" s="1"/>
  <c r="Q472" i="1"/>
  <c r="I576" i="6" s="1"/>
  <c r="D576" i="6" s="1"/>
  <c r="Q498" i="1"/>
  <c r="I168" i="6" s="1"/>
  <c r="D168" i="6" s="1"/>
  <c r="I111" i="6"/>
  <c r="D111" i="6" s="1"/>
  <c r="Q543" i="1"/>
  <c r="I527" i="6" s="1"/>
  <c r="D527" i="6" s="1"/>
  <c r="Q431" i="1"/>
  <c r="I10" i="6" s="1"/>
  <c r="Q451" i="1"/>
  <c r="I271" i="6" s="1"/>
  <c r="D271" i="6" s="1"/>
  <c r="Q473" i="1"/>
  <c r="I577" i="6" s="1"/>
  <c r="D577" i="6" s="1"/>
  <c r="Q432" i="1"/>
  <c r="I22" i="6" s="1"/>
  <c r="D22" i="6" s="1"/>
  <c r="Q452" i="1"/>
  <c r="I196" i="6" s="1"/>
  <c r="D196" i="6" s="1"/>
  <c r="Q474" i="1"/>
  <c r="I575" i="6" s="1"/>
  <c r="D575" i="6" s="1"/>
  <c r="Q499" i="1"/>
  <c r="I170" i="6" s="1"/>
  <c r="D170" i="6" s="1"/>
  <c r="Q524" i="1"/>
  <c r="I544" i="6" s="1"/>
  <c r="D544" i="6" s="1"/>
  <c r="Q433" i="1"/>
  <c r="I19" i="6" s="1"/>
  <c r="D19" i="6" s="1"/>
  <c r="Q453" i="1"/>
  <c r="I197" i="6" s="1"/>
  <c r="D197" i="6" s="1"/>
  <c r="Q500" i="1"/>
  <c r="I169" i="6" s="1"/>
  <c r="D169" i="6" s="1"/>
  <c r="Q525" i="1"/>
  <c r="I545" i="6" s="1"/>
  <c r="D545" i="6" s="1"/>
  <c r="I15" i="6"/>
  <c r="D15" i="6" s="1"/>
  <c r="Q454" i="1"/>
  <c r="I199" i="6" s="1"/>
  <c r="D199" i="6" s="1"/>
  <c r="Q475" i="1"/>
  <c r="I572" i="6" s="1"/>
  <c r="D572" i="6" s="1"/>
  <c r="Q526" i="1"/>
  <c r="I543" i="6" s="1"/>
  <c r="D543" i="6" s="1"/>
  <c r="Q434" i="1"/>
  <c r="I11" i="6" s="1"/>
  <c r="D11" i="6" s="1"/>
  <c r="Q476" i="1"/>
  <c r="I571" i="6" s="1"/>
  <c r="D571" i="6" s="1"/>
  <c r="Q502" i="1"/>
  <c r="I96" i="6" s="1"/>
  <c r="D96" i="6" s="1"/>
  <c r="Q527" i="1"/>
  <c r="I542" i="6" s="1"/>
  <c r="D542" i="6" s="1"/>
  <c r="Q435" i="1"/>
  <c r="I12" i="6" s="1"/>
  <c r="D12" i="6" s="1"/>
  <c r="Q477" i="1"/>
  <c r="I579" i="6" s="1"/>
  <c r="D579" i="6" s="1"/>
  <c r="Q503" i="1"/>
  <c r="I97" i="6" s="1"/>
  <c r="D97" i="6" s="1"/>
  <c r="Q528" i="1"/>
  <c r="I549" i="6" s="1"/>
  <c r="D549" i="6" s="1"/>
  <c r="Q436" i="1"/>
  <c r="I14" i="6" s="1"/>
  <c r="D14" i="6" s="1"/>
  <c r="Q478" i="1"/>
  <c r="I578" i="6" s="1"/>
  <c r="D578" i="6" s="1"/>
  <c r="I13" i="6"/>
  <c r="D13" i="6" s="1"/>
  <c r="Q479" i="1"/>
  <c r="I150" i="6" s="1"/>
  <c r="D150" i="6" s="1"/>
  <c r="Q505" i="1"/>
  <c r="I100" i="6" s="1"/>
  <c r="D100" i="6" s="1"/>
  <c r="Q444" i="1"/>
  <c r="I198" i="6" s="1"/>
  <c r="D198" i="6" s="1"/>
  <c r="I581" i="6"/>
  <c r="D581" i="6" s="1"/>
  <c r="I567" i="6"/>
  <c r="D567" i="6" s="1"/>
  <c r="Q445" i="1"/>
  <c r="I204" i="6" s="1"/>
  <c r="D204" i="6" s="1"/>
  <c r="Q489" i="1"/>
  <c r="I580" i="6" s="1"/>
  <c r="D580" i="6" s="1"/>
  <c r="Q532" i="1"/>
  <c r="I570" i="6" s="1"/>
  <c r="D570" i="6" s="1"/>
  <c r="Q463" i="1"/>
  <c r="I281" i="6" s="1"/>
  <c r="D281" i="6" s="1"/>
  <c r="I202" i="6"/>
  <c r="D202" i="6" s="1"/>
  <c r="Q490" i="1"/>
  <c r="I116" i="6" s="1"/>
  <c r="D116" i="6" s="1"/>
  <c r="Q534" i="1"/>
  <c r="I568" i="6" s="1"/>
  <c r="D568" i="6" s="1"/>
  <c r="Q446" i="1"/>
  <c r="I203" i="6" s="1"/>
  <c r="D203" i="6" s="1"/>
  <c r="Q492" i="1"/>
  <c r="I166" i="6" s="1"/>
  <c r="D166" i="6" s="1"/>
  <c r="Q535" i="1"/>
  <c r="I569" i="6" s="1"/>
  <c r="D569" i="6" s="1"/>
  <c r="Q456" i="1"/>
  <c r="I505" i="6" s="1"/>
  <c r="D505" i="6" s="1"/>
  <c r="Q493" i="1"/>
  <c r="I167" i="6" s="1"/>
  <c r="D167" i="6" s="1"/>
  <c r="Q537" i="1"/>
  <c r="I553" i="6" s="1"/>
  <c r="D553" i="6" s="1"/>
  <c r="Q457" i="1"/>
  <c r="I522" i="6" s="1"/>
  <c r="D522" i="6" s="1"/>
  <c r="Q538" i="1"/>
  <c r="I552" i="6" s="1"/>
  <c r="D552" i="6" s="1"/>
  <c r="Q458" i="1"/>
  <c r="I283" i="6" s="1"/>
  <c r="D283" i="6" s="1"/>
  <c r="Q494" i="1"/>
  <c r="I149" i="6" s="1"/>
  <c r="D149" i="6" s="1"/>
  <c r="Q539" i="1"/>
  <c r="I554" i="6" s="1"/>
  <c r="D554" i="6" s="1"/>
  <c r="Q419" i="1"/>
  <c r="I516" i="6" s="1"/>
  <c r="D516" i="6" s="1"/>
  <c r="I278" i="6"/>
  <c r="D278" i="6" s="1"/>
  <c r="Q495" i="1"/>
  <c r="I148" i="6" s="1"/>
  <c r="D148" i="6" s="1"/>
  <c r="Q420" i="1"/>
  <c r="I274" i="6" s="1"/>
  <c r="D274" i="6" s="1"/>
  <c r="Q459" i="1"/>
  <c r="I194" i="6" s="1"/>
  <c r="D194" i="6" s="1"/>
  <c r="Q506" i="1"/>
  <c r="I99" i="6" s="1"/>
  <c r="D99" i="6" s="1"/>
  <c r="Q509" i="1"/>
  <c r="I115" i="6" s="1"/>
  <c r="D115" i="6" s="1"/>
  <c r="Q421" i="1"/>
  <c r="I514" i="6" s="1"/>
  <c r="D514" i="6" s="1"/>
  <c r="Q460" i="1"/>
  <c r="I280" i="6" s="1"/>
  <c r="D280" i="6" s="1"/>
  <c r="I98" i="6"/>
  <c r="D98" i="6" s="1"/>
  <c r="Q546" i="1"/>
  <c r="I526" i="6" s="1"/>
  <c r="D526" i="6" s="1"/>
  <c r="Q422" i="1"/>
  <c r="I275" i="6" s="1"/>
  <c r="D275" i="6" s="1"/>
  <c r="I277" i="6"/>
  <c r="D277" i="6" s="1"/>
  <c r="Q507" i="1"/>
  <c r="I159" i="6" s="1"/>
  <c r="D159" i="6" s="1"/>
  <c r="Q423" i="1"/>
  <c r="I513" i="6" s="1"/>
  <c r="D513" i="6" s="1"/>
  <c r="Q461" i="1"/>
  <c r="I193" i="6" s="1"/>
  <c r="D193" i="6" s="1"/>
  <c r="I158" i="6"/>
  <c r="D158" i="6" s="1"/>
  <c r="Q540" i="1"/>
  <c r="I538" i="6" s="1"/>
  <c r="D538" i="6" s="1"/>
  <c r="Q424" i="1"/>
  <c r="I190" i="6" s="1"/>
  <c r="D190" i="6" s="1"/>
  <c r="Q462" i="1"/>
  <c r="I191" i="6" s="1"/>
  <c r="D191" i="6" s="1"/>
  <c r="Q508" i="1"/>
  <c r="I114" i="6" s="1"/>
  <c r="D114" i="6" s="1"/>
  <c r="Q469" i="1"/>
  <c r="I276" i="6" s="1"/>
  <c r="D276" i="6" s="1"/>
  <c r="Q547" i="1"/>
  <c r="I534" i="6" s="1"/>
  <c r="D534" i="6" s="1"/>
  <c r="Q470" i="1"/>
  <c r="I195" i="6" s="1"/>
  <c r="D195" i="6" s="1"/>
  <c r="Q548" i="1"/>
  <c r="I562" i="6" s="1"/>
  <c r="D562" i="6" s="1"/>
  <c r="Q480" i="1"/>
  <c r="I268" i="6" s="1"/>
  <c r="D268" i="6" s="1"/>
  <c r="Q549" i="1"/>
  <c r="I560" i="6" s="1"/>
  <c r="D560" i="6" s="1"/>
  <c r="Q481" i="1"/>
  <c r="I152" i="6" s="1"/>
  <c r="D152" i="6" s="1"/>
  <c r="Q550" i="1"/>
  <c r="I559" i="6" s="1"/>
  <c r="D559" i="6" s="1"/>
  <c r="Q482" i="1"/>
  <c r="I151" i="6" s="1"/>
  <c r="D151" i="6" s="1"/>
  <c r="Q551" i="1"/>
  <c r="I563" i="6" s="1"/>
  <c r="D563" i="6" s="1"/>
  <c r="Q483" i="1"/>
  <c r="I95" i="6" s="1"/>
  <c r="D95" i="6" s="1"/>
  <c r="Q552" i="1"/>
  <c r="I564" i="6" s="1"/>
  <c r="D564" i="6" s="1"/>
  <c r="Q553" i="1"/>
  <c r="I561" i="6" s="1"/>
  <c r="D561" i="6" s="1"/>
  <c r="Q485" i="1"/>
  <c r="I263" i="6" s="1"/>
  <c r="D263" i="6" s="1"/>
  <c r="I119" i="6"/>
  <c r="D119" i="6" s="1"/>
  <c r="Q486" i="1"/>
  <c r="I265" i="6" s="1"/>
  <c r="D265" i="6" s="1"/>
  <c r="I120" i="6"/>
  <c r="D120" i="6" s="1"/>
  <c r="Q515" i="1"/>
  <c r="I164" i="6" s="1"/>
  <c r="D164" i="6" s="1"/>
  <c r="Q518" i="1"/>
  <c r="I156" i="6" s="1"/>
  <c r="D156" i="6" s="1"/>
  <c r="Q519" i="1"/>
  <c r="I157" i="6" s="1"/>
  <c r="D157" i="6" s="1"/>
  <c r="Q425" i="1"/>
  <c r="I515" i="6" s="1"/>
  <c r="D515" i="6" s="1"/>
  <c r="Q487" i="1"/>
  <c r="I574" i="6" s="1"/>
  <c r="D574" i="6" s="1"/>
  <c r="I121" i="6"/>
  <c r="D121" i="6" s="1"/>
  <c r="Q440" i="1"/>
  <c r="I185" i="6" s="1"/>
  <c r="D185" i="6" s="1"/>
  <c r="Q426" i="1"/>
  <c r="I189" i="6" s="1"/>
  <c r="D189" i="6" s="1"/>
  <c r="Q428" i="1"/>
  <c r="I18" i="6" s="1"/>
  <c r="D18" i="6" s="1"/>
  <c r="Q511" i="1"/>
  <c r="I175" i="6" s="1"/>
  <c r="D175" i="6" s="1"/>
  <c r="Q437" i="1"/>
  <c r="I23" i="6" s="1"/>
  <c r="D23" i="6" s="1"/>
  <c r="Q438" i="1"/>
  <c r="I21" i="6" s="1"/>
  <c r="D21" i="6" s="1"/>
  <c r="Q514" i="1"/>
  <c r="I162" i="6" s="1"/>
  <c r="D162" i="6" s="1"/>
  <c r="I200" i="6"/>
  <c r="D200" i="6" s="1"/>
  <c r="I532" i="6"/>
  <c r="D532" i="6" s="1"/>
  <c r="I533" i="6"/>
  <c r="D533" i="6" s="1"/>
  <c r="Q464" i="1"/>
  <c r="I520" i="6" s="1"/>
  <c r="D520" i="6" s="1"/>
  <c r="I531" i="6"/>
  <c r="D531" i="6" s="1"/>
  <c r="Q465" i="1"/>
  <c r="I521" i="6" s="1"/>
  <c r="D521" i="6" s="1"/>
  <c r="Q530" i="1"/>
  <c r="I540" i="6" s="1"/>
  <c r="D540" i="6" s="1"/>
  <c r="Q441" i="1"/>
  <c r="I205" i="6" s="1"/>
  <c r="D205" i="6" s="1"/>
  <c r="Q442" i="1"/>
  <c r="I206" i="6" s="1"/>
  <c r="D206" i="6" s="1"/>
  <c r="Q443" i="1"/>
  <c r="I272" i="6" s="1"/>
  <c r="D272" i="6" s="1"/>
  <c r="Q2473" i="1"/>
  <c r="I1362" i="6" s="1"/>
  <c r="D1362" i="6" s="1"/>
  <c r="Q2475" i="1"/>
  <c r="I1356" i="6" s="1"/>
  <c r="D1356" i="6" s="1"/>
  <c r="Q2476" i="1"/>
  <c r="I1355" i="6" s="1"/>
  <c r="D1355" i="6" s="1"/>
  <c r="I1357" i="6"/>
  <c r="D1357" i="6" s="1"/>
  <c r="Q2477" i="1"/>
  <c r="I1358" i="6" s="1"/>
  <c r="D1358" i="6" s="1"/>
  <c r="Q2478" i="1"/>
  <c r="I1375" i="6" s="1"/>
  <c r="D1375" i="6" s="1"/>
  <c r="Q2479" i="1"/>
  <c r="I1378" i="6" s="1"/>
  <c r="D1378" i="6" s="1"/>
  <c r="Q2480" i="1"/>
  <c r="I1372" i="6" s="1"/>
  <c r="D1372" i="6" s="1"/>
  <c r="Q2481" i="1"/>
  <c r="I1373" i="6" s="1"/>
  <c r="D1373" i="6" s="1"/>
  <c r="Q2482" i="1"/>
  <c r="I1377" i="6" s="1"/>
  <c r="D1377" i="6" s="1"/>
  <c r="Q2483" i="1"/>
  <c r="I1371" i="6" s="1"/>
  <c r="D1371" i="6" s="1"/>
  <c r="Q2484" i="1"/>
  <c r="I1369" i="6" s="1"/>
  <c r="D1369" i="6" s="1"/>
  <c r="Q2468" i="1"/>
  <c r="I1364" i="6" s="1"/>
  <c r="D1364" i="6" s="1"/>
  <c r="Q2486" i="1"/>
  <c r="I1376" i="6" s="1"/>
  <c r="D1376" i="6" s="1"/>
  <c r="Q2469" i="1"/>
  <c r="I1365" i="6" s="1"/>
  <c r="D1365" i="6" s="1"/>
  <c r="Q2470" i="1"/>
  <c r="I1363" i="6" s="1"/>
  <c r="D1363" i="6" s="1"/>
  <c r="Q2471" i="1"/>
  <c r="I1360" i="6" s="1"/>
  <c r="D1360" i="6" s="1"/>
  <c r="Q2472" i="1"/>
  <c r="I1361" i="6" s="1"/>
  <c r="D1361" i="6" s="1"/>
  <c r="Q2485" i="1"/>
  <c r="I1374" i="6" s="1"/>
  <c r="D1374" i="6" s="1"/>
  <c r="Q2489" i="1"/>
  <c r="I1368" i="6" s="1"/>
  <c r="D1368" i="6" s="1"/>
  <c r="Q2487" i="1"/>
  <c r="I1367" i="6" s="1"/>
  <c r="D1367" i="6" s="1"/>
  <c r="Q2488" i="1"/>
  <c r="I1366" i="6" s="1"/>
  <c r="D1366" i="6" s="1"/>
  <c r="Q2490" i="1"/>
  <c r="I1382" i="6" s="1"/>
  <c r="D1382" i="6" s="1"/>
  <c r="Q2491" i="1"/>
  <c r="I1379" i="6" s="1"/>
  <c r="D1379" i="6" s="1"/>
  <c r="Q2492" i="1"/>
  <c r="I1380" i="6" s="1"/>
  <c r="D1380" i="6" s="1"/>
  <c r="Q2493" i="1"/>
  <c r="I1381" i="6" s="1"/>
  <c r="D1381" i="6" s="1"/>
  <c r="Q2494" i="1"/>
  <c r="I1359" i="6" s="1"/>
  <c r="D1359" i="6" s="1"/>
  <c r="Q1410" i="1"/>
  <c r="I2325" i="6" s="1"/>
  <c r="D2325" i="6" s="1"/>
  <c r="Q1411" i="1"/>
  <c r="I2326" i="6" s="1"/>
  <c r="D2326" i="6" s="1"/>
  <c r="Q1412" i="1"/>
  <c r="I2327" i="6" s="1"/>
  <c r="D2327" i="6" s="1"/>
  <c r="Q1413" i="1"/>
  <c r="I2328" i="6" s="1"/>
  <c r="D2328" i="6" s="1"/>
  <c r="Q1414" i="1"/>
  <c r="I2329" i="6" s="1"/>
  <c r="D2329" i="6" s="1"/>
  <c r="Q1415" i="1"/>
  <c r="I2330" i="6" s="1"/>
  <c r="D2330" i="6" s="1"/>
  <c r="Q1416" i="1"/>
  <c r="I2331" i="6" s="1"/>
  <c r="D2331" i="6" s="1"/>
  <c r="Q1417" i="1"/>
  <c r="I2332" i="6" s="1"/>
  <c r="D2332" i="6" s="1"/>
  <c r="Q1418" i="1"/>
  <c r="I2333" i="6" s="1"/>
  <c r="D2333" i="6" s="1"/>
  <c r="Q1419" i="1"/>
  <c r="I2334" i="6" s="1"/>
  <c r="D2334" i="6" s="1"/>
  <c r="Q1420" i="1"/>
  <c r="I2335" i="6" s="1"/>
  <c r="D2335" i="6" s="1"/>
  <c r="Q1421" i="1"/>
  <c r="I2336" i="6" s="1"/>
  <c r="D2336" i="6" s="1"/>
  <c r="Q1398" i="1"/>
  <c r="I2313" i="6" s="1"/>
  <c r="D2313" i="6" s="1"/>
  <c r="Q1399" i="1"/>
  <c r="I2314" i="6" s="1"/>
  <c r="D2314" i="6" s="1"/>
  <c r="Q1400" i="1"/>
  <c r="I2315" i="6" s="1"/>
  <c r="D2315" i="6" s="1"/>
  <c r="Q1401" i="1"/>
  <c r="I2316" i="6" s="1"/>
  <c r="D2316" i="6" s="1"/>
  <c r="Q1407" i="1"/>
  <c r="I2322" i="6" s="1"/>
  <c r="D2322" i="6" s="1"/>
  <c r="Q1402" i="1"/>
  <c r="I2317" i="6" s="1"/>
  <c r="D2317" i="6" s="1"/>
  <c r="Q1403" i="1"/>
  <c r="I2318" i="6" s="1"/>
  <c r="D2318" i="6" s="1"/>
  <c r="Q1404" i="1"/>
  <c r="I2319" i="6" s="1"/>
  <c r="D2319" i="6" s="1"/>
  <c r="Q1405" i="1"/>
  <c r="I2320" i="6" s="1"/>
  <c r="D2320" i="6" s="1"/>
  <c r="Q1406" i="1"/>
  <c r="I2321" i="6" s="1"/>
  <c r="D2321" i="6" s="1"/>
  <c r="Q1427" i="1"/>
  <c r="I2342" i="6" s="1"/>
  <c r="D2342" i="6" s="1"/>
  <c r="Q1408" i="1"/>
  <c r="I2323" i="6" s="1"/>
  <c r="D2323" i="6" s="1"/>
  <c r="Q1409" i="1"/>
  <c r="I2324" i="6" s="1"/>
  <c r="D2324" i="6" s="1"/>
  <c r="Q1423" i="1"/>
  <c r="I2338" i="6" s="1"/>
  <c r="D2338" i="6" s="1"/>
  <c r="Q1424" i="1"/>
  <c r="I2339" i="6" s="1"/>
  <c r="D2339" i="6" s="1"/>
  <c r="Q1426" i="1"/>
  <c r="I2341" i="6" s="1"/>
  <c r="D2341" i="6" s="1"/>
  <c r="Q1422" i="1"/>
  <c r="I2337" i="6" s="1"/>
  <c r="D2337" i="6" s="1"/>
  <c r="Q1425" i="1"/>
  <c r="I2340" i="6" s="1"/>
  <c r="D2340" i="6" s="1"/>
  <c r="Q1428" i="1"/>
  <c r="I2343" i="6" s="1"/>
  <c r="D2343" i="6" s="1"/>
  <c r="Q1429" i="1"/>
  <c r="I2344" i="6" s="1"/>
  <c r="D2344" i="6" s="1"/>
  <c r="Q1430" i="1"/>
  <c r="I2345" i="6" s="1"/>
  <c r="D2345" i="6" s="1"/>
  <c r="Q1431" i="1"/>
  <c r="I2346" i="6" s="1"/>
  <c r="D2346" i="6" s="1"/>
  <c r="Q1432" i="1"/>
  <c r="I2347" i="6" s="1"/>
  <c r="D2347" i="6" s="1"/>
  <c r="I1921" i="6"/>
  <c r="D1921" i="6" s="1"/>
  <c r="I1930" i="6"/>
  <c r="D1930" i="6" s="1"/>
  <c r="I1932" i="6"/>
  <c r="D1932" i="6" s="1"/>
  <c r="I1928" i="6"/>
  <c r="D1928" i="6" s="1"/>
  <c r="I1925" i="6"/>
  <c r="D1925" i="6" s="1"/>
  <c r="I1923" i="6"/>
  <c r="D1923" i="6" s="1"/>
  <c r="I1922" i="6"/>
  <c r="D1922" i="6" s="1"/>
  <c r="I1924" i="6"/>
  <c r="D1924" i="6" s="1"/>
  <c r="I1926" i="6"/>
  <c r="D1926" i="6" s="1"/>
  <c r="I1953" i="6"/>
  <c r="D1953" i="6" s="1"/>
  <c r="I1766" i="6"/>
  <c r="D1766" i="6" s="1"/>
  <c r="I1751" i="6"/>
  <c r="D1751" i="6" s="1"/>
  <c r="I1767" i="6"/>
  <c r="D1767" i="6" s="1"/>
  <c r="I1752" i="6"/>
  <c r="D1752" i="6" s="1"/>
  <c r="I1768" i="6"/>
  <c r="D1768" i="6" s="1"/>
  <c r="I1769" i="6"/>
  <c r="D1769" i="6" s="1"/>
  <c r="I1754" i="6"/>
  <c r="D1754" i="6" s="1"/>
  <c r="I1770" i="6"/>
  <c r="D1770" i="6" s="1"/>
  <c r="I1755" i="6"/>
  <c r="D1755" i="6" s="1"/>
  <c r="I1773" i="6"/>
  <c r="D1773" i="6" s="1"/>
  <c r="I1776" i="6"/>
  <c r="D1776" i="6" s="1"/>
  <c r="I1758" i="6"/>
  <c r="D1758" i="6" s="1"/>
  <c r="I1759" i="6"/>
  <c r="D1759" i="6" s="1"/>
  <c r="I1760" i="6"/>
  <c r="D1760" i="6" s="1"/>
  <c r="I1761" i="6"/>
  <c r="D1761" i="6" s="1"/>
  <c r="I1762" i="6"/>
  <c r="D1762" i="6" s="1"/>
  <c r="I1765" i="6"/>
  <c r="D1765" i="6" s="1"/>
  <c r="I1786" i="6"/>
  <c r="D1786" i="6" s="1"/>
  <c r="I1779" i="6"/>
  <c r="D1779" i="6" s="1"/>
  <c r="I1781" i="6"/>
  <c r="D1781" i="6" s="1"/>
  <c r="I1780" i="6"/>
  <c r="D1780" i="6" s="1"/>
  <c r="I1783" i="6"/>
  <c r="D1783" i="6" s="1"/>
  <c r="I1748" i="6"/>
  <c r="D1748" i="6" s="1"/>
  <c r="I1747" i="6"/>
  <c r="D1747" i="6" s="1"/>
  <c r="I1756" i="6"/>
  <c r="D1756" i="6" s="1"/>
  <c r="I1787" i="6"/>
  <c r="D1787" i="6" s="1"/>
  <c r="I1757" i="6"/>
  <c r="D1757" i="6" s="1"/>
  <c r="I1746" i="6"/>
  <c r="D1746" i="6" s="1"/>
  <c r="I1788" i="6"/>
  <c r="D1788" i="6" s="1"/>
  <c r="I1789" i="6"/>
  <c r="D1789" i="6" s="1"/>
  <c r="I1749" i="6"/>
  <c r="D1749" i="6" s="1"/>
  <c r="AJ2982" i="1"/>
  <c r="G2982" i="1" s="1"/>
  <c r="Q2281" i="1"/>
  <c r="I2827" i="6" s="1"/>
  <c r="D2827" i="6" s="1"/>
  <c r="Q2282" i="1"/>
  <c r="I2828" i="6" s="1"/>
  <c r="D2828" i="6" s="1"/>
  <c r="Q2283" i="1"/>
  <c r="I2829" i="6" s="1"/>
  <c r="D2829" i="6" s="1"/>
  <c r="I2830" i="6"/>
  <c r="D2830" i="6" s="1"/>
  <c r="Q2284" i="1"/>
  <c r="I2831" i="6" s="1"/>
  <c r="D2831" i="6" s="1"/>
  <c r="Q2285" i="1"/>
  <c r="I2832" i="6" s="1"/>
  <c r="D2832" i="6" s="1"/>
  <c r="Q2286" i="1"/>
  <c r="I2834" i="6" s="1"/>
  <c r="D2834" i="6" s="1"/>
  <c r="Q2287" i="1"/>
  <c r="I2835" i="6" s="1"/>
  <c r="D2835" i="6" s="1"/>
  <c r="Q2273" i="1"/>
  <c r="I2825" i="6" s="1"/>
  <c r="D2825" i="6" s="1"/>
  <c r="Q2274" i="1"/>
  <c r="I2826" i="6" s="1"/>
  <c r="D2826" i="6" s="1"/>
  <c r="Q2275" i="1"/>
  <c r="I2818" i="6" s="1"/>
  <c r="D2818" i="6" s="1"/>
  <c r="Q2276" i="1"/>
  <c r="I2819" i="6" s="1"/>
  <c r="D2819" i="6" s="1"/>
  <c r="Q2277" i="1"/>
  <c r="I2820" i="6" s="1"/>
  <c r="D2820" i="6" s="1"/>
  <c r="Q2278" i="1"/>
  <c r="I2821" i="6" s="1"/>
  <c r="D2821" i="6" s="1"/>
  <c r="Q2279" i="1"/>
  <c r="I2822" i="6" s="1"/>
  <c r="D2822" i="6" s="1"/>
  <c r="Q2280" i="1"/>
  <c r="I2823" i="6" s="1"/>
  <c r="D2823" i="6" s="1"/>
  <c r="Q2272" i="1"/>
  <c r="I2824" i="6" s="1"/>
  <c r="D2824" i="6" s="1"/>
  <c r="Q1490" i="1"/>
  <c r="I1712" i="6" s="1"/>
  <c r="D1712" i="6" s="1"/>
  <c r="Q1491" i="1"/>
  <c r="I1711" i="6" s="1"/>
  <c r="D1711" i="6" s="1"/>
  <c r="Q1461" i="1"/>
  <c r="I1730" i="6" s="1"/>
  <c r="D1730" i="6" s="1"/>
  <c r="Q1492" i="1"/>
  <c r="I1715" i="6" s="1"/>
  <c r="D1715" i="6" s="1"/>
  <c r="Q1462" i="1"/>
  <c r="I1731" i="6" s="1"/>
  <c r="D1731" i="6" s="1"/>
  <c r="Q1493" i="1"/>
  <c r="I1718" i="6" s="1"/>
  <c r="D1718" i="6" s="1"/>
  <c r="Q1463" i="1"/>
  <c r="I1734" i="6" s="1"/>
  <c r="D1734" i="6" s="1"/>
  <c r="Q1494" i="1"/>
  <c r="I1716" i="6" s="1"/>
  <c r="D1716" i="6" s="1"/>
  <c r="Q1464" i="1"/>
  <c r="I1726" i="6" s="1"/>
  <c r="D1726" i="6" s="1"/>
  <c r="Q1495" i="1"/>
  <c r="I1717" i="6" s="1"/>
  <c r="D1717" i="6" s="1"/>
  <c r="Q1465" i="1"/>
  <c r="I1723" i="6" s="1"/>
  <c r="D1723" i="6" s="1"/>
  <c r="Q1496" i="1"/>
  <c r="I1713" i="6" s="1"/>
  <c r="D1713" i="6" s="1"/>
  <c r="Q1466" i="1"/>
  <c r="I1724" i="6" s="1"/>
  <c r="D1724" i="6" s="1"/>
  <c r="Q1497" i="1"/>
  <c r="I1714" i="6" s="1"/>
  <c r="D1714" i="6" s="1"/>
  <c r="Q1467" i="1"/>
  <c r="I1725" i="6" s="1"/>
  <c r="D1725" i="6" s="1"/>
  <c r="Q1499" i="1"/>
  <c r="I1719" i="6" s="1"/>
  <c r="D1719" i="6" s="1"/>
  <c r="Q1468" i="1"/>
  <c r="I1733" i="6" s="1"/>
  <c r="D1733" i="6" s="1"/>
  <c r="Q1500" i="1"/>
  <c r="I1720" i="6" s="1"/>
  <c r="D1720" i="6" s="1"/>
  <c r="Q1469" i="1"/>
  <c r="I1727" i="6" s="1"/>
  <c r="D1727" i="6" s="1"/>
  <c r="Q1501" i="1"/>
  <c r="I1721" i="6" s="1"/>
  <c r="D1721" i="6" s="1"/>
  <c r="Q1471" i="1"/>
  <c r="I1702" i="6" s="1"/>
  <c r="D1702" i="6" s="1"/>
  <c r="Q1502" i="1"/>
  <c r="I1722" i="6" s="1"/>
  <c r="D1722" i="6" s="1"/>
  <c r="Q1481" i="1"/>
  <c r="I1703" i="6" s="1"/>
  <c r="D1703" i="6" s="1"/>
  <c r="Q1482" i="1"/>
  <c r="I1704" i="6" s="1"/>
  <c r="D1704" i="6" s="1"/>
  <c r="Q1483" i="1"/>
  <c r="I1705" i="6" s="1"/>
  <c r="D1705" i="6" s="1"/>
  <c r="I1706" i="6"/>
  <c r="D1706" i="6" s="1"/>
  <c r="I1707" i="6"/>
  <c r="D1707" i="6" s="1"/>
  <c r="Q1486" i="1"/>
  <c r="I1708" i="6" s="1"/>
  <c r="D1708" i="6" s="1"/>
  <c r="Q1487" i="1"/>
  <c r="I1709" i="6" s="1"/>
  <c r="D1709" i="6" s="1"/>
  <c r="Q1489" i="1"/>
  <c r="I1710" i="6" s="1"/>
  <c r="D1710" i="6" s="1"/>
  <c r="Q1504" i="1"/>
  <c r="I1698" i="6" s="1"/>
  <c r="D1698" i="6" s="1"/>
  <c r="Q1505" i="1"/>
  <c r="I1697" i="6" s="1"/>
  <c r="D1697" i="6" s="1"/>
  <c r="Q1472" i="1"/>
  <c r="I1743" i="6" s="1"/>
  <c r="D1743" i="6" s="1"/>
  <c r="Q1473" i="1"/>
  <c r="I1738" i="6" s="1"/>
  <c r="D1738" i="6" s="1"/>
  <c r="Q1474" i="1"/>
  <c r="I1700" i="6" s="1"/>
  <c r="D1700" i="6" s="1"/>
  <c r="Q1475" i="1"/>
  <c r="I1736" i="6" s="1"/>
  <c r="D1736" i="6" s="1"/>
  <c r="Q1476" i="1"/>
  <c r="I1741" i="6" s="1"/>
  <c r="D1741" i="6" s="1"/>
  <c r="Q1477" i="1"/>
  <c r="I1701" i="6" s="1"/>
  <c r="D1701" i="6" s="1"/>
  <c r="Q1478" i="1"/>
  <c r="I1740" i="6" s="1"/>
  <c r="D1740" i="6" s="1"/>
  <c r="Q1479" i="1"/>
  <c r="I1737" i="6" s="1"/>
  <c r="D1737" i="6" s="1"/>
  <c r="I2244" i="6"/>
  <c r="D2244" i="6" s="1"/>
  <c r="I2231" i="6"/>
  <c r="D2231" i="6" s="1"/>
  <c r="I2230" i="6"/>
  <c r="D2230" i="6" s="1"/>
  <c r="Q2048" i="1"/>
  <c r="I740" i="6" s="1"/>
  <c r="D740" i="6" s="1"/>
  <c r="Q2049" i="1"/>
  <c r="I741" i="6" s="1"/>
  <c r="D741" i="6" s="1"/>
  <c r="Q2050" i="1"/>
  <c r="I742" i="6" s="1"/>
  <c r="D742" i="6" s="1"/>
  <c r="Q2052" i="1"/>
  <c r="I728" i="6" s="1"/>
  <c r="D728" i="6" s="1"/>
  <c r="Q2053" i="1"/>
  <c r="I729" i="6" s="1"/>
  <c r="D729" i="6" s="1"/>
  <c r="Q2054" i="1"/>
  <c r="I730" i="6" s="1"/>
  <c r="D730" i="6" s="1"/>
  <c r="Q2055" i="1"/>
  <c r="I731" i="6" s="1"/>
  <c r="D731" i="6" s="1"/>
  <c r="Q2056" i="1"/>
  <c r="I732" i="6" s="1"/>
  <c r="D732" i="6" s="1"/>
  <c r="Q2057" i="1"/>
  <c r="I733" i="6" s="1"/>
  <c r="D733" i="6" s="1"/>
  <c r="Q2058" i="1"/>
  <c r="I734" i="6" s="1"/>
  <c r="D734" i="6" s="1"/>
  <c r="Q2059" i="1"/>
  <c r="I735" i="6" s="1"/>
  <c r="D735" i="6" s="1"/>
  <c r="Q2060" i="1"/>
  <c r="I736" i="6" s="1"/>
  <c r="D736" i="6" s="1"/>
  <c r="Q2040" i="1"/>
  <c r="I720" i="6" s="1"/>
  <c r="D720" i="6" s="1"/>
  <c r="Q2035" i="1"/>
  <c r="I744" i="6" s="1"/>
  <c r="D744" i="6" s="1"/>
  <c r="Q2037" i="1"/>
  <c r="I722" i="6" s="1"/>
  <c r="D722" i="6" s="1"/>
  <c r="Q2038" i="1"/>
  <c r="I723" i="6" s="1"/>
  <c r="D723" i="6" s="1"/>
  <c r="Q2039" i="1"/>
  <c r="I718" i="6" s="1"/>
  <c r="D718" i="6" s="1"/>
  <c r="Q2046" i="1"/>
  <c r="I727" i="6" s="1"/>
  <c r="D727" i="6" s="1"/>
  <c r="Q2047" i="1"/>
  <c r="I743" i="6" s="1"/>
  <c r="D743" i="6" s="1"/>
  <c r="Q2061" i="1"/>
  <c r="I738" i="6" s="1"/>
  <c r="D738" i="6" s="1"/>
  <c r="Q2062" i="1"/>
  <c r="I739" i="6" s="1"/>
  <c r="D739" i="6" s="1"/>
  <c r="Q2045" i="1"/>
  <c r="I726" i="6" s="1"/>
  <c r="D726" i="6" s="1"/>
  <c r="Q2043" i="1"/>
  <c r="I724" i="6" s="1"/>
  <c r="D724" i="6" s="1"/>
  <c r="Q2041" i="1"/>
  <c r="I721" i="6" s="1"/>
  <c r="D721" i="6" s="1"/>
  <c r="Q2044" i="1"/>
  <c r="I725" i="6" s="1"/>
  <c r="D725" i="6" s="1"/>
  <c r="AJ2117" i="1"/>
  <c r="AJ2348" i="1"/>
  <c r="G2348" i="1" s="1"/>
  <c r="Q2950" i="1"/>
  <c r="I814" i="6" s="1"/>
  <c r="D814" i="6" s="1"/>
  <c r="Q2951" i="1"/>
  <c r="I817" i="6" s="1"/>
  <c r="D817" i="6" s="1"/>
  <c r="Q2952" i="1"/>
  <c r="I811" i="6" s="1"/>
  <c r="D811" i="6" s="1"/>
  <c r="Q2953" i="1"/>
  <c r="I812" i="6" s="1"/>
  <c r="D812" i="6" s="1"/>
  <c r="Q2954" i="1"/>
  <c r="I810" i="6" s="1"/>
  <c r="D810" i="6" s="1"/>
  <c r="Q2955" i="1"/>
  <c r="I816" i="6" s="1"/>
  <c r="D816" i="6" s="1"/>
  <c r="Q2956" i="1"/>
  <c r="I815" i="6" s="1"/>
  <c r="D815" i="6" s="1"/>
  <c r="Q2948" i="1"/>
  <c r="I809" i="6" s="1"/>
  <c r="D809" i="6" s="1"/>
  <c r="Q2947" i="1"/>
  <c r="I808" i="6" s="1"/>
  <c r="D808" i="6" s="1"/>
  <c r="Q2949" i="1"/>
  <c r="I813" i="6" s="1"/>
  <c r="D813" i="6" s="1"/>
  <c r="Q2984" i="1"/>
  <c r="I2390" i="6" s="1"/>
  <c r="D2390" i="6" s="1"/>
  <c r="Q2985" i="1"/>
  <c r="I2389" i="6" s="1"/>
  <c r="D2389" i="6" s="1"/>
  <c r="Q2986" i="1"/>
  <c r="I2391" i="6" s="1"/>
  <c r="D2391" i="6" s="1"/>
  <c r="Q2987" i="1"/>
  <c r="I2392" i="6" s="1"/>
  <c r="D2392" i="6" s="1"/>
  <c r="I2393" i="6"/>
  <c r="D2393" i="6" s="1"/>
  <c r="Q2901" i="1"/>
  <c r="I2051" i="6" s="1"/>
  <c r="D2051" i="6" s="1"/>
  <c r="Q2902" i="1"/>
  <c r="I2052" i="6" s="1"/>
  <c r="D2052" i="6" s="1"/>
  <c r="Q2903" i="1"/>
  <c r="I2054" i="6" s="1"/>
  <c r="D2054" i="6" s="1"/>
  <c r="Q2904" i="1"/>
  <c r="I2055" i="6" s="1"/>
  <c r="D2055" i="6" s="1"/>
  <c r="Q2444" i="1"/>
  <c r="I1337" i="6" s="1"/>
  <c r="D1337" i="6" s="1"/>
  <c r="Q2445" i="1"/>
  <c r="I1336" i="6" s="1"/>
  <c r="D1336" i="6" s="1"/>
  <c r="Q2423" i="1"/>
  <c r="I24" i="6" s="1"/>
  <c r="D24" i="6" s="1"/>
  <c r="Q2446" i="1"/>
  <c r="I1339" i="6" s="1"/>
  <c r="D1339" i="6" s="1"/>
  <c r="Q2424" i="1"/>
  <c r="I30" i="6" s="1"/>
  <c r="D30" i="6" s="1"/>
  <c r="Q2448" i="1"/>
  <c r="I36" i="6" s="1"/>
  <c r="D36" i="6" s="1"/>
  <c r="Q2425" i="1"/>
  <c r="I28" i="6" s="1"/>
  <c r="D28" i="6" s="1"/>
  <c r="Q2449" i="1"/>
  <c r="I35" i="6" s="1"/>
  <c r="D35" i="6" s="1"/>
  <c r="Q2426" i="1"/>
  <c r="I29" i="6" s="1"/>
  <c r="D29" i="6" s="1"/>
  <c r="Q2450" i="1"/>
  <c r="I34" i="6" s="1"/>
  <c r="D34" i="6" s="1"/>
  <c r="Q2427" i="1"/>
  <c r="I1329" i="6" s="1"/>
  <c r="D1329" i="6" s="1"/>
  <c r="Q2428" i="1"/>
  <c r="I26" i="6" s="1"/>
  <c r="D26" i="6" s="1"/>
  <c r="Q2429" i="1"/>
  <c r="I27" i="6" s="1"/>
  <c r="D27" i="6" s="1"/>
  <c r="Q2453" i="1"/>
  <c r="I33" i="6" s="1"/>
  <c r="D33" i="6" s="1"/>
  <c r="Q2430" i="1"/>
  <c r="I1328" i="6" s="1"/>
  <c r="D1328" i="6" s="1"/>
  <c r="I41" i="6"/>
  <c r="D41" i="6" s="1"/>
  <c r="I37" i="6"/>
  <c r="D37" i="6" s="1"/>
  <c r="I39" i="6"/>
  <c r="D39" i="6" s="1"/>
  <c r="I1348" i="6"/>
  <c r="D1348" i="6" s="1"/>
  <c r="Q2434" i="1"/>
  <c r="I1347" i="6" s="1"/>
  <c r="D1347" i="6" s="1"/>
  <c r="Q2435" i="1"/>
  <c r="I1349" i="6" s="1"/>
  <c r="D1349" i="6" s="1"/>
  <c r="Q2436" i="1"/>
  <c r="I1345" i="6" s="1"/>
  <c r="D1345" i="6" s="1"/>
  <c r="I1350" i="6"/>
  <c r="D1350" i="6" s="1"/>
  <c r="I1346" i="6"/>
  <c r="D1346" i="6" s="1"/>
  <c r="Q2437" i="1"/>
  <c r="I1334" i="6" s="1"/>
  <c r="D1334" i="6" s="1"/>
  <c r="I1341" i="6"/>
  <c r="D1341" i="6" s="1"/>
  <c r="Q2438" i="1"/>
  <c r="I1342" i="6" s="1"/>
  <c r="D1342" i="6" s="1"/>
  <c r="Q2439" i="1"/>
  <c r="I1340" i="6" s="1"/>
  <c r="D1340" i="6" s="1"/>
  <c r="Q2440" i="1"/>
  <c r="I1332" i="6" s="1"/>
  <c r="D1332" i="6" s="1"/>
  <c r="Q2443" i="1"/>
  <c r="I1335" i="6" s="1"/>
  <c r="D1335" i="6" s="1"/>
  <c r="Q2441" i="1"/>
  <c r="I1338" i="6" s="1"/>
  <c r="D1338" i="6" s="1"/>
  <c r="Q2442" i="1"/>
  <c r="I1333" i="6" s="1"/>
  <c r="D1333" i="6" s="1"/>
  <c r="I40" i="6"/>
  <c r="D40" i="6" s="1"/>
  <c r="Q2455" i="1"/>
  <c r="I38" i="6" s="1"/>
  <c r="D38" i="6" s="1"/>
  <c r="I2384" i="6"/>
  <c r="D2384" i="6" s="1"/>
  <c r="Q3068" i="1"/>
  <c r="I81" i="6" s="1"/>
  <c r="D81" i="6" s="1"/>
  <c r="Q3067" i="1"/>
  <c r="I75" i="6" s="1"/>
  <c r="D75" i="6" s="1"/>
  <c r="Q2292" i="1"/>
  <c r="I506" i="6" s="1"/>
  <c r="D506" i="6" s="1"/>
  <c r="Q2293" i="1"/>
  <c r="I507" i="6" s="1"/>
  <c r="D507" i="6" s="1"/>
  <c r="Q2294" i="1"/>
  <c r="I508" i="6" s="1"/>
  <c r="D508" i="6" s="1"/>
  <c r="Q2295" i="1"/>
  <c r="I509" i="6" s="1"/>
  <c r="D509" i="6" s="1"/>
  <c r="Q2296" i="1"/>
  <c r="I510" i="6" s="1"/>
  <c r="D510" i="6" s="1"/>
  <c r="Q2297" i="1"/>
  <c r="I511" i="6" s="1"/>
  <c r="D511" i="6" s="1"/>
  <c r="Q2298" i="1"/>
  <c r="I512" i="6" s="1"/>
  <c r="D512" i="6" s="1"/>
  <c r="Q1956" i="1"/>
  <c r="I379" i="6" s="1"/>
  <c r="D379" i="6" s="1"/>
  <c r="Q1987" i="1"/>
  <c r="I414" i="6" s="1"/>
  <c r="D414" i="6" s="1"/>
  <c r="Q1957" i="1"/>
  <c r="I380" i="6" s="1"/>
  <c r="D380" i="6" s="1"/>
  <c r="Q1988" i="1"/>
  <c r="I412" i="6" s="1"/>
  <c r="D412" i="6" s="1"/>
  <c r="Q1958" i="1"/>
  <c r="I381" i="6" s="1"/>
  <c r="D381" i="6" s="1"/>
  <c r="Q1989" i="1"/>
  <c r="I413" i="6" s="1"/>
  <c r="D413" i="6" s="1"/>
  <c r="Q1959" i="1"/>
  <c r="I383" i="6" s="1"/>
  <c r="D383" i="6" s="1"/>
  <c r="Q1990" i="1"/>
  <c r="I416" i="6" s="1"/>
  <c r="D416" i="6" s="1"/>
  <c r="Q1960" i="1"/>
  <c r="I384" i="6" s="1"/>
  <c r="D384" i="6" s="1"/>
  <c r="Q1991" i="1"/>
  <c r="I417" i="6" s="1"/>
  <c r="D417" i="6" s="1"/>
  <c r="Q1961" i="1"/>
  <c r="I388" i="6" s="1"/>
  <c r="D388" i="6" s="1"/>
  <c r="Q1992" i="1"/>
  <c r="I418" i="6" s="1"/>
  <c r="D418" i="6" s="1"/>
  <c r="Q1962" i="1"/>
  <c r="I385" i="6" s="1"/>
  <c r="D385" i="6" s="1"/>
  <c r="Q1993" i="1"/>
  <c r="I419" i="6" s="1"/>
  <c r="D419" i="6" s="1"/>
  <c r="Q1964" i="1"/>
  <c r="I387" i="6" s="1"/>
  <c r="D387" i="6" s="1"/>
  <c r="Q1994" i="1"/>
  <c r="I420" i="6" s="1"/>
  <c r="D420" i="6" s="1"/>
  <c r="Q1965" i="1"/>
  <c r="I389" i="6" s="1"/>
  <c r="D389" i="6" s="1"/>
  <c r="Q1995" i="1"/>
  <c r="I421" i="6" s="1"/>
  <c r="D421" i="6" s="1"/>
  <c r="Q1967" i="1"/>
  <c r="I390" i="6" s="1"/>
  <c r="D390" i="6" s="1"/>
  <c r="Q1996" i="1"/>
  <c r="I422" i="6" s="1"/>
  <c r="D422" i="6" s="1"/>
  <c r="Q1968" i="1"/>
  <c r="I391" i="6" s="1"/>
  <c r="D391" i="6" s="1"/>
  <c r="Q1997" i="1"/>
  <c r="I423" i="6" s="1"/>
  <c r="D423" i="6" s="1"/>
  <c r="Q1969" i="1"/>
  <c r="I392" i="6" s="1"/>
  <c r="D392" i="6" s="1"/>
  <c r="Q1998" i="1"/>
  <c r="I424" i="6" s="1"/>
  <c r="D424" i="6" s="1"/>
  <c r="Q1970" i="1"/>
  <c r="I393" i="6" s="1"/>
  <c r="D393" i="6" s="1"/>
  <c r="Q1971" i="1"/>
  <c r="I394" i="6" s="1"/>
  <c r="D394" i="6" s="1"/>
  <c r="Q1972" i="1"/>
  <c r="I395" i="6" s="1"/>
  <c r="D395" i="6" s="1"/>
  <c r="Q1973" i="1"/>
  <c r="I396" i="6" s="1"/>
  <c r="D396" i="6" s="1"/>
  <c r="Q1974" i="1"/>
  <c r="I397" i="6" s="1"/>
  <c r="D397" i="6" s="1"/>
  <c r="Q1975" i="1"/>
  <c r="I398" i="6" s="1"/>
  <c r="D398" i="6" s="1"/>
  <c r="Q1976" i="1"/>
  <c r="I401" i="6" s="1"/>
  <c r="D401" i="6" s="1"/>
  <c r="Q1977" i="1"/>
  <c r="I400" i="6" s="1"/>
  <c r="D400" i="6" s="1"/>
  <c r="Q1978" i="1"/>
  <c r="I402" i="6" s="1"/>
  <c r="D402" i="6" s="1"/>
  <c r="Q1979" i="1"/>
  <c r="I404" i="6" s="1"/>
  <c r="D404" i="6" s="1"/>
  <c r="Q1980" i="1"/>
  <c r="I403" i="6" s="1"/>
  <c r="D403" i="6" s="1"/>
  <c r="Q1984" i="1"/>
  <c r="I408" i="6" s="1"/>
  <c r="D408" i="6" s="1"/>
  <c r="Q1982" i="1"/>
  <c r="I406" i="6" s="1"/>
  <c r="D406" i="6" s="1"/>
  <c r="Q1983" i="1"/>
  <c r="I407" i="6" s="1"/>
  <c r="D407" i="6" s="1"/>
  <c r="Q2002" i="1"/>
  <c r="I428" i="6" s="1"/>
  <c r="D428" i="6" s="1"/>
  <c r="Q2003" i="1"/>
  <c r="I429" i="6" s="1"/>
  <c r="D429" i="6" s="1"/>
  <c r="Q1985" i="1"/>
  <c r="I409" i="6" s="1"/>
  <c r="D409" i="6" s="1"/>
  <c r="Q1986" i="1"/>
  <c r="I411" i="6" s="1"/>
  <c r="D411" i="6" s="1"/>
  <c r="Q2000" i="1"/>
  <c r="I427" i="6" s="1"/>
  <c r="D427" i="6" s="1"/>
  <c r="Q2004" i="1"/>
  <c r="I430" i="6" s="1"/>
  <c r="D430" i="6" s="1"/>
  <c r="Q1999" i="1"/>
  <c r="I426" i="6" s="1"/>
  <c r="D426" i="6" s="1"/>
  <c r="Q2001" i="1"/>
  <c r="I425" i="6" s="1"/>
  <c r="D425" i="6" s="1"/>
  <c r="Q2005" i="1"/>
  <c r="I431" i="6" s="1"/>
  <c r="D431" i="6" s="1"/>
  <c r="Q2007" i="1"/>
  <c r="I374" i="6" s="1"/>
  <c r="D374" i="6" s="1"/>
  <c r="Q2008" i="1"/>
  <c r="I375" i="6" s="1"/>
  <c r="D375" i="6" s="1"/>
  <c r="I377" i="6"/>
  <c r="D377" i="6" s="1"/>
  <c r="Q2009" i="1"/>
  <c r="I376" i="6" s="1"/>
  <c r="D376" i="6" s="1"/>
  <c r="I378" i="6"/>
  <c r="D378" i="6" s="1"/>
  <c r="I2385" i="6"/>
  <c r="D2385" i="6" s="1"/>
  <c r="I2386" i="6"/>
  <c r="D2386" i="6" s="1"/>
  <c r="I2387" i="6"/>
  <c r="D2387" i="6" s="1"/>
  <c r="I2388" i="6"/>
  <c r="D2388" i="6" s="1"/>
  <c r="Q984" i="1"/>
  <c r="I1212" i="6" s="1"/>
  <c r="D1212" i="6" s="1"/>
  <c r="Q986" i="1"/>
  <c r="I1256" i="6" s="1"/>
  <c r="D1256" i="6" s="1"/>
  <c r="Q987" i="1"/>
  <c r="I1255" i="6" s="1"/>
  <c r="D1255" i="6" s="1"/>
  <c r="Q988" i="1"/>
  <c r="I1250" i="6" s="1"/>
  <c r="D1250" i="6" s="1"/>
  <c r="Q960" i="1"/>
  <c r="I1243" i="6" s="1"/>
  <c r="D1243" i="6" s="1"/>
  <c r="Q989" i="1"/>
  <c r="I1249" i="6" s="1"/>
  <c r="D1249" i="6" s="1"/>
  <c r="I1242" i="6"/>
  <c r="D1242" i="6" s="1"/>
  <c r="I1252" i="6"/>
  <c r="D1252" i="6" s="1"/>
  <c r="Q961" i="1"/>
  <c r="I1241" i="6" s="1"/>
  <c r="D1241" i="6" s="1"/>
  <c r="Q990" i="1"/>
  <c r="I1251" i="6" s="1"/>
  <c r="D1251" i="6" s="1"/>
  <c r="Q963" i="1"/>
  <c r="I1234" i="6" s="1"/>
  <c r="D1234" i="6" s="1"/>
  <c r="Q991" i="1"/>
  <c r="I1254" i="6" s="1"/>
  <c r="D1254" i="6" s="1"/>
  <c r="Q964" i="1"/>
  <c r="I1232" i="6" s="1"/>
  <c r="D1232" i="6" s="1"/>
  <c r="Q992" i="1"/>
  <c r="I1253" i="6" s="1"/>
  <c r="D1253" i="6" s="1"/>
  <c r="Q965" i="1"/>
  <c r="I1233" i="6" s="1"/>
  <c r="D1233" i="6" s="1"/>
  <c r="Q994" i="1"/>
  <c r="I1224" i="6" s="1"/>
  <c r="D1224" i="6" s="1"/>
  <c r="Q966" i="1"/>
  <c r="I1235" i="6" s="1"/>
  <c r="D1235" i="6" s="1"/>
  <c r="Q995" i="1"/>
  <c r="I1225" i="6" s="1"/>
  <c r="D1225" i="6" s="1"/>
  <c r="Q967" i="1"/>
  <c r="I1236" i="6" s="1"/>
  <c r="D1236" i="6" s="1"/>
  <c r="Q996" i="1"/>
  <c r="I1226" i="6" s="1"/>
  <c r="D1226" i="6" s="1"/>
  <c r="Q968" i="1"/>
  <c r="I1237" i="6" s="1"/>
  <c r="D1237" i="6" s="1"/>
  <c r="Q969" i="1"/>
  <c r="I1238" i="6" s="1"/>
  <c r="D1238" i="6" s="1"/>
  <c r="Q970" i="1"/>
  <c r="I1239" i="6" s="1"/>
  <c r="D1239" i="6" s="1"/>
  <c r="Q971" i="1"/>
  <c r="I1240" i="6" s="1"/>
  <c r="D1240" i="6" s="1"/>
  <c r="Q972" i="1"/>
  <c r="I1247" i="6" s="1"/>
  <c r="D1247" i="6" s="1"/>
  <c r="Q973" i="1"/>
  <c r="I1228" i="6" s="1"/>
  <c r="D1228" i="6" s="1"/>
  <c r="Q974" i="1"/>
  <c r="I1229" i="6" s="1"/>
  <c r="D1229" i="6" s="1"/>
  <c r="Q975" i="1"/>
  <c r="I1246" i="6" s="1"/>
  <c r="D1246" i="6" s="1"/>
  <c r="Q981" i="1"/>
  <c r="I1213" i="6" s="1"/>
  <c r="D1213" i="6" s="1"/>
  <c r="Q976" i="1"/>
  <c r="I1227" i="6" s="1"/>
  <c r="D1227" i="6" s="1"/>
  <c r="Q977" i="1"/>
  <c r="I1245" i="6" s="1"/>
  <c r="D1245" i="6" s="1"/>
  <c r="Q978" i="1"/>
  <c r="I1257" i="6" s="1"/>
  <c r="D1257" i="6" s="1"/>
  <c r="Q979" i="1"/>
  <c r="I1215" i="6" s="1"/>
  <c r="D1215" i="6" s="1"/>
  <c r="Q980" i="1"/>
  <c r="I1214" i="6" s="1"/>
  <c r="D1214" i="6" s="1"/>
  <c r="Q1003" i="1"/>
  <c r="I1217" i="6" s="1"/>
  <c r="D1217" i="6" s="1"/>
  <c r="Q1001" i="1"/>
  <c r="I1231" i="6" s="1"/>
  <c r="D1231" i="6" s="1"/>
  <c r="Q982" i="1"/>
  <c r="I1211" i="6" s="1"/>
  <c r="D1211" i="6" s="1"/>
  <c r="Q1000" i="1"/>
  <c r="I1230" i="6" s="1"/>
  <c r="D1230" i="6" s="1"/>
  <c r="Q983" i="1"/>
  <c r="I1210" i="6" s="1"/>
  <c r="D1210" i="6" s="1"/>
  <c r="Q997" i="1"/>
  <c r="I1223" i="6" s="1"/>
  <c r="D1223" i="6" s="1"/>
  <c r="Q998" i="1"/>
  <c r="I1222" i="6" s="1"/>
  <c r="D1222" i="6" s="1"/>
  <c r="Q999" i="1"/>
  <c r="I1248" i="6" s="1"/>
  <c r="D1248" i="6" s="1"/>
  <c r="Q1004" i="1"/>
  <c r="I1216" i="6" s="1"/>
  <c r="D1216" i="6" s="1"/>
  <c r="Q1005" i="1"/>
  <c r="I1218" i="6" s="1"/>
  <c r="D1218" i="6" s="1"/>
  <c r="Q1006" i="1"/>
  <c r="I1219" i="6" s="1"/>
  <c r="D1219" i="6" s="1"/>
  <c r="Q1007" i="1"/>
  <c r="I1221" i="6" s="1"/>
  <c r="D1221" i="6" s="1"/>
  <c r="Q1008" i="1"/>
  <c r="I1220" i="6" s="1"/>
  <c r="D1220" i="6" s="1"/>
  <c r="Q1867" i="1"/>
  <c r="I55" i="6" s="1"/>
  <c r="D55" i="6" s="1"/>
  <c r="Q1868" i="1"/>
  <c r="I56" i="6" s="1"/>
  <c r="D56" i="6" s="1"/>
  <c r="Q1869" i="1"/>
  <c r="I57" i="6" s="1"/>
  <c r="D57" i="6" s="1"/>
  <c r="I58" i="6"/>
  <c r="D58" i="6" s="1"/>
  <c r="Q1870" i="1"/>
  <c r="I1808" i="6" s="1"/>
  <c r="D1808" i="6" s="1"/>
  <c r="Q1871" i="1"/>
  <c r="I1809" i="6" s="1"/>
  <c r="D1809" i="6" s="1"/>
  <c r="Q1872" i="1"/>
  <c r="I1810" i="6" s="1"/>
  <c r="D1810" i="6" s="1"/>
  <c r="Q1846" i="1"/>
  <c r="I1841" i="6" s="1"/>
  <c r="D1841" i="6" s="1"/>
  <c r="Q1873" i="1"/>
  <c r="I1811" i="6" s="1"/>
  <c r="D1811" i="6" s="1"/>
  <c r="Q1847" i="1"/>
  <c r="I1803" i="6" s="1"/>
  <c r="D1803" i="6" s="1"/>
  <c r="Q1874" i="1"/>
  <c r="I1812" i="6" s="1"/>
  <c r="D1812" i="6" s="1"/>
  <c r="Q1848" i="1"/>
  <c r="I1845" i="6" s="1"/>
  <c r="D1845" i="6" s="1"/>
  <c r="Q1875" i="1"/>
  <c r="I1807" i="6" s="1"/>
  <c r="D1807" i="6" s="1"/>
  <c r="Q1849" i="1"/>
  <c r="I1801" i="6" s="1"/>
  <c r="D1801" i="6" s="1"/>
  <c r="Q1876" i="1"/>
  <c r="I1815" i="6" s="1"/>
  <c r="D1815" i="6" s="1"/>
  <c r="Q1850" i="1"/>
  <c r="I1840" i="6" s="1"/>
  <c r="D1840" i="6" s="1"/>
  <c r="Q1877" i="1"/>
  <c r="I1814" i="6" s="1"/>
  <c r="D1814" i="6" s="1"/>
  <c r="Q1860" i="1"/>
  <c r="I1851" i="6" s="1"/>
  <c r="D1851" i="6" s="1"/>
  <c r="Q1862" i="1"/>
  <c r="I50" i="6" s="1"/>
  <c r="D50" i="6" s="1"/>
  <c r="Q1863" i="1"/>
  <c r="I51" i="6" s="1"/>
  <c r="D51" i="6" s="1"/>
  <c r="Q1864" i="1"/>
  <c r="I52" i="6" s="1"/>
  <c r="D52" i="6" s="1"/>
  <c r="Q1865" i="1"/>
  <c r="I53" i="6" s="1"/>
  <c r="D53" i="6" s="1"/>
  <c r="Q1866" i="1"/>
  <c r="I54" i="6" s="1"/>
  <c r="D54" i="6" s="1"/>
  <c r="Q1839" i="1"/>
  <c r="I1834" i="6" s="1"/>
  <c r="D1834" i="6" s="1"/>
  <c r="Q1834" i="1"/>
  <c r="I1830" i="6" s="1"/>
  <c r="D1830" i="6" s="1"/>
  <c r="Q1878" i="1"/>
  <c r="I1813" i="6" s="1"/>
  <c r="D1813" i="6" s="1"/>
  <c r="Q1835" i="1"/>
  <c r="I1831" i="6" s="1"/>
  <c r="D1831" i="6" s="1"/>
  <c r="Q1879" i="1"/>
  <c r="I1816" i="6" s="1"/>
  <c r="D1816" i="6" s="1"/>
  <c r="Q1883" i="1"/>
  <c r="I1819" i="6" s="1"/>
  <c r="D1819" i="6" s="1"/>
  <c r="Q1836" i="1"/>
  <c r="I59" i="6" s="1"/>
  <c r="D59" i="6" s="1"/>
  <c r="Q1880" i="1"/>
  <c r="I1817" i="6" s="1"/>
  <c r="D1817" i="6" s="1"/>
  <c r="Q1837" i="1"/>
  <c r="I1832" i="6" s="1"/>
  <c r="D1832" i="6" s="1"/>
  <c r="Q1881" i="1"/>
  <c r="I1818" i="6" s="1"/>
  <c r="D1818" i="6" s="1"/>
  <c r="Q1838" i="1"/>
  <c r="I1833" i="6" s="1"/>
  <c r="D1833" i="6" s="1"/>
  <c r="Q1882" i="1"/>
  <c r="I1822" i="6" s="1"/>
  <c r="D1822" i="6" s="1"/>
  <c r="I1838" i="6"/>
  <c r="D1838" i="6" s="1"/>
  <c r="Q1844" i="1"/>
  <c r="I1837" i="6" s="1"/>
  <c r="D1837" i="6" s="1"/>
  <c r="Q1851" i="1"/>
  <c r="I1802" i="6" s="1"/>
  <c r="D1802" i="6" s="1"/>
  <c r="Q1852" i="1"/>
  <c r="I1846" i="6" s="1"/>
  <c r="D1846" i="6" s="1"/>
  <c r="Q1853" i="1"/>
  <c r="I1797" i="6" s="1"/>
  <c r="D1797" i="6" s="1"/>
  <c r="Q1854" i="1"/>
  <c r="I1844" i="6" s="1"/>
  <c r="D1844" i="6" s="1"/>
  <c r="Q1855" i="1"/>
  <c r="I1798" i="6" s="1"/>
  <c r="D1798" i="6" s="1"/>
  <c r="Q1889" i="1"/>
  <c r="I1826" i="6" s="1"/>
  <c r="D1826" i="6" s="1"/>
  <c r="Q1856" i="1"/>
  <c r="I1839" i="6" s="1"/>
  <c r="D1839" i="6" s="1"/>
  <c r="Q1857" i="1"/>
  <c r="I1805" i="6" s="1"/>
  <c r="D1805" i="6" s="1"/>
  <c r="Q1884" i="1"/>
  <c r="I1823" i="6" s="1"/>
  <c r="D1823" i="6" s="1"/>
  <c r="Q1858" i="1"/>
  <c r="I1842" i="6" s="1"/>
  <c r="D1842" i="6" s="1"/>
  <c r="Q1885" i="1"/>
  <c r="I1820" i="6" s="1"/>
  <c r="D1820" i="6" s="1"/>
  <c r="Q1888" i="1"/>
  <c r="I1825" i="6" s="1"/>
  <c r="D1825" i="6" s="1"/>
  <c r="Q1886" i="1"/>
  <c r="I1824" i="6" s="1"/>
  <c r="D1824" i="6" s="1"/>
  <c r="Q1887" i="1"/>
  <c r="I1821" i="6" s="1"/>
  <c r="D1821" i="6" s="1"/>
  <c r="Q1890" i="1"/>
  <c r="I1827" i="6" s="1"/>
  <c r="D1827" i="6" s="1"/>
  <c r="Q1843" i="1"/>
  <c r="I61" i="6" s="1"/>
  <c r="D61" i="6" s="1"/>
  <c r="Q1840" i="1"/>
  <c r="I1835" i="6" s="1"/>
  <c r="D1835" i="6" s="1"/>
  <c r="Q1841" i="1"/>
  <c r="I1836" i="6" s="1"/>
  <c r="D1836" i="6" s="1"/>
  <c r="Q1842" i="1"/>
  <c r="I60" i="6" s="1"/>
  <c r="D60" i="6" s="1"/>
  <c r="Q2915" i="1"/>
  <c r="I1636" i="6" s="1"/>
  <c r="D1636" i="6" s="1"/>
  <c r="Q2916" i="1"/>
  <c r="I1637" i="6" s="1"/>
  <c r="D1637" i="6" s="1"/>
  <c r="Q2917" i="1"/>
  <c r="I1639" i="6" s="1"/>
  <c r="D1639" i="6" s="1"/>
  <c r="Q2918" i="1"/>
  <c r="I1640" i="6" s="1"/>
  <c r="D1640" i="6" s="1"/>
  <c r="Q2919" i="1"/>
  <c r="I1648" i="6" s="1"/>
  <c r="D1648" i="6" s="1"/>
  <c r="Q2920" i="1"/>
  <c r="I1649" i="6" s="1"/>
  <c r="D1649" i="6" s="1"/>
  <c r="Q2921" i="1"/>
  <c r="I1650" i="6" s="1"/>
  <c r="D1650" i="6" s="1"/>
  <c r="Q2922" i="1"/>
  <c r="I1651" i="6" s="1"/>
  <c r="D1651" i="6" s="1"/>
  <c r="Q2923" i="1"/>
  <c r="I1652" i="6" s="1"/>
  <c r="D1652" i="6" s="1"/>
  <c r="Q2911" i="1"/>
  <c r="I1632" i="6" s="1"/>
  <c r="D1632" i="6" s="1"/>
  <c r="Q2912" i="1"/>
  <c r="I1633" i="6" s="1"/>
  <c r="D1633" i="6" s="1"/>
  <c r="Q2913" i="1"/>
  <c r="I1634" i="6" s="1"/>
  <c r="D1634" i="6" s="1"/>
  <c r="Q2914" i="1"/>
  <c r="I1635" i="6" s="1"/>
  <c r="D1635" i="6" s="1"/>
  <c r="Q2924" i="1"/>
  <c r="I1653" i="6" s="1"/>
  <c r="D1653" i="6" s="1"/>
  <c r="Q2925" i="1"/>
  <c r="I1654" i="6" s="1"/>
  <c r="D1654" i="6" s="1"/>
  <c r="Q2926" i="1"/>
  <c r="I1655" i="6" s="1"/>
  <c r="D1655" i="6" s="1"/>
  <c r="Q2939" i="1"/>
  <c r="I1693" i="6" s="1"/>
  <c r="D1693" i="6" s="1"/>
  <c r="Q2940" i="1"/>
  <c r="I1694" i="6" s="1"/>
  <c r="D1694" i="6" s="1"/>
  <c r="Q2941" i="1"/>
  <c r="I1695" i="6" s="1"/>
  <c r="D1695" i="6" s="1"/>
  <c r="Q2942" i="1"/>
  <c r="I1696" i="6" s="1"/>
  <c r="D1696" i="6" s="1"/>
  <c r="Q789" i="1"/>
  <c r="I1030" i="6" s="1"/>
  <c r="D1030" i="6" s="1"/>
  <c r="Q818" i="1"/>
  <c r="I1008" i="6" s="1"/>
  <c r="D1008" i="6" s="1"/>
  <c r="Q790" i="1"/>
  <c r="I1034" i="6" s="1"/>
  <c r="D1034" i="6" s="1"/>
  <c r="Q819" i="1"/>
  <c r="I1006" i="6" s="1"/>
  <c r="D1006" i="6" s="1"/>
  <c r="Q791" i="1"/>
  <c r="I1035" i="6" s="1"/>
  <c r="D1035" i="6" s="1"/>
  <c r="I1014" i="6"/>
  <c r="D1014" i="6" s="1"/>
  <c r="Q792" i="1"/>
  <c r="I1026" i="6" s="1"/>
  <c r="D1026" i="6" s="1"/>
  <c r="Q821" i="1"/>
  <c r="I1001" i="6" s="1"/>
  <c r="D1001" i="6" s="1"/>
  <c r="Q794" i="1"/>
  <c r="I1045" i="6" s="1"/>
  <c r="D1045" i="6" s="1"/>
  <c r="Q822" i="1"/>
  <c r="I1002" i="6" s="1"/>
  <c r="D1002" i="6" s="1"/>
  <c r="Q795" i="1"/>
  <c r="I1055" i="6" s="1"/>
  <c r="D1055" i="6" s="1"/>
  <c r="Q824" i="1"/>
  <c r="I998" i="6" s="1"/>
  <c r="D998" i="6" s="1"/>
  <c r="Q796" i="1"/>
  <c r="I1056" i="6" s="1"/>
  <c r="D1056" i="6" s="1"/>
  <c r="Q825" i="1"/>
  <c r="I997" i="6" s="1"/>
  <c r="D997" i="6" s="1"/>
  <c r="Q797" i="1"/>
  <c r="I1009" i="6" s="1"/>
  <c r="D1009" i="6" s="1"/>
  <c r="Q827" i="1"/>
  <c r="I1041" i="6" s="1"/>
  <c r="D1041" i="6" s="1"/>
  <c r="Q768" i="1"/>
  <c r="I1005" i="6" s="1"/>
  <c r="D1005" i="6" s="1"/>
  <c r="Q798" i="1"/>
  <c r="I1022" i="6" s="1"/>
  <c r="D1022" i="6" s="1"/>
  <c r="Q828" i="1"/>
  <c r="I1039" i="6" s="1"/>
  <c r="D1039" i="6" s="1"/>
  <c r="Q769" i="1"/>
  <c r="I1011" i="6" s="1"/>
  <c r="D1011" i="6" s="1"/>
  <c r="Q799" i="1"/>
  <c r="I1017" i="6" s="1"/>
  <c r="D1017" i="6" s="1"/>
  <c r="Q829" i="1"/>
  <c r="I1040" i="6" s="1"/>
  <c r="D1040" i="6" s="1"/>
  <c r="Q770" i="1"/>
  <c r="I1004" i="6" s="1"/>
  <c r="D1004" i="6" s="1"/>
  <c r="Q800" i="1"/>
  <c r="I1020" i="6" s="1"/>
  <c r="D1020" i="6" s="1"/>
  <c r="Q830" i="1"/>
  <c r="I1038" i="6" s="1"/>
  <c r="D1038" i="6" s="1"/>
  <c r="Q771" i="1"/>
  <c r="I1024" i="6" s="1"/>
  <c r="D1024" i="6" s="1"/>
  <c r="Q801" i="1"/>
  <c r="I1019" i="6" s="1"/>
  <c r="D1019" i="6" s="1"/>
  <c r="Q802" i="1"/>
  <c r="I1018" i="6" s="1"/>
  <c r="D1018" i="6" s="1"/>
  <c r="Q803" i="1"/>
  <c r="I1010" i="6" s="1"/>
  <c r="D1010" i="6" s="1"/>
  <c r="Q805" i="1"/>
  <c r="I1053" i="6" s="1"/>
  <c r="D1053" i="6" s="1"/>
  <c r="Q815" i="1"/>
  <c r="I1013" i="6" s="1"/>
  <c r="D1013" i="6" s="1"/>
  <c r="Q806" i="1"/>
  <c r="I1054" i="6" s="1"/>
  <c r="D1054" i="6" s="1"/>
  <c r="Q807" i="1"/>
  <c r="I1052" i="6" s="1"/>
  <c r="D1052" i="6" s="1"/>
  <c r="Q773" i="1"/>
  <c r="I1027" i="6" s="1"/>
  <c r="D1027" i="6" s="1"/>
  <c r="Q808" i="1"/>
  <c r="I1047" i="6" s="1"/>
  <c r="D1047" i="6" s="1"/>
  <c r="Q809" i="1"/>
  <c r="I1049" i="6" s="1"/>
  <c r="D1049" i="6" s="1"/>
  <c r="Q810" i="1"/>
  <c r="I1050" i="6" s="1"/>
  <c r="D1050" i="6" s="1"/>
  <c r="Q811" i="1"/>
  <c r="I1051" i="6" s="1"/>
  <c r="D1051" i="6" s="1"/>
  <c r="Q812" i="1"/>
  <c r="I1048" i="6" s="1"/>
  <c r="D1048" i="6" s="1"/>
  <c r="Q813" i="1"/>
  <c r="I1000" i="6" s="1"/>
  <c r="D1000" i="6" s="1"/>
  <c r="Q814" i="1"/>
  <c r="I1031" i="6" s="1"/>
  <c r="D1031" i="6" s="1"/>
  <c r="Q772" i="1"/>
  <c r="I1025" i="6" s="1"/>
  <c r="D1025" i="6" s="1"/>
  <c r="I1033" i="6"/>
  <c r="D1033" i="6" s="1"/>
  <c r="Q778" i="1"/>
  <c r="I1029" i="6" s="1"/>
  <c r="D1029" i="6" s="1"/>
  <c r="Q779" i="1"/>
  <c r="I1061" i="6" s="1"/>
  <c r="D1061" i="6" s="1"/>
  <c r="Q780" i="1"/>
  <c r="I1057" i="6" s="1"/>
  <c r="D1057" i="6" s="1"/>
  <c r="Q781" i="1"/>
  <c r="I1062" i="6" s="1"/>
  <c r="D1062" i="6" s="1"/>
  <c r="Q782" i="1"/>
  <c r="I1012" i="6" s="1"/>
  <c r="D1012" i="6" s="1"/>
  <c r="Q783" i="1"/>
  <c r="I1015" i="6" s="1"/>
  <c r="D1015" i="6" s="1"/>
  <c r="Q784" i="1"/>
  <c r="I1043" i="6" s="1"/>
  <c r="D1043" i="6" s="1"/>
  <c r="Q816" i="1"/>
  <c r="I1037" i="6" s="1"/>
  <c r="D1037" i="6" s="1"/>
  <c r="Q785" i="1"/>
  <c r="I1042" i="6" s="1"/>
  <c r="D1042" i="6" s="1"/>
  <c r="Q787" i="1"/>
  <c r="I999" i="6" s="1"/>
  <c r="D999" i="6" s="1"/>
  <c r="Q788" i="1"/>
  <c r="I1032" i="6" s="1"/>
  <c r="D1032" i="6" s="1"/>
  <c r="Q817" i="1"/>
  <c r="I1007" i="6" s="1"/>
  <c r="D1007" i="6" s="1"/>
  <c r="Q776" i="1"/>
  <c r="I1036" i="6" s="1"/>
  <c r="D1036" i="6" s="1"/>
  <c r="Q777" i="1"/>
  <c r="I1060" i="6" s="1"/>
  <c r="D1060" i="6" s="1"/>
  <c r="Q774" i="1"/>
  <c r="I1058" i="6" s="1"/>
  <c r="D1058" i="6" s="1"/>
  <c r="Q775" i="1"/>
  <c r="I1059" i="6" s="1"/>
  <c r="D1059" i="6" s="1"/>
  <c r="G2371" i="1"/>
  <c r="I315" i="6"/>
  <c r="D315" i="6" s="1"/>
  <c r="I316" i="6"/>
  <c r="D316" i="6" s="1"/>
  <c r="I317" i="6"/>
  <c r="D317" i="6" s="1"/>
  <c r="I318" i="6"/>
  <c r="D318" i="6" s="1"/>
  <c r="I319" i="6"/>
  <c r="D319" i="6" s="1"/>
  <c r="I324" i="6"/>
  <c r="D324" i="6" s="1"/>
  <c r="I325" i="6"/>
  <c r="D325" i="6" s="1"/>
  <c r="I327" i="6"/>
  <c r="D327" i="6" s="1"/>
  <c r="I292" i="6"/>
  <c r="D292" i="6" s="1"/>
  <c r="I330" i="6"/>
  <c r="D330" i="6" s="1"/>
  <c r="I303" i="6"/>
  <c r="D303" i="6" s="1"/>
  <c r="I304" i="6"/>
  <c r="D304" i="6" s="1"/>
  <c r="I305" i="6"/>
  <c r="D305" i="6" s="1"/>
  <c r="I306" i="6"/>
  <c r="D306" i="6" s="1"/>
  <c r="I307" i="6"/>
  <c r="D307" i="6" s="1"/>
  <c r="I308" i="6"/>
  <c r="D308" i="6" s="1"/>
  <c r="I309" i="6"/>
  <c r="D309" i="6" s="1"/>
  <c r="I310" i="6"/>
  <c r="D310" i="6" s="1"/>
  <c r="I312" i="6"/>
  <c r="D312" i="6" s="1"/>
  <c r="I313" i="6"/>
  <c r="D313" i="6" s="1"/>
  <c r="I336" i="6"/>
  <c r="D336" i="6" s="1"/>
  <c r="I314" i="6"/>
  <c r="D314" i="6" s="1"/>
  <c r="I335" i="6"/>
  <c r="D335" i="6" s="1"/>
  <c r="I301" i="6"/>
  <c r="D301" i="6" s="1"/>
  <c r="I302" i="6"/>
  <c r="D302" i="6" s="1"/>
  <c r="I337" i="6"/>
  <c r="D337" i="6" s="1"/>
  <c r="I338" i="6"/>
  <c r="D338" i="6" s="1"/>
  <c r="Q3083" i="1"/>
  <c r="I2846" i="6" s="1"/>
  <c r="D2846" i="6" s="1"/>
  <c r="Q3111" i="1"/>
  <c r="I2874" i="6" s="1"/>
  <c r="D2874" i="6" s="1"/>
  <c r="Q3084" i="1"/>
  <c r="I2847" i="6" s="1"/>
  <c r="D2847" i="6" s="1"/>
  <c r="Q3112" i="1"/>
  <c r="I2875" i="6" s="1"/>
  <c r="D2875" i="6" s="1"/>
  <c r="Q3085" i="1"/>
  <c r="I2848" i="6" s="1"/>
  <c r="D2848" i="6" s="1"/>
  <c r="Q3086" i="1"/>
  <c r="I2849" i="6" s="1"/>
  <c r="D2849" i="6" s="1"/>
  <c r="Q3087" i="1"/>
  <c r="I2850" i="6" s="1"/>
  <c r="D2850" i="6" s="1"/>
  <c r="Q3088" i="1"/>
  <c r="I2851" i="6" s="1"/>
  <c r="D2851" i="6" s="1"/>
  <c r="Q3089" i="1"/>
  <c r="I2852" i="6" s="1"/>
  <c r="D2852" i="6" s="1"/>
  <c r="Q3090" i="1"/>
  <c r="I2853" i="6" s="1"/>
  <c r="D2853" i="6" s="1"/>
  <c r="Q3091" i="1"/>
  <c r="I2854" i="6" s="1"/>
  <c r="D2854" i="6" s="1"/>
  <c r="Q3092" i="1"/>
  <c r="I2855" i="6" s="1"/>
  <c r="D2855" i="6" s="1"/>
  <c r="Q3093" i="1"/>
  <c r="I2856" i="6" s="1"/>
  <c r="D2856" i="6" s="1"/>
  <c r="Q3094" i="1"/>
  <c r="I2857" i="6" s="1"/>
  <c r="D2857" i="6" s="1"/>
  <c r="Q3095" i="1"/>
  <c r="I2858" i="6" s="1"/>
  <c r="D2858" i="6" s="1"/>
  <c r="Q3110" i="1"/>
  <c r="I2873" i="6" s="1"/>
  <c r="D2873" i="6" s="1"/>
  <c r="Q3073" i="1"/>
  <c r="I2836" i="6" s="1"/>
  <c r="D2836" i="6" s="1"/>
  <c r="Q3074" i="1"/>
  <c r="I2837" i="6" s="1"/>
  <c r="D2837" i="6" s="1"/>
  <c r="Q3075" i="1"/>
  <c r="I2838" i="6" s="1"/>
  <c r="D2838" i="6" s="1"/>
  <c r="Q3076" i="1"/>
  <c r="I2839" i="6" s="1"/>
  <c r="D2839" i="6" s="1"/>
  <c r="Q3079" i="1"/>
  <c r="I2842" i="6" s="1"/>
  <c r="D2842" i="6" s="1"/>
  <c r="Q3096" i="1"/>
  <c r="I2859" i="6" s="1"/>
  <c r="D2859" i="6" s="1"/>
  <c r="Q3097" i="1"/>
  <c r="I2860" i="6" s="1"/>
  <c r="D2860" i="6" s="1"/>
  <c r="Q3077" i="1"/>
  <c r="I2840" i="6" s="1"/>
  <c r="D2840" i="6" s="1"/>
  <c r="Q3098" i="1"/>
  <c r="I2861" i="6" s="1"/>
  <c r="D2861" i="6" s="1"/>
  <c r="Q3078" i="1"/>
  <c r="I2841" i="6" s="1"/>
  <c r="D2841" i="6" s="1"/>
  <c r="Q3080" i="1"/>
  <c r="I2843" i="6" s="1"/>
  <c r="D2843" i="6" s="1"/>
  <c r="Q3081" i="1"/>
  <c r="I2844" i="6" s="1"/>
  <c r="D2844" i="6" s="1"/>
  <c r="Q3082" i="1"/>
  <c r="I2845" i="6" s="1"/>
  <c r="D2845" i="6" s="1"/>
  <c r="Q3099" i="1"/>
  <c r="I2862" i="6" s="1"/>
  <c r="D2862" i="6" s="1"/>
  <c r="Q3100" i="1"/>
  <c r="I2863" i="6" s="1"/>
  <c r="D2863" i="6" s="1"/>
  <c r="Q3101" i="1"/>
  <c r="I2864" i="6" s="1"/>
  <c r="D2864" i="6" s="1"/>
  <c r="Q3102" i="1"/>
  <c r="I2865" i="6" s="1"/>
  <c r="D2865" i="6" s="1"/>
  <c r="Q3103" i="1"/>
  <c r="I2866" i="6" s="1"/>
  <c r="D2866" i="6" s="1"/>
  <c r="Q3104" i="1"/>
  <c r="I2867" i="6" s="1"/>
  <c r="D2867" i="6" s="1"/>
  <c r="Q3105" i="1"/>
  <c r="I2868" i="6" s="1"/>
  <c r="D2868" i="6" s="1"/>
  <c r="Q3106" i="1"/>
  <c r="I2869" i="6" s="1"/>
  <c r="D2869" i="6" s="1"/>
  <c r="Q3107" i="1"/>
  <c r="I2870" i="6" s="1"/>
  <c r="D2870" i="6" s="1"/>
  <c r="Q3108" i="1"/>
  <c r="I2871" i="6" s="1"/>
  <c r="D2871" i="6" s="1"/>
  <c r="Q3109" i="1"/>
  <c r="I2872" i="6" s="1"/>
  <c r="D2872" i="6" s="1"/>
  <c r="Q3141" i="1"/>
  <c r="I2882" i="6" s="1"/>
  <c r="D2882" i="6" s="1"/>
  <c r="Q3142" i="1"/>
  <c r="I2891" i="6" s="1"/>
  <c r="D2891" i="6" s="1"/>
  <c r="Q3143" i="1"/>
  <c r="I2897" i="6" s="1"/>
  <c r="D2897" i="6" s="1"/>
  <c r="Q3144" i="1"/>
  <c r="I2896" i="6" s="1"/>
  <c r="D2896" i="6" s="1"/>
  <c r="Q3117" i="1"/>
  <c r="I42" i="6" s="1"/>
  <c r="D42" i="6" s="1"/>
  <c r="Q3145" i="1"/>
  <c r="I2878" i="6" s="1"/>
  <c r="D2878" i="6" s="1"/>
  <c r="Q3118" i="1"/>
  <c r="I43" i="6" s="1"/>
  <c r="D43" i="6" s="1"/>
  <c r="Q3146" i="1"/>
  <c r="I2899" i="6" s="1"/>
  <c r="D2899" i="6" s="1"/>
  <c r="Q3119" i="1"/>
  <c r="I44" i="6" s="1"/>
  <c r="D44" i="6" s="1"/>
  <c r="Q3147" i="1"/>
  <c r="I2904" i="6" s="1"/>
  <c r="D2904" i="6" s="1"/>
  <c r="Q3120" i="1"/>
  <c r="I45" i="6" s="1"/>
  <c r="D45" i="6" s="1"/>
  <c r="Q3148" i="1"/>
  <c r="I2905" i="6" s="1"/>
  <c r="D2905" i="6" s="1"/>
  <c r="Q3121" i="1"/>
  <c r="I46" i="6" s="1"/>
  <c r="D46" i="6" s="1"/>
  <c r="Q3149" i="1"/>
  <c r="I2907" i="6" s="1"/>
  <c r="D2907" i="6" s="1"/>
  <c r="Q3122" i="1"/>
  <c r="I47" i="6" s="1"/>
  <c r="D47" i="6" s="1"/>
  <c r="Q3150" i="1"/>
  <c r="I2902" i="6" s="1"/>
  <c r="D2902" i="6" s="1"/>
  <c r="Q3123" i="1"/>
  <c r="I48" i="6" s="1"/>
  <c r="D48" i="6" s="1"/>
  <c r="Q3151" i="1"/>
  <c r="I2903" i="6" s="1"/>
  <c r="D2903" i="6" s="1"/>
  <c r="Q3124" i="1"/>
  <c r="I49" i="6" s="1"/>
  <c r="D49" i="6" s="1"/>
  <c r="Q3152" i="1"/>
  <c r="I2900" i="6" s="1"/>
  <c r="D2900" i="6" s="1"/>
  <c r="Q3126" i="1"/>
  <c r="I2893" i="6" s="1"/>
  <c r="D2893" i="6" s="1"/>
  <c r="Q3153" i="1"/>
  <c r="I2908" i="6" s="1"/>
  <c r="D2908" i="6" s="1"/>
  <c r="Q3127" i="1"/>
  <c r="I2894" i="6" s="1"/>
  <c r="D2894" i="6" s="1"/>
  <c r="I2876" i="6"/>
  <c r="D2876" i="6" s="1"/>
  <c r="Q3128" i="1"/>
  <c r="I2881" i="6" s="1"/>
  <c r="D2881" i="6" s="1"/>
  <c r="Q3129" i="1"/>
  <c r="I2883" i="6" s="1"/>
  <c r="D2883" i="6" s="1"/>
  <c r="Q3130" i="1"/>
  <c r="I2884" i="6" s="1"/>
  <c r="D2884" i="6" s="1"/>
  <c r="Q3131" i="1"/>
  <c r="I2885" i="6" s="1"/>
  <c r="D2885" i="6" s="1"/>
  <c r="Q3155" i="1"/>
  <c r="I2909" i="6" s="1"/>
  <c r="D2909" i="6" s="1"/>
  <c r="Q3132" i="1"/>
  <c r="I2887" i="6" s="1"/>
  <c r="D2887" i="6" s="1"/>
  <c r="Q3133" i="1"/>
  <c r="I2889" i="6" s="1"/>
  <c r="D2889" i="6" s="1"/>
  <c r="Q3139" i="1"/>
  <c r="I2892" i="6" s="1"/>
  <c r="D2892" i="6" s="1"/>
  <c r="Q3140" i="1"/>
  <c r="I2877" i="6" s="1"/>
  <c r="D2877" i="6" s="1"/>
  <c r="Q3134" i="1"/>
  <c r="I2895" i="6" s="1"/>
  <c r="D2895" i="6" s="1"/>
  <c r="Q3135" i="1"/>
  <c r="I2898" i="6" s="1"/>
  <c r="D2898" i="6" s="1"/>
  <c r="Q3136" i="1"/>
  <c r="I2890" i="6" s="1"/>
  <c r="D2890" i="6" s="1"/>
  <c r="Q3138" i="1"/>
  <c r="I2880" i="6" s="1"/>
  <c r="D2880" i="6" s="1"/>
  <c r="Q3137" i="1"/>
  <c r="I2879" i="6" s="1"/>
  <c r="D2879" i="6" s="1"/>
  <c r="Q3154" i="1"/>
  <c r="I2901" i="6" s="1"/>
  <c r="D2901" i="6" s="1"/>
  <c r="Q3156" i="1"/>
  <c r="I2911" i="6" s="1"/>
  <c r="D2911" i="6" s="1"/>
  <c r="Q3157" i="1"/>
  <c r="I2912" i="6" s="1"/>
  <c r="D2912" i="6" s="1"/>
  <c r="AJ3160" i="1"/>
  <c r="G3160" i="1" s="1"/>
  <c r="AJ3065" i="1"/>
  <c r="G3065" i="1" s="1"/>
  <c r="AJ1380" i="1"/>
  <c r="G1380" i="1" s="1"/>
  <c r="AJ1459" i="1"/>
  <c r="G1459" i="1" s="1"/>
  <c r="Q2592" i="1"/>
  <c r="I220" i="6" s="1"/>
  <c r="D220" i="6" s="1"/>
  <c r="Q2593" i="1"/>
  <c r="I178" i="6" s="1"/>
  <c r="D178" i="6" s="1"/>
  <c r="Q2594" i="1"/>
  <c r="I213" i="6" s="1"/>
  <c r="D213" i="6" s="1"/>
  <c r="Q2596" i="1"/>
  <c r="I215" i="6" s="1"/>
  <c r="D215" i="6" s="1"/>
  <c r="Q2597" i="1"/>
  <c r="I214" i="6" s="1"/>
  <c r="D214" i="6" s="1"/>
  <c r="Q2599" i="1"/>
  <c r="I289" i="6" s="1"/>
  <c r="D289" i="6" s="1"/>
  <c r="Q2600" i="1"/>
  <c r="I291" i="6" s="1"/>
  <c r="D291" i="6" s="1"/>
  <c r="Q2602" i="1"/>
  <c r="I212" i="6" s="1"/>
  <c r="D212" i="6" s="1"/>
  <c r="Q2603" i="1"/>
  <c r="I211" i="6" s="1"/>
  <c r="D211" i="6" s="1"/>
  <c r="I181" i="6"/>
  <c r="D181" i="6" s="1"/>
  <c r="I179" i="6"/>
  <c r="D179" i="6" s="1"/>
  <c r="Q2583" i="1"/>
  <c r="I208" i="6" s="1"/>
  <c r="D208" i="6" s="1"/>
  <c r="Q2584" i="1"/>
  <c r="I216" i="6" s="1"/>
  <c r="D216" i="6" s="1"/>
  <c r="Q2586" i="1"/>
  <c r="I183" i="6" s="1"/>
  <c r="D183" i="6" s="1"/>
  <c r="Q2587" i="1"/>
  <c r="I176" i="6" s="1"/>
  <c r="D176" i="6" s="1"/>
  <c r="Q2588" i="1"/>
  <c r="I217" i="6" s="1"/>
  <c r="D217" i="6" s="1"/>
  <c r="Q2589" i="1"/>
  <c r="I210" i="6" s="1"/>
  <c r="D210" i="6" s="1"/>
  <c r="Q2590" i="1"/>
  <c r="I218" i="6" s="1"/>
  <c r="D218" i="6" s="1"/>
  <c r="Q2591" i="1"/>
  <c r="I219" i="6" s="1"/>
  <c r="D219" i="6" s="1"/>
  <c r="Q2604" i="1"/>
  <c r="I222" i="6" s="1"/>
  <c r="D222" i="6" s="1"/>
  <c r="Q2606" i="1"/>
  <c r="I221" i="6" s="1"/>
  <c r="D221" i="6" s="1"/>
  <c r="Q2582" i="1"/>
  <c r="I207" i="6" s="1"/>
  <c r="D207" i="6" s="1"/>
  <c r="Q2581" i="1"/>
  <c r="I209" i="6" s="1"/>
  <c r="D209" i="6" s="1"/>
  <c r="AJ2802" i="1"/>
  <c r="G2802" i="1" s="1"/>
  <c r="AJ2270" i="1"/>
  <c r="G2270" i="1" s="1"/>
  <c r="Q2460" i="1"/>
  <c r="I2058" i="6" s="1"/>
  <c r="D2058" i="6" s="1"/>
  <c r="Q2461" i="1"/>
  <c r="I2059" i="6" s="1"/>
  <c r="D2059" i="6" s="1"/>
  <c r="Q2462" i="1"/>
  <c r="I2063" i="6" s="1"/>
  <c r="D2063" i="6" s="1"/>
  <c r="Q2463" i="1"/>
  <c r="I2064" i="6" s="1"/>
  <c r="D2064" i="6" s="1"/>
  <c r="I2061" i="6"/>
  <c r="D2061" i="6" s="1"/>
  <c r="Q2082" i="1"/>
  <c r="I238" i="6" s="1"/>
  <c r="D238" i="6" s="1"/>
  <c r="Q2083" i="1"/>
  <c r="I239" i="6" s="1"/>
  <c r="D239" i="6" s="1"/>
  <c r="Q2097" i="1"/>
  <c r="I254" i="6" s="1"/>
  <c r="D254" i="6" s="1"/>
  <c r="Q2080" i="1"/>
  <c r="I236" i="6" s="1"/>
  <c r="D236" i="6" s="1"/>
  <c r="Q2081" i="1"/>
  <c r="I237" i="6" s="1"/>
  <c r="D237" i="6" s="1"/>
  <c r="Q2098" i="1"/>
  <c r="I255" i="6" s="1"/>
  <c r="D255" i="6" s="1"/>
  <c r="Q2100" i="1"/>
  <c r="I256" i="6" s="1"/>
  <c r="D256" i="6" s="1"/>
  <c r="Q2101" i="1"/>
  <c r="I259" i="6" s="1"/>
  <c r="D259" i="6" s="1"/>
  <c r="Q2067" i="1"/>
  <c r="I223" i="6" s="1"/>
  <c r="D223" i="6" s="1"/>
  <c r="Q2068" i="1"/>
  <c r="I224" i="6" s="1"/>
  <c r="D224" i="6" s="1"/>
  <c r="AJ417" i="1"/>
  <c r="G417" i="1" s="1"/>
  <c r="Q1127" i="1"/>
  <c r="I2598" i="6" s="1"/>
  <c r="D2598" i="6" s="1"/>
  <c r="Q1159" i="1"/>
  <c r="I2610" i="6" s="1"/>
  <c r="D2610" i="6" s="1"/>
  <c r="Q1128" i="1"/>
  <c r="I2584" i="6" s="1"/>
  <c r="D2584" i="6" s="1"/>
  <c r="Q1160" i="1"/>
  <c r="I2612" i="6" s="1"/>
  <c r="D2612" i="6" s="1"/>
  <c r="Q1129" i="1"/>
  <c r="I2585" i="6" s="1"/>
  <c r="D2585" i="6" s="1"/>
  <c r="Q1161" i="1"/>
  <c r="I2611" i="6" s="1"/>
  <c r="D2611" i="6" s="1"/>
  <c r="Q1130" i="1"/>
  <c r="I2604" i="6" s="1"/>
  <c r="D2604" i="6" s="1"/>
  <c r="I2608" i="6"/>
  <c r="D2608" i="6" s="1"/>
  <c r="Q1131" i="1"/>
  <c r="I2607" i="6" s="1"/>
  <c r="D2607" i="6" s="1"/>
  <c r="Q1132" i="1"/>
  <c r="I2606" i="6" s="1"/>
  <c r="D2606" i="6" s="1"/>
  <c r="Q1133" i="1"/>
  <c r="I2603" i="6" s="1"/>
  <c r="D2603" i="6" s="1"/>
  <c r="Q1134" i="1"/>
  <c r="I2605" i="6" s="1"/>
  <c r="D2605" i="6" s="1"/>
  <c r="Q1135" i="1"/>
  <c r="I2601" i="6" s="1"/>
  <c r="D2601" i="6" s="1"/>
  <c r="I2588" i="6"/>
  <c r="D2588" i="6" s="1"/>
  <c r="Q1136" i="1"/>
  <c r="I2586" i="6" s="1"/>
  <c r="D2586" i="6" s="1"/>
  <c r="Q1138" i="1"/>
  <c r="I2593" i="6" s="1"/>
  <c r="D2593" i="6" s="1"/>
  <c r="Q1140" i="1"/>
  <c r="I2595" i="6" s="1"/>
  <c r="D2595" i="6" s="1"/>
  <c r="Q1125" i="1"/>
  <c r="I2599" i="6" s="1"/>
  <c r="D2599" i="6" s="1"/>
  <c r="Q1126" i="1"/>
  <c r="I2600" i="6" s="1"/>
  <c r="D2600" i="6" s="1"/>
  <c r="Q1139" i="1"/>
  <c r="I2594" i="6" s="1"/>
  <c r="D2594" i="6" s="1"/>
  <c r="Q1146" i="1"/>
  <c r="I2581" i="6" s="1"/>
  <c r="D2581" i="6" s="1"/>
  <c r="Q1147" i="1"/>
  <c r="I2574" i="6" s="1"/>
  <c r="D2574" i="6" s="1"/>
  <c r="Q1148" i="1"/>
  <c r="I2582" i="6" s="1"/>
  <c r="D2582" i="6" s="1"/>
  <c r="Q1149" i="1"/>
  <c r="I2583" i="6" s="1"/>
  <c r="D2583" i="6" s="1"/>
  <c r="Q1158" i="1"/>
  <c r="I2609" i="6" s="1"/>
  <c r="D2609" i="6" s="1"/>
  <c r="Q1141" i="1"/>
  <c r="I2590" i="6" s="1"/>
  <c r="D2590" i="6" s="1"/>
  <c r="Q1142" i="1"/>
  <c r="I2591" i="6" s="1"/>
  <c r="D2591" i="6" s="1"/>
  <c r="Q1143" i="1"/>
  <c r="I2592" i="6" s="1"/>
  <c r="D2592" i="6" s="1"/>
  <c r="Q1145" i="1"/>
  <c r="I2580" i="6" s="1"/>
  <c r="D2580" i="6" s="1"/>
  <c r="AJ1123" i="1"/>
  <c r="G1123" i="1" s="1"/>
  <c r="AJ1954" i="1"/>
  <c r="G1954" i="1" s="1"/>
  <c r="AJ2421" i="1"/>
  <c r="G2421" i="1" s="1"/>
  <c r="Q2667" i="1"/>
  <c r="I2349" i="6" s="1"/>
  <c r="D2349" i="6" s="1"/>
  <c r="Q2668" i="1"/>
  <c r="I2350" i="6" s="1"/>
  <c r="D2350" i="6" s="1"/>
  <c r="Q2669" i="1"/>
  <c r="I2355" i="6" s="1"/>
  <c r="D2355" i="6" s="1"/>
  <c r="Q2670" i="1"/>
  <c r="I2356" i="6" s="1"/>
  <c r="D2356" i="6" s="1"/>
  <c r="Q2671" i="1"/>
  <c r="I2357" i="6" s="1"/>
  <c r="D2357" i="6" s="1"/>
  <c r="Q2672" i="1"/>
  <c r="I2351" i="6" s="1"/>
  <c r="D2351" i="6" s="1"/>
  <c r="Q2673" i="1"/>
  <c r="I2352" i="6" s="1"/>
  <c r="D2352" i="6" s="1"/>
  <c r="Q2674" i="1"/>
  <c r="I2353" i="6" s="1"/>
  <c r="D2353" i="6" s="1"/>
  <c r="Q2675" i="1"/>
  <c r="I2354" i="6" s="1"/>
  <c r="D2354" i="6" s="1"/>
  <c r="Q2676" i="1"/>
  <c r="I2358" i="6" s="1"/>
  <c r="D2358" i="6" s="1"/>
  <c r="Q2677" i="1"/>
  <c r="I2367" i="6" s="1"/>
  <c r="D2367" i="6" s="1"/>
  <c r="Q2678" i="1"/>
  <c r="I2371" i="6" s="1"/>
  <c r="D2371" i="6" s="1"/>
  <c r="Q2679" i="1"/>
  <c r="I2372" i="6" s="1"/>
  <c r="D2372" i="6" s="1"/>
  <c r="Q2666" i="1"/>
  <c r="I2348" i="6" s="1"/>
  <c r="D2348" i="6" s="1"/>
  <c r="I2373" i="6"/>
  <c r="D2373" i="6" s="1"/>
  <c r="Q2680" i="1"/>
  <c r="I2374" i="6" s="1"/>
  <c r="D2374" i="6" s="1"/>
  <c r="Q2681" i="1"/>
  <c r="I2375" i="6" s="1"/>
  <c r="D2375" i="6" s="1"/>
  <c r="I2376" i="6"/>
  <c r="D2376" i="6" s="1"/>
  <c r="Q2683" i="1"/>
  <c r="I2378" i="6" s="1"/>
  <c r="D2378" i="6" s="1"/>
  <c r="Q2684" i="1"/>
  <c r="I2379" i="6" s="1"/>
  <c r="D2379" i="6" s="1"/>
  <c r="Q2696" i="1"/>
  <c r="I2363" i="6" s="1"/>
  <c r="D2363" i="6" s="1"/>
  <c r="Q2685" i="1"/>
  <c r="I2380" i="6" s="1"/>
  <c r="D2380" i="6" s="1"/>
  <c r="Q2686" i="1"/>
  <c r="I2381" i="6" s="1"/>
  <c r="D2381" i="6" s="1"/>
  <c r="Q2688" i="1"/>
  <c r="I2383" i="6" s="1"/>
  <c r="D2383" i="6" s="1"/>
  <c r="Q2687" i="1"/>
  <c r="I2382" i="6" s="1"/>
  <c r="D2382" i="6" s="1"/>
  <c r="Q2690" i="1"/>
  <c r="I2359" i="6" s="1"/>
  <c r="D2359" i="6" s="1"/>
  <c r="Q2694" i="1"/>
  <c r="I2362" i="6" s="1"/>
  <c r="D2362" i="6" s="1"/>
  <c r="Q2692" i="1"/>
  <c r="I2360" i="6" s="1"/>
  <c r="D2360" i="6" s="1"/>
  <c r="Q2693" i="1"/>
  <c r="I2361" i="6" s="1"/>
  <c r="D2361" i="6" s="1"/>
  <c r="I2366" i="6"/>
  <c r="D2366" i="6" s="1"/>
  <c r="Q2664" i="1"/>
  <c r="I2369" i="6" s="1"/>
  <c r="D2369" i="6" s="1"/>
  <c r="Q2663" i="1"/>
  <c r="I2368" i="6" s="1"/>
  <c r="D2368" i="6" s="1"/>
  <c r="Q2662" i="1"/>
  <c r="I2365" i="6" s="1"/>
  <c r="D2365" i="6" s="1"/>
  <c r="Q2665" i="1"/>
  <c r="I2377" i="6" s="1"/>
  <c r="D2377" i="6" s="1"/>
  <c r="I2370" i="6"/>
  <c r="D2370" i="6" s="1"/>
  <c r="Q3042" i="1"/>
  <c r="I2968" i="6" s="1"/>
  <c r="D2968" i="6" s="1"/>
  <c r="Q3043" i="1"/>
  <c r="I2969" i="6" s="1"/>
  <c r="D2969" i="6" s="1"/>
  <c r="Q3044" i="1"/>
  <c r="I2971" i="6" s="1"/>
  <c r="D2971" i="6" s="1"/>
  <c r="Q3048" i="1"/>
  <c r="I2974" i="6" s="1"/>
  <c r="D2974" i="6" s="1"/>
  <c r="Q3049" i="1"/>
  <c r="I2976" i="6" s="1"/>
  <c r="D2976" i="6" s="1"/>
  <c r="Q3050" i="1"/>
  <c r="I2982" i="6" s="1"/>
  <c r="D2982" i="6" s="1"/>
  <c r="Q3046" i="1"/>
  <c r="I2970" i="6" s="1"/>
  <c r="D2970" i="6" s="1"/>
  <c r="Q3045" i="1"/>
  <c r="I2979" i="6" s="1"/>
  <c r="D2979" i="6" s="1"/>
  <c r="Q3047" i="1"/>
  <c r="I2973" i="6" s="1"/>
  <c r="D2973" i="6" s="1"/>
  <c r="Q3051" i="1"/>
  <c r="I2983" i="6" s="1"/>
  <c r="D2983" i="6" s="1"/>
  <c r="Q3052" i="1"/>
  <c r="I2972" i="6" s="1"/>
  <c r="D2972" i="6" s="1"/>
  <c r="Q590" i="1"/>
  <c r="I1167" i="6" s="1"/>
  <c r="D1167" i="6" s="1"/>
  <c r="Q628" i="1"/>
  <c r="I1143" i="6" s="1"/>
  <c r="D1143" i="6" s="1"/>
  <c r="Q591" i="1"/>
  <c r="I1161" i="6" s="1"/>
  <c r="D1161" i="6" s="1"/>
  <c r="Q629" i="1"/>
  <c r="I1141" i="6" s="1"/>
  <c r="D1141" i="6" s="1"/>
  <c r="Q592" i="1"/>
  <c r="I1168" i="6" s="1"/>
  <c r="D1168" i="6" s="1"/>
  <c r="Q630" i="1"/>
  <c r="I1142" i="6" s="1"/>
  <c r="D1142" i="6" s="1"/>
  <c r="Q566" i="1"/>
  <c r="I1139" i="6" s="1"/>
  <c r="D1139" i="6" s="1"/>
  <c r="Q593" i="1"/>
  <c r="I1135" i="6" s="1"/>
  <c r="D1135" i="6" s="1"/>
  <c r="Q632" i="1"/>
  <c r="I1145" i="6" s="1"/>
  <c r="D1145" i="6" s="1"/>
  <c r="Q567" i="1"/>
  <c r="I1113" i="6" s="1"/>
  <c r="D1113" i="6" s="1"/>
  <c r="Q594" i="1"/>
  <c r="I1136" i="6" s="1"/>
  <c r="D1136" i="6" s="1"/>
  <c r="Q633" i="1"/>
  <c r="I1146" i="6" s="1"/>
  <c r="D1146" i="6" s="1"/>
  <c r="Q568" i="1"/>
  <c r="I1164" i="6" s="1"/>
  <c r="D1164" i="6" s="1"/>
  <c r="Q595" i="1"/>
  <c r="I1132" i="6" s="1"/>
  <c r="D1132" i="6" s="1"/>
  <c r="Q569" i="1"/>
  <c r="I1119" i="6" s="1"/>
  <c r="D1119" i="6" s="1"/>
  <c r="Q596" i="1"/>
  <c r="I1114" i="6" s="1"/>
  <c r="D1114" i="6" s="1"/>
  <c r="Q570" i="1"/>
  <c r="I1122" i="6" s="1"/>
  <c r="D1122" i="6" s="1"/>
  <c r="Q598" i="1"/>
  <c r="I1144" i="6" s="1"/>
  <c r="D1144" i="6" s="1"/>
  <c r="Q571" i="1"/>
  <c r="I1124" i="6" s="1"/>
  <c r="D1124" i="6" s="1"/>
  <c r="Q599" i="1"/>
  <c r="I1126" i="6" s="1"/>
  <c r="D1126" i="6" s="1"/>
  <c r="Q572" i="1"/>
  <c r="I1180" i="6" s="1"/>
  <c r="D1180" i="6" s="1"/>
  <c r="Q600" i="1"/>
  <c r="I1125" i="6" s="1"/>
  <c r="D1125" i="6" s="1"/>
  <c r="Q573" i="1"/>
  <c r="I1120" i="6" s="1"/>
  <c r="D1120" i="6" s="1"/>
  <c r="Q601" i="1"/>
  <c r="I1166" i="6" s="1"/>
  <c r="D1166" i="6" s="1"/>
  <c r="Q574" i="1"/>
  <c r="I1179" i="6" s="1"/>
  <c r="D1179" i="6" s="1"/>
  <c r="Q602" i="1"/>
  <c r="I1165" i="6" s="1"/>
  <c r="D1165" i="6" s="1"/>
  <c r="Q575" i="1"/>
  <c r="I1109" i="6" s="1"/>
  <c r="D1109" i="6" s="1"/>
  <c r="Q624" i="1"/>
  <c r="I1108" i="6" s="1"/>
  <c r="D1108" i="6" s="1"/>
  <c r="Q576" i="1"/>
  <c r="I1111" i="6" s="1"/>
  <c r="D1111" i="6" s="1"/>
  <c r="Q625" i="1"/>
  <c r="I1107" i="6" s="1"/>
  <c r="D1107" i="6" s="1"/>
  <c r="Q626" i="1"/>
  <c r="I1151" i="6" s="1"/>
  <c r="D1151" i="6" s="1"/>
  <c r="Q577" i="1"/>
  <c r="I1112" i="6" s="1"/>
  <c r="D1112" i="6" s="1"/>
  <c r="Q627" i="1"/>
  <c r="I1123" i="6" s="1"/>
  <c r="D1123" i="6" s="1"/>
  <c r="Q578" i="1"/>
  <c r="I1181" i="6" s="1"/>
  <c r="D1181" i="6" s="1"/>
  <c r="Q579" i="1"/>
  <c r="I1178" i="6" s="1"/>
  <c r="D1178" i="6" s="1"/>
  <c r="Q580" i="1"/>
  <c r="I1177" i="6" s="1"/>
  <c r="D1177" i="6" s="1"/>
  <c r="Q587" i="1"/>
  <c r="I1170" i="6" s="1"/>
  <c r="D1170" i="6" s="1"/>
  <c r="Q581" i="1"/>
  <c r="I1176" i="6" s="1"/>
  <c r="D1176" i="6" s="1"/>
  <c r="Q582" i="1"/>
  <c r="I1175" i="6" s="1"/>
  <c r="D1175" i="6" s="1"/>
  <c r="Q583" i="1"/>
  <c r="I1174" i="6" s="1"/>
  <c r="D1174" i="6" s="1"/>
  <c r="Q584" i="1"/>
  <c r="I1171" i="6" s="1"/>
  <c r="D1171" i="6" s="1"/>
  <c r="Q585" i="1"/>
  <c r="I1172" i="6" s="1"/>
  <c r="D1172" i="6" s="1"/>
  <c r="Q586" i="1"/>
  <c r="I1173" i="6" s="1"/>
  <c r="D1173" i="6" s="1"/>
  <c r="Q608" i="1"/>
  <c r="I1138" i="6" s="1"/>
  <c r="D1138" i="6" s="1"/>
  <c r="Q611" i="1"/>
  <c r="I1154" i="6" s="1"/>
  <c r="D1154" i="6" s="1"/>
  <c r="Q606" i="1"/>
  <c r="I1149" i="6" s="1"/>
  <c r="D1149" i="6" s="1"/>
  <c r="Q610" i="1"/>
  <c r="I1152" i="6" s="1"/>
  <c r="D1152" i="6" s="1"/>
  <c r="Q588" i="1"/>
  <c r="I1169" i="6" s="1"/>
  <c r="D1169" i="6" s="1"/>
  <c r="Q589" i="1"/>
  <c r="I1129" i="6" s="1"/>
  <c r="D1129" i="6" s="1"/>
  <c r="Q603" i="1"/>
  <c r="I1150" i="6" s="1"/>
  <c r="D1150" i="6" s="1"/>
  <c r="Q605" i="1"/>
  <c r="I1140" i="6" s="1"/>
  <c r="D1140" i="6" s="1"/>
  <c r="Q612" i="1"/>
  <c r="I1155" i="6" s="1"/>
  <c r="D1155" i="6" s="1"/>
  <c r="Q613" i="1"/>
  <c r="I1156" i="6" s="1"/>
  <c r="D1156" i="6" s="1"/>
  <c r="Q620" i="1"/>
  <c r="I1118" i="6" s="1"/>
  <c r="D1118" i="6" s="1"/>
  <c r="Q621" i="1"/>
  <c r="I1117" i="6" s="1"/>
  <c r="D1117" i="6" s="1"/>
  <c r="Q622" i="1"/>
  <c r="I1116" i="6" s="1"/>
  <c r="D1116" i="6" s="1"/>
  <c r="Q623" i="1"/>
  <c r="I1121" i="6" s="1"/>
  <c r="D1121" i="6" s="1"/>
  <c r="Q1337" i="1"/>
  <c r="I1624" i="6" s="1"/>
  <c r="D1624" i="6" s="1"/>
  <c r="Q1338" i="1"/>
  <c r="I1625" i="6" s="1"/>
  <c r="D1625" i="6" s="1"/>
  <c r="Q1339" i="1"/>
  <c r="I1626" i="6" s="1"/>
  <c r="D1626" i="6" s="1"/>
  <c r="Q1326" i="1"/>
  <c r="I1604" i="6" s="1"/>
  <c r="D1604" i="6" s="1"/>
  <c r="Q1327" i="1"/>
  <c r="I1605" i="6" s="1"/>
  <c r="D1605" i="6" s="1"/>
  <c r="Q1328" i="1"/>
  <c r="I1606" i="6" s="1"/>
  <c r="D1606" i="6" s="1"/>
  <c r="Q1329" i="1"/>
  <c r="I1607" i="6" s="1"/>
  <c r="D1607" i="6" s="1"/>
  <c r="Q1331" i="1"/>
  <c r="I1619" i="6" s="1"/>
  <c r="D1619" i="6" s="1"/>
  <c r="Q1332" i="1"/>
  <c r="I1620" i="6" s="1"/>
  <c r="D1620" i="6" s="1"/>
  <c r="Q1333" i="1"/>
  <c r="I1621" i="6" s="1"/>
  <c r="D1621" i="6" s="1"/>
  <c r="Q1335" i="1"/>
  <c r="I1622" i="6" s="1"/>
  <c r="D1622" i="6" s="1"/>
  <c r="Q1336" i="1"/>
  <c r="I1623" i="6" s="1"/>
  <c r="D1623" i="6" s="1"/>
  <c r="Q1325" i="1"/>
  <c r="I1603" i="6" s="1"/>
  <c r="D1603" i="6" s="1"/>
  <c r="Q2727" i="1"/>
  <c r="I806" i="6" s="1"/>
  <c r="D806" i="6" s="1"/>
  <c r="Q2728" i="1"/>
  <c r="I807" i="6" s="1"/>
  <c r="D807" i="6" s="1"/>
  <c r="Q2722" i="1"/>
  <c r="I800" i="6" s="1"/>
  <c r="D800" i="6" s="1"/>
  <c r="I801" i="6"/>
  <c r="D801" i="6" s="1"/>
  <c r="Q2723" i="1"/>
  <c r="I802" i="6" s="1"/>
  <c r="D802" i="6" s="1"/>
  <c r="Q2724" i="1"/>
  <c r="I803" i="6" s="1"/>
  <c r="D803" i="6" s="1"/>
  <c r="Q2725" i="1"/>
  <c r="I804" i="6" s="1"/>
  <c r="D804" i="6" s="1"/>
  <c r="Q2726" i="1"/>
  <c r="I805" i="6" s="1"/>
  <c r="D805" i="6" s="1"/>
  <c r="AJ2635" i="1"/>
  <c r="G2635" i="1" s="1"/>
  <c r="Q2646" i="1"/>
  <c r="I1453" i="6" s="1"/>
  <c r="D1453" i="6" s="1"/>
  <c r="Q2647" i="1"/>
  <c r="I1468" i="6" s="1"/>
  <c r="D1468" i="6" s="1"/>
  <c r="Q2648" i="1"/>
  <c r="I1469" i="6" s="1"/>
  <c r="D1469" i="6" s="1"/>
  <c r="Q2649" i="1"/>
  <c r="I1462" i="6" s="1"/>
  <c r="D1462" i="6" s="1"/>
  <c r="Q2651" i="1"/>
  <c r="I1463" i="6" s="1"/>
  <c r="D1463" i="6" s="1"/>
  <c r="Q2652" i="1"/>
  <c r="I1464" i="6" s="1"/>
  <c r="D1464" i="6" s="1"/>
  <c r="Q2653" i="1"/>
  <c r="I1465" i="6" s="1"/>
  <c r="D1465" i="6" s="1"/>
  <c r="Q2654" i="1"/>
  <c r="I1466" i="6" s="1"/>
  <c r="D1466" i="6" s="1"/>
  <c r="Q2656" i="1"/>
  <c r="I1467" i="6" s="1"/>
  <c r="D1467" i="6" s="1"/>
  <c r="Q2657" i="1"/>
  <c r="I1470" i="6" s="1"/>
  <c r="D1470" i="6" s="1"/>
  <c r="Q2637" i="1"/>
  <c r="I1454" i="6" s="1"/>
  <c r="D1454" i="6" s="1"/>
  <c r="Q2638" i="1"/>
  <c r="I1455" i="6" s="1"/>
  <c r="D1455" i="6" s="1"/>
  <c r="Q2639" i="1"/>
  <c r="I1456" i="6" s="1"/>
  <c r="D1456" i="6" s="1"/>
  <c r="Q2640" i="1"/>
  <c r="I1457" i="6" s="1"/>
  <c r="D1457" i="6" s="1"/>
  <c r="Q2641" i="1"/>
  <c r="I1458" i="6" s="1"/>
  <c r="D1458" i="6" s="1"/>
  <c r="Q2642" i="1"/>
  <c r="I1459" i="6" s="1"/>
  <c r="D1459" i="6" s="1"/>
  <c r="Q2644" i="1"/>
  <c r="I1460" i="6" s="1"/>
  <c r="D1460" i="6" s="1"/>
  <c r="Q2645" i="1"/>
  <c r="I1461" i="6" s="1"/>
  <c r="D1461" i="6" s="1"/>
  <c r="I617" i="6"/>
  <c r="D617" i="6" s="1"/>
  <c r="I696" i="6"/>
  <c r="D696" i="6" s="1"/>
  <c r="I633" i="6"/>
  <c r="D633" i="6" s="1"/>
  <c r="I634" i="6"/>
  <c r="D634" i="6" s="1"/>
  <c r="I635" i="6"/>
  <c r="D635" i="6" s="1"/>
  <c r="AJ2033" i="1"/>
  <c r="G2033" i="1" s="1"/>
  <c r="AJ2945" i="1"/>
  <c r="G2945" i="1" s="1"/>
  <c r="AJ2579" i="1"/>
  <c r="G2579" i="1" s="1"/>
  <c r="AJ1784" i="1"/>
  <c r="G1784" i="1" s="1"/>
  <c r="Q1560" i="1"/>
  <c r="I2120" i="6" s="1"/>
  <c r="D2120" i="6" s="1"/>
  <c r="Q1561" i="1"/>
  <c r="I2121" i="6" s="1"/>
  <c r="D2121" i="6" s="1"/>
  <c r="Q1566" i="1"/>
  <c r="I2123" i="6" s="1"/>
  <c r="D2123" i="6" s="1"/>
  <c r="Q1567" i="1"/>
  <c r="I2124" i="6" s="1"/>
  <c r="D2124" i="6" s="1"/>
  <c r="I2125" i="6"/>
  <c r="D2125" i="6" s="1"/>
  <c r="Q1568" i="1"/>
  <c r="I2126" i="6" s="1"/>
  <c r="D2126" i="6" s="1"/>
  <c r="I2127" i="6"/>
  <c r="D2127" i="6" s="1"/>
  <c r="Q1562" i="1"/>
  <c r="I2117" i="6" s="1"/>
  <c r="D2117" i="6" s="1"/>
  <c r="Q1563" i="1"/>
  <c r="I2118" i="6" s="1"/>
  <c r="D2118" i="6" s="1"/>
  <c r="Q1564" i="1"/>
  <c r="I2119" i="6" s="1"/>
  <c r="D2119" i="6" s="1"/>
  <c r="Q1565" i="1"/>
  <c r="I2122" i="6" s="1"/>
  <c r="D2122" i="6" s="1"/>
  <c r="Q1440" i="1"/>
  <c r="I1893" i="6" s="1"/>
  <c r="D1893" i="6" s="1"/>
  <c r="Q1441" i="1"/>
  <c r="I1894" i="6" s="1"/>
  <c r="D1894" i="6" s="1"/>
  <c r="Q1442" i="1"/>
  <c r="I1895" i="6" s="1"/>
  <c r="D1895" i="6" s="1"/>
  <c r="Q1443" i="1"/>
  <c r="I1896" i="6" s="1"/>
  <c r="D1896" i="6" s="1"/>
  <c r="Q1444" i="1"/>
  <c r="I1897" i="6" s="1"/>
  <c r="D1897" i="6" s="1"/>
  <c r="Q1452" i="1"/>
  <c r="I1905" i="6" s="1"/>
  <c r="D1905" i="6" s="1"/>
  <c r="Q1453" i="1"/>
  <c r="I1906" i="6" s="1"/>
  <c r="D1906" i="6" s="1"/>
  <c r="Q1437" i="1"/>
  <c r="I1890" i="6" s="1"/>
  <c r="D1890" i="6" s="1"/>
  <c r="Q1438" i="1"/>
  <c r="I1891" i="6" s="1"/>
  <c r="D1891" i="6" s="1"/>
  <c r="Q1439" i="1"/>
  <c r="I1892" i="6" s="1"/>
  <c r="D1892" i="6" s="1"/>
  <c r="Q1456" i="1"/>
  <c r="I1909" i="6" s="1"/>
  <c r="D1909" i="6" s="1"/>
  <c r="Q2503" i="1"/>
  <c r="I1876" i="6" s="1"/>
  <c r="D1876" i="6" s="1"/>
  <c r="Q2504" i="1"/>
  <c r="I1880" i="6" s="1"/>
  <c r="D1880" i="6" s="1"/>
  <c r="Q2505" i="1"/>
  <c r="I1877" i="6" s="1"/>
  <c r="D1877" i="6" s="1"/>
  <c r="Q2506" i="1"/>
  <c r="I1868" i="6" s="1"/>
  <c r="D1868" i="6" s="1"/>
  <c r="Q2507" i="1"/>
  <c r="I1878" i="6" s="1"/>
  <c r="D1878" i="6" s="1"/>
  <c r="Q2508" i="1"/>
  <c r="I1886" i="6" s="1"/>
  <c r="D1886" i="6" s="1"/>
  <c r="Q2509" i="1"/>
  <c r="I1881" i="6" s="1"/>
  <c r="D1881" i="6" s="1"/>
  <c r="Q2510" i="1"/>
  <c r="I1882" i="6" s="1"/>
  <c r="D1882" i="6" s="1"/>
  <c r="Q2511" i="1"/>
  <c r="I1883" i="6" s="1"/>
  <c r="D1883" i="6" s="1"/>
  <c r="Q2512" i="1"/>
  <c r="I1887" i="6" s="1"/>
  <c r="D1887" i="6" s="1"/>
  <c r="Q2513" i="1"/>
  <c r="I1872" i="6" s="1"/>
  <c r="D1872" i="6" s="1"/>
  <c r="Q2514" i="1"/>
  <c r="I1871" i="6" s="1"/>
  <c r="D1871" i="6" s="1"/>
  <c r="Q2515" i="1"/>
  <c r="I1888" i="6" s="1"/>
  <c r="D1888" i="6" s="1"/>
  <c r="Q2516" i="1"/>
  <c r="I1889" i="6" s="1"/>
  <c r="D1889" i="6" s="1"/>
  <c r="Q2517" i="1"/>
  <c r="I1869" i="6" s="1"/>
  <c r="D1869" i="6" s="1"/>
  <c r="Q2519" i="1"/>
  <c r="I1873" i="6" s="1"/>
  <c r="D1873" i="6" s="1"/>
  <c r="Q2502" i="1"/>
  <c r="I1879" i="6" s="1"/>
  <c r="D1879" i="6" s="1"/>
  <c r="Q2499" i="1"/>
  <c r="I1867" i="6" s="1"/>
  <c r="D1867" i="6" s="1"/>
  <c r="Q2500" i="1"/>
  <c r="I1874" i="6" s="1"/>
  <c r="D1874" i="6" s="1"/>
  <c r="Q2501" i="1"/>
  <c r="I1875" i="6" s="1"/>
  <c r="D1875" i="6" s="1"/>
  <c r="Q3008" i="1"/>
  <c r="I2129" i="6" s="1"/>
  <c r="D2129" i="6" s="1"/>
  <c r="Q3009" i="1"/>
  <c r="I2132" i="6" s="1"/>
  <c r="D2132" i="6" s="1"/>
  <c r="I2133" i="6"/>
  <c r="D2133" i="6" s="1"/>
  <c r="Q3010" i="1"/>
  <c r="I2134" i="6" s="1"/>
  <c r="D2134" i="6" s="1"/>
  <c r="Q3011" i="1"/>
  <c r="I2130" i="6" s="1"/>
  <c r="D2130" i="6" s="1"/>
  <c r="Q3012" i="1"/>
  <c r="I2135" i="6" s="1"/>
  <c r="D2135" i="6" s="1"/>
  <c r="Q3016" i="1"/>
  <c r="I2138" i="6" s="1"/>
  <c r="D2138" i="6" s="1"/>
  <c r="Q3017" i="1"/>
  <c r="I2139" i="6" s="1"/>
  <c r="D2139" i="6" s="1"/>
  <c r="Q3015" i="1"/>
  <c r="I2131" i="6" s="1"/>
  <c r="D2131" i="6" s="1"/>
  <c r="Q3014" i="1"/>
  <c r="I2137" i="6" s="1"/>
  <c r="D2137" i="6" s="1"/>
  <c r="Q3013" i="1"/>
  <c r="I2136" i="6" s="1"/>
  <c r="D2136" i="6" s="1"/>
  <c r="AJ2731" i="1"/>
  <c r="G2731" i="1" s="1"/>
  <c r="Q2825" i="1"/>
  <c r="I2810" i="6" s="1"/>
  <c r="D2810" i="6" s="1"/>
  <c r="Q2826" i="1"/>
  <c r="I2811" i="6" s="1"/>
  <c r="D2811" i="6" s="1"/>
  <c r="Q2827" i="1"/>
  <c r="I2812" i="6" s="1"/>
  <c r="D2812" i="6" s="1"/>
  <c r="Q2828" i="1"/>
  <c r="I2813" i="6" s="1"/>
  <c r="D2813" i="6" s="1"/>
  <c r="Q2829" i="1"/>
  <c r="I2817" i="6" s="1"/>
  <c r="D2817" i="6" s="1"/>
  <c r="Q2830" i="1"/>
  <c r="I2816" i="6" s="1"/>
  <c r="D2816" i="6" s="1"/>
  <c r="Q2821" i="1"/>
  <c r="I2806" i="6" s="1"/>
  <c r="D2806" i="6" s="1"/>
  <c r="Q2822" i="1"/>
  <c r="I2807" i="6" s="1"/>
  <c r="D2807" i="6" s="1"/>
  <c r="Q2823" i="1"/>
  <c r="I2808" i="6" s="1"/>
  <c r="D2808" i="6" s="1"/>
  <c r="Q2820" i="1"/>
  <c r="I2805" i="6" s="1"/>
  <c r="D2805" i="6" s="1"/>
  <c r="Q2824" i="1"/>
  <c r="I2809" i="6" s="1"/>
  <c r="D2809" i="6" s="1"/>
  <c r="Q2794" i="1"/>
  <c r="I2090" i="6" s="1"/>
  <c r="D2090" i="6" s="1"/>
  <c r="I2091" i="6"/>
  <c r="D2091" i="6" s="1"/>
  <c r="I2094" i="6"/>
  <c r="D2094" i="6" s="1"/>
  <c r="I2095" i="6"/>
  <c r="D2095" i="6" s="1"/>
  <c r="Q2795" i="1"/>
  <c r="I2096" i="6" s="1"/>
  <c r="D2096" i="6" s="1"/>
  <c r="Q2796" i="1"/>
  <c r="I2097" i="6" s="1"/>
  <c r="D2097" i="6" s="1"/>
  <c r="Q2797" i="1"/>
  <c r="I2098" i="6" s="1"/>
  <c r="D2098" i="6" s="1"/>
  <c r="Q2798" i="1"/>
  <c r="I2092" i="6" s="1"/>
  <c r="D2092" i="6" s="1"/>
  <c r="Q2799" i="1"/>
  <c r="I2093" i="6" s="1"/>
  <c r="D2093" i="6" s="1"/>
  <c r="AJ2959" i="1"/>
  <c r="G2959" i="1" s="1"/>
  <c r="Q1384" i="1"/>
  <c r="I2257" i="6" s="1"/>
  <c r="D2257" i="6" s="1"/>
  <c r="Q1385" i="1"/>
  <c r="I2259" i="6" s="1"/>
  <c r="D2259" i="6" s="1"/>
  <c r="Q1386" i="1"/>
  <c r="I2260" i="6" s="1"/>
  <c r="D2260" i="6" s="1"/>
  <c r="Q1388" i="1"/>
  <c r="I2265" i="6" s="1"/>
  <c r="D2265" i="6" s="1"/>
  <c r="Q1389" i="1"/>
  <c r="I2264" i="6" s="1"/>
  <c r="D2264" i="6" s="1"/>
  <c r="Q1390" i="1"/>
  <c r="I2267" i="6" s="1"/>
  <c r="D2267" i="6" s="1"/>
  <c r="AJ958" i="1"/>
  <c r="G958" i="1" s="1"/>
  <c r="AJ2567" i="1"/>
  <c r="G2567" i="1" s="1"/>
  <c r="Q3031" i="1"/>
  <c r="I64" i="6" s="1"/>
  <c r="D64" i="6" s="1"/>
  <c r="Q3032" i="1"/>
  <c r="I66" i="6" s="1"/>
  <c r="D66" i="6" s="1"/>
  <c r="Q3033" i="1"/>
  <c r="I62" i="6" s="1"/>
  <c r="D62" i="6" s="1"/>
  <c r="Q3034" i="1"/>
  <c r="I2680" i="6" s="1"/>
  <c r="D2680" i="6" s="1"/>
  <c r="Q3035" i="1"/>
  <c r="I70" i="6" s="1"/>
  <c r="D70" i="6" s="1"/>
  <c r="Q3036" i="1"/>
  <c r="I68" i="6" s="1"/>
  <c r="D68" i="6" s="1"/>
  <c r="I67" i="6"/>
  <c r="D67" i="6" s="1"/>
  <c r="Q3037" i="1"/>
  <c r="I69" i="6" s="1"/>
  <c r="D69" i="6" s="1"/>
  <c r="Q3022" i="1"/>
  <c r="I2681" i="6" s="1"/>
  <c r="D2681" i="6" s="1"/>
  <c r="Q3023" i="1"/>
  <c r="I71" i="6" s="1"/>
  <c r="D71" i="6" s="1"/>
  <c r="Q3024" i="1"/>
  <c r="I72" i="6" s="1"/>
  <c r="D72" i="6" s="1"/>
  <c r="Q3025" i="1"/>
  <c r="I2682" i="6" s="1"/>
  <c r="D2682" i="6" s="1"/>
  <c r="Q3026" i="1"/>
  <c r="I73" i="6" s="1"/>
  <c r="D73" i="6" s="1"/>
  <c r="Q3027" i="1"/>
  <c r="I74" i="6" s="1"/>
  <c r="D74" i="6" s="1"/>
  <c r="Q3029" i="1"/>
  <c r="I63" i="6" s="1"/>
  <c r="D63" i="6" s="1"/>
  <c r="Q3030" i="1"/>
  <c r="I65" i="6" s="1"/>
  <c r="D65" i="6" s="1"/>
  <c r="Q2961" i="1"/>
  <c r="Q2962" i="1"/>
  <c r="Q2963" i="1"/>
  <c r="Q2964" i="1"/>
  <c r="Q2974" i="1"/>
  <c r="Q2975" i="1"/>
  <c r="Q2976" i="1"/>
  <c r="Q2977" i="1"/>
  <c r="Q2978" i="1"/>
  <c r="Q2979" i="1"/>
  <c r="Q2965" i="1"/>
  <c r="Q2966" i="1"/>
  <c r="Q2969" i="1"/>
  <c r="Q2968" i="1"/>
  <c r="Q2970" i="1"/>
  <c r="Q2971" i="1"/>
  <c r="Q2972" i="1"/>
  <c r="Q2973" i="1"/>
  <c r="Q2967" i="1"/>
  <c r="AJ2108" i="1"/>
  <c r="AJ2235" i="1"/>
  <c r="G2235" i="1" s="1"/>
  <c r="I2018" i="6"/>
  <c r="D2018" i="6" s="1"/>
  <c r="I2020" i="6"/>
  <c r="D2020" i="6" s="1"/>
  <c r="Q2768" i="1"/>
  <c r="I2029" i="6" s="1"/>
  <c r="D2029" i="6" s="1"/>
  <c r="Q2769" i="1"/>
  <c r="I2030" i="6" s="1"/>
  <c r="D2030" i="6" s="1"/>
  <c r="Q2770" i="1"/>
  <c r="I2031" i="6" s="1"/>
  <c r="D2031" i="6" s="1"/>
  <c r="Q2771" i="1"/>
  <c r="I2032" i="6" s="1"/>
  <c r="D2032" i="6" s="1"/>
  <c r="Q2772" i="1"/>
  <c r="I2033" i="6" s="1"/>
  <c r="D2033" i="6" s="1"/>
  <c r="Q2773" i="1"/>
  <c r="I2035" i="6" s="1"/>
  <c r="D2035" i="6" s="1"/>
  <c r="Q2774" i="1"/>
  <c r="I2036" i="6" s="1"/>
  <c r="D2036" i="6" s="1"/>
  <c r="Q2786" i="1"/>
  <c r="I2048" i="6" s="1"/>
  <c r="D2048" i="6" s="1"/>
  <c r="Q2787" i="1"/>
  <c r="I2049" i="6" s="1"/>
  <c r="D2049" i="6" s="1"/>
  <c r="Q2789" i="1"/>
  <c r="I2017" i="6" s="1"/>
  <c r="D2017" i="6" s="1"/>
  <c r="Q2776" i="1"/>
  <c r="I2037" i="6" s="1"/>
  <c r="D2037" i="6" s="1"/>
  <c r="Q2777" i="1"/>
  <c r="I2042" i="6" s="1"/>
  <c r="D2042" i="6" s="1"/>
  <c r="Q2785" i="1"/>
  <c r="I2047" i="6" s="1"/>
  <c r="D2047" i="6" s="1"/>
  <c r="I2043" i="6"/>
  <c r="D2043" i="6" s="1"/>
  <c r="AJ2818" i="1"/>
  <c r="G2818" i="1" s="1"/>
  <c r="Q2886" i="1"/>
  <c r="I1206" i="6" s="1"/>
  <c r="D1206" i="6" s="1"/>
  <c r="Q2887" i="1"/>
  <c r="I1207" i="6" s="1"/>
  <c r="D1207" i="6" s="1"/>
  <c r="Q2888" i="1"/>
  <c r="I1208" i="6" s="1"/>
  <c r="D1208" i="6" s="1"/>
  <c r="Q2889" i="1"/>
  <c r="I1209" i="6" s="1"/>
  <c r="D1209" i="6" s="1"/>
  <c r="Q2874" i="1"/>
  <c r="I1187" i="6" s="1"/>
  <c r="D1187" i="6" s="1"/>
  <c r="Q2875" i="1"/>
  <c r="I1188" i="6" s="1"/>
  <c r="D1188" i="6" s="1"/>
  <c r="I1189" i="6"/>
  <c r="D1189" i="6" s="1"/>
  <c r="Q2876" i="1"/>
  <c r="I1192" i="6" s="1"/>
  <c r="D1192" i="6" s="1"/>
  <c r="Q2880" i="1"/>
  <c r="I1196" i="6" s="1"/>
  <c r="D1196" i="6" s="1"/>
  <c r="Q2877" i="1"/>
  <c r="I1194" i="6" s="1"/>
  <c r="D1194" i="6" s="1"/>
  <c r="Q2878" i="1"/>
  <c r="I1195" i="6" s="1"/>
  <c r="D1195" i="6" s="1"/>
  <c r="Q2884" i="1"/>
  <c r="I1202" i="6" s="1"/>
  <c r="D1202" i="6" s="1"/>
  <c r="Q2879" i="1"/>
  <c r="I1198" i="6" s="1"/>
  <c r="D1198" i="6" s="1"/>
  <c r="Q2881" i="1"/>
  <c r="I1199" i="6" s="1"/>
  <c r="D1199" i="6" s="1"/>
  <c r="Q2883" i="1"/>
  <c r="I1201" i="6" s="1"/>
  <c r="D1201" i="6" s="1"/>
  <c r="Q2885" i="1"/>
  <c r="I1205" i="6" s="1"/>
  <c r="D1205" i="6" s="1"/>
  <c r="Q2882" i="1"/>
  <c r="I1200" i="6" s="1"/>
  <c r="D1200" i="6" s="1"/>
  <c r="I1203" i="6"/>
  <c r="D1203" i="6" s="1"/>
  <c r="AJ2699" i="1"/>
  <c r="G2699" i="1" s="1"/>
  <c r="AJ2165" i="1"/>
  <c r="G2165" i="1" s="1"/>
  <c r="Q2016" i="1"/>
  <c r="I1678" i="6" s="1"/>
  <c r="D1678" i="6" s="1"/>
  <c r="Q2017" i="1"/>
  <c r="I1679" i="6" s="1"/>
  <c r="D1679" i="6" s="1"/>
  <c r="Q2018" i="1"/>
  <c r="I1680" i="6" s="1"/>
  <c r="D1680" i="6" s="1"/>
  <c r="Q2019" i="1"/>
  <c r="I1681" i="6" s="1"/>
  <c r="D1681" i="6" s="1"/>
  <c r="Q2020" i="1"/>
  <c r="I1682" i="6" s="1"/>
  <c r="D1682" i="6" s="1"/>
  <c r="Q2021" i="1"/>
  <c r="I1683" i="6" s="1"/>
  <c r="D1683" i="6" s="1"/>
  <c r="Q2022" i="1"/>
  <c r="I1684" i="6" s="1"/>
  <c r="D1684" i="6" s="1"/>
  <c r="Q2023" i="1"/>
  <c r="I1685" i="6" s="1"/>
  <c r="D1685" i="6" s="1"/>
  <c r="Q2024" i="1"/>
  <c r="I1686" i="6" s="1"/>
  <c r="D1686" i="6" s="1"/>
  <c r="Q2025" i="1"/>
  <c r="I1687" i="6" s="1"/>
  <c r="D1687" i="6" s="1"/>
  <c r="Q2026" i="1"/>
  <c r="I1688" i="6" s="1"/>
  <c r="D1688" i="6" s="1"/>
  <c r="Q2027" i="1"/>
  <c r="I1689" i="6" s="1"/>
  <c r="D1689" i="6" s="1"/>
  <c r="Q2014" i="1"/>
  <c r="Q2015" i="1"/>
  <c r="I1677" i="6" s="1"/>
  <c r="D1677" i="6" s="1"/>
  <c r="Q2028" i="1"/>
  <c r="I1690" i="6" s="1"/>
  <c r="D1690" i="6" s="1"/>
  <c r="Q2029" i="1"/>
  <c r="I1691" i="6" s="1"/>
  <c r="D1691" i="6" s="1"/>
  <c r="Q2030" i="1"/>
  <c r="I1692" i="6" s="1"/>
  <c r="D1692" i="6" s="1"/>
  <c r="I123" i="6"/>
  <c r="D123" i="6" s="1"/>
  <c r="I124" i="6"/>
  <c r="D124" i="6" s="1"/>
  <c r="I125" i="6"/>
  <c r="D125" i="6" s="1"/>
  <c r="I131" i="6"/>
  <c r="D131" i="6" s="1"/>
  <c r="I136" i="6"/>
  <c r="D136" i="6" s="1"/>
  <c r="I126" i="6"/>
  <c r="D126" i="6" s="1"/>
  <c r="I133" i="6"/>
  <c r="D133" i="6" s="1"/>
  <c r="I134" i="6"/>
  <c r="D134" i="6" s="1"/>
  <c r="G2609" i="1"/>
  <c r="I1072" i="6"/>
  <c r="D1072" i="6" s="1"/>
  <c r="I1091" i="6"/>
  <c r="D1091" i="6" s="1"/>
  <c r="I1092" i="6"/>
  <c r="D1092" i="6" s="1"/>
  <c r="I1073" i="6"/>
  <c r="D1073" i="6" s="1"/>
  <c r="I1093" i="6"/>
  <c r="D1093" i="6" s="1"/>
  <c r="I1094" i="6"/>
  <c r="D1094" i="6" s="1"/>
  <c r="I1074" i="6"/>
  <c r="D1074" i="6" s="1"/>
  <c r="I1095" i="6"/>
  <c r="D1095" i="6" s="1"/>
  <c r="I1075" i="6"/>
  <c r="D1075" i="6" s="1"/>
  <c r="I1076" i="6"/>
  <c r="D1076" i="6" s="1"/>
  <c r="I1077" i="6"/>
  <c r="D1077" i="6" s="1"/>
  <c r="I1099" i="6"/>
  <c r="D1099" i="6" s="1"/>
  <c r="I1078" i="6"/>
  <c r="D1078" i="6" s="1"/>
  <c r="I1098" i="6"/>
  <c r="D1098" i="6" s="1"/>
  <c r="I1101" i="6"/>
  <c r="D1101" i="6" s="1"/>
  <c r="I1079" i="6"/>
  <c r="D1079" i="6" s="1"/>
  <c r="I1102" i="6"/>
  <c r="D1102" i="6" s="1"/>
  <c r="I1080" i="6"/>
  <c r="D1080" i="6" s="1"/>
  <c r="I1081" i="6"/>
  <c r="D1081" i="6" s="1"/>
  <c r="I1082" i="6"/>
  <c r="D1082" i="6" s="1"/>
  <c r="I1083" i="6"/>
  <c r="D1083" i="6" s="1"/>
  <c r="I1085" i="6"/>
  <c r="D1085" i="6" s="1"/>
  <c r="I1086" i="6"/>
  <c r="D1086" i="6" s="1"/>
  <c r="I1087" i="6"/>
  <c r="D1087" i="6" s="1"/>
  <c r="I1089" i="6"/>
  <c r="D1089" i="6" s="1"/>
  <c r="I1090" i="6"/>
  <c r="D1090" i="6" s="1"/>
  <c r="I1097" i="6"/>
  <c r="D1097" i="6" s="1"/>
  <c r="I1100" i="6"/>
  <c r="D1100" i="6" s="1"/>
  <c r="I1064" i="6"/>
  <c r="D1064" i="6" s="1"/>
  <c r="I1067" i="6"/>
  <c r="D1067" i="6" s="1"/>
  <c r="I1068" i="6"/>
  <c r="D1068" i="6" s="1"/>
  <c r="I1069" i="6"/>
  <c r="D1069" i="6" s="1"/>
  <c r="AJ2466" i="1"/>
  <c r="G2466" i="1" s="1"/>
  <c r="Q1192" i="1"/>
  <c r="I610" i="6" s="1"/>
  <c r="D610" i="6" s="1"/>
  <c r="Q1213" i="1"/>
  <c r="I974" i="6" s="1"/>
  <c r="D974" i="6" s="1"/>
  <c r="Q1234" i="1"/>
  <c r="I982" i="6" s="1"/>
  <c r="D982" i="6" s="1"/>
  <c r="Q1194" i="1"/>
  <c r="I912" i="6" s="1"/>
  <c r="D912" i="6" s="1"/>
  <c r="Q1214" i="1"/>
  <c r="I975" i="6" s="1"/>
  <c r="D975" i="6" s="1"/>
  <c r="Q1235" i="1"/>
  <c r="I983" i="6" s="1"/>
  <c r="D983" i="6" s="1"/>
  <c r="Q1195" i="1"/>
  <c r="I913" i="6" s="1"/>
  <c r="D913" i="6" s="1"/>
  <c r="Q1215" i="1"/>
  <c r="I976" i="6" s="1"/>
  <c r="D976" i="6" s="1"/>
  <c r="Q1236" i="1"/>
  <c r="I985" i="6" s="1"/>
  <c r="D985" i="6" s="1"/>
  <c r="Q1196" i="1"/>
  <c r="I914" i="6" s="1"/>
  <c r="D914" i="6" s="1"/>
  <c r="Q1216" i="1"/>
  <c r="I977" i="6" s="1"/>
  <c r="D977" i="6" s="1"/>
  <c r="Q1237" i="1"/>
  <c r="I986" i="6" s="1"/>
  <c r="D986" i="6" s="1"/>
  <c r="Q1197" i="1"/>
  <c r="I915" i="6" s="1"/>
  <c r="D915" i="6" s="1"/>
  <c r="Q1217" i="1"/>
  <c r="I919" i="6" s="1"/>
  <c r="D919" i="6" s="1"/>
  <c r="I987" i="6"/>
  <c r="D987" i="6" s="1"/>
  <c r="Q1198" i="1"/>
  <c r="I916" i="6" s="1"/>
  <c r="D916" i="6" s="1"/>
  <c r="I920" i="6"/>
  <c r="D920" i="6" s="1"/>
  <c r="Q1238" i="1"/>
  <c r="I981" i="6" s="1"/>
  <c r="D981" i="6" s="1"/>
  <c r="Q1166" i="1"/>
  <c r="I906" i="6" s="1"/>
  <c r="D906" i="6" s="1"/>
  <c r="Q1199" i="1"/>
  <c r="I917" i="6" s="1"/>
  <c r="D917" i="6" s="1"/>
  <c r="Q1218" i="1"/>
  <c r="I921" i="6" s="1"/>
  <c r="D921" i="6" s="1"/>
  <c r="Q1239" i="1"/>
  <c r="I984" i="6" s="1"/>
  <c r="D984" i="6" s="1"/>
  <c r="Q1167" i="1"/>
  <c r="I942" i="6" s="1"/>
  <c r="D942" i="6" s="1"/>
  <c r="Q1200" i="1"/>
  <c r="I918" i="6" s="1"/>
  <c r="D918" i="6" s="1"/>
  <c r="Q1219" i="1"/>
  <c r="I922" i="6" s="1"/>
  <c r="D922" i="6" s="1"/>
  <c r="Q1240" i="1"/>
  <c r="I988" i="6" s="1"/>
  <c r="D988" i="6" s="1"/>
  <c r="Q1168" i="1"/>
  <c r="I941" i="6" s="1"/>
  <c r="D941" i="6" s="1"/>
  <c r="Q1201" i="1"/>
  <c r="I908" i="6" s="1"/>
  <c r="D908" i="6" s="1"/>
  <c r="Q1220" i="1"/>
  <c r="I923" i="6" s="1"/>
  <c r="D923" i="6" s="1"/>
  <c r="Q1241" i="1"/>
  <c r="I989" i="6" s="1"/>
  <c r="D989" i="6" s="1"/>
  <c r="Q1169" i="1"/>
  <c r="I978" i="6" s="1"/>
  <c r="D978" i="6" s="1"/>
  <c r="Q1202" i="1"/>
  <c r="I909" i="6" s="1"/>
  <c r="D909" i="6" s="1"/>
  <c r="I924" i="6"/>
  <c r="D924" i="6" s="1"/>
  <c r="Q1242" i="1"/>
  <c r="I990" i="6" s="1"/>
  <c r="D990" i="6" s="1"/>
  <c r="Q1170" i="1"/>
  <c r="I943" i="6" s="1"/>
  <c r="D943" i="6" s="1"/>
  <c r="Q1203" i="1"/>
  <c r="I910" i="6" s="1"/>
  <c r="D910" i="6" s="1"/>
  <c r="Q1221" i="1"/>
  <c r="I925" i="6" s="1"/>
  <c r="D925" i="6" s="1"/>
  <c r="Q1243" i="1"/>
  <c r="I991" i="6" s="1"/>
  <c r="D991" i="6" s="1"/>
  <c r="Q1171" i="1"/>
  <c r="I944" i="6" s="1"/>
  <c r="D944" i="6" s="1"/>
  <c r="I911" i="6"/>
  <c r="D911" i="6" s="1"/>
  <c r="I926" i="6"/>
  <c r="D926" i="6" s="1"/>
  <c r="Q1244" i="1"/>
  <c r="I992" i="6" s="1"/>
  <c r="D992" i="6" s="1"/>
  <c r="Q1172" i="1"/>
  <c r="I946" i="6" s="1"/>
  <c r="D946" i="6" s="1"/>
  <c r="Q1212" i="1"/>
  <c r="I970" i="6" s="1"/>
  <c r="D970" i="6" s="1"/>
  <c r="Q1173" i="1"/>
  <c r="I955" i="6" s="1"/>
  <c r="D955" i="6" s="1"/>
  <c r="I971" i="6"/>
  <c r="D971" i="6" s="1"/>
  <c r="Q1174" i="1"/>
  <c r="I956" i="6" s="1"/>
  <c r="D956" i="6" s="1"/>
  <c r="I972" i="6"/>
  <c r="D972" i="6" s="1"/>
  <c r="Q1175" i="1"/>
  <c r="I957" i="6" s="1"/>
  <c r="D957" i="6" s="1"/>
  <c r="Q1176" i="1"/>
  <c r="I945" i="6" s="1"/>
  <c r="D945" i="6" s="1"/>
  <c r="Q1177" i="1"/>
  <c r="I948" i="6" s="1"/>
  <c r="D948" i="6" s="1"/>
  <c r="I929" i="6"/>
  <c r="D929" i="6" s="1"/>
  <c r="Q1178" i="1"/>
  <c r="I949" i="6" s="1"/>
  <c r="D949" i="6" s="1"/>
  <c r="I928" i="6"/>
  <c r="D928" i="6" s="1"/>
  <c r="Q1180" i="1"/>
  <c r="I950" i="6" s="1"/>
  <c r="D950" i="6" s="1"/>
  <c r="Q1222" i="1"/>
  <c r="I930" i="6" s="1"/>
  <c r="D930" i="6" s="1"/>
  <c r="Q1189" i="1"/>
  <c r="I607" i="6" s="1"/>
  <c r="D607" i="6" s="1"/>
  <c r="Q1181" i="1"/>
  <c r="I951" i="6" s="1"/>
  <c r="D951" i="6" s="1"/>
  <c r="Q1223" i="1"/>
  <c r="I931" i="6" s="1"/>
  <c r="D931" i="6" s="1"/>
  <c r="Q1182" i="1"/>
  <c r="I952" i="6" s="1"/>
  <c r="D952" i="6" s="1"/>
  <c r="Q1224" i="1"/>
  <c r="I932" i="6" s="1"/>
  <c r="D932" i="6" s="1"/>
  <c r="I936" i="6"/>
  <c r="D936" i="6" s="1"/>
  <c r="Q1183" i="1"/>
  <c r="I953" i="6" s="1"/>
  <c r="D953" i="6" s="1"/>
  <c r="Q1225" i="1"/>
  <c r="I933" i="6" s="1"/>
  <c r="D933" i="6" s="1"/>
  <c r="Q1185" i="1"/>
  <c r="I602" i="6" s="1"/>
  <c r="D602" i="6" s="1"/>
  <c r="Q1226" i="1"/>
  <c r="I934" i="6" s="1"/>
  <c r="D934" i="6" s="1"/>
  <c r="Q1187" i="1"/>
  <c r="I609" i="6" s="1"/>
  <c r="D609" i="6" s="1"/>
  <c r="Q1227" i="1"/>
  <c r="I935" i="6" s="1"/>
  <c r="D935" i="6" s="1"/>
  <c r="Q1232" i="1"/>
  <c r="I979" i="6" s="1"/>
  <c r="D979" i="6" s="1"/>
  <c r="Q1233" i="1"/>
  <c r="I980" i="6" s="1"/>
  <c r="D980" i="6" s="1"/>
  <c r="Q1245" i="1"/>
  <c r="I993" i="6" s="1"/>
  <c r="D993" i="6" s="1"/>
  <c r="Q1246" i="1"/>
  <c r="I994" i="6" s="1"/>
  <c r="D994" i="6" s="1"/>
  <c r="Q1247" i="1"/>
  <c r="I996" i="6" s="1"/>
  <c r="D996" i="6" s="1"/>
  <c r="Q1248" i="1"/>
  <c r="I995" i="6" s="1"/>
  <c r="D995" i="6" s="1"/>
  <c r="Q1190" i="1"/>
  <c r="I606" i="6" s="1"/>
  <c r="D606" i="6" s="1"/>
  <c r="Q1207" i="1"/>
  <c r="I961" i="6" s="1"/>
  <c r="D961" i="6" s="1"/>
  <c r="I963" i="6"/>
  <c r="D963" i="6" s="1"/>
  <c r="Q1204" i="1"/>
  <c r="I958" i="6" s="1"/>
  <c r="D958" i="6" s="1"/>
  <c r="Q1205" i="1"/>
  <c r="I959" i="6" s="1"/>
  <c r="D959" i="6" s="1"/>
  <c r="Q1206" i="1"/>
  <c r="I960" i="6" s="1"/>
  <c r="D960" i="6" s="1"/>
  <c r="Q1208" i="1"/>
  <c r="I962" i="6" s="1"/>
  <c r="D962" i="6" s="1"/>
  <c r="I964" i="6"/>
  <c r="D964" i="6" s="1"/>
  <c r="Q1209" i="1"/>
  <c r="I965" i="6" s="1"/>
  <c r="D965" i="6" s="1"/>
  <c r="I966" i="6"/>
  <c r="D966" i="6" s="1"/>
  <c r="Q1230" i="1"/>
  <c r="I940" i="6" s="1"/>
  <c r="D940" i="6" s="1"/>
  <c r="Q1210" i="1"/>
  <c r="I967" i="6" s="1"/>
  <c r="D967" i="6" s="1"/>
  <c r="Q1211" i="1"/>
  <c r="I968" i="6" s="1"/>
  <c r="D968" i="6" s="1"/>
  <c r="I969" i="6"/>
  <c r="D969" i="6" s="1"/>
  <c r="Q1228" i="1"/>
  <c r="I937" i="6" s="1"/>
  <c r="D937" i="6" s="1"/>
  <c r="I938" i="6"/>
  <c r="D938" i="6" s="1"/>
  <c r="Q1229" i="1"/>
  <c r="I939" i="6" s="1"/>
  <c r="D939" i="6" s="1"/>
  <c r="G1105" i="1"/>
  <c r="AJ2899" i="1"/>
  <c r="G2899" i="1" s="1"/>
  <c r="AJ2990" i="1"/>
  <c r="G2990" i="1" s="1"/>
  <c r="AJ3115" i="1"/>
  <c r="G3115" i="1" s="1"/>
  <c r="AJ196" i="1"/>
  <c r="AJ2065" i="1"/>
  <c r="G2065" i="1" s="1"/>
  <c r="AJ2458" i="1"/>
  <c r="G2458" i="1" s="1"/>
  <c r="AJ3071" i="1"/>
  <c r="G3071" i="1" s="1"/>
  <c r="AK2" i="1"/>
  <c r="Q2113" i="1" l="1"/>
  <c r="I2166" i="6" s="1"/>
  <c r="D2166" i="6" s="1"/>
  <c r="Q2114" i="1"/>
  <c r="I2169" i="6" s="1"/>
  <c r="D2169" i="6" s="1"/>
  <c r="Q2112" i="1"/>
  <c r="I2165" i="6" s="1"/>
  <c r="D2165" i="6" s="1"/>
  <c r="G2108" i="1"/>
  <c r="I1676" i="6"/>
  <c r="D1676" i="6" s="1"/>
  <c r="I1659" i="6"/>
  <c r="D1659" i="6" s="1"/>
  <c r="I1658" i="6"/>
  <c r="D1658" i="6" s="1"/>
  <c r="I1657" i="6"/>
  <c r="D1657" i="6" s="1"/>
  <c r="I1674" i="6"/>
  <c r="D1674" i="6" s="1"/>
  <c r="I1662" i="6"/>
  <c r="D1662" i="6" s="1"/>
  <c r="I1660" i="6"/>
  <c r="D1660" i="6" s="1"/>
  <c r="I1663" i="6"/>
  <c r="D1663" i="6" s="1"/>
  <c r="I1669" i="6"/>
  <c r="D1669" i="6" s="1"/>
  <c r="I1668" i="6"/>
  <c r="D1668" i="6" s="1"/>
  <c r="I1667" i="6"/>
  <c r="D1667" i="6" s="1"/>
  <c r="I1666" i="6"/>
  <c r="D1666" i="6" s="1"/>
  <c r="I1664" i="6"/>
  <c r="D1664" i="6" s="1"/>
  <c r="I1665" i="6"/>
  <c r="D1665" i="6" s="1"/>
  <c r="I1661" i="6"/>
  <c r="D1661" i="6" s="1"/>
  <c r="I1675" i="6"/>
  <c r="D1675" i="6" s="1"/>
  <c r="I1673" i="6"/>
  <c r="D1673" i="6" s="1"/>
  <c r="I1672" i="6"/>
  <c r="D1672" i="6" s="1"/>
  <c r="I1671" i="6"/>
  <c r="D1671" i="6" s="1"/>
  <c r="I1670" i="6"/>
  <c r="D1670" i="6" s="1"/>
  <c r="Q1092" i="1"/>
  <c r="I642" i="6" s="1"/>
  <c r="D642" i="6" s="1"/>
  <c r="Q1089" i="1"/>
  <c r="I639" i="6" s="1"/>
  <c r="D639" i="6" s="1"/>
  <c r="Q1520" i="1"/>
  <c r="I829" i="6" s="1"/>
  <c r="D829" i="6" s="1"/>
  <c r="Q1519" i="1"/>
  <c r="Q1518" i="1"/>
  <c r="Q1088" i="1"/>
  <c r="I638" i="6" s="1"/>
  <c r="D638" i="6" s="1"/>
  <c r="Q1051" i="1"/>
  <c r="I656" i="6" s="1"/>
  <c r="D656" i="6" s="1"/>
  <c r="Q1084" i="1"/>
  <c r="I714" i="6" s="1"/>
  <c r="D714" i="6" s="1"/>
  <c r="Q1030" i="1"/>
  <c r="I701" i="6" s="1"/>
  <c r="D701" i="6" s="1"/>
  <c r="Q1087" i="1"/>
  <c r="I637" i="6" s="1"/>
  <c r="D637" i="6" s="1"/>
  <c r="Q1071" i="1"/>
  <c r="I674" i="6" s="1"/>
  <c r="D674" i="6" s="1"/>
  <c r="Q1070" i="1"/>
  <c r="I673" i="6" s="1"/>
  <c r="D673" i="6" s="1"/>
  <c r="Q1028" i="1"/>
  <c r="I615" i="6" s="1"/>
  <c r="D615" i="6" s="1"/>
  <c r="Q1064" i="1"/>
  <c r="I698" i="6" s="1"/>
  <c r="D698" i="6" s="1"/>
  <c r="Q1078" i="1"/>
  <c r="I710" i="6" s="1"/>
  <c r="D710" i="6" s="1"/>
  <c r="Q1076" i="1"/>
  <c r="I681" i="6" s="1"/>
  <c r="D681" i="6" s="1"/>
  <c r="Q1046" i="1"/>
  <c r="I668" i="6" s="1"/>
  <c r="D668" i="6" s="1"/>
  <c r="Q1022" i="1"/>
  <c r="I632" i="6" s="1"/>
  <c r="D632" i="6" s="1"/>
  <c r="Q1044" i="1"/>
  <c r="I666" i="6" s="1"/>
  <c r="D666" i="6" s="1"/>
  <c r="Q1102" i="1"/>
  <c r="I619" i="6" s="1"/>
  <c r="D619" i="6" s="1"/>
  <c r="Q1100" i="1"/>
  <c r="I623" i="6" s="1"/>
  <c r="D623" i="6" s="1"/>
  <c r="Q1097" i="1"/>
  <c r="I647" i="6" s="1"/>
  <c r="D647" i="6" s="1"/>
  <c r="Q1096" i="1"/>
  <c r="I646" i="6" s="1"/>
  <c r="D646" i="6" s="1"/>
  <c r="Q1090" i="1"/>
  <c r="I640" i="6" s="1"/>
  <c r="D640" i="6" s="1"/>
  <c r="Q1091" i="1"/>
  <c r="I641" i="6" s="1"/>
  <c r="D641" i="6" s="1"/>
  <c r="Q1029" i="1"/>
  <c r="I700" i="6" s="1"/>
  <c r="D700" i="6" s="1"/>
  <c r="Q1045" i="1"/>
  <c r="I667" i="6" s="1"/>
  <c r="D667" i="6" s="1"/>
  <c r="Q1062" i="1"/>
  <c r="I693" i="6" s="1"/>
  <c r="D693" i="6" s="1"/>
  <c r="Q1069" i="1"/>
  <c r="I672" i="6" s="1"/>
  <c r="D672" i="6" s="1"/>
  <c r="Q1075" i="1"/>
  <c r="I680" i="6" s="1"/>
  <c r="D680" i="6" s="1"/>
  <c r="Q1055" i="1"/>
  <c r="I686" i="6" s="1"/>
  <c r="D686" i="6" s="1"/>
  <c r="Q1027" i="1"/>
  <c r="I616" i="6" s="1"/>
  <c r="D616" i="6" s="1"/>
  <c r="Q1093" i="1"/>
  <c r="I643" i="6" s="1"/>
  <c r="D643" i="6" s="1"/>
  <c r="Q1068" i="1"/>
  <c r="I671" i="6" s="1"/>
  <c r="D671" i="6" s="1"/>
  <c r="Q1021" i="1"/>
  <c r="I631" i="6" s="1"/>
  <c r="D631" i="6" s="1"/>
  <c r="Q1054" i="1"/>
  <c r="I685" i="6" s="1"/>
  <c r="D685" i="6" s="1"/>
  <c r="Q1026" i="1"/>
  <c r="I614" i="6" s="1"/>
  <c r="D614" i="6" s="1"/>
  <c r="Q1101" i="1"/>
  <c r="I618" i="6" s="1"/>
  <c r="D618" i="6" s="1"/>
  <c r="Q1053" i="1"/>
  <c r="I684" i="6" s="1"/>
  <c r="D684" i="6" s="1"/>
  <c r="Q1067" i="1"/>
  <c r="I670" i="6" s="1"/>
  <c r="D670" i="6" s="1"/>
  <c r="Q1074" i="1"/>
  <c r="I676" i="6" s="1"/>
  <c r="D676" i="6" s="1"/>
  <c r="Q1052" i="1"/>
  <c r="I683" i="6" s="1"/>
  <c r="D683" i="6" s="1"/>
  <c r="Q1065" i="1"/>
  <c r="I699" i="6" s="1"/>
  <c r="D699" i="6" s="1"/>
  <c r="Q1043" i="1"/>
  <c r="I665" i="6" s="1"/>
  <c r="D665" i="6" s="1"/>
  <c r="Q1095" i="1"/>
  <c r="I645" i="6" s="1"/>
  <c r="D645" i="6" s="1"/>
  <c r="Q1016" i="1"/>
  <c r="I652" i="6" s="1"/>
  <c r="D652" i="6" s="1"/>
  <c r="Q1020" i="1"/>
  <c r="I630" i="6" s="1"/>
  <c r="D630" i="6" s="1"/>
  <c r="Q1050" i="1"/>
  <c r="I655" i="6" s="1"/>
  <c r="D655" i="6" s="1"/>
  <c r="Q1015" i="1"/>
  <c r="I649" i="6" s="1"/>
  <c r="D649" i="6" s="1"/>
  <c r="Q1073" i="1"/>
  <c r="I675" i="6" s="1"/>
  <c r="D675" i="6" s="1"/>
  <c r="Q1042" i="1"/>
  <c r="I663" i="6" s="1"/>
  <c r="D663" i="6" s="1"/>
  <c r="Q1040" i="1"/>
  <c r="I662" i="6" s="1"/>
  <c r="D662" i="6" s="1"/>
  <c r="Q1083" i="1"/>
  <c r="I712" i="6" s="1"/>
  <c r="D712" i="6" s="1"/>
  <c r="Q1019" i="1"/>
  <c r="I629" i="6" s="1"/>
  <c r="D629" i="6" s="1"/>
  <c r="Q1039" i="1"/>
  <c r="I661" i="6" s="1"/>
  <c r="D661" i="6" s="1"/>
  <c r="Q1099" i="1"/>
  <c r="I622" i="6" s="1"/>
  <c r="D622" i="6" s="1"/>
  <c r="Q1063" i="1"/>
  <c r="I694" i="6" s="1"/>
  <c r="D694" i="6" s="1"/>
  <c r="Q1049" i="1"/>
  <c r="I653" i="6" s="1"/>
  <c r="D653" i="6" s="1"/>
  <c r="Q1086" i="1"/>
  <c r="I636" i="6" s="1"/>
  <c r="D636" i="6" s="1"/>
  <c r="Q1025" i="1"/>
  <c r="I613" i="6" s="1"/>
  <c r="D613" i="6" s="1"/>
  <c r="Q1018" i="1"/>
  <c r="I651" i="6" s="1"/>
  <c r="D651" i="6" s="1"/>
  <c r="Q1034" i="1"/>
  <c r="I705" i="6" s="1"/>
  <c r="D705" i="6" s="1"/>
  <c r="Q1082" i="1"/>
  <c r="I717" i="6" s="1"/>
  <c r="D717" i="6" s="1"/>
  <c r="Q1098" i="1"/>
  <c r="I621" i="6" s="1"/>
  <c r="D621" i="6" s="1"/>
  <c r="Q1041" i="1"/>
  <c r="I659" i="6" s="1"/>
  <c r="D659" i="6" s="1"/>
  <c r="Q1033" i="1"/>
  <c r="I704" i="6" s="1"/>
  <c r="D704" i="6" s="1"/>
  <c r="Q1081" i="1"/>
  <c r="I711" i="6" s="1"/>
  <c r="D711" i="6" s="1"/>
  <c r="Q1032" i="1"/>
  <c r="I703" i="6" s="1"/>
  <c r="D703" i="6" s="1"/>
  <c r="Q1023" i="1"/>
  <c r="I611" i="6" s="1"/>
  <c r="D611" i="6" s="1"/>
  <c r="Q1024" i="1"/>
  <c r="I612" i="6" s="1"/>
  <c r="D612" i="6" s="1"/>
  <c r="Q1017" i="1"/>
  <c r="I650" i="6" s="1"/>
  <c r="D650" i="6" s="1"/>
  <c r="Q1036" i="1"/>
  <c r="I707" i="6" s="1"/>
  <c r="D707" i="6" s="1"/>
  <c r="Q1035" i="1"/>
  <c r="I706" i="6" s="1"/>
  <c r="D706" i="6" s="1"/>
  <c r="Q1080" i="1"/>
  <c r="I715" i="6" s="1"/>
  <c r="D715" i="6" s="1"/>
  <c r="Q1094" i="1"/>
  <c r="I644" i="6" s="1"/>
  <c r="D644" i="6" s="1"/>
  <c r="Q1037" i="1"/>
  <c r="I658" i="6" s="1"/>
  <c r="D658" i="6" s="1"/>
  <c r="Q1079" i="1"/>
  <c r="I713" i="6" s="1"/>
  <c r="D713" i="6" s="1"/>
  <c r="Q1038" i="1"/>
  <c r="I660" i="6" s="1"/>
  <c r="D660" i="6" s="1"/>
  <c r="Q1031" i="1"/>
  <c r="I702" i="6" s="1"/>
  <c r="D702" i="6" s="1"/>
  <c r="Q1047" i="1"/>
  <c r="I669" i="6" s="1"/>
  <c r="D669" i="6" s="1"/>
  <c r="G1011" i="1"/>
  <c r="Q1059" i="1"/>
  <c r="I690" i="6" s="1"/>
  <c r="D690" i="6" s="1"/>
  <c r="Q1057" i="1"/>
  <c r="I688" i="6" s="1"/>
  <c r="D688" i="6" s="1"/>
  <c r="Q1061" i="1"/>
  <c r="I692" i="6" s="1"/>
  <c r="D692" i="6" s="1"/>
  <c r="Q1517" i="1"/>
  <c r="O1517" i="1" s="1"/>
  <c r="Q1521" i="1"/>
  <c r="O1521" i="1" s="1"/>
  <c r="Q1516" i="1"/>
  <c r="Q1515" i="1"/>
  <c r="Q1510" i="1"/>
  <c r="Q1514" i="1"/>
  <c r="I822" i="6" s="1"/>
  <c r="D822" i="6" s="1"/>
  <c r="Q1513" i="1"/>
  <c r="I821" i="6" s="1"/>
  <c r="D821" i="6" s="1"/>
  <c r="Q1512" i="1"/>
  <c r="Q1313" i="1"/>
  <c r="I1612" i="6" s="1"/>
  <c r="D1612" i="6" s="1"/>
  <c r="Q1318" i="1"/>
  <c r="I1617" i="6" s="1"/>
  <c r="D1617" i="6" s="1"/>
  <c r="Q1316" i="1"/>
  <c r="I1615" i="6" s="1"/>
  <c r="D1615" i="6" s="1"/>
  <c r="Q2837" i="1"/>
  <c r="Q2840" i="1"/>
  <c r="I755" i="6" s="1"/>
  <c r="D755" i="6" s="1"/>
  <c r="Q2841" i="1"/>
  <c r="Q2845" i="1"/>
  <c r="I750" i="6" s="1"/>
  <c r="D750" i="6" s="1"/>
  <c r="Q2847" i="1"/>
  <c r="I752" i="6" s="1"/>
  <c r="D752" i="6" s="1"/>
  <c r="Q2849" i="1"/>
  <c r="I751" i="6" s="1"/>
  <c r="D751" i="6" s="1"/>
  <c r="Q2851" i="1"/>
  <c r="Q2853" i="1"/>
  <c r="I754" i="6" s="1"/>
  <c r="D754" i="6" s="1"/>
  <c r="Q2856" i="1"/>
  <c r="I771" i="6" s="1"/>
  <c r="D771" i="6" s="1"/>
  <c r="Q2835" i="1"/>
  <c r="I747" i="6" s="1"/>
  <c r="D747" i="6" s="1"/>
  <c r="Q2839" i="1"/>
  <c r="I764" i="6" s="1"/>
  <c r="D764" i="6" s="1"/>
  <c r="Q2843" i="1"/>
  <c r="I778" i="6" s="1"/>
  <c r="D778" i="6" s="1"/>
  <c r="Q2844" i="1"/>
  <c r="I762" i="6" s="1"/>
  <c r="D762" i="6" s="1"/>
  <c r="Q2848" i="1"/>
  <c r="I758" i="6" s="1"/>
  <c r="D758" i="6" s="1"/>
  <c r="Q2850" i="1"/>
  <c r="I759" i="6" s="1"/>
  <c r="D759" i="6" s="1"/>
  <c r="Q2852" i="1"/>
  <c r="I753" i="6" s="1"/>
  <c r="D753" i="6" s="1"/>
  <c r="Q2854" i="1"/>
  <c r="I770" i="6" s="1"/>
  <c r="D770" i="6" s="1"/>
  <c r="Q2857" i="1"/>
  <c r="I772" i="6" s="1"/>
  <c r="D772" i="6" s="1"/>
  <c r="Q2859" i="1"/>
  <c r="I776" i="6" s="1"/>
  <c r="D776" i="6" s="1"/>
  <c r="Q2861" i="1"/>
  <c r="I774" i="6" s="1"/>
  <c r="D774" i="6" s="1"/>
  <c r="Q2836" i="1"/>
  <c r="Q2842" i="1"/>
  <c r="I756" i="6" s="1"/>
  <c r="D756" i="6" s="1"/>
  <c r="Q2855" i="1"/>
  <c r="I768" i="6" s="1"/>
  <c r="D768" i="6" s="1"/>
  <c r="Q2860" i="1"/>
  <c r="I777" i="6" s="1"/>
  <c r="D777" i="6" s="1"/>
  <c r="Q2862" i="1"/>
  <c r="I775" i="6" s="1"/>
  <c r="D775" i="6" s="1"/>
  <c r="Q2846" i="1"/>
  <c r="I767" i="6" s="1"/>
  <c r="D767" i="6" s="1"/>
  <c r="Q2612" i="1"/>
  <c r="I2236" i="6" s="1"/>
  <c r="D2236" i="6" s="1"/>
  <c r="Q2613" i="1"/>
  <c r="I2247" i="6" s="1"/>
  <c r="D2247" i="6" s="1"/>
  <c r="Q2614" i="1"/>
  <c r="I2250" i="6" s="1"/>
  <c r="D2250" i="6" s="1"/>
  <c r="Q2618" i="1"/>
  <c r="I2254" i="6" s="1"/>
  <c r="D2254" i="6" s="1"/>
  <c r="Q2615" i="1"/>
  <c r="I2249" i="6" s="1"/>
  <c r="D2249" i="6" s="1"/>
  <c r="Q2616" i="1"/>
  <c r="I2252" i="6" s="1"/>
  <c r="D2252" i="6" s="1"/>
  <c r="Q2617" i="1"/>
  <c r="I2237" i="6" s="1"/>
  <c r="D2237" i="6" s="1"/>
  <c r="Q2632" i="1"/>
  <c r="I2233" i="6" s="1"/>
  <c r="D2233" i="6" s="1"/>
  <c r="Q2619" i="1"/>
  <c r="I2239" i="6" s="1"/>
  <c r="D2239" i="6" s="1"/>
  <c r="Q2620" i="1"/>
  <c r="I2240" i="6" s="1"/>
  <c r="D2240" i="6" s="1"/>
  <c r="Q2621" i="1"/>
  <c r="I2238" i="6" s="1"/>
  <c r="D2238" i="6" s="1"/>
  <c r="Q2622" i="1"/>
  <c r="I2241" i="6" s="1"/>
  <c r="D2241" i="6" s="1"/>
  <c r="Q2624" i="1"/>
  <c r="I2255" i="6" s="1"/>
  <c r="D2255" i="6" s="1"/>
  <c r="Q2626" i="1"/>
  <c r="I2242" i="6" s="1"/>
  <c r="D2242" i="6" s="1"/>
  <c r="Q2630" i="1"/>
  <c r="I2234" i="6" s="1"/>
  <c r="D2234" i="6" s="1"/>
  <c r="Q2631" i="1"/>
  <c r="I2229" i="6" s="1"/>
  <c r="D2229" i="6" s="1"/>
  <c r="Q2628" i="1"/>
  <c r="I2245" i="6" s="1"/>
  <c r="D2245" i="6" s="1"/>
  <c r="Q2623" i="1"/>
  <c r="I2253" i="6" s="1"/>
  <c r="D2253" i="6" s="1"/>
  <c r="Q2625" i="1"/>
  <c r="I2251" i="6" s="1"/>
  <c r="D2251" i="6" s="1"/>
  <c r="Q2627" i="1"/>
  <c r="I2243" i="6" s="1"/>
  <c r="D2243" i="6" s="1"/>
  <c r="Q2611" i="1"/>
  <c r="I2235" i="6" s="1"/>
  <c r="D2235" i="6" s="1"/>
  <c r="Q2529" i="1"/>
  <c r="I341" i="6" s="1"/>
  <c r="D341" i="6" s="1"/>
  <c r="Q2561" i="1"/>
  <c r="I370" i="6" s="1"/>
  <c r="D370" i="6" s="1"/>
  <c r="Q2530" i="1"/>
  <c r="I342" i="6" s="1"/>
  <c r="D342" i="6" s="1"/>
  <c r="Q2562" i="1"/>
  <c r="I371" i="6" s="1"/>
  <c r="D371" i="6" s="1"/>
  <c r="Q2557" i="1"/>
  <c r="I367" i="6" s="1"/>
  <c r="D367" i="6" s="1"/>
  <c r="Q2560" i="1"/>
  <c r="I369" i="6" s="1"/>
  <c r="D369" i="6" s="1"/>
  <c r="Q2531" i="1"/>
  <c r="I343" i="6" s="1"/>
  <c r="D343" i="6" s="1"/>
  <c r="Q2563" i="1"/>
  <c r="I372" i="6" s="1"/>
  <c r="D372" i="6" s="1"/>
  <c r="Q2532" i="1"/>
  <c r="I344" i="6" s="1"/>
  <c r="D344" i="6" s="1"/>
  <c r="Q2564" i="1"/>
  <c r="I373" i="6" s="1"/>
  <c r="D373" i="6" s="1"/>
  <c r="Q2542" i="1"/>
  <c r="I353" i="6" s="1"/>
  <c r="D353" i="6" s="1"/>
  <c r="Q2555" i="1"/>
  <c r="I365" i="6" s="1"/>
  <c r="D365" i="6" s="1"/>
  <c r="Q2558" i="1"/>
  <c r="I368" i="6" s="1"/>
  <c r="D368" i="6" s="1"/>
  <c r="Q2545" i="1"/>
  <c r="I356" i="6" s="1"/>
  <c r="D356" i="6" s="1"/>
  <c r="Q2549" i="1"/>
  <c r="I359" i="6" s="1"/>
  <c r="D359" i="6" s="1"/>
  <c r="Q2552" i="1"/>
  <c r="I362" i="6" s="1"/>
  <c r="D362" i="6" s="1"/>
  <c r="Q2554" i="1"/>
  <c r="I364" i="6" s="1"/>
  <c r="D364" i="6" s="1"/>
  <c r="Q2533" i="1"/>
  <c r="I345" i="6" s="1"/>
  <c r="D345" i="6" s="1"/>
  <c r="Q2528" i="1"/>
  <c r="I340" i="6" s="1"/>
  <c r="D340" i="6" s="1"/>
  <c r="Q2534" i="1"/>
  <c r="I346" i="6" s="1"/>
  <c r="D346" i="6" s="1"/>
  <c r="Q2541" i="1"/>
  <c r="I352" i="6" s="1"/>
  <c r="D352" i="6" s="1"/>
  <c r="Q2546" i="1"/>
  <c r="I357" i="6" s="1"/>
  <c r="D357" i="6" s="1"/>
  <c r="Q2547" i="1"/>
  <c r="I358" i="6" s="1"/>
  <c r="D358" i="6" s="1"/>
  <c r="Q2550" i="1"/>
  <c r="I360" i="6" s="1"/>
  <c r="D360" i="6" s="1"/>
  <c r="Q2551" i="1"/>
  <c r="I361" i="6" s="1"/>
  <c r="D361" i="6" s="1"/>
  <c r="Q2553" i="1"/>
  <c r="I363" i="6" s="1"/>
  <c r="D363" i="6" s="1"/>
  <c r="Q2556" i="1"/>
  <c r="I366" i="6" s="1"/>
  <c r="D366" i="6" s="1"/>
  <c r="Q2536" i="1"/>
  <c r="I347" i="6" s="1"/>
  <c r="D347" i="6" s="1"/>
  <c r="Q2537" i="1"/>
  <c r="I348" i="6" s="1"/>
  <c r="D348" i="6" s="1"/>
  <c r="Q2538" i="1"/>
  <c r="I349" i="6" s="1"/>
  <c r="D349" i="6" s="1"/>
  <c r="Q2539" i="1"/>
  <c r="I350" i="6" s="1"/>
  <c r="D350" i="6" s="1"/>
  <c r="Q2540" i="1"/>
  <c r="I351" i="6" s="1"/>
  <c r="D351" i="6" s="1"/>
  <c r="Q2544" i="1"/>
  <c r="I355" i="6" s="1"/>
  <c r="D355" i="6" s="1"/>
  <c r="Q2374" i="1"/>
  <c r="I898" i="6" s="1"/>
  <c r="D898" i="6" s="1"/>
  <c r="Q2402" i="1"/>
  <c r="I879" i="6" s="1"/>
  <c r="D879" i="6" s="1"/>
  <c r="Q2375" i="1"/>
  <c r="I899" i="6" s="1"/>
  <c r="D899" i="6" s="1"/>
  <c r="Q2403" i="1"/>
  <c r="I880" i="6" s="1"/>
  <c r="D880" i="6" s="1"/>
  <c r="Q2401" i="1"/>
  <c r="I878" i="6" s="1"/>
  <c r="D878" i="6" s="1"/>
  <c r="Q2376" i="1"/>
  <c r="I901" i="6" s="1"/>
  <c r="D901" i="6" s="1"/>
  <c r="Q2404" i="1"/>
  <c r="I882" i="6" s="1"/>
  <c r="D882" i="6" s="1"/>
  <c r="Q2377" i="1"/>
  <c r="I902" i="6" s="1"/>
  <c r="D902" i="6" s="1"/>
  <c r="Q2405" i="1"/>
  <c r="I883" i="6" s="1"/>
  <c r="D883" i="6" s="1"/>
  <c r="Q2414" i="1"/>
  <c r="I893" i="6" s="1"/>
  <c r="D893" i="6" s="1"/>
  <c r="Q2389" i="1"/>
  <c r="I866" i="6" s="1"/>
  <c r="D866" i="6" s="1"/>
  <c r="Q2391" i="1"/>
  <c r="I868" i="6" s="1"/>
  <c r="D868" i="6" s="1"/>
  <c r="Q2400" i="1"/>
  <c r="I872" i="6" s="1"/>
  <c r="D872" i="6" s="1"/>
  <c r="Q2406" i="1"/>
  <c r="I877" i="6" s="1"/>
  <c r="D877" i="6" s="1"/>
  <c r="Q2379" i="1"/>
  <c r="I857" i="6" s="1"/>
  <c r="D857" i="6" s="1"/>
  <c r="Q2407" i="1"/>
  <c r="I884" i="6" s="1"/>
  <c r="D884" i="6" s="1"/>
  <c r="Q2416" i="1"/>
  <c r="I895" i="6" s="1"/>
  <c r="D895" i="6" s="1"/>
  <c r="Q2418" i="1"/>
  <c r="I897" i="6" s="1"/>
  <c r="D897" i="6" s="1"/>
  <c r="Q2380" i="1"/>
  <c r="I859" i="6" s="1"/>
  <c r="D859" i="6" s="1"/>
  <c r="Q2408" i="1"/>
  <c r="I874" i="6" s="1"/>
  <c r="D874" i="6" s="1"/>
  <c r="Q2415" i="1"/>
  <c r="I894" i="6" s="1"/>
  <c r="D894" i="6" s="1"/>
  <c r="Q2417" i="1"/>
  <c r="I896" i="6" s="1"/>
  <c r="D896" i="6" s="1"/>
  <c r="Q2381" i="1"/>
  <c r="I858" i="6" s="1"/>
  <c r="D858" i="6" s="1"/>
  <c r="Q2388" i="1"/>
  <c r="I865" i="6" s="1"/>
  <c r="D865" i="6" s="1"/>
  <c r="Q2382" i="1"/>
  <c r="I860" i="6" s="1"/>
  <c r="D860" i="6" s="1"/>
  <c r="Q2410" i="1"/>
  <c r="I889" i="6" s="1"/>
  <c r="D889" i="6" s="1"/>
  <c r="Q2383" i="1"/>
  <c r="I861" i="6" s="1"/>
  <c r="D861" i="6" s="1"/>
  <c r="Q2411" i="1"/>
  <c r="I890" i="6" s="1"/>
  <c r="D890" i="6" s="1"/>
  <c r="Q2387" i="1"/>
  <c r="I864" i="6" s="1"/>
  <c r="D864" i="6" s="1"/>
  <c r="Q2390" i="1"/>
  <c r="I867" i="6" s="1"/>
  <c r="D867" i="6" s="1"/>
  <c r="Q2392" i="1"/>
  <c r="I869" i="6" s="1"/>
  <c r="D869" i="6" s="1"/>
  <c r="Q2396" i="1"/>
  <c r="I887" i="6" s="1"/>
  <c r="D887" i="6" s="1"/>
  <c r="Q2398" i="1"/>
  <c r="I875" i="6" s="1"/>
  <c r="D875" i="6" s="1"/>
  <c r="Q2399" i="1"/>
  <c r="I876" i="6" s="1"/>
  <c r="D876" i="6" s="1"/>
  <c r="Q2384" i="1"/>
  <c r="I862" i="6" s="1"/>
  <c r="D862" i="6" s="1"/>
  <c r="Q2412" i="1"/>
  <c r="I891" i="6" s="1"/>
  <c r="D891" i="6" s="1"/>
  <c r="Q2385" i="1"/>
  <c r="I863" i="6" s="1"/>
  <c r="D863" i="6" s="1"/>
  <c r="Q2413" i="1"/>
  <c r="I892" i="6" s="1"/>
  <c r="D892" i="6" s="1"/>
  <c r="Q2386" i="1"/>
  <c r="I870" i="6" s="1"/>
  <c r="D870" i="6" s="1"/>
  <c r="Q2373" i="1"/>
  <c r="I900" i="6" s="1"/>
  <c r="D900" i="6" s="1"/>
  <c r="Q2394" i="1"/>
  <c r="I885" i="6" s="1"/>
  <c r="D885" i="6" s="1"/>
  <c r="Q2395" i="1"/>
  <c r="I886" i="6" s="1"/>
  <c r="D886" i="6" s="1"/>
  <c r="Q2397" i="1"/>
  <c r="I888" i="6" s="1"/>
  <c r="D888" i="6" s="1"/>
  <c r="Q1735" i="1"/>
  <c r="I1916" i="6" s="1"/>
  <c r="D1916" i="6" s="1"/>
  <c r="Q1763" i="1"/>
  <c r="I1968" i="6" s="1"/>
  <c r="D1968" i="6" s="1"/>
  <c r="Q1736" i="1"/>
  <c r="I1918" i="6" s="1"/>
  <c r="D1918" i="6" s="1"/>
  <c r="Q1764" i="1"/>
  <c r="I1969" i="6" s="1"/>
  <c r="D1969" i="6" s="1"/>
  <c r="Q1766" i="1"/>
  <c r="I1960" i="6" s="1"/>
  <c r="D1960" i="6" s="1"/>
  <c r="Q1739" i="1"/>
  <c r="I1917" i="6" s="1"/>
  <c r="D1917" i="6" s="1"/>
  <c r="Q1768" i="1"/>
  <c r="I1966" i="6" s="1"/>
  <c r="D1966" i="6" s="1"/>
  <c r="Q1741" i="1"/>
  <c r="I1933" i="6" s="1"/>
  <c r="D1933" i="6" s="1"/>
  <c r="Q1770" i="1"/>
  <c r="I1927" i="6" s="1"/>
  <c r="D1927" i="6" s="1"/>
  <c r="Q1743" i="1"/>
  <c r="I1943" i="6" s="1"/>
  <c r="D1943" i="6" s="1"/>
  <c r="Q1772" i="1"/>
  <c r="I1931" i="6" s="1"/>
  <c r="D1931" i="6" s="1"/>
  <c r="Q1747" i="1"/>
  <c r="I1949" i="6" s="1"/>
  <c r="D1949" i="6" s="1"/>
  <c r="Q1748" i="1"/>
  <c r="I1950" i="6" s="1"/>
  <c r="D1950" i="6" s="1"/>
  <c r="Q1776" i="1"/>
  <c r="I1936" i="6" s="1"/>
  <c r="D1936" i="6" s="1"/>
  <c r="Q1749" i="1"/>
  <c r="I1956" i="6" s="1"/>
  <c r="D1956" i="6" s="1"/>
  <c r="Q1781" i="1"/>
  <c r="I1940" i="6" s="1"/>
  <c r="D1940" i="6" s="1"/>
  <c r="Q1754" i="1"/>
  <c r="I1951" i="6" s="1"/>
  <c r="D1951" i="6" s="1"/>
  <c r="Q1737" i="1"/>
  <c r="I1967" i="6" s="1"/>
  <c r="D1967" i="6" s="1"/>
  <c r="Q1765" i="1"/>
  <c r="I1965" i="6" s="1"/>
  <c r="D1965" i="6" s="1"/>
  <c r="Q1738" i="1"/>
  <c r="I1962" i="6" s="1"/>
  <c r="D1962" i="6" s="1"/>
  <c r="Q1767" i="1"/>
  <c r="I1963" i="6" s="1"/>
  <c r="D1963" i="6" s="1"/>
  <c r="Q1771" i="1"/>
  <c r="I1929" i="6" s="1"/>
  <c r="D1929" i="6" s="1"/>
  <c r="Q1744" i="1"/>
  <c r="I1945" i="6" s="1"/>
  <c r="D1945" i="6" s="1"/>
  <c r="Q1775" i="1"/>
  <c r="I1938" i="6" s="1"/>
  <c r="D1938" i="6" s="1"/>
  <c r="Q1777" i="1"/>
  <c r="I1935" i="6" s="1"/>
  <c r="D1935" i="6" s="1"/>
  <c r="Q1750" i="1"/>
  <c r="I1954" i="6" s="1"/>
  <c r="D1954" i="6" s="1"/>
  <c r="Q1751" i="1"/>
  <c r="I1955" i="6" s="1"/>
  <c r="D1955" i="6" s="1"/>
  <c r="Q1734" i="1"/>
  <c r="I1919" i="6" s="1"/>
  <c r="D1919" i="6" s="1"/>
  <c r="Q1745" i="1"/>
  <c r="I1946" i="6" s="1"/>
  <c r="D1946" i="6" s="1"/>
  <c r="Q1778" i="1"/>
  <c r="I1939" i="6" s="1"/>
  <c r="D1939" i="6" s="1"/>
  <c r="Q1779" i="1"/>
  <c r="I1942" i="6" s="1"/>
  <c r="D1942" i="6" s="1"/>
  <c r="Q1780" i="1"/>
  <c r="I1941" i="6" s="1"/>
  <c r="D1941" i="6" s="1"/>
  <c r="Q1758" i="1"/>
  <c r="I1958" i="6" s="1"/>
  <c r="D1958" i="6" s="1"/>
  <c r="Q1746" i="1"/>
  <c r="I1947" i="6" s="1"/>
  <c r="D1947" i="6" s="1"/>
  <c r="Q1774" i="1"/>
  <c r="I1937" i="6" s="1"/>
  <c r="D1937" i="6" s="1"/>
  <c r="Q1752" i="1"/>
  <c r="I1944" i="6" s="1"/>
  <c r="D1944" i="6" s="1"/>
  <c r="Q1753" i="1"/>
  <c r="I1948" i="6" s="1"/>
  <c r="D1948" i="6" s="1"/>
  <c r="Q1755" i="1"/>
  <c r="I1952" i="6" s="1"/>
  <c r="D1952" i="6" s="1"/>
  <c r="Q1757" i="1"/>
  <c r="I1957" i="6" s="1"/>
  <c r="D1957" i="6" s="1"/>
  <c r="Q1759" i="1"/>
  <c r="I1959" i="6" s="1"/>
  <c r="D1959" i="6" s="1"/>
  <c r="Q1760" i="1"/>
  <c r="I1961" i="6" s="1"/>
  <c r="D1961" i="6" s="1"/>
  <c r="Q1761" i="1"/>
  <c r="I1964" i="6" s="1"/>
  <c r="D1964" i="6" s="1"/>
  <c r="Q1762" i="1"/>
  <c r="I1970" i="6" s="1"/>
  <c r="D1970" i="6" s="1"/>
  <c r="O1520" i="1"/>
  <c r="I828" i="6"/>
  <c r="D828" i="6" s="1"/>
  <c r="O1519" i="1"/>
  <c r="I827" i="6"/>
  <c r="D827" i="6" s="1"/>
  <c r="O1518" i="1"/>
  <c r="Q1350" i="1"/>
  <c r="I1974" i="6" s="1"/>
  <c r="D1974" i="6" s="1"/>
  <c r="Q1351" i="1"/>
  <c r="I1975" i="6" s="1"/>
  <c r="D1975" i="6" s="1"/>
  <c r="Q1352" i="1"/>
  <c r="I1976" i="6" s="1"/>
  <c r="D1976" i="6" s="1"/>
  <c r="Q1353" i="1"/>
  <c r="I1973" i="6" s="1"/>
  <c r="D1973" i="6" s="1"/>
  <c r="Q1354" i="1"/>
  <c r="I1978" i="6" s="1"/>
  <c r="D1978" i="6" s="1"/>
  <c r="Q1355" i="1"/>
  <c r="I1972" i="6" s="1"/>
  <c r="D1972" i="6" s="1"/>
  <c r="Q1356" i="1"/>
  <c r="I1977" i="6" s="1"/>
  <c r="D1977" i="6" s="1"/>
  <c r="Q1349" i="1"/>
  <c r="I1971" i="6" s="1"/>
  <c r="D1971" i="6" s="1"/>
  <c r="Q1056" i="1"/>
  <c r="I687" i="6" s="1"/>
  <c r="D687" i="6" s="1"/>
  <c r="Q1060" i="1"/>
  <c r="I691" i="6" s="1"/>
  <c r="D691" i="6" s="1"/>
  <c r="Q210" i="1"/>
  <c r="I849" i="6" s="1"/>
  <c r="D849" i="6" s="1"/>
  <c r="G196" i="1"/>
  <c r="I2482" i="6"/>
  <c r="D2482" i="6" s="1"/>
  <c r="I2436" i="6"/>
  <c r="D2436" i="6" s="1"/>
  <c r="I2422" i="6"/>
  <c r="D2422" i="6" s="1"/>
  <c r="I2474" i="6"/>
  <c r="D2474" i="6" s="1"/>
  <c r="I2483" i="6"/>
  <c r="D2483" i="6" s="1"/>
  <c r="I2522" i="6"/>
  <c r="D2522" i="6" s="1"/>
  <c r="I2496" i="6"/>
  <c r="D2496" i="6" s="1"/>
  <c r="I2521" i="6"/>
  <c r="D2521" i="6" s="1"/>
  <c r="I2513" i="6"/>
  <c r="D2513" i="6" s="1"/>
  <c r="I2421" i="6"/>
  <c r="D2421" i="6" s="1"/>
  <c r="I2512" i="6"/>
  <c r="D2512" i="6" s="1"/>
  <c r="I2434" i="6"/>
  <c r="D2434" i="6" s="1"/>
  <c r="I2420" i="6"/>
  <c r="D2420" i="6" s="1"/>
  <c r="I2416" i="6"/>
  <c r="D2416" i="6" s="1"/>
  <c r="I2425" i="6"/>
  <c r="D2425" i="6" s="1"/>
  <c r="I2468" i="6"/>
  <c r="D2468" i="6" s="1"/>
  <c r="I2440" i="6"/>
  <c r="D2440" i="6" s="1"/>
  <c r="I2395" i="6"/>
  <c r="D2395" i="6" s="1"/>
  <c r="I2520" i="6"/>
  <c r="D2520" i="6" s="1"/>
  <c r="I2441" i="6"/>
  <c r="D2441" i="6" s="1"/>
  <c r="I2435" i="6"/>
  <c r="D2435" i="6" s="1"/>
  <c r="I2417" i="6"/>
  <c r="D2417" i="6" s="1"/>
  <c r="I2473" i="6"/>
  <c r="D2473" i="6" s="1"/>
  <c r="I2396" i="6"/>
  <c r="D2396" i="6" s="1"/>
  <c r="I2419" i="6"/>
  <c r="D2419" i="6" s="1"/>
  <c r="I2412" i="6"/>
  <c r="D2412" i="6" s="1"/>
  <c r="I2518" i="6"/>
  <c r="D2518" i="6" s="1"/>
  <c r="I2523" i="6"/>
  <c r="D2523" i="6" s="1"/>
  <c r="I2394" i="6"/>
  <c r="D2394" i="6" s="1"/>
  <c r="I2459" i="6"/>
  <c r="D2459" i="6" s="1"/>
  <c r="I2486" i="6"/>
  <c r="D2486" i="6" s="1"/>
  <c r="I2444" i="6"/>
  <c r="D2444" i="6" s="1"/>
  <c r="I2406" i="6"/>
  <c r="D2406" i="6" s="1"/>
  <c r="I2480" i="6"/>
  <c r="D2480" i="6" s="1"/>
  <c r="I2415" i="6"/>
  <c r="D2415" i="6" s="1"/>
  <c r="I2492" i="6"/>
  <c r="D2492" i="6" s="1"/>
  <c r="I2489" i="6"/>
  <c r="D2489" i="6" s="1"/>
  <c r="I2490" i="6"/>
  <c r="D2490" i="6" s="1"/>
  <c r="I2460" i="6"/>
  <c r="D2460" i="6" s="1"/>
  <c r="I2429" i="6"/>
  <c r="D2429" i="6" s="1"/>
  <c r="I2432" i="6"/>
  <c r="D2432" i="6" s="1"/>
  <c r="I2491" i="6"/>
  <c r="D2491" i="6" s="1"/>
  <c r="I2503" i="6"/>
  <c r="D2503" i="6" s="1"/>
  <c r="I2479" i="6"/>
  <c r="D2479" i="6" s="1"/>
  <c r="I2470" i="6"/>
  <c r="D2470" i="6" s="1"/>
  <c r="I2398" i="6"/>
  <c r="D2398" i="6" s="1"/>
  <c r="I2497" i="6"/>
  <c r="D2497" i="6" s="1"/>
  <c r="I2408" i="6"/>
  <c r="D2408" i="6" s="1"/>
  <c r="I2502" i="6"/>
  <c r="D2502" i="6" s="1"/>
  <c r="I2515" i="6"/>
  <c r="D2515" i="6" s="1"/>
  <c r="I2488" i="6"/>
  <c r="D2488" i="6" s="1"/>
  <c r="I2481" i="6"/>
  <c r="D2481" i="6" s="1"/>
  <c r="I2463" i="6"/>
  <c r="D2463" i="6" s="1"/>
  <c r="I2397" i="6"/>
  <c r="D2397" i="6" s="1"/>
  <c r="I2414" i="6"/>
  <c r="D2414" i="6" s="1"/>
  <c r="I2487" i="6"/>
  <c r="D2487" i="6" s="1"/>
  <c r="I2403" i="6"/>
  <c r="D2403" i="6" s="1"/>
  <c r="I2465" i="6"/>
  <c r="D2465" i="6" s="1"/>
  <c r="I2509" i="6"/>
  <c r="D2509" i="6" s="1"/>
  <c r="I2495" i="6"/>
  <c r="D2495" i="6" s="1"/>
  <c r="I2439" i="6"/>
  <c r="D2439" i="6" s="1"/>
  <c r="I2410" i="6"/>
  <c r="D2410" i="6" s="1"/>
  <c r="I2424" i="6"/>
  <c r="D2424" i="6" s="1"/>
  <c r="I2478" i="6"/>
  <c r="D2478" i="6" s="1"/>
  <c r="I2433" i="6"/>
  <c r="D2433" i="6" s="1"/>
  <c r="I2475" i="6"/>
  <c r="D2475" i="6" s="1"/>
  <c r="I2413" i="6"/>
  <c r="D2413" i="6" s="1"/>
  <c r="I2452" i="6"/>
  <c r="D2452" i="6" s="1"/>
  <c r="I2399" i="6"/>
  <c r="D2399" i="6" s="1"/>
  <c r="I2402" i="6"/>
  <c r="D2402" i="6" s="1"/>
  <c r="I2514" i="6"/>
  <c r="D2514" i="6" s="1"/>
  <c r="I2469" i="6"/>
  <c r="D2469" i="6" s="1"/>
  <c r="I2431" i="6"/>
  <c r="D2431" i="6" s="1"/>
  <c r="I2467" i="6"/>
  <c r="D2467" i="6" s="1"/>
  <c r="I2508" i="6"/>
  <c r="D2508" i="6" s="1"/>
  <c r="I2485" i="6"/>
  <c r="D2485" i="6" s="1"/>
  <c r="I2447" i="6"/>
  <c r="D2447" i="6" s="1"/>
  <c r="I2423" i="6"/>
  <c r="D2423" i="6" s="1"/>
  <c r="I2477" i="6"/>
  <c r="D2477" i="6" s="1"/>
  <c r="I2494" i="6"/>
  <c r="D2494" i="6" s="1"/>
  <c r="I2428" i="6"/>
  <c r="D2428" i="6" s="1"/>
  <c r="I2430" i="6"/>
  <c r="D2430" i="6" s="1"/>
  <c r="I2466" i="6"/>
  <c r="D2466" i="6" s="1"/>
  <c r="I2517" i="6"/>
  <c r="D2517" i="6" s="1"/>
  <c r="I2472" i="6"/>
  <c r="D2472" i="6" s="1"/>
  <c r="I2446" i="6"/>
  <c r="D2446" i="6" s="1"/>
  <c r="I2427" i="6"/>
  <c r="D2427" i="6" s="1"/>
  <c r="I2493" i="6"/>
  <c r="D2493" i="6" s="1"/>
  <c r="I2438" i="6"/>
  <c r="D2438" i="6" s="1"/>
  <c r="I2484" i="6"/>
  <c r="D2484" i="6" s="1"/>
  <c r="I2464" i="6"/>
  <c r="D2464" i="6" s="1"/>
  <c r="I2476" i="6"/>
  <c r="D2476" i="6" s="1"/>
  <c r="I2437" i="6"/>
  <c r="D2437" i="6" s="1"/>
  <c r="I2426" i="6"/>
  <c r="D2426" i="6" s="1"/>
  <c r="I2516" i="6"/>
  <c r="D2516" i="6" s="1"/>
  <c r="I2445" i="6"/>
  <c r="D2445" i="6" s="1"/>
  <c r="I2443" i="6"/>
  <c r="D2443" i="6" s="1"/>
  <c r="I2405" i="6"/>
  <c r="D2405" i="6" s="1"/>
  <c r="I2411" i="6"/>
  <c r="D2411" i="6" s="1"/>
  <c r="I2409" i="6"/>
  <c r="D2409" i="6" s="1"/>
  <c r="I2442" i="6"/>
  <c r="D2442" i="6" s="1"/>
  <c r="I2510" i="6"/>
  <c r="D2510" i="6" s="1"/>
  <c r="I2471" i="6"/>
  <c r="D2471" i="6" s="1"/>
  <c r="G833" i="1"/>
  <c r="D10" i="6"/>
  <c r="I2455" i="6"/>
  <c r="D2455" i="6" s="1"/>
  <c r="I2451" i="6"/>
  <c r="D2451" i="6" s="1"/>
  <c r="I2454" i="6"/>
  <c r="D2454" i="6" s="1"/>
  <c r="I1452" i="6"/>
  <c r="D1452" i="6" s="1"/>
  <c r="AK1590" i="1"/>
  <c r="D1590" i="1" s="1"/>
  <c r="I1866" i="6"/>
  <c r="D1866" i="6" s="1"/>
  <c r="AK1571" i="1"/>
  <c r="D1571" i="1" s="1"/>
  <c r="I2457" i="6"/>
  <c r="D2457" i="6" s="1"/>
  <c r="I2498" i="6"/>
  <c r="D2498" i="6" s="1"/>
  <c r="F18" i="7"/>
  <c r="G18" i="7"/>
  <c r="G19" i="7"/>
  <c r="F19" i="7"/>
  <c r="G20" i="7"/>
  <c r="F20" i="7"/>
  <c r="G21" i="7"/>
  <c r="F21" i="7"/>
  <c r="G22" i="7"/>
  <c r="F22" i="7"/>
  <c r="F23" i="7"/>
  <c r="G23" i="7"/>
  <c r="F24" i="7"/>
  <c r="G24" i="7"/>
  <c r="G25" i="7"/>
  <c r="F25" i="7"/>
  <c r="G26" i="7"/>
  <c r="F26" i="7"/>
  <c r="F27" i="7"/>
  <c r="G27" i="7"/>
  <c r="F28" i="7"/>
  <c r="G28" i="7"/>
  <c r="G29" i="7"/>
  <c r="F29" i="7"/>
  <c r="F30" i="7"/>
  <c r="G30" i="7"/>
  <c r="F31" i="7"/>
  <c r="G31" i="7"/>
  <c r="G32" i="7"/>
  <c r="F32" i="7"/>
  <c r="G33" i="7"/>
  <c r="F33" i="7"/>
  <c r="F34" i="7"/>
  <c r="G34" i="7"/>
  <c r="F35" i="7"/>
  <c r="G35" i="7"/>
  <c r="F36" i="7"/>
  <c r="G36" i="7"/>
  <c r="G37" i="7"/>
  <c r="F37" i="7"/>
  <c r="F38" i="7"/>
  <c r="G38" i="7"/>
  <c r="F39" i="7"/>
  <c r="G39" i="7"/>
  <c r="F40" i="7"/>
  <c r="G40" i="7"/>
  <c r="G41" i="7"/>
  <c r="F41" i="7"/>
  <c r="G42" i="7"/>
  <c r="F42" i="7"/>
  <c r="F43" i="7"/>
  <c r="G43" i="7"/>
  <c r="F44" i="7"/>
  <c r="G44" i="7"/>
  <c r="F45" i="7"/>
  <c r="G45" i="7"/>
  <c r="F46" i="7"/>
  <c r="G46" i="7"/>
  <c r="G47" i="7"/>
  <c r="F47" i="7"/>
  <c r="F48" i="7"/>
  <c r="G48" i="7"/>
  <c r="F49" i="7"/>
  <c r="G49" i="7"/>
  <c r="F50" i="7"/>
  <c r="G50" i="7"/>
  <c r="F51" i="7"/>
  <c r="G51" i="7"/>
  <c r="F52" i="7"/>
  <c r="G52" i="7"/>
  <c r="G53" i="7"/>
  <c r="F53" i="7"/>
  <c r="G54" i="7"/>
  <c r="F54" i="7"/>
  <c r="F55" i="7"/>
  <c r="G55" i="7"/>
  <c r="F56" i="7"/>
  <c r="G56" i="7"/>
  <c r="G57" i="7"/>
  <c r="F57" i="7"/>
  <c r="F58" i="7"/>
  <c r="G58" i="7"/>
  <c r="F59" i="7"/>
  <c r="G59" i="7"/>
  <c r="I2499" i="6"/>
  <c r="D2499" i="6" s="1"/>
  <c r="I2458" i="6"/>
  <c r="D2458" i="6" s="1"/>
  <c r="I2456" i="6"/>
  <c r="D2456" i="6" s="1"/>
  <c r="I2453" i="6"/>
  <c r="D2453" i="6" s="1"/>
  <c r="I2504" i="6"/>
  <c r="D2504" i="6" s="1"/>
  <c r="I2505" i="6"/>
  <c r="D2505" i="6" s="1"/>
  <c r="G17" i="7"/>
  <c r="F17" i="7"/>
  <c r="G61" i="7"/>
  <c r="F61" i="7"/>
  <c r="A61" i="7"/>
  <c r="B62" i="7"/>
  <c r="C61" i="7"/>
  <c r="D61" i="7"/>
  <c r="E61" i="7"/>
  <c r="I836" i="6"/>
  <c r="D836" i="6" s="1"/>
  <c r="F16" i="7"/>
  <c r="G16" i="7"/>
  <c r="I833" i="6"/>
  <c r="D833" i="6" s="1"/>
  <c r="G15" i="7"/>
  <c r="F15" i="7"/>
  <c r="I831" i="6"/>
  <c r="D831" i="6" s="1"/>
  <c r="F14" i="7"/>
  <c r="G14" i="7"/>
  <c r="G13" i="7"/>
  <c r="F13" i="7"/>
  <c r="I841" i="6"/>
  <c r="D841" i="6" s="1"/>
  <c r="I763" i="6"/>
  <c r="D763" i="6" s="1"/>
  <c r="Q2151" i="1"/>
  <c r="I2561" i="6" s="1"/>
  <c r="D2561" i="6" s="1"/>
  <c r="Q2139" i="1"/>
  <c r="I2526" i="6" s="1"/>
  <c r="D2526" i="6" s="1"/>
  <c r="Q2136" i="1"/>
  <c r="I2556" i="6" s="1"/>
  <c r="D2556" i="6" s="1"/>
  <c r="Q2133" i="1"/>
  <c r="I2535" i="6" s="1"/>
  <c r="D2535" i="6" s="1"/>
  <c r="Q2131" i="1"/>
  <c r="I2544" i="6" s="1"/>
  <c r="D2544" i="6" s="1"/>
  <c r="Q2138" i="1"/>
  <c r="I2562" i="6" s="1"/>
  <c r="D2562" i="6" s="1"/>
  <c r="G2117" i="1"/>
  <c r="Q2126" i="1"/>
  <c r="I2539" i="6" s="1"/>
  <c r="D2539" i="6" s="1"/>
  <c r="Q2137" i="1"/>
  <c r="I2557" i="6" s="1"/>
  <c r="D2557" i="6" s="1"/>
  <c r="Q2155" i="1"/>
  <c r="I2558" i="6" s="1"/>
  <c r="D2558" i="6" s="1"/>
  <c r="Q2125" i="1"/>
  <c r="I2538" i="6" s="1"/>
  <c r="D2538" i="6" s="1"/>
  <c r="Q2156" i="1"/>
  <c r="I2533" i="6" s="1"/>
  <c r="D2533" i="6" s="1"/>
  <c r="Q2130" i="1"/>
  <c r="I2543" i="6" s="1"/>
  <c r="D2543" i="6" s="1"/>
  <c r="Q2128" i="1"/>
  <c r="I2541" i="6" s="1"/>
  <c r="D2541" i="6" s="1"/>
  <c r="Q2127" i="1"/>
  <c r="I2540" i="6" s="1"/>
  <c r="D2540" i="6" s="1"/>
  <c r="Q2154" i="1"/>
  <c r="I2566" i="6" s="1"/>
  <c r="D2566" i="6" s="1"/>
  <c r="Q2149" i="1"/>
  <c r="I2571" i="6" s="1"/>
  <c r="D2571" i="6" s="1"/>
  <c r="I2545" i="6"/>
  <c r="D2545" i="6" s="1"/>
  <c r="Q2159" i="1"/>
  <c r="I2546" i="6" s="1"/>
  <c r="D2546" i="6" s="1"/>
  <c r="Q2134" i="1"/>
  <c r="I2536" i="6" s="1"/>
  <c r="D2536" i="6" s="1"/>
  <c r="Q2123" i="1"/>
  <c r="I2552" i="6" s="1"/>
  <c r="D2552" i="6" s="1"/>
  <c r="Q2119" i="1"/>
  <c r="I2555" i="6" s="1"/>
  <c r="D2555" i="6" s="1"/>
  <c r="Q2157" i="1"/>
  <c r="I2532" i="6" s="1"/>
  <c r="D2532" i="6" s="1"/>
  <c r="Q2150" i="1"/>
  <c r="I2525" i="6" s="1"/>
  <c r="D2525" i="6" s="1"/>
  <c r="Q2122" i="1"/>
  <c r="I2551" i="6" s="1"/>
  <c r="D2551" i="6" s="1"/>
  <c r="Q2147" i="1"/>
  <c r="I2537" i="6" s="1"/>
  <c r="D2537" i="6" s="1"/>
  <c r="Q2120" i="1"/>
  <c r="I2554" i="6" s="1"/>
  <c r="D2554" i="6" s="1"/>
  <c r="Q2152" i="1"/>
  <c r="I2565" i="6" s="1"/>
  <c r="D2565" i="6" s="1"/>
  <c r="I2550" i="6"/>
  <c r="D2550" i="6" s="1"/>
  <c r="Q2146" i="1"/>
  <c r="I2530" i="6" s="1"/>
  <c r="D2530" i="6" s="1"/>
  <c r="Q2129" i="1"/>
  <c r="I2542" i="6" s="1"/>
  <c r="D2542" i="6" s="1"/>
  <c r="Q2145" i="1"/>
  <c r="I2570" i="6" s="1"/>
  <c r="D2570" i="6" s="1"/>
  <c r="Q2135" i="1"/>
  <c r="I2524" i="6" s="1"/>
  <c r="D2524" i="6" s="1"/>
  <c r="Q2121" i="1"/>
  <c r="I2553" i="6" s="1"/>
  <c r="D2553" i="6" s="1"/>
  <c r="Q2162" i="1"/>
  <c r="I2549" i="6" s="1"/>
  <c r="D2549" i="6" s="1"/>
  <c r="Q2144" i="1"/>
  <c r="I2534" i="6" s="1"/>
  <c r="D2534" i="6" s="1"/>
  <c r="Q2140" i="1"/>
  <c r="I2527" i="6" s="1"/>
  <c r="D2527" i="6" s="1"/>
  <c r="Q2161" i="1"/>
  <c r="I2547" i="6" s="1"/>
  <c r="D2547" i="6" s="1"/>
  <c r="Q2143" i="1"/>
  <c r="I2529" i="6" s="1"/>
  <c r="D2529" i="6" s="1"/>
  <c r="Q2141" i="1"/>
  <c r="I2528" i="6" s="1"/>
  <c r="D2528" i="6" s="1"/>
  <c r="Q2153" i="1"/>
  <c r="I2531" i="6" s="1"/>
  <c r="D2531" i="6" s="1"/>
  <c r="Q2148" i="1"/>
  <c r="I2569" i="6" s="1"/>
  <c r="D2569" i="6" s="1"/>
  <c r="Q2160" i="1"/>
  <c r="I2548" i="6" s="1"/>
  <c r="D2548" i="6" s="1"/>
  <c r="O1515" i="1"/>
  <c r="I823" i="6"/>
  <c r="D823" i="6" s="1"/>
  <c r="O1511" i="1"/>
  <c r="I819" i="6"/>
  <c r="D819" i="6" s="1"/>
  <c r="O1516" i="1"/>
  <c r="I824" i="6"/>
  <c r="D824" i="6" s="1"/>
  <c r="O1510" i="1"/>
  <c r="I818" i="6"/>
  <c r="D818" i="6" s="1"/>
  <c r="I2101" i="6"/>
  <c r="D2101" i="6" s="1"/>
  <c r="D2" i="1"/>
  <c r="F5" i="7"/>
  <c r="I1499" i="6"/>
  <c r="D1499" i="6" s="1"/>
  <c r="G1342" i="1"/>
  <c r="I749" i="6"/>
  <c r="D749" i="6" s="1"/>
  <c r="I748" i="6"/>
  <c r="D748" i="6" s="1"/>
  <c r="AK2899" i="1"/>
  <c r="D2899" i="1" s="1"/>
  <c r="I1505" i="6"/>
  <c r="D1505" i="6" s="1"/>
  <c r="I1530" i="6"/>
  <c r="D1530" i="6" s="1"/>
  <c r="I1543" i="6"/>
  <c r="D1543" i="6" s="1"/>
  <c r="I1516" i="6"/>
  <c r="D1516" i="6" s="1"/>
  <c r="I1477" i="6"/>
  <c r="D1477" i="6" s="1"/>
  <c r="I1561" i="6"/>
  <c r="D1561" i="6" s="1"/>
  <c r="I1567" i="6"/>
  <c r="D1567" i="6" s="1"/>
  <c r="I1529" i="6"/>
  <c r="D1529" i="6" s="1"/>
  <c r="I1600" i="6"/>
  <c r="D1600" i="6" s="1"/>
  <c r="I1519" i="6"/>
  <c r="D1519" i="6" s="1"/>
  <c r="I1521" i="6"/>
  <c r="D1521" i="6" s="1"/>
  <c r="I1540" i="6"/>
  <c r="D1540" i="6" s="1"/>
  <c r="I1574" i="6"/>
  <c r="D1574" i="6" s="1"/>
  <c r="I1599" i="6"/>
  <c r="D1599" i="6" s="1"/>
  <c r="I1508" i="6"/>
  <c r="D1508" i="6" s="1"/>
  <c r="I1497" i="6"/>
  <c r="D1497" i="6" s="1"/>
  <c r="I1541" i="6"/>
  <c r="D1541" i="6" s="1"/>
  <c r="I1555" i="6"/>
  <c r="D1555" i="6" s="1"/>
  <c r="I1593" i="6"/>
  <c r="D1593" i="6" s="1"/>
  <c r="I1495" i="6"/>
  <c r="D1495" i="6" s="1"/>
  <c r="I1526" i="6"/>
  <c r="D1526" i="6" s="1"/>
  <c r="I1534" i="6"/>
  <c r="D1534" i="6" s="1"/>
  <c r="I1562" i="6"/>
  <c r="D1562" i="6" s="1"/>
  <c r="I1568" i="6"/>
  <c r="D1568" i="6" s="1"/>
  <c r="I1556" i="6"/>
  <c r="D1556" i="6" s="1"/>
  <c r="I1476" i="6"/>
  <c r="D1476" i="6" s="1"/>
  <c r="I1518" i="6"/>
  <c r="D1518" i="6" s="1"/>
  <c r="I1570" i="6"/>
  <c r="D1570" i="6" s="1"/>
  <c r="I1475" i="6"/>
  <c r="D1475" i="6" s="1"/>
  <c r="I1481" i="6"/>
  <c r="D1481" i="6" s="1"/>
  <c r="I1597" i="6"/>
  <c r="D1597" i="6" s="1"/>
  <c r="I1598" i="6"/>
  <c r="D1598" i="6" s="1"/>
  <c r="I1551" i="6"/>
  <c r="D1551" i="6" s="1"/>
  <c r="I1588" i="6"/>
  <c r="D1588" i="6" s="1"/>
  <c r="I1544" i="6"/>
  <c r="D1544" i="6" s="1"/>
  <c r="I1528" i="6"/>
  <c r="D1528" i="6" s="1"/>
  <c r="I1578" i="6"/>
  <c r="D1578" i="6" s="1"/>
  <c r="I1483" i="6"/>
  <c r="D1483" i="6" s="1"/>
  <c r="I1557" i="6"/>
  <c r="D1557" i="6" s="1"/>
  <c r="I1559" i="6"/>
  <c r="D1559" i="6" s="1"/>
  <c r="I1474" i="6"/>
  <c r="D1474" i="6" s="1"/>
  <c r="I1533" i="6"/>
  <c r="D1533" i="6" s="1"/>
  <c r="I1596" i="6"/>
  <c r="D1596" i="6" s="1"/>
  <c r="I1504" i="6"/>
  <c r="D1504" i="6" s="1"/>
  <c r="I1503" i="6"/>
  <c r="D1503" i="6" s="1"/>
  <c r="I1506" i="6"/>
  <c r="D1506" i="6" s="1"/>
  <c r="I1520" i="6"/>
  <c r="D1520" i="6" s="1"/>
  <c r="I1509" i="6"/>
  <c r="D1509" i="6" s="1"/>
  <c r="I1572" i="6"/>
  <c r="D1572" i="6" s="1"/>
  <c r="G636" i="1"/>
  <c r="I1546" i="6"/>
  <c r="D1546" i="6" s="1"/>
  <c r="I1580" i="6"/>
  <c r="D1580" i="6" s="1"/>
  <c r="I1486" i="6"/>
  <c r="D1486" i="6" s="1"/>
  <c r="I1489" i="6"/>
  <c r="D1489" i="6" s="1"/>
  <c r="I1478" i="6"/>
  <c r="D1478" i="6" s="1"/>
  <c r="I1548" i="6"/>
  <c r="D1548" i="6" s="1"/>
  <c r="I1582" i="6"/>
  <c r="D1582" i="6" s="1"/>
  <c r="I1558" i="6"/>
  <c r="D1558" i="6" s="1"/>
  <c r="I1563" i="6"/>
  <c r="D1563" i="6" s="1"/>
  <c r="I1524" i="6"/>
  <c r="D1524" i="6" s="1"/>
  <c r="I1552" i="6"/>
  <c r="D1552" i="6" s="1"/>
  <c r="I1514" i="6"/>
  <c r="D1514" i="6" s="1"/>
  <c r="I1553" i="6"/>
  <c r="D1553" i="6" s="1"/>
  <c r="I1550" i="6"/>
  <c r="D1550" i="6" s="1"/>
  <c r="I1591" i="6"/>
  <c r="D1591" i="6" s="1"/>
  <c r="I1479" i="6"/>
  <c r="D1479" i="6" s="1"/>
  <c r="I1536" i="6"/>
  <c r="D1536" i="6" s="1"/>
  <c r="I1473" i="6"/>
  <c r="D1473" i="6" s="1"/>
  <c r="I1569" i="6"/>
  <c r="D1569" i="6" s="1"/>
  <c r="I1537" i="6"/>
  <c r="D1537" i="6" s="1"/>
  <c r="I1482" i="6"/>
  <c r="D1482" i="6" s="1"/>
  <c r="I1532" i="6"/>
  <c r="D1532" i="6" s="1"/>
  <c r="I1492" i="6"/>
  <c r="D1492" i="6" s="1"/>
  <c r="I1496" i="6"/>
  <c r="D1496" i="6" s="1"/>
  <c r="I1586" i="6"/>
  <c r="D1586" i="6" s="1"/>
  <c r="I1531" i="6"/>
  <c r="D1531" i="6" s="1"/>
  <c r="I1560" i="6"/>
  <c r="D1560" i="6" s="1"/>
  <c r="I1576" i="6"/>
  <c r="D1576" i="6" s="1"/>
  <c r="I1472" i="6"/>
  <c r="D1472" i="6" s="1"/>
  <c r="I1573" i="6"/>
  <c r="D1573" i="6" s="1"/>
  <c r="I1511" i="6"/>
  <c r="D1511" i="6" s="1"/>
  <c r="I1487" i="6"/>
  <c r="D1487" i="6" s="1"/>
  <c r="I1571" i="6"/>
  <c r="D1571" i="6" s="1"/>
  <c r="I1494" i="6"/>
  <c r="D1494" i="6" s="1"/>
  <c r="I1545" i="6"/>
  <c r="D1545" i="6" s="1"/>
  <c r="I1517" i="6"/>
  <c r="D1517" i="6" s="1"/>
  <c r="I1490" i="6"/>
  <c r="D1490" i="6" s="1"/>
  <c r="I1510" i="6"/>
  <c r="D1510" i="6" s="1"/>
  <c r="I1539" i="6"/>
  <c r="D1539" i="6" s="1"/>
  <c r="I1595" i="6"/>
  <c r="D1595" i="6" s="1"/>
  <c r="I1585" i="6"/>
  <c r="D1585" i="6" s="1"/>
  <c r="I1565" i="6"/>
  <c r="D1565" i="6" s="1"/>
  <c r="I1538" i="6"/>
  <c r="D1538" i="6" s="1"/>
  <c r="I1485" i="6"/>
  <c r="D1485" i="6" s="1"/>
  <c r="I1554" i="6"/>
  <c r="D1554" i="6" s="1"/>
  <c r="I1601" i="6"/>
  <c r="D1601" i="6" s="1"/>
  <c r="I1594" i="6"/>
  <c r="D1594" i="6" s="1"/>
  <c r="I1484" i="6"/>
  <c r="D1484" i="6" s="1"/>
  <c r="I1493" i="6"/>
  <c r="D1493" i="6" s="1"/>
  <c r="I1577" i="6"/>
  <c r="D1577" i="6" s="1"/>
  <c r="I1575" i="6"/>
  <c r="D1575" i="6" s="1"/>
  <c r="I1583" i="6"/>
  <c r="D1583" i="6" s="1"/>
  <c r="I1522" i="6"/>
  <c r="D1522" i="6" s="1"/>
  <c r="I1471" i="6"/>
  <c r="D1471" i="6" s="1"/>
  <c r="I1525" i="6"/>
  <c r="D1525" i="6" s="1"/>
  <c r="I1491" i="6"/>
  <c r="D1491" i="6" s="1"/>
  <c r="I1527" i="6"/>
  <c r="D1527" i="6" s="1"/>
  <c r="I1547" i="6"/>
  <c r="D1547" i="6" s="1"/>
  <c r="I1592" i="6"/>
  <c r="D1592" i="6" s="1"/>
  <c r="I1566" i="6"/>
  <c r="D1566" i="6" s="1"/>
  <c r="I1480" i="6"/>
  <c r="D1480" i="6" s="1"/>
  <c r="I1502" i="6"/>
  <c r="D1502" i="6" s="1"/>
  <c r="I1507" i="6"/>
  <c r="D1507" i="6" s="1"/>
  <c r="I1501" i="6"/>
  <c r="D1501" i="6" s="1"/>
  <c r="I1500" i="6"/>
  <c r="D1500" i="6" s="1"/>
  <c r="I1498" i="6"/>
  <c r="D1498" i="6" s="1"/>
  <c r="G1893" i="1"/>
  <c r="Q1940" i="1"/>
  <c r="I1260" i="6" s="1"/>
  <c r="D1260" i="6" s="1"/>
  <c r="Q1910" i="1"/>
  <c r="I1282" i="6" s="1"/>
  <c r="D1282" i="6" s="1"/>
  <c r="Q1941" i="1"/>
  <c r="I1261" i="6" s="1"/>
  <c r="D1261" i="6" s="1"/>
  <c r="Q1939" i="1"/>
  <c r="I1263" i="6" s="1"/>
  <c r="D1263" i="6" s="1"/>
  <c r="Q1909" i="1"/>
  <c r="I1281" i="6" s="1"/>
  <c r="D1281" i="6" s="1"/>
  <c r="Q1942" i="1"/>
  <c r="I1305" i="6" s="1"/>
  <c r="D1305" i="6" s="1"/>
  <c r="Q1913" i="1"/>
  <c r="I1285" i="6" s="1"/>
  <c r="D1285" i="6" s="1"/>
  <c r="Q1912" i="1"/>
  <c r="I1284" i="6" s="1"/>
  <c r="D1284" i="6" s="1"/>
  <c r="Q1936" i="1"/>
  <c r="I1265" i="6" s="1"/>
  <c r="D1265" i="6" s="1"/>
  <c r="Q1907" i="1"/>
  <c r="I1279" i="6" s="1"/>
  <c r="D1279" i="6" s="1"/>
  <c r="Q1935" i="1"/>
  <c r="I1266" i="6" s="1"/>
  <c r="D1266" i="6" s="1"/>
  <c r="Q1906" i="1"/>
  <c r="I1278" i="6" s="1"/>
  <c r="D1278" i="6" s="1"/>
  <c r="Q1951" i="1"/>
  <c r="I1291" i="6" s="1"/>
  <c r="D1291" i="6" s="1"/>
  <c r="Q1934" i="1"/>
  <c r="I1264" i="6" s="1"/>
  <c r="D1264" i="6" s="1"/>
  <c r="Q1948" i="1"/>
  <c r="I1288" i="6" s="1"/>
  <c r="D1288" i="6" s="1"/>
  <c r="Q1903" i="1"/>
  <c r="I1275" i="6" s="1"/>
  <c r="D1275" i="6" s="1"/>
  <c r="Q1947" i="1"/>
  <c r="I1289" i="6" s="1"/>
  <c r="D1289" i="6" s="1"/>
  <c r="Q1932" i="1"/>
  <c r="I1310" i="6" s="1"/>
  <c r="D1310" i="6" s="1"/>
  <c r="Q1946" i="1"/>
  <c r="I1287" i="6" s="1"/>
  <c r="D1287" i="6" s="1"/>
  <c r="Q1902" i="1"/>
  <c r="I1274" i="6" s="1"/>
  <c r="D1274" i="6" s="1"/>
  <c r="Q1945" i="1"/>
  <c r="I1286" i="6" s="1"/>
  <c r="D1286" i="6" s="1"/>
  <c r="Q1931" i="1"/>
  <c r="I1308" i="6" s="1"/>
  <c r="D1308" i="6" s="1"/>
  <c r="Q1943" i="1"/>
  <c r="I1306" i="6" s="1"/>
  <c r="D1306" i="6" s="1"/>
  <c r="Q1901" i="1"/>
  <c r="I1273" i="6" s="1"/>
  <c r="D1273" i="6" s="1"/>
  <c r="Q1937" i="1"/>
  <c r="I1262" i="6" s="1"/>
  <c r="D1262" i="6" s="1"/>
  <c r="Q1930" i="1"/>
  <c r="I1309" i="6" s="1"/>
  <c r="D1309" i="6" s="1"/>
  <c r="Q1908" i="1"/>
  <c r="I1280" i="6" s="1"/>
  <c r="D1280" i="6" s="1"/>
  <c r="Q1924" i="1"/>
  <c r="I1293" i="6" s="1"/>
  <c r="D1293" i="6" s="1"/>
  <c r="Q1900" i="1"/>
  <c r="I1272" i="6" s="1"/>
  <c r="D1272" i="6" s="1"/>
  <c r="Q1905" i="1"/>
  <c r="I1277" i="6" s="1"/>
  <c r="D1277" i="6" s="1"/>
  <c r="Q1923" i="1"/>
  <c r="I1302" i="6" s="1"/>
  <c r="D1302" i="6" s="1"/>
  <c r="Q1929" i="1"/>
  <c r="I1311" i="6" s="1"/>
  <c r="D1311" i="6" s="1"/>
  <c r="I1259" i="6"/>
  <c r="D1259" i="6" s="1"/>
  <c r="Q1895" i="1"/>
  <c r="I1267" i="6" s="1"/>
  <c r="D1267" i="6" s="1"/>
  <c r="Q1950" i="1"/>
  <c r="I1292" i="6" s="1"/>
  <c r="D1292" i="6" s="1"/>
  <c r="Q1922" i="1"/>
  <c r="I1304" i="6" s="1"/>
  <c r="D1304" i="6" s="1"/>
  <c r="Q1899" i="1"/>
  <c r="I1271" i="6" s="1"/>
  <c r="D1271" i="6" s="1"/>
  <c r="Q1921" i="1"/>
  <c r="I1301" i="6" s="1"/>
  <c r="D1301" i="6" s="1"/>
  <c r="Q1928" i="1"/>
  <c r="I1307" i="6" s="1"/>
  <c r="D1307" i="6" s="1"/>
  <c r="Q1904" i="1"/>
  <c r="I1276" i="6" s="1"/>
  <c r="D1276" i="6" s="1"/>
  <c r="Q1938" i="1"/>
  <c r="I1258" i="6" s="1"/>
  <c r="D1258" i="6" s="1"/>
  <c r="Q1898" i="1"/>
  <c r="I1270" i="6" s="1"/>
  <c r="D1270" i="6" s="1"/>
  <c r="Q1949" i="1"/>
  <c r="I1290" i="6" s="1"/>
  <c r="D1290" i="6" s="1"/>
  <c r="Q1920" i="1"/>
  <c r="I1300" i="6" s="1"/>
  <c r="D1300" i="6" s="1"/>
  <c r="Q1926" i="1"/>
  <c r="I1294" i="6" s="1"/>
  <c r="D1294" i="6" s="1"/>
  <c r="Q1919" i="1"/>
  <c r="I1299" i="6" s="1"/>
  <c r="D1299" i="6" s="1"/>
  <c r="Q1897" i="1"/>
  <c r="I1269" i="6" s="1"/>
  <c r="D1269" i="6" s="1"/>
  <c r="Q1918" i="1"/>
  <c r="I1298" i="6" s="1"/>
  <c r="D1298" i="6" s="1"/>
  <c r="Q1925" i="1"/>
  <c r="I1303" i="6" s="1"/>
  <c r="D1303" i="6" s="1"/>
  <c r="Q1917" i="1"/>
  <c r="I1297" i="6" s="1"/>
  <c r="D1297" i="6" s="1"/>
  <c r="Q1896" i="1"/>
  <c r="I1268" i="6" s="1"/>
  <c r="D1268" i="6" s="1"/>
  <c r="Q1933" i="1"/>
  <c r="I1312" i="6" s="1"/>
  <c r="D1312" i="6" s="1"/>
  <c r="Q1916" i="1"/>
  <c r="I1296" i="6" s="1"/>
  <c r="D1296" i="6" s="1"/>
  <c r="Q1911" i="1"/>
  <c r="I1283" i="6" s="1"/>
  <c r="D1283" i="6" s="1"/>
  <c r="I1450" i="6"/>
  <c r="D1450" i="6" s="1"/>
  <c r="I1451" i="6"/>
  <c r="D1451" i="6" s="1"/>
  <c r="Q208" i="1"/>
  <c r="I847" i="6" s="1"/>
  <c r="D847" i="6" s="1"/>
  <c r="Q213" i="1"/>
  <c r="I852" i="6" s="1"/>
  <c r="D852" i="6" s="1"/>
  <c r="Q209" i="1"/>
  <c r="I848" i="6" s="1"/>
  <c r="D848" i="6" s="1"/>
  <c r="Q204" i="1"/>
  <c r="I843" i="6" s="1"/>
  <c r="D843" i="6" s="1"/>
  <c r="Q203" i="1"/>
  <c r="I842" i="6" s="1"/>
  <c r="D842" i="6" s="1"/>
  <c r="Q217" i="1"/>
  <c r="I856" i="6" s="1"/>
  <c r="D856" i="6" s="1"/>
  <c r="Q216" i="1"/>
  <c r="I855" i="6" s="1"/>
  <c r="D855" i="6" s="1"/>
  <c r="Q215" i="1"/>
  <c r="I854" i="6" s="1"/>
  <c r="D854" i="6" s="1"/>
  <c r="Q214" i="1"/>
  <c r="I853" i="6" s="1"/>
  <c r="D853" i="6" s="1"/>
  <c r="Q212" i="1"/>
  <c r="I851" i="6" s="1"/>
  <c r="D851" i="6" s="1"/>
  <c r="Q211" i="1"/>
  <c r="I850" i="6" s="1"/>
  <c r="D850" i="6" s="1"/>
  <c r="I761" i="6"/>
  <c r="D761" i="6" s="1"/>
  <c r="I773" i="6"/>
  <c r="D773" i="6" s="1"/>
  <c r="G2833" i="1"/>
  <c r="I760" i="6"/>
  <c r="D760" i="6" s="1"/>
  <c r="Q205" i="1"/>
  <c r="I844" i="6" s="1"/>
  <c r="D844" i="6" s="1"/>
  <c r="Q207" i="1"/>
  <c r="I846" i="6" s="1"/>
  <c r="D846" i="6" s="1"/>
  <c r="Q206" i="1"/>
  <c r="I845" i="6" s="1"/>
  <c r="D845" i="6" s="1"/>
  <c r="I1858" i="6"/>
  <c r="D1858" i="6" s="1"/>
  <c r="I1859" i="6"/>
  <c r="D1859" i="6" s="1"/>
  <c r="I1860" i="6"/>
  <c r="D1860" i="6" s="1"/>
  <c r="I1861" i="6"/>
  <c r="D1861" i="6" s="1"/>
  <c r="I1862" i="6"/>
  <c r="D1862" i="6" s="1"/>
  <c r="I1863" i="6"/>
  <c r="D1863" i="6" s="1"/>
  <c r="I1865" i="6"/>
  <c r="D1865" i="6" s="1"/>
  <c r="I1857" i="6"/>
  <c r="D1857" i="6" s="1"/>
  <c r="I1864" i="6"/>
  <c r="D1864" i="6" s="1"/>
  <c r="I2207" i="6"/>
  <c r="D2207" i="6" s="1"/>
  <c r="I2208" i="6"/>
  <c r="D2208" i="6" s="1"/>
  <c r="I2209" i="6"/>
  <c r="D2209" i="6" s="1"/>
  <c r="I2210" i="6"/>
  <c r="D2210" i="6" s="1"/>
  <c r="I2211" i="6"/>
  <c r="D2211" i="6" s="1"/>
  <c r="I2216" i="6"/>
  <c r="D2216" i="6" s="1"/>
  <c r="I2212" i="6"/>
  <c r="D2212" i="6" s="1"/>
  <c r="I2213" i="6"/>
  <c r="D2213" i="6" s="1"/>
  <c r="I2214" i="6"/>
  <c r="D2214" i="6" s="1"/>
  <c r="I2215" i="6"/>
  <c r="D2215" i="6" s="1"/>
  <c r="AK234" i="1"/>
  <c r="D234" i="1" s="1"/>
  <c r="AK2892" i="1"/>
  <c r="D2892" i="1" s="1"/>
  <c r="AK2990" i="1"/>
  <c r="D2990" i="1" s="1"/>
  <c r="AK2865" i="1"/>
  <c r="D2865" i="1" s="1"/>
  <c r="AK1123" i="1"/>
  <c r="D1123" i="1" s="1"/>
  <c r="AK3115" i="1"/>
  <c r="D3115" i="1" s="1"/>
  <c r="AK2660" i="1"/>
  <c r="D2660" i="1" s="1"/>
  <c r="AK1396" i="1"/>
  <c r="D1396" i="1" s="1"/>
  <c r="AK2466" i="1"/>
  <c r="D2466" i="1" s="1"/>
  <c r="AK2270" i="1"/>
  <c r="D2270" i="1" s="1"/>
  <c r="AK1251" i="1"/>
  <c r="D1251" i="1" s="1"/>
  <c r="AK2567" i="1"/>
  <c r="D2567" i="1" s="1"/>
  <c r="AK2108" i="1"/>
  <c r="D2108" i="1" s="1"/>
  <c r="AK564" i="1"/>
  <c r="D564" i="1" s="1"/>
  <c r="AK2959" i="1"/>
  <c r="D2959" i="1" s="1"/>
  <c r="AK1954" i="1"/>
  <c r="D1954" i="1" s="1"/>
  <c r="AK1832" i="1"/>
  <c r="D1832" i="1" s="1"/>
  <c r="AK3071" i="1"/>
  <c r="D3071" i="1" s="1"/>
  <c r="AK2731" i="1"/>
  <c r="D2731" i="1" s="1"/>
  <c r="AK2301" i="1"/>
  <c r="D2301" i="1" s="1"/>
  <c r="AK2258" i="1"/>
  <c r="D2258" i="1" s="1"/>
  <c r="AK1305" i="1"/>
  <c r="D1305" i="1" s="1"/>
  <c r="AK2165" i="1"/>
  <c r="D2165" i="1" s="1"/>
  <c r="AK2290" i="1"/>
  <c r="D2290" i="1" s="1"/>
  <c r="AK3020" i="1"/>
  <c r="D3020" i="1" s="1"/>
  <c r="AK2716" i="1"/>
  <c r="D2716" i="1" s="1"/>
  <c r="AK2982" i="1"/>
  <c r="D2982" i="1" s="1"/>
  <c r="AK1359" i="1"/>
  <c r="D1359" i="1" s="1"/>
  <c r="AK3065" i="1"/>
  <c r="D3065" i="1" s="1"/>
  <c r="AK1784" i="1"/>
  <c r="D1784" i="1" s="1"/>
  <c r="AK1105" i="1"/>
  <c r="D1105" i="1" s="1"/>
  <c r="AK2945" i="1"/>
  <c r="D2945" i="1" s="1"/>
  <c r="AK417" i="1"/>
  <c r="D417" i="1" s="1"/>
  <c r="AK1164" i="1"/>
  <c r="D1164" i="1" s="1"/>
  <c r="AK3006" i="1"/>
  <c r="D3006" i="1" s="1"/>
  <c r="AK2760" i="1"/>
  <c r="D2760" i="1" s="1"/>
  <c r="AK2458" i="1"/>
  <c r="D2458" i="1" s="1"/>
  <c r="AK2792" i="1"/>
  <c r="D2792" i="1" s="1"/>
  <c r="AK2635" i="1"/>
  <c r="D2635" i="1" s="1"/>
  <c r="AK958" i="1"/>
  <c r="D958" i="1" s="1"/>
  <c r="AK2579" i="1"/>
  <c r="D2579" i="1" s="1"/>
  <c r="AK766" i="1"/>
  <c r="D766" i="1" s="1"/>
  <c r="AK2699" i="1"/>
  <c r="D2699" i="1" s="1"/>
  <c r="AK1558" i="1"/>
  <c r="D1558" i="1" s="1"/>
  <c r="AK2497" i="1"/>
  <c r="D2497" i="1" s="1"/>
  <c r="AK2818" i="1"/>
  <c r="D2818" i="1" s="1"/>
  <c r="AK2802" i="1"/>
  <c r="D2802" i="1" s="1"/>
  <c r="AK1435" i="1"/>
  <c r="D1435" i="1" s="1"/>
  <c r="AK2937" i="1"/>
  <c r="D2937" i="1" s="1"/>
  <c r="AK2421" i="1"/>
  <c r="D2421" i="1" s="1"/>
  <c r="AK1459" i="1"/>
  <c r="D1459" i="1" s="1"/>
  <c r="AK2348" i="1"/>
  <c r="D2348" i="1" s="1"/>
  <c r="AK2012" i="1"/>
  <c r="D2012" i="1" s="1"/>
  <c r="AK2872" i="1"/>
  <c r="D2872" i="1" s="1"/>
  <c r="AK3040" i="1"/>
  <c r="D3040" i="1" s="1"/>
  <c r="AK1380" i="1"/>
  <c r="D1380" i="1" s="1"/>
  <c r="AK2033" i="1"/>
  <c r="D2033" i="1" s="1"/>
  <c r="AK2235" i="1"/>
  <c r="D2235" i="1" s="1"/>
  <c r="AK2065" i="1"/>
  <c r="D2065" i="1" s="1"/>
  <c r="AK2909" i="1"/>
  <c r="D2909" i="1" s="1"/>
  <c r="AK3160" i="1"/>
  <c r="D3160" i="1" s="1"/>
  <c r="I825" i="6" l="1"/>
  <c r="D825" i="6" s="1"/>
  <c r="O1514" i="1"/>
  <c r="I830" i="6"/>
  <c r="D830" i="6" s="1"/>
  <c r="AK1508" i="1"/>
  <c r="D1508" i="1" s="1"/>
  <c r="I820" i="6"/>
  <c r="D820" i="6" s="1"/>
  <c r="O1512" i="1"/>
  <c r="AK1011" i="1"/>
  <c r="D1011" i="1" s="1"/>
  <c r="AK2609" i="1"/>
  <c r="D2609" i="1" s="1"/>
  <c r="AK2522" i="1"/>
  <c r="D2522" i="1" s="1"/>
  <c r="AK2371" i="1"/>
  <c r="D2371" i="1" s="1"/>
  <c r="AK1732" i="1"/>
  <c r="D1732" i="1" s="1"/>
  <c r="F12" i="7"/>
  <c r="G12" i="7"/>
  <c r="G11" i="7"/>
  <c r="F11" i="7"/>
  <c r="G9" i="7"/>
  <c r="F10" i="7"/>
  <c r="G10" i="7"/>
  <c r="F8" i="7"/>
  <c r="G8" i="7"/>
  <c r="F9" i="7"/>
  <c r="AK1649" i="1"/>
  <c r="D1649" i="1" s="1"/>
  <c r="AK833" i="1"/>
  <c r="D833" i="1" s="1"/>
  <c r="AK117" i="1"/>
  <c r="D117" i="1" s="1"/>
  <c r="I2519" i="6"/>
  <c r="D2519" i="6" s="1"/>
  <c r="B63" i="7"/>
  <c r="F62" i="7"/>
  <c r="C62" i="7"/>
  <c r="E62" i="7"/>
  <c r="G62" i="7"/>
  <c r="D62" i="7"/>
  <c r="A62" i="7"/>
  <c r="AK2117" i="1"/>
  <c r="D2117" i="1" s="1"/>
  <c r="AK1342" i="1"/>
  <c r="D1342" i="1" s="1"/>
  <c r="D1" i="1"/>
  <c r="AK636" i="1"/>
  <c r="D636" i="1" s="1"/>
  <c r="AK1893" i="1"/>
  <c r="D1893" i="1" s="1"/>
  <c r="AK196" i="1"/>
  <c r="D196" i="1" s="1"/>
  <c r="AK2833" i="1"/>
  <c r="D2833" i="1" s="1"/>
  <c r="AK1524" i="1"/>
  <c r="D1524" i="1" s="1"/>
  <c r="I2" i="6" l="1"/>
  <c r="D63" i="7"/>
  <c r="B64" i="7"/>
  <c r="E63" i="7"/>
  <c r="A63" i="7"/>
  <c r="F63" i="7"/>
  <c r="C63" i="7"/>
  <c r="G63" i="7"/>
  <c r="AJ1832" i="1"/>
  <c r="G1832" i="1" s="1"/>
  <c r="G64" i="7" l="1"/>
  <c r="A64" i="7"/>
  <c r="D64" i="7"/>
  <c r="E64" i="7"/>
  <c r="C64" i="7"/>
  <c r="F64" i="7"/>
  <c r="B65" i="7"/>
  <c r="C65" i="7" l="1"/>
  <c r="B66" i="7"/>
  <c r="E65" i="7"/>
  <c r="A65" i="7"/>
  <c r="F65" i="7"/>
  <c r="G65" i="7"/>
  <c r="D65" i="7"/>
  <c r="A66" i="7" l="1"/>
  <c r="D66" i="7"/>
  <c r="C66" i="7"/>
  <c r="F66" i="7"/>
  <c r="B67" i="7"/>
  <c r="E66" i="7"/>
  <c r="G66" i="7"/>
  <c r="D67" i="7" l="1"/>
  <c r="G67" i="7"/>
  <c r="E67" i="7"/>
  <c r="F67" i="7"/>
  <c r="B68" i="7"/>
  <c r="A67" i="7"/>
  <c r="C67" i="7"/>
  <c r="B69" i="7" l="1"/>
  <c r="C68" i="7"/>
  <c r="E68" i="7"/>
  <c r="D68" i="7"/>
  <c r="A68" i="7"/>
  <c r="F68" i="7"/>
  <c r="G68" i="7"/>
  <c r="F69" i="7" l="1"/>
  <c r="G69" i="7"/>
  <c r="C69" i="7"/>
  <c r="B70" i="7"/>
  <c r="E69" i="7"/>
  <c r="A69" i="7"/>
  <c r="D69" i="7"/>
  <c r="A70" i="7" l="1"/>
  <c r="E70" i="7"/>
  <c r="B71" i="7"/>
  <c r="D70" i="7"/>
  <c r="G70" i="7"/>
  <c r="C70" i="7"/>
  <c r="F70" i="7"/>
  <c r="A71" i="7" l="1"/>
  <c r="D71" i="7"/>
  <c r="B72" i="7"/>
  <c r="E71" i="7"/>
  <c r="C71" i="7"/>
  <c r="G71" i="7"/>
  <c r="F71" i="7"/>
  <c r="F72" i="7" l="1"/>
  <c r="A72" i="7"/>
  <c r="E72" i="7"/>
  <c r="D72" i="7"/>
  <c r="B73" i="7"/>
  <c r="C72" i="7"/>
  <c r="G72" i="7"/>
  <c r="D73" i="7" l="1"/>
  <c r="A73" i="7"/>
  <c r="C73" i="7"/>
  <c r="G73" i="7"/>
  <c r="E73" i="7"/>
  <c r="B74" i="7"/>
  <c r="F73" i="7"/>
  <c r="C74" i="7" l="1"/>
  <c r="A74" i="7"/>
  <c r="E74" i="7"/>
  <c r="D74" i="7"/>
  <c r="G74" i="7"/>
  <c r="F74" i="7"/>
  <c r="B75" i="7"/>
  <c r="D75" i="7" l="1"/>
  <c r="B76" i="7"/>
  <c r="F75" i="7"/>
  <c r="C75" i="7"/>
  <c r="E75" i="7"/>
  <c r="G75" i="7"/>
  <c r="A75" i="7"/>
  <c r="A76" i="7" l="1"/>
  <c r="D76" i="7"/>
  <c r="C76" i="7"/>
  <c r="B77" i="7"/>
  <c r="E76" i="7"/>
  <c r="G76" i="7"/>
  <c r="F76" i="7"/>
  <c r="G77" i="7" l="1"/>
  <c r="E77" i="7"/>
  <c r="B78" i="7"/>
  <c r="D77" i="7"/>
  <c r="C77" i="7"/>
  <c r="F77" i="7"/>
  <c r="A77" i="7"/>
  <c r="D78" i="7" l="1"/>
  <c r="B79" i="7"/>
  <c r="G78" i="7"/>
  <c r="C78" i="7"/>
  <c r="E78" i="7"/>
  <c r="A78" i="7"/>
  <c r="F78" i="7"/>
  <c r="E79" i="7" l="1"/>
  <c r="B80" i="7"/>
  <c r="C79" i="7"/>
  <c r="D79" i="7"/>
  <c r="A79" i="7"/>
  <c r="G79" i="7"/>
  <c r="F79" i="7"/>
  <c r="G80" i="7" l="1"/>
  <c r="D80" i="7"/>
  <c r="C80" i="7"/>
  <c r="E80" i="7"/>
  <c r="F80" i="7"/>
  <c r="A80" i="7"/>
  <c r="B81" i="7"/>
  <c r="B82" i="7" l="1"/>
  <c r="G81" i="7"/>
  <c r="E81" i="7"/>
  <c r="D81" i="7"/>
  <c r="F81" i="7"/>
  <c r="C81" i="7"/>
  <c r="A81" i="7"/>
  <c r="G82" i="7" l="1"/>
  <c r="C82" i="7"/>
  <c r="E82" i="7"/>
  <c r="D82" i="7"/>
  <c r="F82" i="7"/>
  <c r="A82" i="7"/>
  <c r="B83" i="7"/>
  <c r="C83" i="7" l="1"/>
  <c r="F83" i="7"/>
  <c r="D83" i="7"/>
  <c r="E83" i="7"/>
  <c r="A83" i="7"/>
  <c r="G83" i="7"/>
  <c r="B84" i="7"/>
  <c r="B85" i="7" l="1"/>
  <c r="A84" i="7"/>
  <c r="F84" i="7"/>
  <c r="E84" i="7"/>
  <c r="D84" i="7"/>
  <c r="G84" i="7"/>
  <c r="C84" i="7"/>
  <c r="B86" i="7" l="1"/>
  <c r="F85" i="7"/>
  <c r="A85" i="7"/>
  <c r="C85" i="7"/>
  <c r="G85" i="7"/>
  <c r="E85" i="7"/>
  <c r="D85" i="7"/>
  <c r="A86" i="7" l="1"/>
  <c r="E86" i="7"/>
  <c r="G86" i="7"/>
  <c r="C86" i="7"/>
  <c r="F86" i="7"/>
  <c r="B87" i="7"/>
  <c r="D86" i="7"/>
  <c r="F87" i="7" l="1"/>
  <c r="E87" i="7"/>
  <c r="C87" i="7"/>
  <c r="A87" i="7"/>
  <c r="B88" i="7"/>
  <c r="D87" i="7"/>
  <c r="G87" i="7"/>
  <c r="D88" i="7" l="1"/>
  <c r="B89" i="7"/>
  <c r="A88" i="7"/>
  <c r="C88" i="7"/>
  <c r="G88" i="7"/>
  <c r="E88" i="7"/>
  <c r="F88" i="7"/>
  <c r="A89" i="7" l="1"/>
  <c r="E89" i="7"/>
  <c r="D89" i="7"/>
  <c r="B90" i="7"/>
  <c r="F89" i="7"/>
  <c r="C89" i="7"/>
  <c r="G89" i="7"/>
  <c r="D90" i="7" l="1"/>
  <c r="F90" i="7"/>
  <c r="C90" i="7"/>
  <c r="A90" i="7"/>
  <c r="E90" i="7"/>
  <c r="B91" i="7"/>
  <c r="G90" i="7"/>
  <c r="F91" i="7" l="1"/>
  <c r="E91" i="7"/>
  <c r="C91" i="7"/>
  <c r="B92" i="7"/>
  <c r="G91" i="7"/>
  <c r="A91" i="7"/>
  <c r="D91" i="7"/>
  <c r="B93" i="7" l="1"/>
  <c r="D92" i="7"/>
  <c r="E92" i="7"/>
  <c r="G92" i="7"/>
  <c r="F92" i="7"/>
  <c r="A92" i="7"/>
  <c r="C92" i="7"/>
  <c r="A93" i="7" l="1"/>
  <c r="F93" i="7"/>
  <c r="D93" i="7"/>
  <c r="G93" i="7"/>
  <c r="E93" i="7"/>
  <c r="C93" i="7"/>
  <c r="B94" i="7"/>
  <c r="D94" i="7" l="1"/>
  <c r="A94" i="7"/>
  <c r="F94" i="7"/>
  <c r="G94" i="7"/>
  <c r="C94" i="7"/>
  <c r="E94" i="7"/>
  <c r="B95" i="7"/>
  <c r="G95" i="7" l="1"/>
  <c r="F95" i="7"/>
  <c r="D95" i="7"/>
  <c r="A95" i="7"/>
  <c r="E95" i="7"/>
  <c r="B96" i="7"/>
  <c r="C95" i="7"/>
  <c r="G96" i="7" l="1"/>
  <c r="A96" i="7"/>
  <c r="E96" i="7"/>
  <c r="C96" i="7"/>
  <c r="F96" i="7"/>
  <c r="D96" i="7"/>
  <c r="B97" i="7"/>
  <c r="B98" i="7" l="1"/>
  <c r="E97" i="7"/>
  <c r="G97" i="7"/>
  <c r="C97" i="7"/>
  <c r="F97" i="7"/>
  <c r="A97" i="7"/>
  <c r="D97" i="7"/>
  <c r="C98" i="7" l="1"/>
  <c r="F98" i="7"/>
  <c r="E98" i="7"/>
  <c r="D98" i="7"/>
  <c r="G98" i="7"/>
  <c r="B99" i="7"/>
  <c r="A98" i="7"/>
  <c r="B100" i="7" l="1"/>
  <c r="C99" i="7"/>
  <c r="F99" i="7"/>
  <c r="D99" i="7"/>
  <c r="G99" i="7"/>
  <c r="E99" i="7"/>
  <c r="A99" i="7"/>
  <c r="E100" i="7" l="1"/>
  <c r="A100" i="7"/>
  <c r="B101" i="7"/>
  <c r="F100" i="7"/>
  <c r="C100" i="7"/>
  <c r="G100" i="7"/>
  <c r="D100" i="7"/>
  <c r="C101" i="7" l="1"/>
  <c r="A101" i="7"/>
  <c r="F101" i="7"/>
  <c r="E101" i="7"/>
  <c r="G101" i="7"/>
  <c r="D101" i="7"/>
  <c r="B102" i="7"/>
  <c r="A102" i="7" l="1"/>
  <c r="G102" i="7"/>
  <c r="D102" i="7"/>
  <c r="B103" i="7"/>
  <c r="C102" i="7"/>
  <c r="E102" i="7"/>
  <c r="F102" i="7"/>
  <c r="C103" i="7" l="1"/>
  <c r="F103" i="7"/>
  <c r="B104" i="7"/>
  <c r="G103" i="7"/>
  <c r="A103" i="7"/>
  <c r="D103" i="7"/>
  <c r="E103" i="7"/>
  <c r="G104" i="7" l="1"/>
  <c r="A104" i="7"/>
  <c r="E104" i="7"/>
  <c r="D104" i="7"/>
  <c r="F104" i="7"/>
  <c r="B105" i="7"/>
  <c r="C104" i="7"/>
  <c r="G105" i="7" l="1"/>
  <c r="D105" i="7"/>
  <c r="E105" i="7"/>
  <c r="C105" i="7"/>
  <c r="B106" i="7"/>
  <c r="A105" i="7"/>
  <c r="F105" i="7"/>
  <c r="D106" i="7" l="1"/>
  <c r="E106" i="7"/>
  <c r="F106" i="7"/>
  <c r="G106" i="7"/>
  <c r="B107" i="7"/>
  <c r="A106" i="7"/>
  <c r="C106" i="7"/>
  <c r="D107" i="7" l="1"/>
  <c r="A107" i="7"/>
  <c r="E107" i="7"/>
  <c r="C107" i="7"/>
  <c r="G107" i="7"/>
  <c r="F107" i="7"/>
  <c r="B108" i="7"/>
  <c r="C108" i="7" l="1"/>
  <c r="E108" i="7"/>
  <c r="D108" i="7"/>
  <c r="G108" i="7"/>
  <c r="A108" i="7"/>
  <c r="B109" i="7"/>
  <c r="F108" i="7"/>
  <c r="D109" i="7" l="1"/>
  <c r="B110" i="7"/>
  <c r="F109" i="7"/>
  <c r="C109" i="7"/>
  <c r="A109" i="7"/>
  <c r="G109" i="7"/>
  <c r="E109" i="7"/>
  <c r="F110" i="7" l="1"/>
  <c r="G110" i="7"/>
  <c r="C110" i="7"/>
  <c r="A110" i="7"/>
  <c r="D110" i="7"/>
  <c r="E110" i="7"/>
  <c r="B111" i="7"/>
  <c r="E111" i="7" l="1"/>
  <c r="G111" i="7"/>
  <c r="A111" i="7"/>
  <c r="F111" i="7"/>
  <c r="C111" i="7"/>
  <c r="D111" i="7"/>
  <c r="B112" i="7"/>
  <c r="E112" i="7" l="1"/>
  <c r="B113" i="7"/>
  <c r="G112" i="7"/>
  <c r="A112" i="7"/>
  <c r="D112" i="7"/>
  <c r="F112" i="7"/>
  <c r="C112" i="7"/>
  <c r="C113" i="7" l="1"/>
  <c r="F113" i="7"/>
  <c r="A113" i="7"/>
  <c r="D113" i="7"/>
  <c r="G113" i="7"/>
  <c r="E113" i="7"/>
  <c r="B114" i="7"/>
  <c r="G114" i="7" l="1"/>
  <c r="C114" i="7"/>
  <c r="F114" i="7"/>
  <c r="E114" i="7"/>
  <c r="B115" i="7"/>
  <c r="D114" i="7"/>
  <c r="A114" i="7"/>
  <c r="C115" i="7" l="1"/>
  <c r="B116" i="7"/>
  <c r="E115" i="7"/>
  <c r="F115" i="7"/>
  <c r="A115" i="7"/>
  <c r="G115" i="7"/>
  <c r="D115" i="7"/>
  <c r="D116" i="7" l="1"/>
  <c r="G116" i="7"/>
  <c r="A116" i="7"/>
  <c r="F116" i="7"/>
  <c r="C116" i="7"/>
  <c r="B117" i="7"/>
  <c r="E116" i="7"/>
  <c r="A117" i="7" l="1"/>
  <c r="G117" i="7"/>
  <c r="B118" i="7"/>
  <c r="C117" i="7"/>
  <c r="E117" i="7"/>
  <c r="F117" i="7"/>
  <c r="D117" i="7"/>
  <c r="G118" i="7" l="1"/>
  <c r="E118" i="7"/>
  <c r="F118" i="7"/>
  <c r="D118" i="7"/>
  <c r="A118" i="7"/>
  <c r="C118" i="7"/>
  <c r="B119" i="7"/>
  <c r="G119" i="7" l="1"/>
  <c r="F119" i="7"/>
  <c r="B120" i="7"/>
  <c r="A119" i="7"/>
  <c r="E119" i="7"/>
  <c r="C119" i="7"/>
  <c r="D119" i="7"/>
  <c r="B121" i="7" l="1"/>
  <c r="D120" i="7"/>
  <c r="C120" i="7"/>
  <c r="E120" i="7"/>
  <c r="F120" i="7"/>
  <c r="G120" i="7"/>
  <c r="A120" i="7"/>
  <c r="E121" i="7" l="1"/>
  <c r="G121" i="7"/>
  <c r="D121" i="7"/>
  <c r="F121" i="7"/>
  <c r="C121" i="7"/>
  <c r="B122" i="7"/>
  <c r="A121" i="7"/>
  <c r="A122" i="7" l="1"/>
  <c r="G122" i="7"/>
  <c r="E122" i="7"/>
  <c r="F122" i="7"/>
  <c r="B123" i="7"/>
  <c r="C122" i="7"/>
  <c r="D122" i="7"/>
  <c r="G123" i="7" l="1"/>
  <c r="A123" i="7"/>
  <c r="B124" i="7"/>
  <c r="D123" i="7"/>
  <c r="F123" i="7"/>
  <c r="C123" i="7"/>
  <c r="E123" i="7"/>
  <c r="E124" i="7" l="1"/>
  <c r="C124" i="7"/>
  <c r="G124" i="7"/>
  <c r="F124" i="7"/>
  <c r="B125" i="7"/>
  <c r="A124" i="7"/>
  <c r="D124" i="7"/>
  <c r="A125" i="7" l="1"/>
  <c r="D125" i="7"/>
  <c r="E125" i="7"/>
  <c r="B126" i="7"/>
  <c r="F125" i="7"/>
  <c r="C125" i="7"/>
  <c r="G125" i="7"/>
  <c r="G126" i="7" l="1"/>
  <c r="B127" i="7"/>
  <c r="C126" i="7"/>
  <c r="F126" i="7"/>
  <c r="D126" i="7"/>
  <c r="A126" i="7"/>
  <c r="E126" i="7"/>
  <c r="F127" i="7" l="1"/>
  <c r="G127" i="7"/>
  <c r="C127" i="7"/>
  <c r="D127" i="7"/>
  <c r="E127" i="7"/>
  <c r="B128" i="7"/>
  <c r="A127" i="7"/>
  <c r="G128" i="7" l="1"/>
  <c r="B129" i="7"/>
  <c r="F128" i="7"/>
  <c r="A128" i="7"/>
  <c r="E128" i="7"/>
  <c r="C128" i="7"/>
  <c r="D128" i="7"/>
  <c r="A129" i="7" l="1"/>
  <c r="E129" i="7"/>
  <c r="D129" i="7"/>
  <c r="B130" i="7"/>
  <c r="F129" i="7"/>
  <c r="C129" i="7"/>
  <c r="G129" i="7"/>
  <c r="C130" i="7" l="1"/>
  <c r="B131" i="7"/>
  <c r="A130" i="7"/>
  <c r="E130" i="7"/>
  <c r="G130" i="7"/>
  <c r="D130" i="7"/>
  <c r="F130" i="7"/>
  <c r="B132" i="7" l="1"/>
  <c r="G131" i="7"/>
  <c r="C131" i="7"/>
  <c r="E131" i="7"/>
  <c r="D131" i="7"/>
  <c r="A131" i="7"/>
  <c r="F131" i="7"/>
  <c r="A132" i="7" l="1"/>
  <c r="E132" i="7"/>
  <c r="C132" i="7"/>
  <c r="G132" i="7"/>
  <c r="D132" i="7"/>
  <c r="F132" i="7"/>
  <c r="B133" i="7"/>
  <c r="C133" i="7" l="1"/>
  <c r="F133" i="7"/>
  <c r="B134" i="7"/>
  <c r="A133" i="7"/>
  <c r="D133" i="7"/>
  <c r="G133" i="7"/>
  <c r="E133" i="7"/>
  <c r="C134" i="7" l="1"/>
  <c r="F134" i="7"/>
  <c r="B135" i="7"/>
  <c r="D134" i="7"/>
  <c r="G134" i="7"/>
  <c r="E134" i="7"/>
  <c r="A134" i="7"/>
  <c r="E135" i="7" l="1"/>
  <c r="C135" i="7"/>
  <c r="D135" i="7"/>
  <c r="G135" i="7"/>
  <c r="A135" i="7"/>
  <c r="F135" i="7"/>
  <c r="B136" i="7"/>
  <c r="G136" i="7" l="1"/>
  <c r="A136" i="7"/>
  <c r="E136" i="7"/>
  <c r="F136" i="7"/>
  <c r="D136" i="7"/>
  <c r="C136" i="7"/>
  <c r="B137" i="7"/>
  <c r="F137" i="7" l="1"/>
  <c r="C137" i="7"/>
  <c r="G137" i="7"/>
  <c r="A137" i="7"/>
  <c r="B138" i="7"/>
  <c r="D137" i="7"/>
  <c r="E137" i="7"/>
  <c r="F138" i="7" l="1"/>
  <c r="B139" i="7"/>
  <c r="E138" i="7"/>
  <c r="D138" i="7"/>
  <c r="G138" i="7"/>
  <c r="C138" i="7"/>
  <c r="A138" i="7"/>
  <c r="B140" i="7" l="1"/>
  <c r="F139" i="7"/>
  <c r="G139" i="7"/>
  <c r="C139" i="7"/>
  <c r="E139" i="7"/>
  <c r="D139" i="7"/>
  <c r="A139" i="7"/>
  <c r="C140" i="7" l="1"/>
  <c r="E140" i="7"/>
  <c r="B141" i="7"/>
  <c r="G140" i="7"/>
  <c r="A140" i="7"/>
  <c r="D140" i="7"/>
  <c r="F140" i="7"/>
  <c r="G141" i="7" l="1"/>
  <c r="F141" i="7"/>
  <c r="E141" i="7"/>
  <c r="A141" i="7"/>
  <c r="C141" i="7"/>
  <c r="B142" i="7"/>
  <c r="D141" i="7"/>
  <c r="G142" i="7" l="1"/>
  <c r="C142" i="7"/>
  <c r="D142" i="7"/>
  <c r="B143" i="7"/>
  <c r="A142" i="7"/>
  <c r="E142" i="7"/>
  <c r="F142" i="7"/>
  <c r="E143" i="7" l="1"/>
  <c r="C143" i="7"/>
  <c r="G143" i="7"/>
  <c r="F143" i="7"/>
  <c r="D143" i="7"/>
  <c r="A143" i="7"/>
  <c r="B144" i="7"/>
  <c r="E144" i="7" l="1"/>
  <c r="C144" i="7"/>
  <c r="G144" i="7"/>
  <c r="A144" i="7"/>
  <c r="B145" i="7"/>
  <c r="D144" i="7"/>
  <c r="F144" i="7"/>
  <c r="A145" i="7" l="1"/>
  <c r="C145" i="7"/>
  <c r="F145" i="7"/>
  <c r="D145" i="7"/>
  <c r="B146" i="7"/>
  <c r="G145" i="7"/>
  <c r="E145" i="7"/>
  <c r="F146" i="7" l="1"/>
  <c r="D146" i="7"/>
  <c r="A146" i="7"/>
  <c r="C146" i="7"/>
  <c r="E146" i="7"/>
  <c r="G146" i="7"/>
  <c r="B147" i="7"/>
  <c r="E147" i="7" l="1"/>
  <c r="G147" i="7"/>
  <c r="C147" i="7"/>
  <c r="B148" i="7"/>
  <c r="A147" i="7"/>
  <c r="D147" i="7"/>
  <c r="F147" i="7"/>
  <c r="E148" i="7" l="1"/>
  <c r="C148" i="7"/>
  <c r="B149" i="7"/>
  <c r="F148" i="7"/>
  <c r="A148" i="7"/>
  <c r="G148" i="7"/>
  <c r="D148" i="7"/>
  <c r="B150" i="7" l="1"/>
  <c r="E149" i="7"/>
  <c r="A149" i="7"/>
  <c r="G149" i="7"/>
  <c r="F149" i="7"/>
  <c r="C149" i="7"/>
  <c r="D149" i="7"/>
  <c r="A150" i="7" l="1"/>
  <c r="B151" i="7"/>
  <c r="F150" i="7"/>
  <c r="E150" i="7"/>
  <c r="G150" i="7"/>
  <c r="D150" i="7"/>
  <c r="C150" i="7"/>
  <c r="E151" i="7" l="1"/>
  <c r="A151" i="7"/>
  <c r="G151" i="7"/>
  <c r="C151" i="7"/>
  <c r="F151" i="7"/>
  <c r="B152" i="7"/>
  <c r="D151" i="7"/>
  <c r="E152" i="7" l="1"/>
  <c r="F152" i="7"/>
  <c r="A152" i="7"/>
  <c r="B153" i="7"/>
  <c r="G152" i="7"/>
  <c r="C152" i="7"/>
  <c r="D152" i="7"/>
  <c r="C153" i="7" l="1"/>
  <c r="F153" i="7"/>
  <c r="D153" i="7"/>
  <c r="E153" i="7"/>
  <c r="A153" i="7"/>
  <c r="B154" i="7"/>
  <c r="G153" i="7"/>
  <c r="E154" i="7" l="1"/>
  <c r="B155" i="7"/>
  <c r="C154" i="7"/>
  <c r="A154" i="7"/>
  <c r="D154" i="7"/>
  <c r="F154" i="7"/>
  <c r="G154" i="7"/>
  <c r="E155" i="7" l="1"/>
  <c r="A155" i="7"/>
  <c r="B156" i="7"/>
  <c r="G155" i="7"/>
  <c r="C155" i="7"/>
  <c r="D155" i="7"/>
  <c r="F155" i="7"/>
  <c r="E156" i="7" l="1"/>
  <c r="C156" i="7"/>
  <c r="B157" i="7"/>
  <c r="G156" i="7"/>
  <c r="D156" i="7"/>
  <c r="F156" i="7"/>
  <c r="A156" i="7"/>
  <c r="B158" i="7" l="1"/>
  <c r="G157" i="7"/>
  <c r="D157" i="7"/>
  <c r="E157" i="7"/>
  <c r="F157" i="7"/>
  <c r="A157" i="7"/>
  <c r="C157" i="7"/>
  <c r="A158" i="7" l="1"/>
  <c r="F158" i="7"/>
  <c r="E158" i="7"/>
  <c r="D158" i="7"/>
  <c r="G158" i="7"/>
  <c r="B159" i="7"/>
  <c r="C158" i="7"/>
  <c r="A159" i="7" l="1"/>
  <c r="B160" i="7"/>
  <c r="F159" i="7"/>
  <c r="E159" i="7"/>
  <c r="G159" i="7"/>
  <c r="D159" i="7"/>
  <c r="C159" i="7"/>
  <c r="F160" i="7" l="1"/>
  <c r="C160" i="7"/>
  <c r="E160" i="7"/>
  <c r="D160" i="7"/>
  <c r="G160" i="7"/>
  <c r="B161" i="7"/>
  <c r="A160" i="7"/>
  <c r="D161" i="7" l="1"/>
  <c r="G161" i="7"/>
  <c r="F161" i="7"/>
  <c r="E161" i="7"/>
  <c r="A161" i="7"/>
  <c r="C161" i="7"/>
  <c r="B162" i="7"/>
  <c r="E162" i="7" l="1"/>
  <c r="F162" i="7"/>
  <c r="C162" i="7"/>
  <c r="A162" i="7"/>
  <c r="G162" i="7"/>
  <c r="D162" i="7"/>
  <c r="B163" i="7"/>
  <c r="G163" i="7" l="1"/>
  <c r="A163" i="7"/>
  <c r="E163" i="7"/>
  <c r="F163" i="7"/>
  <c r="C163" i="7"/>
  <c r="D163" i="7"/>
  <c r="B164" i="7"/>
  <c r="D164" i="7" l="1"/>
  <c r="E164" i="7"/>
  <c r="B165" i="7"/>
  <c r="A164" i="7"/>
  <c r="G164" i="7"/>
  <c r="F164" i="7"/>
  <c r="C164" i="7"/>
  <c r="F165" i="7" l="1"/>
  <c r="B166" i="7"/>
  <c r="G165" i="7"/>
  <c r="D165" i="7"/>
  <c r="E165" i="7"/>
  <c r="C165" i="7"/>
  <c r="A165" i="7"/>
  <c r="F166" i="7" l="1"/>
  <c r="C166" i="7"/>
  <c r="E166" i="7"/>
  <c r="A166" i="7"/>
  <c r="B167" i="7"/>
  <c r="D166" i="7"/>
  <c r="G166" i="7"/>
  <c r="A167" i="7" l="1"/>
  <c r="C167" i="7"/>
  <c r="D167" i="7"/>
  <c r="F167" i="7"/>
  <c r="B168" i="7"/>
  <c r="E167" i="7"/>
  <c r="G167" i="7"/>
  <c r="B169" i="7" l="1"/>
  <c r="E168" i="7"/>
  <c r="G168" i="7"/>
  <c r="C168" i="7"/>
  <c r="F168" i="7"/>
  <c r="D168" i="7"/>
  <c r="A168" i="7"/>
  <c r="A169" i="7" l="1"/>
  <c r="F169" i="7"/>
  <c r="B170" i="7"/>
  <c r="G169" i="7"/>
  <c r="C169" i="7"/>
  <c r="D169" i="7"/>
  <c r="E169" i="7"/>
  <c r="A170" i="7" l="1"/>
  <c r="B171" i="7"/>
  <c r="E170" i="7"/>
  <c r="G170" i="7"/>
  <c r="D170" i="7"/>
  <c r="F170" i="7"/>
  <c r="C170" i="7"/>
  <c r="C171" i="7" l="1"/>
  <c r="E171" i="7"/>
  <c r="G171" i="7"/>
  <c r="F171" i="7"/>
  <c r="A171" i="7"/>
  <c r="B172" i="7"/>
  <c r="D171" i="7"/>
  <c r="E172" i="7" l="1"/>
  <c r="G172" i="7"/>
  <c r="C172" i="7"/>
  <c r="D172" i="7"/>
  <c r="F172" i="7"/>
  <c r="A172" i="7"/>
  <c r="B173" i="7"/>
  <c r="D173" i="7" l="1"/>
  <c r="A173" i="7"/>
  <c r="E173" i="7"/>
  <c r="C173" i="7"/>
  <c r="G173" i="7"/>
  <c r="B174" i="7"/>
  <c r="F173" i="7"/>
  <c r="F174" i="7" l="1"/>
  <c r="B175" i="7"/>
  <c r="E174" i="7"/>
  <c r="G174" i="7"/>
  <c r="A174" i="7"/>
  <c r="D174" i="7"/>
  <c r="C174" i="7"/>
  <c r="G175" i="7" l="1"/>
  <c r="C175" i="7"/>
  <c r="D175" i="7"/>
  <c r="A175" i="7"/>
  <c r="B176" i="7"/>
  <c r="E175" i="7"/>
  <c r="F175" i="7"/>
  <c r="G176" i="7" l="1"/>
  <c r="E176" i="7"/>
  <c r="C176" i="7"/>
  <c r="D176" i="7"/>
  <c r="B177" i="7"/>
  <c r="F176" i="7"/>
  <c r="A176" i="7"/>
  <c r="F177" i="7" l="1"/>
  <c r="E177" i="7"/>
  <c r="A177" i="7"/>
  <c r="G177" i="7"/>
  <c r="C177" i="7"/>
  <c r="D177" i="7"/>
  <c r="B178" i="7"/>
  <c r="G178" i="7" l="1"/>
  <c r="B179" i="7"/>
  <c r="A178" i="7"/>
  <c r="F178" i="7"/>
  <c r="C178" i="7"/>
  <c r="D178" i="7"/>
  <c r="E178" i="7"/>
  <c r="B180" i="7" l="1"/>
  <c r="G179" i="7"/>
  <c r="A179" i="7"/>
  <c r="C179" i="7"/>
  <c r="D179" i="7"/>
  <c r="E179" i="7"/>
  <c r="F179" i="7"/>
  <c r="E180" i="7" l="1"/>
  <c r="G180" i="7"/>
  <c r="D180" i="7"/>
  <c r="F180" i="7"/>
  <c r="A180" i="7"/>
  <c r="B181" i="7"/>
  <c r="C180" i="7"/>
  <c r="C181" i="7" l="1"/>
  <c r="D181" i="7"/>
  <c r="A181" i="7"/>
  <c r="G181" i="7"/>
  <c r="B182" i="7"/>
  <c r="F181" i="7"/>
  <c r="E181" i="7"/>
  <c r="F182" i="7" l="1"/>
  <c r="G182" i="7"/>
  <c r="B183" i="7"/>
  <c r="C182" i="7"/>
  <c r="A182" i="7"/>
  <c r="E182" i="7"/>
  <c r="D182" i="7"/>
  <c r="E183" i="7" l="1"/>
  <c r="B184" i="7"/>
  <c r="F183" i="7"/>
  <c r="C183" i="7"/>
  <c r="G183" i="7"/>
  <c r="A183" i="7"/>
  <c r="D183" i="7"/>
  <c r="A184" i="7" l="1"/>
  <c r="F184" i="7"/>
  <c r="D184" i="7"/>
  <c r="G184" i="7"/>
  <c r="B185" i="7"/>
  <c r="E184" i="7"/>
  <c r="C184" i="7"/>
  <c r="G185" i="7" l="1"/>
  <c r="D185" i="7"/>
  <c r="F185" i="7"/>
  <c r="E185" i="7"/>
  <c r="B186" i="7"/>
  <c r="C185" i="7"/>
  <c r="A185" i="7"/>
  <c r="G186" i="7" l="1"/>
  <c r="F186" i="7"/>
  <c r="D186" i="7"/>
  <c r="A186" i="7"/>
  <c r="B187" i="7"/>
  <c r="C186" i="7"/>
  <c r="E186" i="7"/>
  <c r="E187" i="7" l="1"/>
  <c r="A187" i="7"/>
  <c r="B188" i="7"/>
  <c r="F187" i="7"/>
  <c r="G187" i="7"/>
  <c r="C187" i="7"/>
  <c r="D187" i="7"/>
  <c r="D188" i="7" l="1"/>
  <c r="A188" i="7"/>
  <c r="F188" i="7"/>
  <c r="C188" i="7"/>
  <c r="B189" i="7"/>
  <c r="E188" i="7"/>
  <c r="G188" i="7"/>
  <c r="F189" i="7" l="1"/>
  <c r="C189" i="7"/>
  <c r="G189" i="7"/>
  <c r="D189" i="7"/>
  <c r="B190" i="7"/>
  <c r="E189" i="7"/>
  <c r="A189" i="7"/>
  <c r="C190" i="7" l="1"/>
  <c r="A190" i="7"/>
  <c r="D190" i="7"/>
  <c r="F190" i="7"/>
  <c r="B191" i="7"/>
  <c r="G190" i="7"/>
  <c r="E190" i="7"/>
  <c r="E191" i="7" l="1"/>
  <c r="C191" i="7"/>
  <c r="G191" i="7"/>
  <c r="A191" i="7"/>
  <c r="F191" i="7"/>
  <c r="B192" i="7"/>
  <c r="D191" i="7"/>
  <c r="E192" i="7" l="1"/>
  <c r="C192" i="7"/>
  <c r="A192" i="7"/>
  <c r="F192" i="7"/>
  <c r="G192" i="7"/>
  <c r="B193" i="7"/>
  <c r="D192" i="7"/>
  <c r="A193" i="7" l="1"/>
  <c r="C193" i="7"/>
  <c r="E193" i="7"/>
  <c r="B194" i="7"/>
  <c r="F193" i="7"/>
  <c r="G193" i="7"/>
  <c r="D193" i="7"/>
  <c r="F194" i="7" l="1"/>
  <c r="E194" i="7"/>
  <c r="G194" i="7"/>
  <c r="A194" i="7"/>
  <c r="C194" i="7"/>
  <c r="B195" i="7"/>
  <c r="D194" i="7"/>
  <c r="F195" i="7" l="1"/>
  <c r="C195" i="7"/>
  <c r="D195" i="7"/>
  <c r="B196" i="7"/>
  <c r="E195" i="7"/>
  <c r="G195" i="7"/>
  <c r="A195" i="7"/>
  <c r="F196" i="7" l="1"/>
  <c r="E196" i="7"/>
  <c r="B197" i="7"/>
  <c r="G196" i="7"/>
  <c r="D196" i="7"/>
  <c r="C196" i="7"/>
  <c r="A196" i="7"/>
  <c r="E197" i="7" l="1"/>
  <c r="B198" i="7"/>
  <c r="F197" i="7"/>
  <c r="D197" i="7"/>
  <c r="G197" i="7"/>
  <c r="C197" i="7"/>
  <c r="A197" i="7"/>
  <c r="F198" i="7" l="1"/>
  <c r="B199" i="7"/>
  <c r="E198" i="7"/>
  <c r="G198" i="7"/>
  <c r="D198" i="7"/>
  <c r="C198" i="7"/>
  <c r="A198" i="7"/>
  <c r="B200" i="7" l="1"/>
  <c r="D199" i="7"/>
  <c r="C199" i="7"/>
  <c r="G199" i="7"/>
  <c r="A199" i="7"/>
  <c r="E199" i="7"/>
  <c r="F199" i="7"/>
  <c r="D200" i="7" l="1"/>
  <c r="G200" i="7"/>
  <c r="E200" i="7"/>
  <c r="F200" i="7"/>
  <c r="B201" i="7"/>
  <c r="C200" i="7"/>
  <c r="A200" i="7"/>
  <c r="C201" i="7" l="1"/>
  <c r="B202" i="7"/>
  <c r="F201" i="7"/>
  <c r="A201" i="7"/>
  <c r="D201" i="7"/>
  <c r="E201" i="7"/>
  <c r="G201" i="7"/>
  <c r="E202" i="7" l="1"/>
  <c r="D202" i="7"/>
  <c r="A202" i="7"/>
  <c r="F202" i="7"/>
  <c r="B203" i="7"/>
  <c r="C202" i="7"/>
  <c r="G202" i="7"/>
  <c r="A203" i="7" l="1"/>
  <c r="B204" i="7"/>
  <c r="C203" i="7"/>
  <c r="D203" i="7"/>
  <c r="F203" i="7"/>
  <c r="G203" i="7"/>
  <c r="E203" i="7"/>
  <c r="C204" i="7" l="1"/>
  <c r="D204" i="7"/>
  <c r="A204" i="7"/>
  <c r="F204" i="7"/>
  <c r="G204" i="7"/>
  <c r="B205" i="7"/>
  <c r="E204" i="7"/>
  <c r="D205" i="7" l="1"/>
  <c r="C205" i="7"/>
  <c r="B206" i="7"/>
  <c r="E205" i="7"/>
  <c r="A205" i="7"/>
  <c r="F205" i="7"/>
  <c r="G205" i="7"/>
  <c r="A206" i="7" l="1"/>
  <c r="G206" i="7"/>
  <c r="B207" i="7"/>
  <c r="E206" i="7"/>
  <c r="C206" i="7"/>
  <c r="F206" i="7"/>
  <c r="D206" i="7"/>
  <c r="F207" i="7" l="1"/>
  <c r="B208" i="7"/>
  <c r="C207" i="7"/>
  <c r="A207" i="7"/>
  <c r="E207" i="7"/>
  <c r="D207" i="7"/>
  <c r="G207" i="7"/>
  <c r="F208" i="7" l="1"/>
  <c r="D208" i="7"/>
  <c r="C208" i="7"/>
  <c r="B209" i="7"/>
  <c r="E208" i="7"/>
  <c r="G208" i="7"/>
  <c r="A208" i="7"/>
  <c r="E209" i="7" l="1"/>
  <c r="A209" i="7"/>
  <c r="D209" i="7"/>
  <c r="B210" i="7"/>
  <c r="C209" i="7"/>
  <c r="G209" i="7"/>
  <c r="F209" i="7"/>
  <c r="C210" i="7" l="1"/>
  <c r="B211" i="7"/>
  <c r="E210" i="7"/>
  <c r="F210" i="7"/>
  <c r="G210" i="7"/>
  <c r="A210" i="7"/>
  <c r="D210" i="7"/>
  <c r="D211" i="7" l="1"/>
  <c r="A211" i="7"/>
  <c r="F211" i="7"/>
  <c r="B212" i="7"/>
  <c r="G211" i="7"/>
  <c r="C211" i="7"/>
  <c r="E211" i="7"/>
  <c r="G212" i="7" l="1"/>
  <c r="C212" i="7"/>
  <c r="F212" i="7"/>
  <c r="E212" i="7"/>
  <c r="D212" i="7"/>
  <c r="B213" i="7"/>
  <c r="A212" i="7"/>
  <c r="G213" i="7" l="1"/>
  <c r="A213" i="7"/>
  <c r="E213" i="7"/>
  <c r="D213" i="7"/>
  <c r="C213" i="7"/>
  <c r="B214" i="7"/>
  <c r="F213" i="7"/>
  <c r="G214" i="7" l="1"/>
  <c r="C214" i="7"/>
  <c r="E214" i="7"/>
  <c r="B215" i="7"/>
  <c r="A214" i="7"/>
  <c r="F214" i="7"/>
  <c r="D214" i="7"/>
  <c r="G215" i="7" l="1"/>
  <c r="B216" i="7"/>
  <c r="C215" i="7"/>
  <c r="A215" i="7"/>
  <c r="E215" i="7"/>
  <c r="D215" i="7"/>
  <c r="F215" i="7"/>
  <c r="D216" i="7" l="1"/>
  <c r="F216" i="7"/>
  <c r="E216" i="7"/>
  <c r="C216" i="7"/>
  <c r="G216" i="7"/>
  <c r="B217" i="7"/>
  <c r="A216" i="7"/>
  <c r="A217" i="7" l="1"/>
  <c r="C217" i="7"/>
  <c r="D217" i="7"/>
  <c r="E217" i="7"/>
  <c r="F217" i="7"/>
  <c r="B218" i="7"/>
  <c r="G217" i="7"/>
  <c r="B219" i="7" l="1"/>
  <c r="F218" i="7"/>
  <c r="D218" i="7"/>
  <c r="E218" i="7"/>
  <c r="C218" i="7"/>
  <c r="G218" i="7"/>
  <c r="A218" i="7"/>
  <c r="G219" i="7" l="1"/>
  <c r="B220" i="7"/>
  <c r="E219" i="7"/>
  <c r="C219" i="7"/>
  <c r="D219" i="7"/>
  <c r="A219" i="7"/>
  <c r="F219" i="7"/>
  <c r="A220" i="7" l="1"/>
  <c r="C220" i="7"/>
  <c r="B221" i="7"/>
  <c r="G220" i="7"/>
  <c r="D220" i="7"/>
  <c r="E220" i="7"/>
  <c r="F220" i="7"/>
  <c r="D221" i="7" l="1"/>
  <c r="A221" i="7"/>
  <c r="F221" i="7"/>
  <c r="B222" i="7"/>
  <c r="E221" i="7"/>
  <c r="C221" i="7"/>
  <c r="G221" i="7"/>
  <c r="D222" i="7" l="1"/>
  <c r="G222" i="7"/>
  <c r="E222" i="7"/>
  <c r="C222" i="7"/>
  <c r="F222" i="7"/>
  <c r="A222" i="7"/>
  <c r="B223" i="7"/>
  <c r="B224" i="7" l="1"/>
  <c r="E223" i="7"/>
  <c r="A223" i="7"/>
  <c r="D223" i="7"/>
  <c r="C223" i="7"/>
  <c r="G223" i="7"/>
  <c r="F223" i="7"/>
  <c r="A224" i="7" l="1"/>
  <c r="F224" i="7"/>
  <c r="C224" i="7"/>
  <c r="D224" i="7"/>
  <c r="E224" i="7"/>
  <c r="B225" i="7"/>
  <c r="G224" i="7"/>
  <c r="F225" i="7" l="1"/>
  <c r="E225" i="7"/>
  <c r="B226" i="7"/>
  <c r="A225" i="7"/>
  <c r="D225" i="7"/>
  <c r="C225" i="7"/>
  <c r="G225" i="7"/>
  <c r="C226" i="7" l="1"/>
  <c r="D226" i="7"/>
  <c r="B227" i="7"/>
  <c r="F226" i="7"/>
  <c r="E226" i="7"/>
  <c r="A226" i="7"/>
  <c r="G226" i="7"/>
  <c r="C227" i="7" l="1"/>
  <c r="F227" i="7"/>
  <c r="D227" i="7"/>
  <c r="B228" i="7"/>
  <c r="A227" i="7"/>
  <c r="E227" i="7"/>
  <c r="G227" i="7"/>
  <c r="F228" i="7" l="1"/>
  <c r="D228" i="7"/>
  <c r="G228" i="7"/>
  <c r="B229" i="7"/>
  <c r="E228" i="7"/>
  <c r="A228" i="7"/>
  <c r="C228" i="7"/>
  <c r="A229" i="7" l="1"/>
  <c r="G229" i="7"/>
  <c r="D229" i="7"/>
  <c r="B230" i="7"/>
  <c r="C229" i="7"/>
  <c r="F229" i="7"/>
  <c r="E229" i="7"/>
  <c r="E230" i="7" l="1"/>
  <c r="A230" i="7"/>
  <c r="G230" i="7"/>
  <c r="F230" i="7"/>
  <c r="B231" i="7"/>
  <c r="D230" i="7"/>
  <c r="C230" i="7"/>
  <c r="C231" i="7" l="1"/>
  <c r="D231" i="7"/>
  <c r="A231" i="7"/>
  <c r="G231" i="7"/>
  <c r="B232" i="7"/>
  <c r="E231" i="7"/>
  <c r="F231" i="7"/>
  <c r="A232" i="7" l="1"/>
  <c r="G232" i="7"/>
  <c r="C232" i="7"/>
  <c r="B233" i="7"/>
  <c r="F232" i="7"/>
  <c r="D232" i="7"/>
  <c r="E232" i="7"/>
  <c r="C233" i="7" l="1"/>
  <c r="B234" i="7"/>
  <c r="A233" i="7"/>
  <c r="D233" i="7"/>
  <c r="F233" i="7"/>
  <c r="E233" i="7"/>
  <c r="G233" i="7"/>
  <c r="F234" i="7" l="1"/>
  <c r="G234" i="7"/>
  <c r="D234" i="7"/>
  <c r="E234" i="7"/>
  <c r="B235" i="7"/>
  <c r="A234" i="7"/>
  <c r="C234" i="7"/>
  <c r="A235" i="7" l="1"/>
  <c r="E235" i="7"/>
  <c r="G235" i="7"/>
  <c r="C235" i="7"/>
  <c r="F235" i="7"/>
  <c r="D235" i="7"/>
  <c r="B236" i="7"/>
  <c r="D236" i="7" l="1"/>
  <c r="G236" i="7"/>
  <c r="B237" i="7"/>
  <c r="C236" i="7"/>
  <c r="F236" i="7"/>
  <c r="E236" i="7"/>
  <c r="A236" i="7"/>
  <c r="D237" i="7" l="1"/>
  <c r="A237" i="7"/>
  <c r="C237" i="7"/>
  <c r="E237" i="7"/>
  <c r="F237" i="7"/>
  <c r="G237" i="7"/>
  <c r="B238" i="7"/>
  <c r="E238" i="7" l="1"/>
  <c r="A238" i="7"/>
  <c r="F238" i="7"/>
  <c r="G238" i="7"/>
  <c r="C238" i="7"/>
  <c r="D238" i="7"/>
  <c r="B239" i="7"/>
  <c r="C239" i="7" l="1"/>
  <c r="F239" i="7"/>
  <c r="B240" i="7"/>
  <c r="E239" i="7"/>
  <c r="A239" i="7"/>
  <c r="D239" i="7"/>
  <c r="G239" i="7"/>
  <c r="E240" i="7" l="1"/>
  <c r="A240" i="7"/>
  <c r="D240" i="7"/>
  <c r="G240" i="7"/>
  <c r="B241" i="7"/>
  <c r="C240" i="7"/>
  <c r="F240" i="7"/>
  <c r="E241" i="7" l="1"/>
  <c r="C241" i="7"/>
  <c r="D241" i="7"/>
  <c r="F241" i="7"/>
  <c r="B242" i="7"/>
  <c r="A241" i="7"/>
  <c r="G241" i="7"/>
  <c r="B243" i="7" l="1"/>
  <c r="D242" i="7"/>
  <c r="C242" i="7"/>
  <c r="G242" i="7"/>
  <c r="F242" i="7"/>
  <c r="E242" i="7"/>
  <c r="A242" i="7"/>
  <c r="F243" i="7" l="1"/>
  <c r="C243" i="7"/>
  <c r="A243" i="7"/>
  <c r="B244" i="7"/>
  <c r="E243" i="7"/>
  <c r="D243" i="7"/>
  <c r="G243" i="7"/>
  <c r="E244" i="7" l="1"/>
  <c r="B245" i="7"/>
  <c r="F244" i="7"/>
  <c r="G244" i="7"/>
  <c r="A244" i="7"/>
  <c r="C244" i="7"/>
  <c r="D244" i="7"/>
  <c r="B246" i="7" l="1"/>
  <c r="D245" i="7"/>
  <c r="G245" i="7"/>
  <c r="C245" i="7"/>
  <c r="A245" i="7"/>
  <c r="F245" i="7"/>
  <c r="E245" i="7"/>
  <c r="F246" i="7" l="1"/>
  <c r="A246" i="7"/>
  <c r="G246" i="7"/>
  <c r="B247" i="7"/>
  <c r="D246" i="7"/>
  <c r="C246" i="7"/>
  <c r="E246" i="7"/>
  <c r="C247" i="7" l="1"/>
  <c r="G247" i="7"/>
  <c r="A247" i="7"/>
  <c r="D247" i="7"/>
  <c r="B248" i="7"/>
  <c r="F247" i="7"/>
  <c r="E247" i="7"/>
  <c r="B249" i="7" l="1"/>
  <c r="E248" i="7"/>
  <c r="A248" i="7"/>
  <c r="C248" i="7"/>
  <c r="F248" i="7"/>
  <c r="D248" i="7"/>
  <c r="G248" i="7"/>
  <c r="C249" i="7" l="1"/>
  <c r="F249" i="7"/>
  <c r="G249" i="7"/>
  <c r="E249" i="7"/>
  <c r="B250" i="7"/>
  <c r="A249" i="7"/>
  <c r="D249" i="7"/>
  <c r="C250" i="7" l="1"/>
  <c r="G250" i="7"/>
  <c r="E250" i="7"/>
  <c r="B251" i="7"/>
  <c r="D250" i="7"/>
  <c r="A250" i="7"/>
  <c r="F250" i="7"/>
  <c r="E251" i="7" l="1"/>
  <c r="G251" i="7"/>
  <c r="A251" i="7"/>
  <c r="D251" i="7"/>
  <c r="B252" i="7"/>
  <c r="F251" i="7"/>
  <c r="C251" i="7"/>
  <c r="A252" i="7" l="1"/>
  <c r="C252" i="7"/>
  <c r="B253" i="7"/>
  <c r="G252" i="7"/>
  <c r="F252" i="7"/>
  <c r="D252" i="7"/>
  <c r="E252" i="7"/>
  <c r="B254" i="7" l="1"/>
  <c r="A253" i="7"/>
  <c r="F253" i="7"/>
  <c r="C253" i="7"/>
  <c r="D253" i="7"/>
  <c r="G253" i="7"/>
  <c r="E253" i="7"/>
  <c r="A254" i="7" l="1"/>
  <c r="G254" i="7"/>
  <c r="C254" i="7"/>
  <c r="E254" i="7"/>
  <c r="D254" i="7"/>
  <c r="B255" i="7"/>
  <c r="F254" i="7"/>
  <c r="C255" i="7" l="1"/>
  <c r="D255" i="7"/>
  <c r="B256" i="7"/>
  <c r="G255" i="7"/>
  <c r="E255" i="7"/>
  <c r="A255" i="7"/>
  <c r="F255" i="7"/>
  <c r="E256" i="7" l="1"/>
  <c r="A256" i="7"/>
  <c r="G256" i="7"/>
  <c r="C256" i="7"/>
  <c r="B257" i="7"/>
  <c r="F256" i="7"/>
  <c r="D256" i="7"/>
  <c r="D257" i="7" l="1"/>
  <c r="G257" i="7"/>
  <c r="A257" i="7"/>
  <c r="E257" i="7"/>
  <c r="B258" i="7"/>
  <c r="F257" i="7"/>
  <c r="C257" i="7"/>
  <c r="A258" i="7" l="1"/>
  <c r="C258" i="7"/>
  <c r="G258" i="7"/>
  <c r="F258" i="7"/>
  <c r="B259" i="7"/>
  <c r="E258" i="7"/>
  <c r="D258" i="7"/>
  <c r="B260" i="7" l="1"/>
  <c r="D259" i="7"/>
  <c r="G259" i="7"/>
  <c r="A259" i="7"/>
  <c r="C259" i="7"/>
  <c r="F259" i="7"/>
  <c r="E259" i="7"/>
  <c r="E260" i="7" l="1"/>
  <c r="A260" i="7"/>
  <c r="D260" i="7"/>
  <c r="G260" i="7"/>
  <c r="B261" i="7"/>
  <c r="C260" i="7"/>
  <c r="F260" i="7"/>
  <c r="G261" i="7" l="1"/>
  <c r="F261" i="7"/>
  <c r="B262" i="7"/>
  <c r="D261" i="7"/>
  <c r="C261" i="7"/>
  <c r="E261" i="7"/>
  <c r="A261" i="7"/>
  <c r="G262" i="7" l="1"/>
  <c r="B263" i="7"/>
  <c r="F262" i="7"/>
  <c r="E262" i="7"/>
  <c r="D262" i="7"/>
  <c r="C262" i="7"/>
  <c r="A262" i="7"/>
  <c r="E263" i="7" l="1"/>
  <c r="C263" i="7"/>
  <c r="F263" i="7"/>
  <c r="G263" i="7"/>
  <c r="D263" i="7"/>
  <c r="B264" i="7"/>
  <c r="A263" i="7"/>
  <c r="C264" i="7" l="1"/>
  <c r="D264" i="7"/>
  <c r="A264" i="7"/>
  <c r="B265" i="7"/>
  <c r="F264" i="7"/>
  <c r="G264" i="7"/>
  <c r="E264" i="7"/>
  <c r="G265" i="7" l="1"/>
  <c r="A265" i="7"/>
  <c r="D265" i="7"/>
  <c r="F265" i="7"/>
  <c r="C265" i="7"/>
  <c r="E265" i="7"/>
  <c r="B266" i="7"/>
  <c r="C266" i="7" l="1"/>
  <c r="A266" i="7"/>
  <c r="F266" i="7"/>
  <c r="D266" i="7"/>
  <c r="B267" i="7"/>
  <c r="E266" i="7"/>
  <c r="G266" i="7"/>
  <c r="B268" i="7" l="1"/>
  <c r="E267" i="7"/>
  <c r="D267" i="7"/>
  <c r="F267" i="7"/>
  <c r="C267" i="7"/>
  <c r="G267" i="7"/>
  <c r="A267" i="7"/>
  <c r="F268" i="7" l="1"/>
  <c r="G268" i="7"/>
  <c r="E268" i="7"/>
  <c r="C268" i="7"/>
  <c r="A268" i="7"/>
  <c r="B269" i="7"/>
  <c r="D268" i="7"/>
  <c r="B270" i="7" l="1"/>
  <c r="D269" i="7"/>
  <c r="E269" i="7"/>
  <c r="C269" i="7"/>
  <c r="F269" i="7"/>
  <c r="A269" i="7"/>
  <c r="G269" i="7"/>
  <c r="A270" i="7" l="1"/>
  <c r="G270" i="7"/>
  <c r="D270" i="7"/>
  <c r="C270" i="7"/>
  <c r="E270" i="7"/>
  <c r="F270" i="7"/>
  <c r="B271" i="7"/>
  <c r="G271" i="7" l="1"/>
  <c r="C271" i="7"/>
  <c r="E271" i="7"/>
  <c r="B272" i="7"/>
  <c r="D271" i="7"/>
  <c r="A271" i="7"/>
  <c r="F271" i="7"/>
  <c r="E272" i="7" l="1"/>
  <c r="A272" i="7"/>
  <c r="G272" i="7"/>
  <c r="D272" i="7"/>
  <c r="B273" i="7"/>
  <c r="C272" i="7"/>
  <c r="F272" i="7"/>
  <c r="B274" i="7" l="1"/>
  <c r="F273" i="7"/>
  <c r="E273" i="7"/>
  <c r="D273" i="7"/>
  <c r="A273" i="7"/>
  <c r="G273" i="7"/>
  <c r="C273" i="7"/>
  <c r="F274" i="7" l="1"/>
  <c r="C274" i="7"/>
  <c r="G274" i="7"/>
  <c r="E274" i="7"/>
  <c r="A274" i="7"/>
  <c r="B275" i="7"/>
  <c r="D274" i="7"/>
  <c r="E275" i="7" l="1"/>
  <c r="B276" i="7"/>
  <c r="F275" i="7"/>
  <c r="A275" i="7"/>
  <c r="G275" i="7"/>
  <c r="D275" i="7"/>
  <c r="C275" i="7"/>
  <c r="E276" i="7" l="1"/>
  <c r="A276" i="7"/>
  <c r="D276" i="7"/>
  <c r="F276" i="7"/>
  <c r="G276" i="7"/>
  <c r="B277" i="7"/>
  <c r="C276" i="7"/>
  <c r="D277" i="7" l="1"/>
  <c r="F277" i="7"/>
  <c r="E277" i="7"/>
  <c r="G277" i="7"/>
  <c r="C277" i="7"/>
  <c r="B278" i="7"/>
  <c r="A277" i="7"/>
  <c r="A278" i="7" l="1"/>
  <c r="D278" i="7"/>
  <c r="C278" i="7"/>
  <c r="E278" i="7"/>
  <c r="F278" i="7"/>
  <c r="G278" i="7"/>
  <c r="B279" i="7"/>
  <c r="E279" i="7" l="1"/>
  <c r="C279" i="7"/>
  <c r="D279" i="7"/>
  <c r="F279" i="7"/>
  <c r="A279" i="7"/>
  <c r="G279" i="7"/>
  <c r="B280" i="7"/>
  <c r="G280" i="7" l="1"/>
  <c r="B281" i="7"/>
  <c r="F280" i="7"/>
  <c r="E280" i="7"/>
  <c r="A280" i="7"/>
  <c r="D280" i="7"/>
  <c r="C280" i="7"/>
  <c r="B282" i="7" l="1"/>
  <c r="E281" i="7"/>
  <c r="G281" i="7"/>
  <c r="D281" i="7"/>
  <c r="A281" i="7"/>
  <c r="F281" i="7"/>
  <c r="C281" i="7"/>
  <c r="G282" i="7" l="1"/>
  <c r="A282" i="7"/>
  <c r="F282" i="7"/>
  <c r="E282" i="7"/>
  <c r="C282" i="7"/>
  <c r="D282" i="7"/>
  <c r="B283" i="7"/>
  <c r="C283" i="7" l="1"/>
  <c r="B284" i="7"/>
  <c r="E283" i="7"/>
  <c r="D283" i="7"/>
  <c r="G283" i="7"/>
  <c r="A283" i="7"/>
  <c r="F283" i="7"/>
  <c r="F284" i="7" l="1"/>
  <c r="E284" i="7"/>
  <c r="G284" i="7"/>
  <c r="B285" i="7"/>
  <c r="A284" i="7"/>
  <c r="C284" i="7"/>
  <c r="D284" i="7"/>
  <c r="C285" i="7" l="1"/>
  <c r="G285" i="7"/>
  <c r="E285" i="7"/>
  <c r="B286" i="7"/>
  <c r="F285" i="7"/>
  <c r="A285" i="7"/>
  <c r="D285" i="7"/>
  <c r="E286" i="7" l="1"/>
  <c r="C286" i="7"/>
  <c r="F286" i="7"/>
  <c r="B287" i="7"/>
  <c r="G286" i="7"/>
  <c r="D286" i="7"/>
  <c r="A286" i="7"/>
  <c r="D287" i="7" l="1"/>
  <c r="F287" i="7"/>
  <c r="A287" i="7"/>
  <c r="G287" i="7"/>
  <c r="E287" i="7"/>
  <c r="B288" i="7"/>
  <c r="C287" i="7"/>
  <c r="A288" i="7" l="1"/>
  <c r="C288" i="7"/>
  <c r="E288" i="7"/>
  <c r="B289" i="7"/>
  <c r="F288" i="7"/>
  <c r="G288" i="7"/>
  <c r="D288" i="7"/>
  <c r="D289" i="7" l="1"/>
  <c r="C289" i="7"/>
  <c r="F289" i="7"/>
  <c r="B290" i="7"/>
  <c r="A289" i="7"/>
  <c r="E289" i="7"/>
  <c r="G289" i="7"/>
  <c r="D290" i="7" l="1"/>
  <c r="A290" i="7"/>
  <c r="F290" i="7"/>
  <c r="E290" i="7"/>
  <c r="C290" i="7"/>
  <c r="G290" i="7"/>
  <c r="B291" i="7"/>
  <c r="G291" i="7" l="1"/>
  <c r="E291" i="7"/>
  <c r="F291" i="7"/>
  <c r="A291" i="7"/>
  <c r="D291" i="7"/>
  <c r="C291" i="7"/>
  <c r="B292" i="7"/>
  <c r="F292" i="7" l="1"/>
  <c r="B293" i="7"/>
  <c r="E292" i="7"/>
  <c r="C292" i="7"/>
  <c r="G292" i="7"/>
  <c r="A292" i="7"/>
  <c r="D292" i="7"/>
  <c r="A293" i="7" l="1"/>
  <c r="F293" i="7"/>
  <c r="B294" i="7"/>
  <c r="G293" i="7"/>
  <c r="C293" i="7"/>
  <c r="D293" i="7"/>
  <c r="E293" i="7"/>
  <c r="B295" i="7" l="1"/>
  <c r="C294" i="7"/>
  <c r="G294" i="7"/>
  <c r="D294" i="7"/>
  <c r="A294" i="7"/>
  <c r="F294" i="7"/>
  <c r="E294" i="7"/>
  <c r="C295" i="7" l="1"/>
  <c r="G295" i="7"/>
  <c r="F295" i="7"/>
  <c r="A295" i="7"/>
  <c r="D295" i="7"/>
  <c r="B296" i="7"/>
  <c r="E295" i="7"/>
  <c r="A296" i="7" l="1"/>
  <c r="F296" i="7"/>
  <c r="C296" i="7"/>
  <c r="E296" i="7"/>
  <c r="B297" i="7"/>
  <c r="G296" i="7"/>
  <c r="D296" i="7"/>
  <c r="F297" i="7" l="1"/>
  <c r="D297" i="7"/>
  <c r="A297" i="7"/>
  <c r="B298" i="7"/>
  <c r="E297" i="7"/>
  <c r="C297" i="7"/>
  <c r="G297" i="7"/>
  <c r="E298" i="7" l="1"/>
  <c r="C298" i="7"/>
  <c r="F298" i="7"/>
  <c r="B299" i="7"/>
  <c r="G298" i="7"/>
  <c r="D298" i="7"/>
  <c r="A298" i="7"/>
  <c r="C299" i="7" l="1"/>
  <c r="D299" i="7"/>
  <c r="F299" i="7"/>
  <c r="G299" i="7"/>
  <c r="B300" i="7"/>
  <c r="A299" i="7"/>
  <c r="E299" i="7"/>
  <c r="C300" i="7" l="1"/>
  <c r="E300" i="7"/>
  <c r="F300" i="7"/>
  <c r="A300" i="7"/>
  <c r="D300" i="7"/>
  <c r="G300" i="7"/>
  <c r="B301" i="7"/>
  <c r="C301" i="7" l="1"/>
  <c r="E301" i="7"/>
  <c r="A301" i="7"/>
  <c r="B302" i="7"/>
  <c r="G301" i="7"/>
  <c r="D301" i="7"/>
  <c r="F301" i="7"/>
  <c r="E302" i="7" l="1"/>
  <c r="B303" i="7"/>
  <c r="D302" i="7"/>
  <c r="C302" i="7"/>
  <c r="A302" i="7"/>
  <c r="F302" i="7"/>
  <c r="G302" i="7"/>
  <c r="G303" i="7" l="1"/>
  <c r="A303" i="7"/>
  <c r="C303" i="7"/>
  <c r="E303" i="7"/>
  <c r="B304" i="7"/>
  <c r="D303" i="7"/>
  <c r="F303" i="7"/>
  <c r="F304" i="7" l="1"/>
  <c r="C304" i="7"/>
  <c r="B305" i="7"/>
  <c r="A304" i="7"/>
  <c r="D304" i="7"/>
  <c r="G304" i="7"/>
  <c r="E304" i="7"/>
  <c r="D305" i="7" l="1"/>
  <c r="E305" i="7"/>
  <c r="F305" i="7"/>
  <c r="C305" i="7"/>
  <c r="B306" i="7"/>
  <c r="A305" i="7"/>
  <c r="G305" i="7"/>
  <c r="D306" i="7" l="1"/>
  <c r="B307" i="7"/>
  <c r="A306" i="7"/>
  <c r="E306" i="7"/>
  <c r="G306" i="7"/>
  <c r="C306" i="7"/>
  <c r="F306" i="7"/>
  <c r="G307" i="7" l="1"/>
  <c r="A307" i="7"/>
  <c r="E307" i="7"/>
  <c r="F307" i="7"/>
  <c r="D307" i="7"/>
  <c r="B308" i="7"/>
  <c r="C307" i="7"/>
  <c r="G308" i="7" l="1"/>
  <c r="E308" i="7"/>
  <c r="A308" i="7"/>
  <c r="D308" i="7"/>
  <c r="F308" i="7"/>
  <c r="B309" i="7"/>
  <c r="C308" i="7"/>
  <c r="E309" i="7" l="1"/>
  <c r="B310" i="7"/>
  <c r="F309" i="7"/>
  <c r="G309" i="7"/>
  <c r="A309" i="7"/>
  <c r="C309" i="7"/>
  <c r="D309" i="7"/>
  <c r="C310" i="7" l="1"/>
  <c r="B311" i="7"/>
  <c r="A310" i="7"/>
  <c r="G310" i="7"/>
  <c r="F310" i="7"/>
  <c r="E310" i="7"/>
  <c r="D310" i="7"/>
  <c r="G311" i="7" l="1"/>
  <c r="D311" i="7"/>
  <c r="F311" i="7"/>
  <c r="C311" i="7"/>
  <c r="B312" i="7"/>
  <c r="A311" i="7"/>
  <c r="E311" i="7"/>
  <c r="C312" i="7" l="1"/>
  <c r="G312" i="7"/>
  <c r="F312" i="7"/>
  <c r="B313" i="7"/>
  <c r="E312" i="7"/>
  <c r="A312" i="7"/>
  <c r="D312" i="7"/>
  <c r="C313" i="7" l="1"/>
  <c r="F313" i="7"/>
  <c r="A313" i="7"/>
  <c r="B314" i="7"/>
  <c r="G313" i="7"/>
  <c r="E313" i="7"/>
  <c r="D313" i="7"/>
  <c r="C314" i="7" l="1"/>
  <c r="B315" i="7"/>
  <c r="A314" i="7"/>
  <c r="F314" i="7"/>
  <c r="E314" i="7"/>
  <c r="D314" i="7"/>
  <c r="G314" i="7"/>
  <c r="E315" i="7" l="1"/>
  <c r="G315" i="7"/>
  <c r="C315" i="7"/>
  <c r="D315" i="7"/>
  <c r="B316" i="7"/>
  <c r="F315" i="7"/>
  <c r="A315" i="7"/>
  <c r="A316" i="7" l="1"/>
  <c r="G316" i="7"/>
  <c r="C316" i="7"/>
  <c r="E316" i="7"/>
  <c r="F316" i="7"/>
  <c r="B317" i="7"/>
  <c r="D316" i="7"/>
  <c r="F317" i="7" l="1"/>
  <c r="C317" i="7"/>
  <c r="G317" i="7"/>
  <c r="A317" i="7"/>
  <c r="E317" i="7"/>
  <c r="D317" i="7"/>
  <c r="B318" i="7"/>
  <c r="D318" i="7" l="1"/>
  <c r="B319" i="7"/>
  <c r="F318" i="7"/>
  <c r="G318" i="7"/>
  <c r="C318" i="7"/>
  <c r="E318" i="7"/>
  <c r="A318" i="7"/>
  <c r="D319" i="7" l="1"/>
  <c r="A319" i="7"/>
  <c r="F319" i="7"/>
  <c r="E319" i="7"/>
  <c r="B320" i="7"/>
  <c r="C319" i="7"/>
  <c r="G319" i="7"/>
  <c r="B321" i="7" l="1"/>
  <c r="A320" i="7"/>
  <c r="C320" i="7"/>
  <c r="D320" i="7"/>
  <c r="F320" i="7"/>
  <c r="E320" i="7"/>
  <c r="G320" i="7"/>
  <c r="C321" i="7" l="1"/>
  <c r="E321" i="7"/>
  <c r="F321" i="7"/>
  <c r="D321" i="7"/>
  <c r="B322" i="7"/>
  <c r="A321" i="7"/>
  <c r="G321" i="7"/>
  <c r="G322" i="7" l="1"/>
  <c r="C322" i="7"/>
  <c r="E322" i="7"/>
  <c r="B323" i="7"/>
  <c r="D322" i="7"/>
  <c r="A322" i="7"/>
  <c r="F322" i="7"/>
  <c r="C323" i="7" l="1"/>
  <c r="E323" i="7"/>
  <c r="F323" i="7"/>
  <c r="A323" i="7"/>
  <c r="D323" i="7"/>
  <c r="B324" i="7"/>
  <c r="G323" i="7"/>
  <c r="D324" i="7" l="1"/>
  <c r="F324" i="7"/>
  <c r="A324" i="7"/>
  <c r="C324" i="7"/>
  <c r="B325" i="7"/>
  <c r="G324" i="7"/>
  <c r="E324" i="7"/>
  <c r="D325" i="7" l="1"/>
  <c r="A325" i="7"/>
  <c r="G325" i="7"/>
  <c r="B326" i="7"/>
  <c r="C325" i="7"/>
  <c r="E325" i="7"/>
  <c r="F325" i="7"/>
  <c r="E326" i="7" l="1"/>
  <c r="G326" i="7"/>
  <c r="D326" i="7"/>
  <c r="F326" i="7"/>
  <c r="C326" i="7"/>
  <c r="A326" i="7"/>
  <c r="B327" i="7"/>
  <c r="G327" i="7" l="1"/>
  <c r="F327" i="7"/>
  <c r="B328" i="7"/>
  <c r="C327" i="7"/>
  <c r="A327" i="7"/>
  <c r="D327" i="7"/>
  <c r="E327" i="7"/>
  <c r="A328" i="7" l="1"/>
  <c r="E328" i="7"/>
  <c r="F328" i="7"/>
  <c r="B329" i="7"/>
  <c r="C328" i="7"/>
  <c r="D328" i="7"/>
  <c r="G328" i="7"/>
  <c r="E329" i="7" l="1"/>
  <c r="A329" i="7"/>
  <c r="C329" i="7"/>
  <c r="D329" i="7"/>
  <c r="F329" i="7"/>
  <c r="G329" i="7"/>
  <c r="B330" i="7"/>
  <c r="B331" i="7" l="1"/>
  <c r="A330" i="7"/>
  <c r="C330" i="7"/>
  <c r="E330" i="7"/>
  <c r="F330" i="7"/>
  <c r="D330" i="7"/>
  <c r="G330" i="7"/>
  <c r="C331" i="7" l="1"/>
  <c r="B332" i="7"/>
  <c r="F331" i="7"/>
  <c r="D331" i="7"/>
  <c r="G331" i="7"/>
  <c r="E331" i="7"/>
  <c r="A331" i="7"/>
  <c r="B333" i="7" l="1"/>
  <c r="F332" i="7"/>
  <c r="D332" i="7"/>
  <c r="C332" i="7"/>
  <c r="G332" i="7"/>
  <c r="A332" i="7"/>
  <c r="E332" i="7"/>
  <c r="C333" i="7" l="1"/>
  <c r="B334" i="7"/>
  <c r="F333" i="7"/>
  <c r="E333" i="7"/>
  <c r="D333" i="7"/>
  <c r="G333" i="7"/>
  <c r="A333" i="7"/>
  <c r="B335" i="7" l="1"/>
  <c r="G334" i="7"/>
  <c r="F334" i="7"/>
  <c r="E334" i="7"/>
  <c r="D334" i="7"/>
  <c r="A334" i="7"/>
  <c r="C334" i="7"/>
  <c r="B336" i="7" l="1"/>
  <c r="A335" i="7"/>
  <c r="C335" i="7"/>
  <c r="G335" i="7"/>
  <c r="F335" i="7"/>
  <c r="D335" i="7"/>
  <c r="E335" i="7"/>
  <c r="D336" i="7" l="1"/>
  <c r="C336" i="7"/>
  <c r="G336" i="7"/>
  <c r="E336" i="7"/>
  <c r="A336" i="7"/>
  <c r="B337" i="7"/>
  <c r="F336" i="7"/>
  <c r="B338" i="7" l="1"/>
  <c r="D337" i="7"/>
  <c r="G337" i="7"/>
  <c r="C337" i="7"/>
  <c r="A337" i="7"/>
  <c r="E337" i="7"/>
  <c r="F337" i="7"/>
  <c r="D338" i="7" l="1"/>
  <c r="A338" i="7"/>
  <c r="G338" i="7"/>
  <c r="F338" i="7"/>
  <c r="E338" i="7"/>
  <c r="B339" i="7"/>
  <c r="C338" i="7"/>
  <c r="B340" i="7" l="1"/>
  <c r="E339" i="7"/>
  <c r="A339" i="7"/>
  <c r="D339" i="7"/>
  <c r="F339" i="7"/>
  <c r="G339" i="7"/>
  <c r="C339" i="7"/>
  <c r="G340" i="7" l="1"/>
  <c r="D340" i="7"/>
  <c r="A340" i="7"/>
  <c r="F340" i="7"/>
  <c r="B341" i="7"/>
  <c r="C340" i="7"/>
  <c r="E340" i="7"/>
  <c r="F341" i="7" l="1"/>
  <c r="G341" i="7"/>
  <c r="A341" i="7"/>
  <c r="E341" i="7"/>
  <c r="D341" i="7"/>
  <c r="B342" i="7"/>
  <c r="C341" i="7"/>
  <c r="E342" i="7" l="1"/>
  <c r="B343" i="7"/>
  <c r="A342" i="7"/>
  <c r="F342" i="7"/>
  <c r="G342" i="7"/>
  <c r="C342" i="7"/>
  <c r="D342" i="7"/>
  <c r="D343" i="7" l="1"/>
  <c r="A343" i="7"/>
  <c r="G343" i="7"/>
  <c r="E343" i="7"/>
  <c r="B344" i="7"/>
  <c r="F343" i="7"/>
  <c r="C343" i="7"/>
  <c r="C344" i="7" l="1"/>
  <c r="G344" i="7"/>
  <c r="D344" i="7"/>
  <c r="A344" i="7"/>
  <c r="E344" i="7"/>
  <c r="F344" i="7"/>
  <c r="B345" i="7"/>
  <c r="D345" i="7" l="1"/>
  <c r="C345" i="7"/>
  <c r="B346" i="7"/>
  <c r="F345" i="7"/>
  <c r="G345" i="7"/>
  <c r="A345" i="7"/>
  <c r="E345" i="7"/>
  <c r="B347" i="7" l="1"/>
  <c r="D346" i="7"/>
  <c r="A346" i="7"/>
  <c r="F346" i="7"/>
  <c r="G346" i="7"/>
  <c r="E346" i="7"/>
  <c r="C346" i="7"/>
  <c r="A347" i="7" l="1"/>
  <c r="C347" i="7"/>
  <c r="F347" i="7"/>
  <c r="B348" i="7"/>
  <c r="D347" i="7"/>
  <c r="G347" i="7"/>
  <c r="E347" i="7"/>
  <c r="A348" i="7" l="1"/>
  <c r="B349" i="7"/>
  <c r="G348" i="7"/>
  <c r="E348" i="7"/>
  <c r="C348" i="7"/>
  <c r="F348" i="7"/>
  <c r="D348" i="7"/>
  <c r="E349" i="7" l="1"/>
  <c r="C349" i="7"/>
  <c r="D349" i="7"/>
  <c r="B350" i="7"/>
  <c r="F349" i="7"/>
  <c r="G349" i="7"/>
  <c r="A349" i="7"/>
  <c r="G350" i="7" l="1"/>
  <c r="C350" i="7"/>
  <c r="A350" i="7"/>
  <c r="D350" i="7"/>
  <c r="B351" i="7"/>
  <c r="F350" i="7"/>
  <c r="E350" i="7"/>
  <c r="D351" i="7" l="1"/>
  <c r="G351" i="7"/>
  <c r="B352" i="7"/>
  <c r="A351" i="7"/>
  <c r="F351" i="7"/>
  <c r="C351" i="7"/>
  <c r="E351" i="7"/>
  <c r="G352" i="7" l="1"/>
  <c r="E352" i="7"/>
  <c r="A352" i="7"/>
  <c r="B353" i="7"/>
  <c r="D352" i="7"/>
  <c r="C352" i="7"/>
  <c r="F352" i="7"/>
  <c r="F353" i="7" l="1"/>
  <c r="E353" i="7"/>
  <c r="C353" i="7"/>
  <c r="A353" i="7"/>
  <c r="B354" i="7"/>
  <c r="G353" i="7"/>
  <c r="D353" i="7"/>
  <c r="B355" i="7" l="1"/>
  <c r="G354" i="7"/>
  <c r="C354" i="7"/>
  <c r="E354" i="7"/>
  <c r="F354" i="7"/>
  <c r="A354" i="7"/>
  <c r="D354" i="7"/>
  <c r="G355" i="7" l="1"/>
  <c r="B356" i="7"/>
  <c r="F355" i="7"/>
  <c r="E355" i="7"/>
  <c r="C355" i="7"/>
  <c r="A355" i="7"/>
  <c r="D355" i="7"/>
  <c r="G356" i="7" l="1"/>
  <c r="D356" i="7"/>
  <c r="A356" i="7"/>
  <c r="B357" i="7"/>
  <c r="E356" i="7"/>
  <c r="F356" i="7"/>
  <c r="C356" i="7"/>
  <c r="C357" i="7" l="1"/>
  <c r="B358" i="7"/>
  <c r="D357" i="7"/>
  <c r="E357" i="7"/>
  <c r="G357" i="7"/>
  <c r="F357" i="7"/>
  <c r="A357" i="7"/>
  <c r="A358" i="7" l="1"/>
  <c r="E358" i="7"/>
  <c r="F358" i="7"/>
  <c r="B359" i="7"/>
  <c r="D358" i="7"/>
  <c r="C358" i="7"/>
  <c r="G358" i="7"/>
  <c r="G359" i="7" l="1"/>
  <c r="C359" i="7"/>
  <c r="E359" i="7"/>
  <c r="F359" i="7"/>
  <c r="A359" i="7"/>
  <c r="D359" i="7"/>
  <c r="B360" i="7"/>
  <c r="D360" i="7" l="1"/>
  <c r="A360" i="7"/>
  <c r="F360" i="7"/>
  <c r="C360" i="7"/>
  <c r="G360" i="7"/>
  <c r="B361" i="7"/>
  <c r="E360" i="7"/>
  <c r="D361" i="7" l="1"/>
  <c r="E361" i="7"/>
  <c r="B362" i="7"/>
  <c r="G361" i="7"/>
  <c r="A361" i="7"/>
  <c r="C361" i="7"/>
  <c r="F361" i="7"/>
  <c r="E362" i="7" l="1"/>
  <c r="D362" i="7"/>
  <c r="A362" i="7"/>
  <c r="C362" i="7"/>
  <c r="B363" i="7"/>
  <c r="G362" i="7"/>
  <c r="F362" i="7"/>
  <c r="D363" i="7" l="1"/>
  <c r="A363" i="7"/>
  <c r="C363" i="7"/>
  <c r="G363" i="7"/>
  <c r="E363" i="7"/>
  <c r="B364" i="7"/>
  <c r="F363" i="7"/>
  <c r="G364" i="7" l="1"/>
  <c r="E364" i="7"/>
  <c r="B365" i="7"/>
  <c r="D364" i="7"/>
  <c r="A364" i="7"/>
  <c r="F364" i="7"/>
  <c r="C364" i="7"/>
  <c r="E365" i="7" l="1"/>
  <c r="G365" i="7"/>
  <c r="D365" i="7"/>
  <c r="C365" i="7"/>
  <c r="F365" i="7"/>
  <c r="B366" i="7"/>
  <c r="A365" i="7"/>
  <c r="E366" i="7" l="1"/>
  <c r="D366" i="7"/>
  <c r="G366" i="7"/>
  <c r="F366" i="7"/>
  <c r="B367" i="7"/>
  <c r="C366" i="7"/>
  <c r="A366" i="7"/>
  <c r="G367" i="7" l="1"/>
  <c r="E367" i="7"/>
  <c r="B368" i="7"/>
  <c r="C367" i="7"/>
  <c r="F367" i="7"/>
  <c r="D367" i="7"/>
  <c r="A367" i="7"/>
  <c r="A368" i="7" l="1"/>
  <c r="G368" i="7"/>
  <c r="E368" i="7"/>
  <c r="B369" i="7"/>
  <c r="C368" i="7"/>
  <c r="D368" i="7"/>
  <c r="F368" i="7"/>
  <c r="G369" i="7" l="1"/>
  <c r="F369" i="7"/>
  <c r="B370" i="7"/>
  <c r="C369" i="7"/>
  <c r="E369" i="7"/>
  <c r="D369" i="7"/>
  <c r="A369" i="7"/>
  <c r="D370" i="7" l="1"/>
  <c r="G370" i="7"/>
  <c r="B371" i="7"/>
  <c r="F370" i="7"/>
  <c r="C370" i="7"/>
  <c r="E370" i="7"/>
  <c r="A370" i="7"/>
  <c r="E371" i="7" l="1"/>
  <c r="F371" i="7"/>
  <c r="A371" i="7"/>
  <c r="B372" i="7"/>
  <c r="D371" i="7"/>
  <c r="C371" i="7"/>
  <c r="G371" i="7"/>
  <c r="A372" i="7" l="1"/>
  <c r="E372" i="7"/>
  <c r="D372" i="7"/>
  <c r="F372" i="7"/>
  <c r="G372" i="7"/>
  <c r="B373" i="7"/>
  <c r="C372" i="7"/>
  <c r="E373" i="7" l="1"/>
  <c r="C373" i="7"/>
  <c r="G373" i="7"/>
  <c r="D373" i="7"/>
  <c r="F373" i="7"/>
  <c r="A373" i="7"/>
  <c r="B374" i="7"/>
  <c r="C374" i="7" l="1"/>
  <c r="B375" i="7"/>
  <c r="E374" i="7"/>
  <c r="G374" i="7"/>
  <c r="F374" i="7"/>
  <c r="D374" i="7"/>
  <c r="A374" i="7"/>
  <c r="C375" i="7" l="1"/>
  <c r="B376" i="7"/>
  <c r="E375" i="7"/>
  <c r="F375" i="7"/>
  <c r="A375" i="7"/>
  <c r="G375" i="7"/>
  <c r="D375" i="7"/>
  <c r="F376" i="7" l="1"/>
  <c r="G376" i="7"/>
  <c r="C376" i="7"/>
  <c r="A376" i="7"/>
  <c r="B377" i="7"/>
  <c r="D376" i="7"/>
  <c r="E376" i="7"/>
  <c r="C377" i="7" l="1"/>
  <c r="F377" i="7"/>
  <c r="E377" i="7"/>
  <c r="A377" i="7"/>
  <c r="G377" i="7"/>
  <c r="B378" i="7"/>
  <c r="D377" i="7"/>
  <c r="A378" i="7" l="1"/>
  <c r="C378" i="7"/>
  <c r="E378" i="7"/>
  <c r="D378" i="7"/>
  <c r="F378" i="7"/>
  <c r="B379" i="7"/>
  <c r="G378" i="7"/>
  <c r="E379" i="7" l="1"/>
  <c r="C379" i="7"/>
  <c r="B380" i="7"/>
  <c r="G379" i="7"/>
  <c r="F379" i="7"/>
  <c r="A379" i="7"/>
  <c r="D379" i="7"/>
  <c r="C380" i="7" l="1"/>
  <c r="F380" i="7"/>
  <c r="A380" i="7"/>
  <c r="E380" i="7"/>
  <c r="B381" i="7"/>
  <c r="D380" i="7"/>
  <c r="G380" i="7"/>
  <c r="F381" i="7" l="1"/>
  <c r="A381" i="7"/>
  <c r="E381" i="7"/>
  <c r="C381" i="7"/>
  <c r="B382" i="7"/>
  <c r="G381" i="7"/>
  <c r="D381" i="7"/>
  <c r="E382" i="7" l="1"/>
  <c r="F382" i="7"/>
  <c r="B383" i="7"/>
  <c r="G382" i="7"/>
  <c r="D382" i="7"/>
  <c r="C382" i="7"/>
  <c r="A382" i="7"/>
  <c r="G383" i="7" l="1"/>
  <c r="A383" i="7"/>
  <c r="F383" i="7"/>
  <c r="B384" i="7"/>
  <c r="C383" i="7"/>
  <c r="D383" i="7"/>
  <c r="E383" i="7"/>
  <c r="F384" i="7" l="1"/>
  <c r="G384" i="7"/>
  <c r="A384" i="7"/>
  <c r="C384" i="7"/>
  <c r="E384" i="7"/>
  <c r="D384" i="7"/>
  <c r="B385" i="7"/>
  <c r="G385" i="7" l="1"/>
  <c r="B386" i="7"/>
  <c r="E385" i="7"/>
  <c r="F385" i="7"/>
  <c r="D385" i="7"/>
  <c r="A385" i="7"/>
  <c r="C385" i="7"/>
  <c r="A386" i="7" l="1"/>
  <c r="E386" i="7"/>
  <c r="F386" i="7"/>
  <c r="C386" i="7"/>
  <c r="G386" i="7"/>
  <c r="B387" i="7"/>
  <c r="D386" i="7"/>
  <c r="A387" i="7" l="1"/>
  <c r="B388" i="7"/>
  <c r="D387" i="7"/>
  <c r="F387" i="7"/>
  <c r="G387" i="7"/>
  <c r="E387" i="7"/>
  <c r="C387" i="7"/>
  <c r="F388" i="7" l="1"/>
  <c r="E388" i="7"/>
  <c r="D388" i="7"/>
  <c r="G388" i="7"/>
  <c r="B389" i="7"/>
  <c r="A388" i="7"/>
  <c r="C388" i="7"/>
  <c r="B390" i="7" l="1"/>
  <c r="D389" i="7"/>
  <c r="E389" i="7"/>
  <c r="C389" i="7"/>
  <c r="G389" i="7"/>
  <c r="F389" i="7"/>
  <c r="A389" i="7"/>
  <c r="G390" i="7" l="1"/>
  <c r="E390" i="7"/>
  <c r="C390" i="7"/>
  <c r="D390" i="7"/>
  <c r="F390" i="7"/>
  <c r="A390" i="7"/>
  <c r="B391" i="7"/>
  <c r="A391" i="7" l="1"/>
  <c r="F391" i="7"/>
  <c r="D391" i="7"/>
  <c r="E391" i="7"/>
  <c r="G391" i="7"/>
  <c r="B392" i="7"/>
  <c r="C391" i="7"/>
  <c r="E392" i="7" l="1"/>
  <c r="B393" i="7"/>
  <c r="G392" i="7"/>
  <c r="F392" i="7"/>
  <c r="C392" i="7"/>
  <c r="D392" i="7"/>
  <c r="A392" i="7"/>
  <c r="F393" i="7" l="1"/>
  <c r="D393" i="7"/>
  <c r="C393" i="7"/>
  <c r="B394" i="7"/>
  <c r="A393" i="7"/>
  <c r="E393" i="7"/>
  <c r="G393" i="7"/>
  <c r="D394" i="7" l="1"/>
  <c r="E394" i="7"/>
  <c r="B395" i="7"/>
  <c r="G394" i="7"/>
  <c r="C394" i="7"/>
  <c r="F394" i="7"/>
  <c r="A394" i="7"/>
  <c r="E395" i="7" l="1"/>
  <c r="G395" i="7"/>
  <c r="C395" i="7"/>
  <c r="B396" i="7"/>
  <c r="F395" i="7"/>
  <c r="A395" i="7"/>
  <c r="D395" i="7"/>
  <c r="E396" i="7" l="1"/>
  <c r="B397" i="7"/>
  <c r="C396" i="7"/>
  <c r="G396" i="7"/>
  <c r="D396" i="7"/>
  <c r="F396" i="7"/>
  <c r="A396" i="7"/>
  <c r="B398" i="7" l="1"/>
  <c r="F397" i="7"/>
  <c r="D397" i="7"/>
  <c r="G397" i="7"/>
  <c r="C397" i="7"/>
  <c r="E397" i="7"/>
  <c r="A397" i="7"/>
  <c r="G398" i="7" l="1"/>
  <c r="D398" i="7"/>
  <c r="F398" i="7"/>
  <c r="C398" i="7"/>
  <c r="A398" i="7"/>
  <c r="B399" i="7"/>
  <c r="E398" i="7"/>
  <c r="D399" i="7" l="1"/>
  <c r="A399" i="7"/>
  <c r="F399" i="7"/>
  <c r="C399" i="7"/>
  <c r="E399" i="7"/>
  <c r="G399" i="7"/>
  <c r="B400" i="7"/>
  <c r="A400" i="7" l="1"/>
  <c r="B401" i="7"/>
  <c r="C400" i="7"/>
  <c r="G400" i="7"/>
  <c r="F400" i="7"/>
  <c r="E400" i="7"/>
  <c r="D400" i="7"/>
  <c r="G401" i="7" l="1"/>
  <c r="F401" i="7"/>
  <c r="E401" i="7"/>
  <c r="C401" i="7"/>
  <c r="D401" i="7"/>
  <c r="A401" i="7"/>
  <c r="B402" i="7"/>
  <c r="D402" i="7" l="1"/>
  <c r="F402" i="7"/>
  <c r="A402" i="7"/>
  <c r="G402" i="7"/>
  <c r="B403" i="7"/>
  <c r="E402" i="7"/>
  <c r="C402" i="7"/>
  <c r="F403" i="7" l="1"/>
  <c r="E403" i="7"/>
  <c r="D403" i="7"/>
  <c r="G403" i="7"/>
  <c r="B404" i="7"/>
  <c r="C403" i="7"/>
  <c r="A403" i="7"/>
  <c r="F404" i="7" l="1"/>
  <c r="E404" i="7"/>
  <c r="C404" i="7"/>
  <c r="G404" i="7"/>
  <c r="B405" i="7"/>
  <c r="D404" i="7"/>
  <c r="A404" i="7"/>
  <c r="B406" i="7" l="1"/>
  <c r="E405" i="7"/>
  <c r="D405" i="7"/>
  <c r="A405" i="7"/>
  <c r="C405" i="7"/>
  <c r="G405" i="7"/>
  <c r="F405" i="7"/>
  <c r="C406" i="7" l="1"/>
  <c r="A406" i="7"/>
  <c r="B407" i="7"/>
  <c r="E406" i="7"/>
  <c r="G406" i="7"/>
  <c r="F406" i="7"/>
  <c r="D406" i="7"/>
  <c r="C407" i="7" l="1"/>
  <c r="E407" i="7"/>
  <c r="F407" i="7"/>
  <c r="A407" i="7"/>
  <c r="D407" i="7"/>
  <c r="G407" i="7"/>
  <c r="B408" i="7"/>
  <c r="B409" i="7" l="1"/>
  <c r="A408" i="7"/>
  <c r="D408" i="7"/>
  <c r="F408" i="7"/>
  <c r="G408" i="7"/>
  <c r="C408" i="7"/>
  <c r="E408" i="7"/>
  <c r="A409" i="7" l="1"/>
  <c r="D409" i="7"/>
  <c r="E409" i="7"/>
  <c r="B410" i="7"/>
  <c r="C409" i="7"/>
  <c r="G409" i="7"/>
  <c r="F409" i="7"/>
  <c r="G410" i="7" l="1"/>
  <c r="F410" i="7"/>
  <c r="D410" i="7"/>
  <c r="A410" i="7"/>
  <c r="E410" i="7"/>
  <c r="C410" i="7"/>
  <c r="B411" i="7"/>
  <c r="D411" i="7" l="1"/>
  <c r="G411" i="7"/>
  <c r="C411" i="7"/>
  <c r="B412" i="7"/>
  <c r="F411" i="7"/>
  <c r="E411" i="7"/>
  <c r="A411" i="7"/>
  <c r="F412" i="7" l="1"/>
  <c r="G412" i="7"/>
  <c r="C412" i="7"/>
  <c r="D412" i="7"/>
  <c r="E412" i="7"/>
  <c r="B413" i="7"/>
  <c r="A412" i="7"/>
  <c r="B414" i="7" l="1"/>
  <c r="E413" i="7"/>
  <c r="G413" i="7"/>
  <c r="A413" i="7"/>
  <c r="F413" i="7"/>
  <c r="C413" i="7"/>
  <c r="D413" i="7"/>
  <c r="A414" i="7" l="1"/>
  <c r="C414" i="7"/>
  <c r="B415" i="7"/>
  <c r="D414" i="7"/>
  <c r="F414" i="7"/>
  <c r="G414" i="7"/>
  <c r="E414" i="7"/>
  <c r="C415" i="7" l="1"/>
  <c r="G415" i="7"/>
  <c r="A415" i="7"/>
  <c r="D415" i="7"/>
  <c r="B416" i="7"/>
  <c r="E415" i="7"/>
  <c r="F415" i="7"/>
  <c r="D416" i="7" l="1"/>
  <c r="B417" i="7"/>
  <c r="C416" i="7"/>
  <c r="F416" i="7"/>
  <c r="E416" i="7"/>
  <c r="G416" i="7"/>
  <c r="A416" i="7"/>
  <c r="F417" i="7" l="1"/>
  <c r="A417" i="7"/>
  <c r="B418" i="7"/>
  <c r="D417" i="7"/>
  <c r="C417" i="7"/>
  <c r="E417" i="7"/>
  <c r="G417" i="7"/>
  <c r="B419" i="7" l="1"/>
  <c r="D418" i="7"/>
  <c r="E418" i="7"/>
  <c r="A418" i="7"/>
  <c r="G418" i="7"/>
  <c r="F418" i="7"/>
  <c r="C418" i="7"/>
  <c r="C419" i="7" l="1"/>
  <c r="D419" i="7"/>
  <c r="F419" i="7"/>
  <c r="G419" i="7"/>
  <c r="E419" i="7"/>
  <c r="A419" i="7"/>
  <c r="B420" i="7"/>
  <c r="F420" i="7" l="1"/>
  <c r="G420" i="7"/>
  <c r="B421" i="7"/>
  <c r="E420" i="7"/>
  <c r="C420" i="7"/>
  <c r="A420" i="7"/>
  <c r="D420" i="7"/>
  <c r="F421" i="7" l="1"/>
  <c r="A421" i="7"/>
  <c r="B422" i="7"/>
  <c r="D421" i="7"/>
  <c r="C421" i="7"/>
  <c r="E421" i="7"/>
  <c r="G421" i="7"/>
  <c r="A422" i="7" l="1"/>
  <c r="C422" i="7"/>
  <c r="E422" i="7"/>
  <c r="F422" i="7"/>
  <c r="D422" i="7"/>
  <c r="B423" i="7"/>
  <c r="G422" i="7"/>
  <c r="E423" i="7" l="1"/>
  <c r="G423" i="7"/>
  <c r="C423" i="7"/>
  <c r="F423" i="7"/>
  <c r="D423" i="7"/>
  <c r="A423" i="7"/>
  <c r="B424" i="7"/>
  <c r="A424" i="7" l="1"/>
  <c r="D424" i="7"/>
  <c r="E424" i="7"/>
  <c r="C424" i="7"/>
  <c r="F424" i="7"/>
  <c r="G424" i="7"/>
  <c r="B425" i="7"/>
  <c r="C425" i="7" l="1"/>
  <c r="B426" i="7"/>
  <c r="G425" i="7"/>
  <c r="A425" i="7"/>
  <c r="D425" i="7"/>
  <c r="E425" i="7"/>
  <c r="F425" i="7"/>
  <c r="D426" i="7" l="1"/>
  <c r="B427" i="7"/>
  <c r="F426" i="7"/>
  <c r="E426" i="7"/>
  <c r="C426" i="7"/>
  <c r="A426" i="7"/>
  <c r="G426" i="7"/>
  <c r="A427" i="7" l="1"/>
  <c r="B428" i="7"/>
  <c r="F427" i="7"/>
  <c r="E427" i="7"/>
  <c r="D427" i="7"/>
  <c r="C427" i="7"/>
  <c r="G427" i="7"/>
  <c r="A428" i="7" l="1"/>
  <c r="G428" i="7"/>
  <c r="C428" i="7"/>
  <c r="E428" i="7"/>
  <c r="B429" i="7"/>
  <c r="D428" i="7"/>
  <c r="F428" i="7"/>
  <c r="F429" i="7" l="1"/>
  <c r="E429" i="7"/>
  <c r="B430" i="7"/>
  <c r="D429" i="7"/>
  <c r="A429" i="7"/>
  <c r="C429" i="7"/>
  <c r="G429" i="7"/>
  <c r="G430" i="7" l="1"/>
  <c r="A430" i="7"/>
  <c r="F430" i="7"/>
  <c r="D430" i="7"/>
  <c r="E430" i="7"/>
  <c r="C430" i="7"/>
  <c r="B431" i="7"/>
  <c r="G431" i="7" l="1"/>
  <c r="F431" i="7"/>
  <c r="B432" i="7"/>
  <c r="C431" i="7"/>
  <c r="D431" i="7"/>
  <c r="E431" i="7"/>
  <c r="A431" i="7"/>
  <c r="F432" i="7" l="1"/>
  <c r="E432" i="7"/>
  <c r="A432" i="7"/>
  <c r="B433" i="7"/>
  <c r="G432" i="7"/>
  <c r="C432" i="7"/>
  <c r="D432" i="7"/>
  <c r="B434" i="7" l="1"/>
  <c r="E433" i="7"/>
  <c r="D433" i="7"/>
  <c r="A433" i="7"/>
  <c r="G433" i="7"/>
  <c r="C433" i="7"/>
  <c r="F433" i="7"/>
  <c r="G434" i="7" l="1"/>
  <c r="B435" i="7"/>
  <c r="C434" i="7"/>
  <c r="F434" i="7"/>
  <c r="D434" i="7"/>
  <c r="E434" i="7"/>
  <c r="A434" i="7"/>
  <c r="D435" i="7" l="1"/>
  <c r="G435" i="7"/>
  <c r="A435" i="7"/>
  <c r="B436" i="7"/>
  <c r="F435" i="7"/>
  <c r="E435" i="7"/>
  <c r="C435" i="7"/>
  <c r="B437" i="7" l="1"/>
  <c r="D436" i="7"/>
  <c r="E436" i="7"/>
  <c r="A436" i="7"/>
  <c r="G436" i="7"/>
  <c r="C436" i="7"/>
  <c r="F436" i="7"/>
  <c r="E437" i="7" l="1"/>
  <c r="B438" i="7"/>
  <c r="D437" i="7"/>
  <c r="A437" i="7"/>
  <c r="G437" i="7"/>
  <c r="F437" i="7"/>
  <c r="C437" i="7"/>
  <c r="G438" i="7" l="1"/>
  <c r="E438" i="7"/>
  <c r="F438" i="7"/>
  <c r="D438" i="7"/>
  <c r="A438" i="7"/>
  <c r="B439" i="7"/>
  <c r="C438" i="7"/>
  <c r="A439" i="7" l="1"/>
  <c r="F439" i="7"/>
  <c r="B440" i="7"/>
  <c r="C439" i="7"/>
  <c r="E439" i="7"/>
  <c r="D439" i="7"/>
  <c r="G439" i="7"/>
  <c r="D440" i="7" l="1"/>
  <c r="A440" i="7"/>
  <c r="B441" i="7"/>
  <c r="E440" i="7"/>
  <c r="C440" i="7"/>
  <c r="G440" i="7"/>
  <c r="F440" i="7"/>
  <c r="F441" i="7" l="1"/>
  <c r="G441" i="7"/>
  <c r="B442" i="7"/>
  <c r="E441" i="7"/>
  <c r="C441" i="7"/>
  <c r="A441" i="7"/>
  <c r="D441" i="7"/>
  <c r="F442" i="7" l="1"/>
  <c r="B443" i="7"/>
  <c r="G442" i="7"/>
  <c r="A442" i="7"/>
  <c r="D442" i="7"/>
  <c r="E442" i="7"/>
  <c r="C442" i="7"/>
  <c r="D443" i="7" l="1"/>
  <c r="A443" i="7"/>
  <c r="G443" i="7"/>
  <c r="E443" i="7"/>
  <c r="B444" i="7"/>
  <c r="F443" i="7"/>
  <c r="C443" i="7"/>
  <c r="C444" i="7" l="1"/>
  <c r="F444" i="7"/>
  <c r="E444" i="7"/>
  <c r="B445" i="7"/>
  <c r="D444" i="7"/>
  <c r="A444" i="7"/>
  <c r="G444" i="7"/>
  <c r="F445" i="7" l="1"/>
  <c r="C445" i="7"/>
  <c r="E445" i="7"/>
  <c r="D445" i="7"/>
  <c r="G445" i="7"/>
  <c r="B446" i="7"/>
  <c r="A445" i="7"/>
  <c r="E446" i="7" l="1"/>
  <c r="D446" i="7"/>
  <c r="B447" i="7"/>
  <c r="F446" i="7"/>
  <c r="C446" i="7"/>
  <c r="G446" i="7"/>
  <c r="A446" i="7"/>
  <c r="B448" i="7" l="1"/>
  <c r="C447" i="7"/>
  <c r="F447" i="7"/>
  <c r="D447" i="7"/>
  <c r="E447" i="7"/>
  <c r="G447" i="7"/>
  <c r="A447" i="7"/>
  <c r="A448" i="7" l="1"/>
  <c r="F448" i="7"/>
  <c r="D448" i="7"/>
  <c r="E448" i="7"/>
  <c r="C448" i="7"/>
  <c r="G448" i="7"/>
  <c r="B449" i="7"/>
  <c r="E449" i="7" l="1"/>
  <c r="F449" i="7"/>
  <c r="C449" i="7"/>
  <c r="B450" i="7"/>
  <c r="D449" i="7"/>
  <c r="G449" i="7"/>
  <c r="A449" i="7"/>
  <c r="D450" i="7" l="1"/>
  <c r="C450" i="7"/>
  <c r="B451" i="7"/>
  <c r="A450" i="7"/>
  <c r="E450" i="7"/>
  <c r="F450" i="7"/>
  <c r="G450" i="7"/>
  <c r="A451" i="7" l="1"/>
  <c r="C451" i="7"/>
  <c r="D451" i="7"/>
  <c r="E451" i="7"/>
  <c r="F451" i="7"/>
  <c r="B452" i="7"/>
  <c r="G451" i="7"/>
  <c r="C452" i="7" l="1"/>
  <c r="A452" i="7"/>
  <c r="G452" i="7"/>
  <c r="B453" i="7"/>
  <c r="D452" i="7"/>
  <c r="F452" i="7"/>
  <c r="E452" i="7"/>
  <c r="F453" i="7" l="1"/>
  <c r="A453" i="7"/>
  <c r="D453" i="7"/>
  <c r="C453" i="7"/>
  <c r="E453" i="7"/>
  <c r="B454" i="7"/>
  <c r="G453" i="7"/>
  <c r="B455" i="7" l="1"/>
  <c r="A454" i="7"/>
  <c r="G454" i="7"/>
  <c r="E454" i="7"/>
  <c r="C454" i="7"/>
  <c r="D454" i="7"/>
  <c r="F454" i="7"/>
  <c r="B456" i="7" l="1"/>
  <c r="E455" i="7"/>
  <c r="C455" i="7"/>
  <c r="G455" i="7"/>
  <c r="D455" i="7"/>
  <c r="A455" i="7"/>
  <c r="F455" i="7"/>
  <c r="E456" i="7" l="1"/>
  <c r="C456" i="7"/>
  <c r="B457" i="7"/>
  <c r="F456" i="7"/>
  <c r="G456" i="7"/>
  <c r="D456" i="7"/>
  <c r="A456" i="7"/>
  <c r="A457" i="7" l="1"/>
  <c r="E457" i="7"/>
  <c r="D457" i="7"/>
  <c r="F457" i="7"/>
  <c r="G457" i="7"/>
  <c r="C457" i="7"/>
  <c r="B458" i="7"/>
  <c r="F458" i="7" l="1"/>
  <c r="B459" i="7"/>
  <c r="G458" i="7"/>
  <c r="D458" i="7"/>
  <c r="C458" i="7"/>
  <c r="E458" i="7"/>
  <c r="A458" i="7"/>
  <c r="A459" i="7" l="1"/>
  <c r="D459" i="7"/>
  <c r="G459" i="7"/>
  <c r="C459" i="7"/>
  <c r="F459" i="7"/>
  <c r="B460" i="7"/>
  <c r="E459" i="7"/>
  <c r="F460" i="7" l="1"/>
  <c r="G460" i="7"/>
  <c r="E460" i="7"/>
  <c r="D460" i="7"/>
  <c r="A460" i="7"/>
  <c r="C460" i="7"/>
  <c r="B461" i="7"/>
  <c r="A461" i="7" l="1"/>
  <c r="D461" i="7"/>
  <c r="F461" i="7"/>
  <c r="G461" i="7"/>
  <c r="E461" i="7"/>
  <c r="B462" i="7"/>
  <c r="C461" i="7"/>
  <c r="G462" i="7" l="1"/>
  <c r="B463" i="7"/>
  <c r="F462" i="7"/>
  <c r="A462" i="7"/>
  <c r="D462" i="7"/>
  <c r="E462" i="7"/>
  <c r="C462" i="7"/>
  <c r="E463" i="7" l="1"/>
  <c r="G463" i="7"/>
  <c r="B464" i="7"/>
  <c r="A463" i="7"/>
  <c r="F463" i="7"/>
  <c r="C463" i="7"/>
  <c r="D463" i="7"/>
  <c r="G464" i="7" l="1"/>
  <c r="E464" i="7"/>
  <c r="F464" i="7"/>
  <c r="D464" i="7"/>
  <c r="C464" i="7"/>
  <c r="A464" i="7"/>
  <c r="B465" i="7"/>
  <c r="D465" i="7" l="1"/>
  <c r="C465" i="7"/>
  <c r="E465" i="7"/>
  <c r="B466" i="7"/>
  <c r="A465" i="7"/>
  <c r="F465" i="7"/>
  <c r="G465" i="7"/>
  <c r="E466" i="7" l="1"/>
  <c r="D466" i="7"/>
  <c r="B467" i="7"/>
  <c r="C466" i="7"/>
  <c r="G466" i="7"/>
  <c r="A466" i="7"/>
  <c r="F466" i="7"/>
  <c r="D467" i="7" l="1"/>
  <c r="C467" i="7"/>
  <c r="G467" i="7"/>
  <c r="A467" i="7"/>
  <c r="E467" i="7"/>
  <c r="F467" i="7"/>
  <c r="B468" i="7"/>
  <c r="B469" i="7" l="1"/>
  <c r="A468" i="7"/>
  <c r="D468" i="7"/>
  <c r="E468" i="7"/>
  <c r="C468" i="7"/>
  <c r="F468" i="7"/>
  <c r="G468" i="7"/>
  <c r="G469" i="7" l="1"/>
  <c r="E469" i="7"/>
  <c r="D469" i="7"/>
  <c r="A469" i="7"/>
  <c r="F469" i="7"/>
  <c r="B470" i="7"/>
  <c r="C469" i="7"/>
  <c r="C470" i="7" l="1"/>
  <c r="B471" i="7"/>
  <c r="A470" i="7"/>
  <c r="F470" i="7"/>
  <c r="G470" i="7"/>
  <c r="D470" i="7"/>
  <c r="E470" i="7"/>
  <c r="F471" i="7" l="1"/>
  <c r="B472" i="7"/>
  <c r="G471" i="7"/>
  <c r="D471" i="7"/>
  <c r="E471" i="7"/>
  <c r="A471" i="7"/>
  <c r="C471" i="7"/>
  <c r="B473" i="7" l="1"/>
  <c r="F472" i="7"/>
  <c r="A472" i="7"/>
  <c r="E472" i="7"/>
  <c r="G472" i="7"/>
  <c r="C472" i="7"/>
  <c r="D472" i="7"/>
  <c r="F473" i="7" l="1"/>
  <c r="G473" i="7"/>
  <c r="D473" i="7"/>
  <c r="E473" i="7"/>
  <c r="C473" i="7"/>
  <c r="B474" i="7"/>
  <c r="A473" i="7"/>
  <c r="C474" i="7" l="1"/>
  <c r="A474" i="7"/>
  <c r="D474" i="7"/>
  <c r="G474" i="7"/>
  <c r="E474" i="7"/>
  <c r="B475" i="7"/>
  <c r="F474" i="7"/>
  <c r="A475" i="7" l="1"/>
  <c r="F475" i="7"/>
  <c r="C475" i="7"/>
  <c r="G475" i="7"/>
  <c r="E475" i="7"/>
  <c r="D475" i="7"/>
  <c r="B476" i="7"/>
  <c r="G476" i="7" l="1"/>
  <c r="F476" i="7"/>
  <c r="D476" i="7"/>
  <c r="C476" i="7"/>
  <c r="A476" i="7"/>
  <c r="B477" i="7"/>
  <c r="E476" i="7"/>
  <c r="D477" i="7" l="1"/>
  <c r="F477" i="7"/>
  <c r="A477" i="7"/>
  <c r="B478" i="7"/>
  <c r="C477" i="7"/>
  <c r="G477" i="7"/>
  <c r="E477" i="7"/>
  <c r="F478" i="7" l="1"/>
  <c r="G478" i="7"/>
  <c r="E478" i="7"/>
  <c r="D478" i="7"/>
  <c r="C478" i="7"/>
  <c r="B479" i="7"/>
  <c r="A478" i="7"/>
  <c r="F479" i="7" l="1"/>
  <c r="B480" i="7"/>
  <c r="A479" i="7"/>
  <c r="E479" i="7"/>
  <c r="C479" i="7"/>
  <c r="D479" i="7"/>
  <c r="G479" i="7"/>
  <c r="E480" i="7" l="1"/>
  <c r="F480" i="7"/>
  <c r="C480" i="7"/>
  <c r="A480" i="7"/>
  <c r="B481" i="7"/>
  <c r="G480" i="7"/>
  <c r="D480" i="7"/>
  <c r="D481" i="7" l="1"/>
  <c r="F481" i="7"/>
  <c r="A481" i="7"/>
  <c r="G481" i="7"/>
  <c r="B482" i="7"/>
  <c r="E481" i="7"/>
  <c r="C481" i="7"/>
  <c r="F482" i="7" l="1"/>
  <c r="G482" i="7"/>
  <c r="A482" i="7"/>
  <c r="D482" i="7"/>
  <c r="C482" i="7"/>
  <c r="E482" i="7"/>
  <c r="B483" i="7"/>
  <c r="D483" i="7" l="1"/>
  <c r="F483" i="7"/>
  <c r="B484" i="7"/>
  <c r="E483" i="7"/>
  <c r="C483" i="7"/>
  <c r="G483" i="7"/>
  <c r="A483" i="7"/>
  <c r="B485" i="7" l="1"/>
  <c r="E484" i="7"/>
  <c r="C484" i="7"/>
  <c r="A484" i="7"/>
  <c r="D484" i="7"/>
  <c r="G484" i="7"/>
  <c r="F484" i="7"/>
  <c r="C485" i="7" l="1"/>
  <c r="A485" i="7"/>
  <c r="E485" i="7"/>
  <c r="G485" i="7"/>
  <c r="D485" i="7"/>
  <c r="F485" i="7"/>
  <c r="B486" i="7"/>
  <c r="B487" i="7" l="1"/>
  <c r="E486" i="7"/>
  <c r="G486" i="7"/>
  <c r="D486" i="7"/>
  <c r="F486" i="7"/>
  <c r="C486" i="7"/>
  <c r="A486" i="7"/>
  <c r="G487" i="7" l="1"/>
  <c r="B488" i="7"/>
  <c r="A487" i="7"/>
  <c r="E487" i="7"/>
  <c r="F487" i="7"/>
  <c r="D487" i="7"/>
  <c r="C487" i="7"/>
  <c r="E488" i="7" l="1"/>
  <c r="A488" i="7"/>
  <c r="F488" i="7"/>
  <c r="D488" i="7"/>
  <c r="B489" i="7"/>
  <c r="G488" i="7"/>
  <c r="C488" i="7"/>
  <c r="F489" i="7" l="1"/>
  <c r="D489" i="7"/>
  <c r="C489" i="7"/>
  <c r="A489" i="7"/>
  <c r="B490" i="7"/>
  <c r="G489" i="7"/>
  <c r="E489" i="7"/>
  <c r="G490" i="7" l="1"/>
  <c r="B491" i="7"/>
  <c r="A490" i="7"/>
  <c r="E490" i="7"/>
  <c r="F490" i="7"/>
  <c r="D490" i="7"/>
  <c r="C490" i="7"/>
  <c r="F491" i="7" l="1"/>
  <c r="C491" i="7"/>
  <c r="B492" i="7"/>
  <c r="A491" i="7"/>
  <c r="G491" i="7"/>
  <c r="E491" i="7"/>
  <c r="D491" i="7"/>
  <c r="F492" i="7" l="1"/>
  <c r="A492" i="7"/>
  <c r="C492" i="7"/>
  <c r="E492" i="7"/>
  <c r="G492" i="7"/>
  <c r="B493" i="7"/>
  <c r="D492" i="7"/>
  <c r="F493" i="7" l="1"/>
  <c r="G493" i="7"/>
  <c r="B494" i="7"/>
  <c r="C493" i="7"/>
  <c r="A493" i="7"/>
  <c r="D493" i="7"/>
  <c r="E493" i="7"/>
  <c r="E494" i="7" l="1"/>
  <c r="B495" i="7"/>
  <c r="G494" i="7"/>
  <c r="A494" i="7"/>
  <c r="F494" i="7"/>
  <c r="C494" i="7"/>
  <c r="D494" i="7"/>
  <c r="B496" i="7" l="1"/>
  <c r="D495" i="7"/>
  <c r="A495" i="7"/>
  <c r="C495" i="7"/>
  <c r="F495" i="7"/>
  <c r="G495" i="7"/>
  <c r="E495" i="7"/>
  <c r="F496" i="7" l="1"/>
  <c r="A496" i="7"/>
  <c r="C496" i="7"/>
  <c r="B497" i="7"/>
  <c r="D496" i="7"/>
  <c r="G496" i="7"/>
  <c r="E496" i="7"/>
  <c r="D497" i="7" l="1"/>
  <c r="B498" i="7"/>
  <c r="A497" i="7"/>
  <c r="E497" i="7"/>
  <c r="C497" i="7"/>
  <c r="G497" i="7"/>
  <c r="F497" i="7"/>
  <c r="E498" i="7" l="1"/>
  <c r="G498" i="7"/>
  <c r="B499" i="7"/>
  <c r="F498" i="7"/>
  <c r="C498" i="7"/>
  <c r="A498" i="7"/>
  <c r="D498" i="7"/>
  <c r="C499" i="7" l="1"/>
  <c r="D499" i="7"/>
  <c r="B500" i="7"/>
  <c r="G499" i="7"/>
  <c r="E499" i="7"/>
  <c r="F499" i="7"/>
  <c r="A499" i="7"/>
  <c r="G500" i="7" l="1"/>
  <c r="A500" i="7"/>
  <c r="B501" i="7"/>
  <c r="F500" i="7"/>
  <c r="C500" i="7"/>
  <c r="D500" i="7"/>
  <c r="E500" i="7"/>
  <c r="D501" i="7" l="1"/>
  <c r="B502" i="7"/>
  <c r="C501" i="7"/>
  <c r="A501" i="7"/>
  <c r="E501" i="7"/>
  <c r="F501" i="7"/>
  <c r="G501" i="7"/>
  <c r="D502" i="7" l="1"/>
  <c r="F502" i="7"/>
  <c r="A502" i="7"/>
  <c r="G502" i="7"/>
  <c r="C502" i="7"/>
  <c r="E502" i="7"/>
  <c r="B503" i="7"/>
  <c r="A503" i="7" l="1"/>
  <c r="B504" i="7"/>
  <c r="D503" i="7"/>
  <c r="F503" i="7"/>
  <c r="C503" i="7"/>
  <c r="E503" i="7"/>
  <c r="G503" i="7"/>
  <c r="A504" i="7" l="1"/>
  <c r="B505" i="7"/>
  <c r="G504" i="7"/>
  <c r="C504" i="7"/>
  <c r="D504" i="7"/>
  <c r="F504" i="7"/>
  <c r="E504" i="7"/>
  <c r="C505" i="7" l="1"/>
  <c r="A505" i="7"/>
  <c r="F505" i="7"/>
  <c r="G505" i="7"/>
  <c r="E505" i="7"/>
  <c r="B506" i="7"/>
  <c r="D505" i="7"/>
  <c r="F506" i="7" l="1"/>
  <c r="E506" i="7"/>
  <c r="C506" i="7"/>
  <c r="B507" i="7"/>
  <c r="G506" i="7"/>
  <c r="D506" i="7"/>
  <c r="A506" i="7"/>
  <c r="G507" i="7" l="1"/>
  <c r="F507" i="7"/>
  <c r="D507" i="7"/>
  <c r="C507" i="7"/>
  <c r="E507" i="7"/>
  <c r="B508" i="7"/>
  <c r="A507" i="7"/>
  <c r="B509" i="7" l="1"/>
  <c r="D508" i="7"/>
  <c r="G508" i="7"/>
  <c r="E508" i="7"/>
  <c r="A508" i="7"/>
  <c r="F508" i="7"/>
  <c r="C508" i="7"/>
  <c r="A509" i="7" l="1"/>
  <c r="G509" i="7"/>
  <c r="B510" i="7"/>
  <c r="C509" i="7"/>
  <c r="E509" i="7"/>
  <c r="D509" i="7"/>
  <c r="F509" i="7"/>
  <c r="C510" i="7" l="1"/>
  <c r="A510" i="7"/>
  <c r="D510" i="7"/>
  <c r="F510" i="7"/>
  <c r="G510" i="7"/>
  <c r="E510" i="7"/>
  <c r="F3" i="7" l="1"/>
  <c r="F4" i="7"/>
  <c r="B2" i="7" s="1"/>
  <c r="AL359" i="1" l="1"/>
  <c r="AL354" i="1" s="1"/>
  <c r="AJ354" i="1" s="1"/>
  <c r="G354"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<sst xmlns="http://schemas.openxmlformats.org/spreadsheetml/2006/main" count="21584" uniqueCount="7835">
  <si>
    <t>артикул</t>
  </si>
  <si>
    <t>штрихкод</t>
  </si>
  <si>
    <t>производитель</t>
  </si>
  <si>
    <t>цена I</t>
  </si>
  <si>
    <t>цена II</t>
  </si>
  <si>
    <t>цена III</t>
  </si>
  <si>
    <t>комментарий</t>
  </si>
  <si>
    <t>срок</t>
  </si>
  <si>
    <t>ЗАКАЗ</t>
  </si>
  <si>
    <t>вес брутто</t>
  </si>
  <si>
    <t>без глютена</t>
  </si>
  <si>
    <t>низкокаллорийный</t>
  </si>
  <si>
    <t>годности</t>
  </si>
  <si>
    <t>Масла натуральные</t>
  </si>
  <si>
    <t>от 100 тыс</t>
  </si>
  <si>
    <t>от 20 тыс</t>
  </si>
  <si>
    <t>от 5 тыс</t>
  </si>
  <si>
    <t>Масло конопляное 100мл</t>
  </si>
  <si>
    <t>Компас Здоровья</t>
  </si>
  <si>
    <t>Масла</t>
  </si>
  <si>
    <t>10мес</t>
  </si>
  <si>
    <t>пищевое нерафинированное конопляное масло</t>
  </si>
  <si>
    <t xml:space="preserve">пищевое нерафинированное льняное масло.  </t>
  </si>
  <si>
    <t xml:space="preserve">пищевое нерафинированное льняное масло. </t>
  </si>
  <si>
    <t>масло льняное пищевое нерафинированное, растительный экстракт амаранта.</t>
  </si>
  <si>
    <t>масло льняное, экстракт моркови.</t>
  </si>
  <si>
    <t>пищевое нерафинированное льняное масло, с экстрактом облепихи.</t>
  </si>
  <si>
    <t>Полезные масла с экстрактами</t>
  </si>
  <si>
    <t>Эликсиры</t>
  </si>
  <si>
    <t>масло льняное пищевое нерафинированное, растительные экстракты солодки, черники, лопуха, очанки, календулы, звездчатки.</t>
  </si>
  <si>
    <t>масло льняное пищевое нерафинированное, растительные экстракты зверобоя, свеклы, амаранта, волнушки, кипрея (иван-чая), лопуха.</t>
  </si>
  <si>
    <t xml:space="preserve">масло льняное пищевое нерафинированное, растительные экстракты солодки, девясила, боярышника, шиповника, калины, мяты. </t>
  </si>
  <si>
    <t>масло льняное пищевое нерафинированное, растительные экстракты зверобоя, шалфея, черники, морковной ботвы, донника, лопуха, кипрея (иван-чая), боярышника.</t>
  </si>
  <si>
    <t>масло льняное пищевое нерафинированное, растительный экстракт зверобоя, амаранта, кипрея(иван-чая), лабазника, морковной ботвы, цикория.</t>
  </si>
  <si>
    <t xml:space="preserve">масло льняное пищевое нерафинированное с растительным экстрактом зверобоя </t>
  </si>
  <si>
    <t>масло льняное пищевое нерафинированное, растительные экстракты зверобоя, амаранта, облепихи, морковной ботвы, чабреца, лабазника, курильского чая, черники.</t>
  </si>
  <si>
    <t>масло льняное пищевое нерафинированное, растительные экстракты коры крушины, свёклы, зверобоя, солодки, мяты, чабреца.</t>
  </si>
  <si>
    <t>масло льняное пищевое нерафинированное, растительные экстракты галеги (козлятника), зверобоя, рябины черноплодной, створок фасоли, аниса, шалфея.</t>
  </si>
  <si>
    <t>масло льняное пищевое нерафинированное, растительные экстракты клевера, зверобоя, донника, кровохлёбки.</t>
  </si>
  <si>
    <t>масло льняное пищевое нерафинированное, растительные экстракты зверобоя, свеклы, облепихи, лабазника, амаранта, спорыша, вишневых почек, змееголовника.</t>
  </si>
  <si>
    <t>18мес</t>
  </si>
  <si>
    <t xml:space="preserve">масло льняное пищевое нерафинированное с растительным экстрактом амаранта, желатин пищевой 
Форма выпуска: мягкие желатиновые капсулы массой 300 мг 
Область применения: рекомендуется в качестве дополнительного источника полиненасыщенных жирных кислот Омега-3 </t>
  </si>
  <si>
    <t>растительные экстракты зверобоя, володушки, лопуха на основе нерафинированного льняного масла, желатин.</t>
  </si>
  <si>
    <t>растительные экстракты зверобоя, ботвы моркови, лабазника, шалфея, боярышника на основе нерафинированного льняного масла, желатин.</t>
  </si>
  <si>
    <t>растительные экстракты зверобоя, ботвы моркови, кипрея, цикория, амаранта на основе нерафинированного льняного масла, желатин.</t>
  </si>
  <si>
    <t>растительные экстракты зверобоя, галеги, створок фасоли на основе нерафинированного льняного масла, желатин.</t>
  </si>
  <si>
    <t>растительные экстракты зверобоя, лабазника, амаранта на основе нерафинированного льняного масла, желатин.</t>
  </si>
  <si>
    <t>Жиры</t>
  </si>
  <si>
    <t>Семена</t>
  </si>
  <si>
    <t>Зерно и семена</t>
  </si>
  <si>
    <t>24мес</t>
  </si>
  <si>
    <t>Конопля пищевая семена "Green Hemp seeds" 150г</t>
  </si>
  <si>
    <t>семена конопли неочищенные. Продукт может содержать следы кунжута и глютена.</t>
  </si>
  <si>
    <t>6мес</t>
  </si>
  <si>
    <t>Кунжут белый семена 150г</t>
  </si>
  <si>
    <t>36мес</t>
  </si>
  <si>
    <t xml:space="preserve">семена белого кунжута </t>
  </si>
  <si>
    <t>Кунжут черный семена 150г</t>
  </si>
  <si>
    <t xml:space="preserve">семена чёрного кунжута 
</t>
  </si>
  <si>
    <t>Лён белый семена "Golden flax seeds" 150г</t>
  </si>
  <si>
    <t xml:space="preserve">семена льна белого пищевые
Внимание: продукт может содержать следы кунжута и глютена. </t>
  </si>
  <si>
    <t>Лён коричневый семена "Brown flax seeds" 150г</t>
  </si>
  <si>
    <t xml:space="preserve">семена масличного льна </t>
  </si>
  <si>
    <t>Лён семена 200г</t>
  </si>
  <si>
    <t xml:space="preserve">семена льна </t>
  </si>
  <si>
    <t>Семена льна</t>
  </si>
  <si>
    <t>Лён семена 500г</t>
  </si>
  <si>
    <t>Лён семена с селеном,хромом,кремнием 200г</t>
  </si>
  <si>
    <t>Суперфуды</t>
  </si>
  <si>
    <t>Тыква семена очищенные 70г</t>
  </si>
  <si>
    <t>очищенные семена тыквы. продукт может содержать следы глютена.</t>
  </si>
  <si>
    <t>СуперФуды</t>
  </si>
  <si>
    <t>12мес</t>
  </si>
  <si>
    <t>100% спирулина</t>
  </si>
  <si>
    <t>100 % хлорелла</t>
  </si>
  <si>
    <t>Чиа семена "Black Chia seeds" 150г</t>
  </si>
  <si>
    <t xml:space="preserve">семена чиа </t>
  </si>
  <si>
    <t>Мука</t>
  </si>
  <si>
    <t>Мука и Крупа</t>
  </si>
  <si>
    <t>Мука льняная "Компас Здоровья" с селеном,калием,магнием 300г</t>
  </si>
  <si>
    <t>мука из семян льна</t>
  </si>
  <si>
    <t>Мука льняная 300г</t>
  </si>
  <si>
    <t>семена льна</t>
  </si>
  <si>
    <t>Отруби и клетчатка</t>
  </si>
  <si>
    <t>Отруби овсяные 200г</t>
  </si>
  <si>
    <t>Отруби</t>
  </si>
  <si>
    <t>отруби овсяные.</t>
  </si>
  <si>
    <t>отруби овсяные, имбирь сушеный.</t>
  </si>
  <si>
    <t>Клетчатка</t>
  </si>
  <si>
    <t xml:space="preserve">клетчатка пшеничная </t>
  </si>
  <si>
    <t>Псиллиум (клетчатка подорожника) 75г</t>
  </si>
  <si>
    <t>Крекеры и флаксы</t>
  </si>
  <si>
    <t>Хлебцы и Крекеры</t>
  </si>
  <si>
    <t>семена льна белого и коричневого, клюква, фруктоза</t>
  </si>
  <si>
    <t>семена льна белого и коричневого, томат, соль</t>
  </si>
  <si>
    <t>семена льна коричневого, яблоко, мёд, изюм, семена льна белого, корица</t>
  </si>
  <si>
    <t>Батончики</t>
  </si>
  <si>
    <t>Леденцы</t>
  </si>
  <si>
    <t>Каши и хлопья</t>
  </si>
  <si>
    <t>Хлопья</t>
  </si>
  <si>
    <t>9мес</t>
  </si>
  <si>
    <t>Каши</t>
  </si>
  <si>
    <t>мука льняная, крупа ячменная, крупа гречневая, укроп сушеный, петрушка сушеная, морковь сушеная, лук сушеный, паприка сушеная, орегано, соль</t>
  </si>
  <si>
    <t>Каша льняная заварная 250г</t>
  </si>
  <si>
    <t/>
  </si>
  <si>
    <t>Макароны</t>
  </si>
  <si>
    <t>Супы</t>
  </si>
  <si>
    <t>толокно овсяное, мука льняная, свёкла, толокно ячменное, паприка красная, укроп, петрушка, лук, соль, сахар, мята</t>
  </si>
  <si>
    <t>Кисель</t>
  </si>
  <si>
    <r>
      <t>Кисель овсяно-льняной "</t>
    </r>
    <r>
      <rPr>
        <b/>
        <sz val="10"/>
        <color theme="1"/>
        <rFont val="Calibri"/>
        <family val="2"/>
        <charset val="204"/>
        <scheme val="minor"/>
      </rPr>
      <t>Имбирный</t>
    </r>
    <r>
      <rPr>
        <sz val="10"/>
        <color theme="1"/>
        <rFont val="Calibri"/>
        <family val="2"/>
        <scheme val="minor"/>
      </rPr>
      <t>" 150г</t>
    </r>
  </si>
  <si>
    <t>Кисели</t>
  </si>
  <si>
    <t xml:space="preserve">толокно овсяное, мука льняная имбирь сушеный, сахар. </t>
  </si>
  <si>
    <t>Кисель овсяный 150г</t>
  </si>
  <si>
    <t>толокно овсяное, мука льняная, сахар.</t>
  </si>
  <si>
    <t>Кисель овсяный с фруктозой 150г</t>
  </si>
  <si>
    <t xml:space="preserve">толокно овсяное, мука льняная фруктоза. </t>
  </si>
  <si>
    <t>Напитки</t>
  </si>
  <si>
    <t>Чайные напитки</t>
  </si>
  <si>
    <t>Кедрокофе</t>
  </si>
  <si>
    <t>Коктейли</t>
  </si>
  <si>
    <t>Коктейли и молочко</t>
  </si>
  <si>
    <t>Растительное молоко</t>
  </si>
  <si>
    <t>5мес</t>
  </si>
  <si>
    <t>Кондитерские смеси</t>
  </si>
  <si>
    <t>Сушки</t>
  </si>
  <si>
    <t>4мес</t>
  </si>
  <si>
    <t>Халва</t>
  </si>
  <si>
    <t>Завтраки</t>
  </si>
  <si>
    <t>Завтраки и Гранола</t>
  </si>
  <si>
    <t>Косметика Hempina</t>
  </si>
  <si>
    <t>Шампуни и бальзамы</t>
  </si>
  <si>
    <t>Косметика для лица</t>
  </si>
  <si>
    <t>15мес</t>
  </si>
  <si>
    <t>Крем для кожи вокруг глаз Hempina 15мл</t>
  </si>
  <si>
    <t>вода, конопляное масло, кедровое масло, экстракт облепихи, экстракт амаранта, экстракт цветков липы, экстракт зеленого чая, экстракт клевера, экстракт мелиссы, экстракт корицы, цетеарил глюкозиды пшеничных отрубей, глицерил стеарат, д-пантенол, витамин Е, витамин С, пропандиол, экстракт коры ивы.</t>
  </si>
  <si>
    <t>вода, конопляное масло, грецкого ореха масло, экстракт родиолы, экстракт хмеля, экстракт очанки, экстракт ламинарии, экстракт фукуса, экстракт одуванчика, экстракт крапивы, экстракт аира, экстракт чабреца, цетеарил глюкозиды пшеничных отрубей, глицерил стеарат, д-пантенол, витамин Е, витамин С, пропандиол, экстракт коры ивы, масло лаванды, масло иланг-иланг, масло сандала.</t>
  </si>
  <si>
    <t>Спрей для волос Hempina 100мл</t>
  </si>
  <si>
    <t>Шампунь Hempina 250мл</t>
  </si>
  <si>
    <t xml:space="preserve">вода, динатрия кокоамфоацетат, динатрия кокоил глутамат, кокамидопропилбетаин, коко глюкозид, глицерил олеат, экстракт клевера, экстракт шишек хмеля, экстракт мелиссы, гидролизованные протеины пшеницы, масло конопляное, пропандиол, экстракт коры ивы, масло лаванды, масло иланг-иланг, масло сандала. </t>
  </si>
  <si>
    <t>Костметика Magic Alatai</t>
  </si>
  <si>
    <t>Молочко для умывания Magic Alatai 200мл</t>
  </si>
  <si>
    <t>вода, кедровое масло, миндальное масло, цетеарил глюкозиды пшеничных отрубей, фосфолипиды, динатрия кокоамфоацетат, коко глюкозид, экстракт донника, экстракт таволги, экстракт лимонника, экстракт календулы, экстракт солодки, масло нероли, масло апельсина, пропандиол, экстракт коры ивы.</t>
  </si>
  <si>
    <t>Косметика Нежный Лён</t>
  </si>
  <si>
    <t>дистиллированная вода, динатрия кокоил глутамат, кокамидопропилбетаин, коко глюкозид, экстракт календулы, экстракт ромашки, экстракт шиповника, экстракт коры дуба, масло лимона, масло мяты, салицилат натрия, цитрат натрия, дегидроацетат натрия, феноксиэтанол</t>
  </si>
  <si>
    <t>дистиллированная вода, динатрия кокоил глутамат, кокамидопропилбетаин, коко глюкозид, экстракт ромашки, экстракт солодки, экстракт календулы, экстракт черной смородины, масло вербены, цитрат натрия, дегидроацетат натрия.</t>
  </si>
  <si>
    <t xml:space="preserve">Гиалуроновая Вода для лица 200мл </t>
  </si>
  <si>
    <t>дистиллированная вода, экстракт винограда, экстракт облепихи, экстракт брусники, экстракт шиповника, экстракт смородины, мочевина, натуральный увлажняющий фактор (Sodium PCA), гиалуроновая кислота, аллантоин, молочная кислота, цитрат серебра, сорбат калия.
Противопоказания: Индивидуальная непереносимость</t>
  </si>
  <si>
    <t>Гиалуроновый крем для лица дневной 50мл</t>
  </si>
  <si>
    <t>дистиллированная вода, льняное масло, сквален, экстракт алоэ, экстракт яблока, экстракт винограда, экстракт эхинацей, комплекс органических УФ фильтров, д-пантенол, полиакрилат натрия, витамин Е, витамин С, бисаболол, гиалуроновая кислота, дегидроацетовая кислота, сорбат калия, эфирное масло лаванды.</t>
  </si>
  <si>
    <t>Гиалуроновый крем для лица ночной 50мл</t>
  </si>
  <si>
    <t>дистиллированная вода, льняное масло, сквален, экстракт алоэ, экстракт яблока, экстракт винограда, экстракт эхинацеи, комплекс органических УФ-фильтров, д-пантенол, полиакрилат натрия, витамин Е, витамин С, бисаболол, гиалуроновая кислота, дегидроацетовая кислота, сорбат калия, эфирное масло лаванды.</t>
  </si>
  <si>
    <t>Косметика для рук</t>
  </si>
  <si>
    <t>дистиллированная вода, масло льняное, масло кедровое, масло зародышей пшеницы, каприлик/каприк триглицериды, экстракт зеленого чая, экстракт алоэ, экстракт облепихи, д-пантенол, полиакрилат натрия, дикаприлил карбонат, полиглицерил-3 капрат, витамин Е, дегидроацетат натрия, феноксиэтанол, масло розового дерева, масло грейпфрута.</t>
  </si>
  <si>
    <t>Косметика для ног</t>
  </si>
  <si>
    <t>Косметика для тела</t>
  </si>
  <si>
    <t>дистиллированная вода, динатрия кокоамфоацетат, динатрия кокоил глутамат, кокамидопропилбетаин, коко глюкозид, гидролизованные протеины пшеницы, экстракт аира, экстракт ламинарии, экстракт фукуса, экстракт крапивы, экстракт березы, экстракт коры дуба, экстракт шалфея, масло вербены, масло иланг-иланг, цитрат натрия, дегидроацетат натрия.</t>
  </si>
  <si>
    <t>дистиллированная вода, динатрия кокоамфоацетат, динатрия кокоил глутамат, кокамидопропилбетаин, коко глюкозид, гидролизованные протеины пшеницы, экстракт репейника, экстракт душицы, экстракт чабреца, экстракт березы, экстракт хвоща полевого, экстракт коры дуба, масло бергамота, масло шалфея, цитрат натрия, дегидроацетат натрия.</t>
  </si>
  <si>
    <t>дистиллированная вода, динатрия кокоамфоацетат, динатрия кокоил глутамат, кокамидопропилбетаин, экстракт зверобоя, экстракт ромашки, экстракт календулы, экстракт малины, экстракт красной рябины, экстракт цветков липы, экстракт крапивы, экстракт репейника, ундециленовая кислота, масло лимона, масло мяты, цитрат натрия, дегидроацетат натрия.</t>
  </si>
  <si>
    <t>дистиллированная вода, динатрия кокоамфоацетат, динатрия кокоил глутамат, кокамидопропилбетаин, коко глюкозид, гидролизованные протеины пшеницы, экстракт шиповника, экстракт календулы, экстракт ромашки, экстракт мяты, экстракт шалфея, экстракт крапивы, экстракт репейника, ундециленовая кислота, масло лайма, масло чайного дерева, цитрат натрия, дегидроацетат натрия.</t>
  </si>
  <si>
    <t>дистиллированная вода, динатрия кокоамфоацетат, динатрия кокоил глутамат, кокамидопропилбетаин, коко глюкозид, гидролизованные протеины пшеницы, экстракт душицы, экстракт девясила, экстракт крапивы, экстракт шалфея, экстракт чабреца, экстракт облепихи, экстракт малины, экстракт хвоща полевого, масло вербены, цитрат натрия, дегидроацетат натрия.</t>
  </si>
  <si>
    <t>пчелиный воск, масло какао, экстракт брусники, мёд, льняное масло,  миндальное масло, масло шалфея, витамин Е.</t>
  </si>
  <si>
    <t>пчелиный воск, масло какао, масло облепихи, льняное масло, миндальное масло, масло апельсина, витамин Е.</t>
  </si>
  <si>
    <t>пчелиный воск, масло какао, экстракт ромашки, льняное масло, миндальное масло, масло ванили, витамин Е.</t>
  </si>
  <si>
    <t>Эко-химия натуральная</t>
  </si>
  <si>
    <t>Эко-химия для посуды</t>
  </si>
  <si>
    <t>21мес</t>
  </si>
  <si>
    <t>Мыло для рук</t>
  </si>
  <si>
    <t>Каталог КОМПАС ЗДОРОВЬЯ</t>
  </si>
  <si>
    <t>Заменители сахара</t>
  </si>
  <si>
    <t>от 50 тыс</t>
  </si>
  <si>
    <t>от 15 тыс</t>
  </si>
  <si>
    <t>Инулин "FitEffectum" 200г</t>
  </si>
  <si>
    <t>ФитПарад</t>
  </si>
  <si>
    <t>полиол – эритрит, непитательные интенсивные подсластители – сукралоза, стевиозид. Не содержит ГМО</t>
  </si>
  <si>
    <t>полиол – эритрит, непитательные интенсивные подсластители – сукралоза, стевиозид</t>
  </si>
  <si>
    <t>эритритол - подсластитель сахароспирт, стевиозид (ребаудиозид А) - непитательный подсластитель</t>
  </si>
  <si>
    <t>эритритол - подсластитель сахароспирт, стевиозид (ребаудиозид А) - непитательный подсластитель.</t>
  </si>
  <si>
    <t>эритритол, сукралоза, стевиозид</t>
  </si>
  <si>
    <t>Эритрит, сукралоза, стевиозид.</t>
  </si>
  <si>
    <t>Сахар кокосовый 200г</t>
  </si>
  <si>
    <t xml:space="preserve">эритрит 100% (Е968) </t>
  </si>
  <si>
    <t>Клетчатка, семена, отруби</t>
  </si>
  <si>
    <t>клетчатка яблочная, яблочный пектин, кверцетин, витамин С</t>
  </si>
  <si>
    <t>Отруби овсяные 400г</t>
  </si>
  <si>
    <t>Хлопья кукурузные 200г</t>
  </si>
  <si>
    <t>крупа кукурузная, инулин, соль йодированная, премикс витаминный, подсластитель - сукралоза (Е955), подсластитель - стевиозид (Е960).</t>
  </si>
  <si>
    <t>Хлопья кукурузные с шоколадом 200г</t>
  </si>
  <si>
    <t>крупа кукурузная, какао порошок, инулин, соль йодированная, премикс витаминный, подсластитель - сукралоза (Е955), подсластитель - стевиозид (Е960).</t>
  </si>
  <si>
    <t>Чиа семена саше 40г</t>
  </si>
  <si>
    <t>Загустители</t>
  </si>
  <si>
    <t>Загуститель Агар-агар 25г</t>
  </si>
  <si>
    <t>Загуститель Пектин 25г</t>
  </si>
  <si>
    <t>Добавка пищевая загуститель пектин</t>
  </si>
  <si>
    <t>Мука, протеины, смеси</t>
  </si>
  <si>
    <t>Мука кокосовая 400г</t>
  </si>
  <si>
    <t>8мес</t>
  </si>
  <si>
    <t>Мука овсяная 500г</t>
  </si>
  <si>
    <t>мука рисовая</t>
  </si>
  <si>
    <t>Протеин</t>
  </si>
  <si>
    <t>Смеси</t>
  </si>
  <si>
    <t>Крем десерт и варенье, джемы</t>
  </si>
  <si>
    <t>Паста и урбеч</t>
  </si>
  <si>
    <t>смесь подсластителей (мальтит, стевиозид), вода, молоко сухое обезжиренное с жирностью не более 1,5%, заменитель молочного жира, инулин, загустители (гуаровая камедь, камедь рожкового дерева, пектин, кукурузный крахмал), ароматизатор "Вареное сгущенное молоко", натуральный пищевой консервант натамицин</t>
  </si>
  <si>
    <t>смесь подсластителей (мальтит, стевиозид), вода, молоко сухое обезжиренное с жирностью не более 1,5%, заменитель молочного жира, инулин, загустители (гуаровая камедь, камедь рожкового дерева, пектин, кукурузный крахмал), ароматизатор "Сгущенное молоко", натуральный пищевой консервант натамицин</t>
  </si>
  <si>
    <t>Варенье и Джемы</t>
  </si>
  <si>
    <r>
      <t xml:space="preserve">Горячий шоколад со вкусом </t>
    </r>
    <r>
      <rPr>
        <b/>
        <sz val="10"/>
        <color theme="1"/>
        <rFont val="Calibri"/>
        <family val="2"/>
        <charset val="204"/>
        <scheme val="minor"/>
      </rPr>
      <t>ванили</t>
    </r>
    <r>
      <rPr>
        <sz val="10"/>
        <color theme="1"/>
        <rFont val="Calibri"/>
        <family val="2"/>
        <scheme val="minor"/>
      </rPr>
      <t xml:space="preserve"> 200г</t>
    </r>
  </si>
  <si>
    <t>какао-порошок, сыворотка молочная, крахмал кукурузный, инулин, соевый лецитин, непитательные подсластители: сукралоза, стевиозид, премикс минеральный "М 15-03", натуральный ароматизатор "Ваниль", соль морская поваренная</t>
  </si>
  <si>
    <r>
      <t xml:space="preserve">Горячий шоколад со вкусом </t>
    </r>
    <r>
      <rPr>
        <b/>
        <sz val="10"/>
        <color theme="1"/>
        <rFont val="Calibri"/>
        <family val="2"/>
        <charset val="204"/>
        <scheme val="minor"/>
      </rPr>
      <t>лесных орехов</t>
    </r>
    <r>
      <rPr>
        <sz val="10"/>
        <color theme="1"/>
        <rFont val="Calibri"/>
        <family val="2"/>
        <scheme val="minor"/>
      </rPr>
      <t xml:space="preserve"> 200г</t>
    </r>
  </si>
  <si>
    <t>какао-порошок, сыворотка молочная, крахмал кукурузный, инулин, соевый лецитин, непитательные подсластители: сукралоза, стевиозид, премикс минеральный "М 15-03", натуральный ароматизатор "Лесной орех", соль морская поваренная</t>
  </si>
  <si>
    <r>
      <t xml:space="preserve">Горячий шоколад со вкусом </t>
    </r>
    <r>
      <rPr>
        <b/>
        <sz val="10"/>
        <color theme="1"/>
        <rFont val="Calibri"/>
        <family val="2"/>
        <charset val="204"/>
        <scheme val="minor"/>
      </rPr>
      <t>шок пломбира</t>
    </r>
    <r>
      <rPr>
        <sz val="10"/>
        <color theme="1"/>
        <rFont val="Calibri"/>
        <family val="2"/>
        <scheme val="minor"/>
      </rPr>
      <t xml:space="preserve"> 200г</t>
    </r>
  </si>
  <si>
    <t>подсластитель - эритрит, какао-порошок обезжиренный (1%), сыворотка молочная, растворимое пищевое волокно, пребиотик - фибрегам, загуститель - тиксогам S, премикс витаминно-минеральный "ВМП-9", экстракт гуараны, ароматизатор "сливочная ваниль", ароматизатор "шоколад", соль морская, подсластитель - сукралоза</t>
  </si>
  <si>
    <t>Какао обезжиренный 150г</t>
  </si>
  <si>
    <t>Какао-порошок обезжиренный (алкализованный -1% жира) 100г</t>
  </si>
  <si>
    <t>Какао - порошок  из обжаренных какао бобов путем отделения какао масла и дальнейшего измельчения оставшегося жмыха без использования шелухи (веллы)</t>
  </si>
  <si>
    <t>молоко кокосовое сухое</t>
  </si>
  <si>
    <t>Цикорий 100г</t>
  </si>
  <si>
    <t>мальтодекстрин, крахмал кукурузный, инулин, яблочный пектин, порошок сока садовой земляники, антиокислитель – лимонная кислота, витаминный комплекс, непитательные подсластители – сукралоза и стевиозид, ароматизатор "Лесная земляника"», натуральный пищевой краситель - кармин бордовый . Не содержит ГМИ.</t>
  </si>
  <si>
    <t>мальтодекстрин, крахмал кукурузный, инулин, яблочный пектин, порошок клюквенного сока, антиокислитель – лимонная кислота, витаминный комплекс, непитательные подсластители – сукралоза и стевиозид, ароматизатор "Клюква", натуральный пищевой краситель - кармин бордовый . Не содержит ГМИ.</t>
  </si>
  <si>
    <t>мальтодекстрин, крахмал кукурузный, инулин, яблочный пектин, порошок черничного сока, антиокислитель – лимонная кислота, витаминный комплекс, непитательные подсластители – сукралоза и стевиозид, ароматизатор "Черника"», натуральный пищевой краситель - кармин бордовый . Не содержит ГМИ</t>
  </si>
  <si>
    <t>Сиропы</t>
  </si>
  <si>
    <t>Живица и масла</t>
  </si>
  <si>
    <t>от 1 тыс</t>
  </si>
  <si>
    <t>Специалист</t>
  </si>
  <si>
    <t>Бальзамы</t>
  </si>
  <si>
    <t>масло кедрового ореха нерафинированное первого отжима, живица кедровая.</t>
  </si>
  <si>
    <t>Масло амарантовое 6% сквалена 100мл</t>
  </si>
  <si>
    <t>масло амарантовое 100%</t>
  </si>
  <si>
    <t>Масло виноградное 100мл</t>
  </si>
  <si>
    <t xml:space="preserve">масло виноградной косточки - 100% первого холодного отжима. </t>
  </si>
  <si>
    <t>Масло виноградное 250мл</t>
  </si>
  <si>
    <t>Масло горчичное 100мл</t>
  </si>
  <si>
    <t>масло пищевое нерафинированное горчичное 100%, первый холодный отжим</t>
  </si>
  <si>
    <t>Масло горчичное 250мл</t>
  </si>
  <si>
    <t>Масло грецкого ореха 100мл</t>
  </si>
  <si>
    <t>масло пищевое нерафинированное грецкого ореха 100%, первый холодный отжим</t>
  </si>
  <si>
    <t>Масло грецкого ореха 250мл</t>
  </si>
  <si>
    <t>Масло кедрового ореха 100мл</t>
  </si>
  <si>
    <t>масло пищевое нерафинированное кедровое 100%, первый холодный отжим</t>
  </si>
  <si>
    <t>Масло кедрового ореха 250мл</t>
  </si>
  <si>
    <t>Масло пищевое нерафинированное конопляное - 100%</t>
  </si>
  <si>
    <t>Масло конопляное 250мл</t>
  </si>
  <si>
    <t>Масло кунжутное 100мл</t>
  </si>
  <si>
    <t>масло пищевое нерафинированное кунжутное - 100%; первый холодный отжим</t>
  </si>
  <si>
    <t>Масло кунжутное 250мл</t>
  </si>
  <si>
    <t>Масло льняное 100мл</t>
  </si>
  <si>
    <t>масло льняное нерафинированное пищевое; первого холодного отжима - 100%</t>
  </si>
  <si>
    <t>Масло льняное 250мл</t>
  </si>
  <si>
    <t>Масло льняное 500мл</t>
  </si>
  <si>
    <t>Масло облепиховое 100мл</t>
  </si>
  <si>
    <t>Масло облепиховое 250мл</t>
  </si>
  <si>
    <t>Масло пихтовое 30мл</t>
  </si>
  <si>
    <t>100% масло эфирное натуральное пихты сибирской.</t>
  </si>
  <si>
    <t>Масло расторопши 100мл</t>
  </si>
  <si>
    <t>масло расторопши -100%</t>
  </si>
  <si>
    <t>Масло расторопши 250мл</t>
  </si>
  <si>
    <t>Масло рыжиковое 250м</t>
  </si>
  <si>
    <t>масло семян рыжика - 100%</t>
  </si>
  <si>
    <t>Масло тыквенное 100мл</t>
  </si>
  <si>
    <t>масло тыквенное нерафинированное пищевое; первого холодного отжима - 100%</t>
  </si>
  <si>
    <t>Масло тыквенное 250мл</t>
  </si>
  <si>
    <t>Масло хельбы (пажитника) 100мл</t>
  </si>
  <si>
    <t xml:space="preserve">экстракт семян хельбы на масле расторопши. </t>
  </si>
  <si>
    <t>Масло хельбы (пажитника) 250мл</t>
  </si>
  <si>
    <t>Масло черного тмина 100мл</t>
  </si>
  <si>
    <t>масло семян черного тмина - 100%</t>
  </si>
  <si>
    <t>Масло черного тмина 250мл</t>
  </si>
  <si>
    <t>Мука и смеси</t>
  </si>
  <si>
    <t>Мука амарантовая 150г</t>
  </si>
  <si>
    <t>Мука кунжутная 150г</t>
  </si>
  <si>
    <t>Мука льняная 150г</t>
  </si>
  <si>
    <t>Мука расторопши 150г</t>
  </si>
  <si>
    <t>Мука тыквенная 150г</t>
  </si>
  <si>
    <t>Мука черного тмина 150г</t>
  </si>
  <si>
    <t>Каша кедровая 200г</t>
  </si>
  <si>
    <t>хлопья пшенные, мука из ореха кедрового, мука из семян льна, мякоть яблока.</t>
  </si>
  <si>
    <t>Каша кедровая для завтрака 5*40гр</t>
  </si>
  <si>
    <t>хлопья овсяные, мука из ореха кедрового, мука из семян льна. Может содержать следы грецкого ореха и кунжута</t>
  </si>
  <si>
    <t>хлопья рисовые, мука из семян конопли, мука из семян льна, горчицы семена, карри, перец кайенский</t>
  </si>
  <si>
    <t>хлопья ржаные, мука из семян конопли, мука из семян льна, семена чиа, яблоко, корица</t>
  </si>
  <si>
    <t>Каша льняная 200г</t>
  </si>
  <si>
    <t>хлопья гречневые и ржаные, мука из семян льна, морковь, лук, соль, укроп, петрушка.</t>
  </si>
  <si>
    <t>хлопья гречневые, хлопья ржаные, мука из семян льна.</t>
  </si>
  <si>
    <t>Каша расторопша Детокс для завтрака 5*40г</t>
  </si>
  <si>
    <t>гречневые хлопья, мука расторопши, соль, орегано, тимьян.</t>
  </si>
  <si>
    <t>Каша тыквенная 200г</t>
  </si>
  <si>
    <t>хлопья овсяные и пшенные, мука из семян тыквы, мякоть тыквы, лук, морковь, соль.</t>
  </si>
  <si>
    <t>Каша тыквенная для завтрака 5*40г</t>
  </si>
  <si>
    <t>хлопья овсяные, хлопья пшеничные, мука из семян тыквы</t>
  </si>
  <si>
    <t>Снэки и хлебцы</t>
  </si>
  <si>
    <t>семена льна, семена кунжута, соль.</t>
  </si>
  <si>
    <t>семена льна, лук сушеный, соль пищевая.</t>
  </si>
  <si>
    <t>семена льна, черная смородина сушеная, фруктоза.</t>
  </si>
  <si>
    <t xml:space="preserve">семена льна, перец чили, чеснок сушеный, соль пищевая. </t>
  </si>
  <si>
    <t>мука льняная, сахарная пудра, черная смородина, смола акации и ксантановая смола</t>
  </si>
  <si>
    <t>мука льняная, сахарная пудра, яблоко кусочки, смола акации и ксантановая смола, корицы порошок</t>
  </si>
  <si>
    <t>Дивинка</t>
  </si>
  <si>
    <t>Мука из зеленой гречки</t>
  </si>
  <si>
    <t>Мука кукурузная 300г</t>
  </si>
  <si>
    <t>мука кукурузная</t>
  </si>
  <si>
    <t>мука овсяная</t>
  </si>
  <si>
    <t>Мука овсяных отрубей 400г</t>
  </si>
  <si>
    <t>отруби овсяные</t>
  </si>
  <si>
    <t>Мука пшеничная 1 сорта</t>
  </si>
  <si>
    <t>Мука пшеничная 2 сорта</t>
  </si>
  <si>
    <t>Цельнозерновая пшеничная мука</t>
  </si>
  <si>
    <t>Цельнозерновая ржаная мука</t>
  </si>
  <si>
    <t>Мука смесь для Блинов ц/з 700г</t>
  </si>
  <si>
    <t>Мука пшеничная обойная, мука пшеничная 1 сорт</t>
  </si>
  <si>
    <t>пророщенное, высушенное и перемолотое в муку ржаное зерно</t>
  </si>
  <si>
    <t>20мес</t>
  </si>
  <si>
    <t>Гречка зеленая</t>
  </si>
  <si>
    <t>Имбирь натуральный порошок банка 140г</t>
  </si>
  <si>
    <t>порошок из имбиря</t>
  </si>
  <si>
    <t>Лён семена для проращивания 240г</t>
  </si>
  <si>
    <t>овёс</t>
  </si>
  <si>
    <t>Рис нешлифованный к/п 500г</t>
  </si>
  <si>
    <t>рис</t>
  </si>
  <si>
    <t>Отруби пшеничные</t>
  </si>
  <si>
    <t>Отруби ржаные</t>
  </si>
  <si>
    <t>отруби пшеничные очищенные</t>
  </si>
  <si>
    <t>отруби пшеничные очищенные, порошок клюквы.</t>
  </si>
  <si>
    <t>отруби пшеничные диетические, ламинария (порошок).</t>
  </si>
  <si>
    <t>отруби пшеничные очищенные, семя льна.</t>
  </si>
  <si>
    <t>отруби пшеничные очищенные, порошок из расторопши.</t>
  </si>
  <si>
    <t>отруби пшеничные очищенные, порошок топинамбура.</t>
  </si>
  <si>
    <t>оболочка пшеничного зерна, черника ягода</t>
  </si>
  <si>
    <t>Печенье</t>
  </si>
  <si>
    <t>мука льняная, мука пшеничная обойная, масло подсолнечное, семя льна, фруктоза, арахис, яичный порошок, сухое молоко, расторопша молотая, сода пишевая (разрыхлитель), соль пищевая, лимонная кислота</t>
  </si>
  <si>
    <t>хлопья овсяные, мука пшеничная обойная, отруби овсяные, сахар, масло подсолнечное, изюм, сухое молоко, яичный порошок, цедра лимона, имбирь молотый, соль пищевая, корица, мята (порошок), сода пищевая (разрыхлитель), лимонная кислота.</t>
  </si>
  <si>
    <t>мука пшеничная обойная, хлопья овсяные, отруби овсяные, сахар, масло подсолнечное, семя льна, изюм, сухое молоко,яичный порошок, соль пищевая, корица, ванилин, сода пищевая (разрыхлитель), лимонная кислота</t>
  </si>
  <si>
    <t>хлопья овсяные, мука пшеничная обойная, отруби овсяные, фруктоза, масло подсолнечное, семя льна, изюм, топинамбур молотый, сухое молоко, яичный порошок, корица, ванилин, соль пищевая, сода пищевая(разрыхлитель), лимонная кислота</t>
  </si>
  <si>
    <t>Соломка</t>
  </si>
  <si>
    <t>Мука пшеничная обойная (цельнозерновая), клюква, фруктоза, масло подсолнечное, соль, дрожжи прессованные</t>
  </si>
  <si>
    <t>Соломка ц/з с черникой и облепихой на стевии 70г</t>
  </si>
  <si>
    <t>Сухари</t>
  </si>
  <si>
    <t>Хлопья 4 злака пророщенные к.пакет 300г</t>
  </si>
  <si>
    <t>Хлопья овсяные пророщенные к.пакет 300г</t>
  </si>
  <si>
    <t>Зерно овса пророщенное, плющеное</t>
  </si>
  <si>
    <t>Мука пшеничная обойная, мука ржаная, мука ячменная, вода</t>
  </si>
  <si>
    <t>мука пшеничная обойная, вода питьевая, шпинат (порошок), морковь (порошок), свекла (порошок), ламинария (порошок)</t>
  </si>
  <si>
    <t>Амарант семена 200г</t>
  </si>
  <si>
    <t>Древо Жизни</t>
  </si>
  <si>
    <t xml:space="preserve">семена амаранта </t>
  </si>
  <si>
    <t>Кунжут белый семена 200г</t>
  </si>
  <si>
    <t xml:space="preserve">семена кунжута </t>
  </si>
  <si>
    <t>Кунжут черный семена 200г</t>
  </si>
  <si>
    <t>семена черного кунжута</t>
  </si>
  <si>
    <t>Лён белый семена 200г</t>
  </si>
  <si>
    <t>семена белого льна</t>
  </si>
  <si>
    <t>Лён белый семена 400г</t>
  </si>
  <si>
    <t>Лён семена 400г</t>
  </si>
  <si>
    <t>Тыква Подсолнечник Лен белый Кунжут черный</t>
  </si>
  <si>
    <t>тыква, подсолнечник, лён белый, лён темный, кунжут белый.</t>
  </si>
  <si>
    <t>семена кунжута, семена кунжута черного</t>
  </si>
  <si>
    <t>Семена льна,семена подсолнечника,семена кунжута</t>
  </si>
  <si>
    <t>Семена тмина черного</t>
  </si>
  <si>
    <t>Тыква семена 200г</t>
  </si>
  <si>
    <t>сырые семена тыквы</t>
  </si>
  <si>
    <t>Чиа семена 200г</t>
  </si>
  <si>
    <r>
      <t>Каша льняная с</t>
    </r>
    <r>
      <rPr>
        <b/>
        <sz val="10"/>
        <color theme="1"/>
        <rFont val="Calibri"/>
        <family val="2"/>
        <charset val="204"/>
        <scheme val="minor"/>
      </rPr>
      <t xml:space="preserve"> изюмом и кунжутом</t>
    </r>
    <r>
      <rPr>
        <sz val="10"/>
        <color theme="1"/>
        <rFont val="Calibri"/>
        <family val="2"/>
        <scheme val="minor"/>
      </rPr>
      <t xml:space="preserve"> 400г</t>
    </r>
  </si>
  <si>
    <t>лён, зелёная гречка, изюм, кунжут.</t>
  </si>
  <si>
    <r>
      <t xml:space="preserve">Каша льняная с </t>
    </r>
    <r>
      <rPr>
        <b/>
        <sz val="10"/>
        <color theme="1"/>
        <rFont val="Calibri"/>
        <family val="2"/>
        <charset val="204"/>
        <scheme val="minor"/>
      </rPr>
      <t>кэробом и кунжутом</t>
    </r>
    <r>
      <rPr>
        <sz val="10"/>
        <color theme="1"/>
        <rFont val="Calibri"/>
        <family val="2"/>
        <scheme val="minor"/>
      </rPr>
      <t xml:space="preserve"> 400г</t>
    </r>
  </si>
  <si>
    <t>лён перемолотый, кэроб, кунжут.</t>
  </si>
  <si>
    <r>
      <t xml:space="preserve">Каша льняная с </t>
    </r>
    <r>
      <rPr>
        <b/>
        <sz val="10"/>
        <color theme="1"/>
        <rFont val="Calibri"/>
        <family val="2"/>
        <charset val="204"/>
        <scheme val="minor"/>
      </rPr>
      <t>яблоком и корицей</t>
    </r>
    <r>
      <rPr>
        <sz val="10"/>
        <color theme="1"/>
        <rFont val="Calibri"/>
        <family val="2"/>
        <scheme val="minor"/>
      </rPr>
      <t xml:space="preserve"> 400г</t>
    </r>
  </si>
  <si>
    <t>лён перемолотый, зелёная гречка перемолотая, яблоко, корица.</t>
  </si>
  <si>
    <t>Печенье имбирное 200г</t>
  </si>
  <si>
    <t>Печенье ягодное 200г</t>
  </si>
  <si>
    <t>Конфеты</t>
  </si>
  <si>
    <t>Масло кедровое сыродавленное 250мл</t>
  </si>
  <si>
    <t>Sibereco</t>
  </si>
  <si>
    <t>водный экстракт хвои пихты</t>
  </si>
  <si>
    <t>кедровый орех, растительные сливки на кокосовом масле, какао молотый, сахарная пудра.</t>
  </si>
  <si>
    <t>молотый кедровый орех,растительные сливки на основе кокосового масла,нерафинированный тростниковый сахар</t>
  </si>
  <si>
    <t>Орехи и ягоды</t>
  </si>
  <si>
    <t>Шоколад</t>
  </si>
  <si>
    <t>чага берёзовая (Inonotus Obliquus)</t>
  </si>
  <si>
    <t>чага берёзовая (Inonotus Obliquus), Рододендрон Адамса (Rhododēndron adāmsii)</t>
  </si>
  <si>
    <t>чага берёзовая (Inonotus Obliquus), чабрец (Thymus)</t>
  </si>
  <si>
    <t>Золотой корень 30г</t>
  </si>
  <si>
    <t>Саган-дайля 30г</t>
  </si>
  <si>
    <t>Радоград</t>
  </si>
  <si>
    <t>Живица</t>
  </si>
  <si>
    <t>Масло кедровое 100мл</t>
  </si>
  <si>
    <t xml:space="preserve">Кедровое масло холодного отжима </t>
  </si>
  <si>
    <t>Конопляное масло холодного отжима</t>
  </si>
  <si>
    <t xml:space="preserve">Кунжутное масло нерафинированное холодного отжима класса Extra Virgin. </t>
  </si>
  <si>
    <t>Льняное масло холодного отжима</t>
  </si>
  <si>
    <t>Масло облепихи 100мл</t>
  </si>
  <si>
    <t xml:space="preserve">Масло облепиховое 100% </t>
  </si>
  <si>
    <t>Масло расторопши холодного отжима</t>
  </si>
  <si>
    <t>Масло чиа 100мл</t>
  </si>
  <si>
    <t>Масло семян чиа 100%</t>
  </si>
  <si>
    <t>Масло кедровое 250мл</t>
  </si>
  <si>
    <t>Масло облепихи 250мл</t>
  </si>
  <si>
    <t>семена конопли</t>
  </si>
  <si>
    <t>Расторопша семена 200г</t>
  </si>
  <si>
    <t>семена расторопши</t>
  </si>
  <si>
    <t>Жмых и Шрот</t>
  </si>
  <si>
    <t>Жмых кедровый 200г</t>
  </si>
  <si>
    <t xml:space="preserve">Жмых кедрового ореха 
</t>
  </si>
  <si>
    <t>мука из семян кунжута.</t>
  </si>
  <si>
    <t>мука из семян тыквы</t>
  </si>
  <si>
    <t xml:space="preserve">живица (смола) кедра, кедровое масло, прополис, мед, витамин С. </t>
  </si>
  <si>
    <t>изомальт, патока крахмальная , мед натуральный, живица кедровая в кедровом масле, прополис, лимонная кислота, витамин С, масло лимонное</t>
  </si>
  <si>
    <t>сахар, патока крахмальная, живица кедровая в кедровом масле, прополис, ментол, , витамин С, масло мяты</t>
  </si>
  <si>
    <t>живица (смола) кедра, кедровое масло, прополис, ментол и масло мяты, а в качестве сахарозаменителя используется изомальт, который имеет низкий гликемический индекс</t>
  </si>
  <si>
    <t>сахар, патока крахмальная, живица кедровая в кедровом масле, прополис, масло шалфея,экстракт шалфея, витамин С,лимонная кислота</t>
  </si>
  <si>
    <t>Вастэко</t>
  </si>
  <si>
    <r>
      <t>Масло сливочное коровье топленое ГХИ "</t>
    </r>
    <r>
      <rPr>
        <b/>
        <sz val="10"/>
        <color theme="1"/>
        <rFont val="Calibri"/>
        <family val="2"/>
        <charset val="204"/>
        <scheme val="minor"/>
      </rPr>
      <t>Чёрный перец</t>
    </r>
    <r>
      <rPr>
        <sz val="10"/>
        <color theme="1"/>
        <rFont val="Calibri"/>
        <family val="2"/>
        <scheme val="minor"/>
      </rPr>
      <t>" 200г</t>
    </r>
  </si>
  <si>
    <t>Масло сливочное коровье топленое Премиум ГХИ 215г</t>
  </si>
  <si>
    <t>Крупа полбы цельная 500г</t>
  </si>
  <si>
    <t>Зерно полбы.
Не содержит ГМО.</t>
  </si>
  <si>
    <t>14мес</t>
  </si>
  <si>
    <t>Готовые блюда</t>
  </si>
  <si>
    <t>Хлопья полбяные быстрого приготовления (3-5мин) 400г</t>
  </si>
  <si>
    <r>
      <t>Макароны полбяные "</t>
    </r>
    <r>
      <rPr>
        <b/>
        <sz val="10"/>
        <color theme="1"/>
        <rFont val="Calibri"/>
        <family val="2"/>
        <charset val="204"/>
        <scheme val="minor"/>
      </rPr>
      <t>Рожки</t>
    </r>
    <r>
      <rPr>
        <sz val="10"/>
        <color theme="1"/>
        <rFont val="Calibri"/>
        <family val="2"/>
        <scheme val="minor"/>
      </rPr>
      <t>" ц/з 400г</t>
    </r>
  </si>
  <si>
    <r>
      <t>Макароны полбяные "</t>
    </r>
    <r>
      <rPr>
        <b/>
        <sz val="10"/>
        <color theme="1"/>
        <rFont val="Calibri"/>
        <family val="2"/>
        <charset val="204"/>
        <scheme val="minor"/>
      </rPr>
      <t>Спираль</t>
    </r>
    <r>
      <rPr>
        <sz val="10"/>
        <color theme="1"/>
        <rFont val="Calibri"/>
        <family val="2"/>
        <scheme val="minor"/>
      </rPr>
      <t>" ц/з 400г</t>
    </r>
  </si>
  <si>
    <t>Подушечки</t>
  </si>
  <si>
    <t>7мес</t>
  </si>
  <si>
    <t>Вафли</t>
  </si>
  <si>
    <t>Мука полбы цельнозерновая, масло кокосовое рафинированное дезодорированное, подсластитель мальтитол, экстракт кофе (вода, патока карамельная, кофе натуральный сублимированный), эмульгатор (лецитин соевый), растительные пшеничные волокна, разрыхлитель (гидрокарбонат натрия (сода пищевая)), соль морская, подсластитель экстракт стевии Ребаудиозид А</t>
  </si>
  <si>
    <t>Ди энд Ди</t>
  </si>
  <si>
    <t>изомальт</t>
  </si>
  <si>
    <t>мука амарантовая грубого помола, мука рисовая грубого помола, мука кукурузная грубого помола,топинамбур сушеный, соль, витаминная смесь, начинка кокосовая (жир растительный ,подсластитель изомальт, сыворотка молочная, мальтодекстрин, сухое молоко, порошок рожкового дерева, порошок кокоса сушеного ,подсластитель- экстракт стевии(стевиозид), эмульгатор- лецитин соевый, ванилин, ароматизатор кокос, идентичный натуральному), кондитерская глазурь (заменитель кондитерского жира лауриновый, какао-порошок, мальтодекстрин, сыворотка молочная, подсластитель – изомальт, порошок плодов рожкового дерева, порошок топинамбура, микрокристаллическая целлюлоза, подсластитель - экстракт стевии (стевиозид), эмульгатор – лецитин соевый, ванилин).</t>
  </si>
  <si>
    <t>мука амарантовая грубого помола, мука рисовая грубого помола, мука кукурузная грубого помола,топинамбур сушеный, соль, витаминная смесь, начинка лесная ягода (жир растительный ,подсластитель изомальт, сыворотка молочная, мальтодекстрин, сухое молоко, порошок рожкового дерева, порошок черники сушеной, порошок земляники сушеной, подсластитель- экстракт стевии(стевиозид), эмульгатор- лецитин соевый, ванилин, ароматизатор земляника лесная, идентичный натуральному), кондитерская глазурь (заменитель кондитерского жира лауриновый, какао-порошок, мальтодекстрин, сыворотка молочная, подсластитель – изомальт, порошок плодов рожкового дерева, порошок топинамбура, микрокристаллическая целлюлоза, подсластитель - экстракт стевии (стевиозид), эмульгатор – лецитин соевый, ванилин)</t>
  </si>
  <si>
    <t>мука амарантовая грубого помола, мука рисовая грубого помола, мука кукурузная грубого помола,топинамбур сушеный, соль, витаминная смесь, сливочная начинка (жир растительный ,подсластитель изомальт, сыворотка молочная, мальтодекстрин, сухое молоко, порошок рожкового дерева, подсластитель- экстракт стевии(стевиозид), эмульгатор- лецитин соевый, ванилин), кондитерская глазурь (заменитель кондитерского жира лауриновый, какао-порошок, мальтодекстрин, сыворотка молочная, подсластитель – изомальт, порошок плодов рожкового дерева, порошок топинамбура, микрокристаллическая целлюлоза, подсластитель - экстракт стевии (стевиозид), эмульгатор – лецитин соевый, ванилин).</t>
  </si>
  <si>
    <t>Белая глазурь, начинка сливочная, мука рисовая грубого помола, мука амарантовая грубого помола, мука кукурузная тонкого помола, топинамбур сушеный, соль.</t>
  </si>
  <si>
    <t>Молочная глазурь, начинка сливочная, мука рисовая грубого помола, мука амарантовая грубого помола, мука кукурузная тонкого помола, топинамбур сушеный, соль.</t>
  </si>
  <si>
    <t>Пастила</t>
  </si>
  <si>
    <t>подсластитель изомальт, кондитерская глазурь (подсластитель изомальт, заменитель какао масла нелауриновый, какао порошок, сыворотка молочная, эмульгатор лецитин соевый, идентичный натуральному ароматизатор «ваниль»), патока мальтозная, пюре яблочное, белок яичный, желеобразователь пектин, регулятор кислотности кислота молочная, влагоудерживающий агент лактат натрия, подсластитель стевиозид, идентичный натуральному ароматизатор «ваниль», ванилин.</t>
  </si>
  <si>
    <t>Зефир "УмСладости" диетический ванильный со стевией 150г</t>
  </si>
  <si>
    <t>подсластитель изомальт, патока мальтозная, мальтодекстрин, пюре яблочное, белок яичный, желеобразователь пектин, регулятор кислотности кислота молочная, влагоудерживающий агент лактат натрия, подсластитель экстракт стевии (стевиозид), идентичный натуральному ароматизатор «ваниль», ванилин.</t>
  </si>
  <si>
    <t>Зефир "УмСладости" диетический ванильный со стевией 50г</t>
  </si>
  <si>
    <t xml:space="preserve">Подсластитель изомальт, патока мальтозная, мальтодекстрин, пюре яблочное, белок яичный, желеобразователь пектин, регулятор кислотности кислота молочная, влагоудерживающий агент лактат натрия, подсластитель экстракт стевии (стевиозид), идентичный натуральному ароматизатор «ваниль», ванилин. </t>
  </si>
  <si>
    <t>подсластитель - изомальт, патока, пюре яблочное, белок яичный, желирующий агент - пектин, регулятор кислотности - кислота молочная, влагоудерживающий агент - лактат натрия, подсластитель - экстракт стевии (стевизоид), ароматизатор "Клубника со сливками", краситель - Понсо 4R</t>
  </si>
  <si>
    <t>патока, изомальт, загуститель-пектин, регулятор кислотности-кислота лимонная, влагоудерживающий агент-лактат натрия, ароматизатор «Ананас», «Зеленая груша», краситель пищевой, подсластитель-стевия.</t>
  </si>
  <si>
    <t>патока, изомальт, загуститель-пектин, регулятор кислотности-кислота лимонная, влагоудерживающий агент-лактат натрия, ароматизатор «Кофе», «Пломбир», краситель пищевой, подсластитель-стевия, кондитерская глазурь (изомальт, заменитель какао масла, какао-порошок, сухие молочные продукты, эмульгатор-лецитин соевый, ароматизатор «Ваниль», подсластитель – стевия).</t>
  </si>
  <si>
    <t>патока, изомальт, загуститель-пектин, регулятор кислотности-кислота лимонная, влагоудерживающий агент-лактат натрия, ароматизатор «Малина», краситель пищевой, подсластитель-стевия.</t>
  </si>
  <si>
    <t>патока, изомальт, загуститель-пектин, регулятор кислотности-кислота лимонная, влагоудерживающий агент-лактат натрия, ароматизатор «Манго», «Маракуйя», краситель пищевой, подсластитель-стевия.</t>
  </si>
  <si>
    <t>патока, изомальт, загуститель-пектин, регулятор кислотности-кислота лимонная, влагоудерживающий агент-лактат натрия, ароматизатор «Манго», «Маракуйя», краситель пищевой, подсластитель-стевия, кондитерская глазурь (изомальт, заменитель какао масла, какао-порошок, сухие молочные продукты, эмульгатор-лецитин соевый, ароматизатор «Ваниль», подсластитель – стевия).</t>
  </si>
  <si>
    <t>патока, изомальт, загуститель-пектин, регулятор кислотности-кислота лимонная, влагоудерживающий агент-лактат натрия, ароматизатор «Ананас», «Кокос», «Ром», краситель пищевой, подсластитель-стевия.</t>
  </si>
  <si>
    <t>Мармелад "УмСладости" диетический желейный 200г</t>
  </si>
  <si>
    <t>Мармелад</t>
  </si>
  <si>
    <t>Подсластитель изомальт, патока, желеобразователь пектин, регулятор кислотности лимонная кислота, влагоудерживающий агент лактат натрия, подсластитель экстракт стевии (стевиозид), ароматизатор идентичный натуральному «барбарис», краситель кармин (Е120)</t>
  </si>
  <si>
    <t>Изомальт, кондитерская глазурь (изомальт, заменитель какао-масла, какао-порошок, сухие молочные продукты, эмульгатор – лецитин, идентичный натуральному ароматизатор «ваниль», подсластитель – стевиозид), патока, вода, желеобразователь – пектин, регулятор кислотности – кислота лимонная, влагоудерживающий агент – лактат натрия, подсластитель – стевиозид, ароматизатор идентичный натуральному «Барбарис», краситель кармин</t>
  </si>
  <si>
    <t>подсластитель изомальт, патока, желеобразователь пектин, регулятор кислотности лимонная кислота, влагоудерживающий агент лактат натрия, подсластитель экстракт стевии (стевиозид), ароматизатор идентичный натуральному «барбарис», краситель кармин (Е120)</t>
  </si>
  <si>
    <t>патока, подсластитель изомальт, желирующий агент - пектин, регулятор кислотности - кислота лимонная, влагоудерживающий агент - лактат натрия, подсластитель экстракт стевии (стевиозид), ароматизатор - "лимон", пищевой краситель - тартразин</t>
  </si>
  <si>
    <t>подсластитель изомальт, патока, пюре яблочное, белок яичный, желирующий агент агар-агар, регулятор кислотности - кислота лимонная, ароматизатор "банан", подсластитель экстракт стевии (стевиозид), пищевой краситель - тартразин</t>
  </si>
  <si>
    <t>подсластитель изомальт, патока, пюре яблочное, натуральная ягода - кусочки клюквы, белок яичный, желирующий агент - агар-агар, регулятор кислотности - кислота лимонная, подсластитель экстракт стевии (стевиозид), ароматизатор ванилин кристаллический</t>
  </si>
  <si>
    <t xml:space="preserve">подсластитель изомальт, патока, пюре яблочное, белок яичный, сироп топинамбура, желеобразователь агар-агар, регулятор кислотности кислота молочная, идентичный натуральному ароматизатор «ваниль», подсластитель экстракт стевии (стевиозид) </t>
  </si>
  <si>
    <t>Плитка шоколадная "УмСладости" без сахара 90г</t>
  </si>
  <si>
    <t>лауриновый заменитель какао масла, подсластитель изомальт, какао порошок, микрокристаллическая целлюлоза, мальтодекстрин, порошок топинамбура сушеного, лактоза, порошок плодов рожкового дерева, какао тертое, подсластитель экстракт стевии (стевиозид), эмульгатор лецитин соевый, ароматизатор идентичный натуральному «ваниль»</t>
  </si>
  <si>
    <t>подсластитель – изомальт, какао-масло, какао ликер, какао- порошок, цукаты апельсин, микрокристаллическая целлюлоза, мальтодекстрин, сухие молочные продукты, порошок топинамбура сушеного, кэроб, эмульгатор- лецитин соевый, подсластитель – экстракт стевии (стевиозид), ароматизатор апельсин.</t>
  </si>
  <si>
    <t>лауриновый заменитель какао масла, подсластитель изомальт, какао порошок, миндаль дробленый, микрокристаллическая целлюлоза, мальтодекстрин, порошок топинамбура сушеного, лактоза, порошок плодов рожкового дерева, какао тертое, подсластитель экстракт стевии (стевиозид), эмульгатор лецитин соевый, ароматизатор идентичный натуральному «ваниль»</t>
  </si>
  <si>
    <t>заменитель какао-масла, подсластитель - изомальт, какао-порошок, ядра ореха фундука жареные дробленные, микрокристаллическая целлюлоза, мальтодекстрин, порошок топинамбура сушеного, сухое молоко, порошок плодов рожкового дерева, какао-тертое, эмульгатор - лецитин соевый, подсластитель - экстракт стевии (стевиозид), ванили</t>
  </si>
  <si>
    <t>клубничная начинка (жир растительный, подсластитель изомальт, сыворотка молочная, мальтодекстрин, сухое молоко, порошок рожкового дерева, порошок клубники сушеной, подсластитель-экстракт стевии (стевиозид), эмульгатор-лецитин соевый, ванилин, ароматизатор клубника идентичный натуральному, краситель натуральный «кармин»), мука амарантовая грубого помола, мука рисовая грубого помола, мука кукурузная грубого помола, топинамбур сушеный, соль, витаминная смесь.</t>
  </si>
  <si>
    <t>шоколадная начинка (жир растительный, подсластитель изомальт, сыворотка молочная, мальтодекстрин, нелауриновый заменитель какао-масла, какао-порошок, сухое молоко, порошок рожкового дерева, подсластитель – экстракт стевии (стевиозид), эмульгатор – лецитин соевый, ванилин), мука амарантовая грубого помола, мука рисовая грубого помола, мука кукурузная грубого помола, топинамбур сушеный, соль, витаминная смесь.</t>
  </si>
  <si>
    <t xml:space="preserve">маргарин, мука кукурузная тонкого помола, подсластитель – изомальт, крахмал кукурузный, мука амарантовая грубого помола,
топинамбур сушеный, порошок яичный, соль, подсластитель – стевизиодНе содержит глютена, без сахара и фруктозыСодержит подсластитель.
При чрезмерном употреблении может оказывать слабительное действие
</t>
  </si>
  <si>
    <t xml:space="preserve">маргарин, мука кукурузная тонкого помола, подсластитель – изомальт, крахмал кукурузный, мука амарантовая грубого помола,
топинамбур сушеный, порошок яичный, соль, подсластитель – стевизиод
</t>
  </si>
  <si>
    <t>Мука амарантовая, мука кукурузная, маргарин (растительные масла и жиры, вода, соль, эмульгатор лецитин соевый, регулятор кислотности лимонная кислота, краситель натуральный «аннато»), подсластитель изомальт, творог, крахмал картофельный, яичный порошок, соль, разрыхлители: натрий двууглекислый, соль углеаммонийная, эмульгатор лецитин соевый, усилители вкуса и запаха: ароматизатор натуральный «ваниль», подсластитель экстракт стевии (стевиозид)</t>
  </si>
  <si>
    <t>Мука амарантовая 1-й сорт, мука кукурузная, маргарин (дезодорированные растительные масла, вода, эмульгатор - лецитин соевый, регулятор кислотности - кислота лимонная, ароматизатор "Масло", краситель натуральный"Аннато"), подсластитель - изомальт, какао-порошок, крахмал картофельный, яичный порошок, соль, разрыхлители: карбонаты натрия, карбонаты аммония, эмульгатор - лецитин соевый, ароматизатор "Ванилин", подсластитель - стевиозид</t>
  </si>
  <si>
    <t>подсластитель - изомальт, патока, заменитель молочного жира, молокосодержащий сгущенный продукт, яичный белок, желеобразователь - агар-агар, регулятор кислотности - кислота лимонная, ароматизатор "Мокко", консервант - сорбат калия, глазурь кондитерская (жир растительный, подсластитель изомальт, какао-порошок, сыворотка молочная сухая, кэроб - натуральный заменитель какао, мальтодекстрин, молоко сухое обезжиренное, эмульгатор лецитин соевый Е322, натуральный подсластитеть стевиозид, ванилин)</t>
  </si>
  <si>
    <t>подсластитель - изомальт, патока, заменитель молочного жира, молокосодержащий сгущенный продукт, яичный белок, желеобразователь - агар-агар, регулятор кислотности - кислота лимонная, ароматизатор "Лимон", консервант - сорбат калия, глазурь кондитерская (жир растительный, подсластитель изомальт, какао-порошок, сыворотка молочная сухая, кэроб - натуральный заменитель какао, мальтодекстрин, молоко сухое обезжиренное, эмульгатор лецитин соевый Е322, натуральный подсластитеть стевиозид, ванилин).</t>
  </si>
  <si>
    <t xml:space="preserve">кукурузная мука грубого помола, тапиоковый крахмал, кукурузный крахмал, амарантовая мука грубого помола. </t>
  </si>
  <si>
    <t xml:space="preserve">кукурузная мука грубого помола, тапиоковый крахмал, кукурузный крахмал, амарантовая мука грубого помола, топинамбур сушеный. </t>
  </si>
  <si>
    <t>Хлебцы амарантовые без глютена 100г</t>
  </si>
  <si>
    <t>мука амарантовая грубого помола, мука рисовая грубого помола, мука кукурузная грубого помола, топинамбур сушеный, соль.</t>
  </si>
  <si>
    <t>Хлебцы амарантовые кукурузно-рисовые 195г</t>
  </si>
  <si>
    <t xml:space="preserve">мука амарантовая грубого помола, мука рисовая грубого помола, мука кукурузная грубого помола, соль. </t>
  </si>
  <si>
    <t xml:space="preserve">мука амарантовая грубого помола, мука рисовая грубого помола, мука кукурузная грубого помола, гречневая мука грубого помола, соль </t>
  </si>
  <si>
    <t xml:space="preserve">мука амарантовая грубого помола, мука рисовая грубого помола, мука кукурузная грубого помола, ламинария сушеная, соль. </t>
  </si>
  <si>
    <t xml:space="preserve">мука амарантовая грубого помола, мука рисовая грубого помола, мука кукурузная грубого помола, лук сушеный, соль. </t>
  </si>
  <si>
    <t xml:space="preserve">мука амарантовая грубого помола, мука рисовая грубого помола, мука кукурузная грубого помола, чеснок сушеный, соль. </t>
  </si>
  <si>
    <t>мука амарантовая грубого помола, мука рисовая грубого помола, мука кукурузная грубого помола, мука гречневая грубого помола, топинамбур сушеный, соль.</t>
  </si>
  <si>
    <t>мука амарантовая грубого помола, мука рисовая грубого помола, мука кукурузная грубого помола, топинамбур сушеный, ламинария сушеная, соль.</t>
  </si>
  <si>
    <t>мука амарантовая грубого помола, мука рисовая грубого помола, мука кукурузная грубого помола, топинамбур сушеный, лук сушеный, соль.</t>
  </si>
  <si>
    <t>мука амарантовая грубого помола, мука рисовая грубого помола, мука кукурузная грубого помола, топинамбур сушеный, чеснок сушеный, соль.</t>
  </si>
  <si>
    <t>мука амарантовая грубого помола, мука рисовая грубого помола, мука кукурузная грубого помола, шоколадная глазурь (подсластитель изомальт, какао масло, заменитель какао масла нелауриновый, какао порошок, сухое молоко, эмульгатор – лецитин соевый, идентичный натуральному ароматизатор «ваниль», ванилин, подсластитель экстракт стевии (стевиозид)), мука амарантовая грубого помола, мука рисовая грубого помола, мука кукурузная грубого помола, топинамбур сушеный, соль.</t>
  </si>
  <si>
    <t>Чипсы и снэки</t>
  </si>
  <si>
    <t>Отруби амарантовые 250г</t>
  </si>
  <si>
    <t xml:space="preserve">мука амарантовая грубого помола, мука кукурузная грубого помола, мука рисовая грубого помола, мука льняная, мука расторопши, вода, соль </t>
  </si>
  <si>
    <t>мука амарантовая, мука кукурузная, мука гречневая, мука рисовая, соль</t>
  </si>
  <si>
    <t xml:space="preserve">мука амарантовая грубого помола, мука кукурузная грубого помола, мука рисовая грубого помола, ламинария сушеная, мука льняная, мука расторопши, вода, соль </t>
  </si>
  <si>
    <t>Сибирский Кедр</t>
  </si>
  <si>
    <t>Ядро кедрового ореха, шоколадная глазурь (сахар, какао-масло, какао-порошок, эмульгатор лецитин), сахар, патока.</t>
  </si>
  <si>
    <t>Ядро кедрового ореха, шоколадная глазурь (сахар,какао-масло, какао-порошок, эмульгатор лецитин), сахар, патока, ягоды сублимационной сушки: облепиха, малина, черная смородина, экстракты (малины, черной смородины).</t>
  </si>
  <si>
    <t>Конфеты "Кедровый трюфель" 115г</t>
  </si>
  <si>
    <t>Шоколадная масса (сахар, масло какао, какао тертое, эмульгатор соевый лецитин, ваниль натуральная (ароматизатор)), ядро кедрового ореха, масло кокосовое, какао-порошок. Общее содержание сухого остатка какао 56%.</t>
  </si>
  <si>
    <t>Конфеты "Кедровый трюфель" ассорти из тёмого шоколада 120г</t>
  </si>
  <si>
    <t>шоколадная масса(сахар, какао- масло, какао - тертое, эмульгатор соевый лецитин, натуральный ароматизатор ваниль), ядро кедрового ореха, масло кокосовое, какао-порошок</t>
  </si>
  <si>
    <t>Конфеты "Кедровый трюфель" орех и тёмный шоколад 120г</t>
  </si>
  <si>
    <t xml:space="preserve">Мед натуральный, ядро кедрового ореха, ядро кешью, клюква вяленая, экстракт брусники, шоколадная глазурь, фруктоза, миндаль, патока, молоко сухое, ванилин, экстракт мыльного корня, лецитин, пектин, лимонная кислота, </t>
  </si>
  <si>
    <t>Конфеты "Фрутодень" с кедровыми орешками в шок.глазури 120г</t>
  </si>
  <si>
    <t>Сахар, финики, шоколадная глазурь (сахар, какао-масло, какао-порошок, эмульгатор лецитин), курага, чернослив, ядро кедрового ореха.</t>
  </si>
  <si>
    <t>Ядро кедрового ореха, шоколадная глазурь (сахар, какао-масло, какао-порошок, эмульгатор лецитин), ядро кешью, мед натуральный, пюре яблочное, экстракт яблока натуральный (ароматизатор), шишка сосновая, ягоды черемухи сушеные измельченные, сахар.</t>
  </si>
  <si>
    <t xml:space="preserve">Ядро кедрового ореха, шоколадная глазурь (сахар, какао-масло, какао-порошок, эмульгатор лецитин), ядро кешью, мед натуральный, клюква вяленая. </t>
  </si>
  <si>
    <t>Ядро кедрового ореха, шоколадная глазурь (сахар-песок, масло какао, какао-порошок, эмульгатор лецитин), мёд натуральный, ядро кешью, пастила облепиховая (пюре яблочное, ягоды облепихи, ягоды калины).</t>
  </si>
  <si>
    <t>Ядро кедрового ореха, шоколадная глазурь (сахар, какао-масло, какао-порошок, эмульгатор лецитин), ядро кешью, мед натуральный, шишка сосновая, сахар.</t>
  </si>
  <si>
    <t>Ядро кедрового ореха, шоколадная глазурь (сахар, какао-масло, какао-порошок, эмульгатор лецитин), ядро кешью, мед натуральный, пастила черничная (пюре яблочное, ягоды черники).</t>
  </si>
  <si>
    <t>Конфеты "Фрутодень" с кедровыми орешками в шок. глазури 200г</t>
  </si>
  <si>
    <t xml:space="preserve">Финики, курага, чернослив, шоколадная глазурь (сахар–песок, масло какао, какао-порошок, эмульгатор лецитин), ядро кедрового ореха, сахар. </t>
  </si>
  <si>
    <t>Сахар, шоколадная глазурь(сахар, какао-мало, какао порошок, эмульгатор лецетин), молоко сухое цельное, ядро кедрового ореха, кешью дробленый, патока, какао порошок, молоко сгущенное цельное, кэроб, лецетин(эмульгатор), "ром"(ароматизатор)</t>
  </si>
  <si>
    <t>Сахар, сосновые шишки, патока, пектин, лимонная кислота, глянцеватель (растительное масло, воск карнаубский).</t>
  </si>
  <si>
    <t xml:space="preserve">Фруктоза, патока, пектин, лимонная кислота, семена чиа, экстракт клубники, краситель натуральный кармин, глянцеватель (растительное масло, воск карнаубский). </t>
  </si>
  <si>
    <t xml:space="preserve">Фруктоза, патока, пектин, яблочное пюре, лимонная кислота, экстракты: облепихи, брусники, черноплотной рябины, глянцеватель (растительное масло, воск карнаубский). </t>
  </si>
  <si>
    <t xml:space="preserve">Сахар, патока, ягоды малины быстрозамороженные, пюре черной смородины, пюре черничное, пюре яблочное, пектин (желирующий агент), лимонная кислота (регулятор кислотности), глянцеватель (воск карнаубский, растительное масло) </t>
  </si>
  <si>
    <t>Мармелад "Ягодень" в шок.глазури кор 200г</t>
  </si>
  <si>
    <t>Мармелад "Ягодень" в шок.глазури крафт-пакет 150г</t>
  </si>
  <si>
    <t>Сахар, ягоды малины быстрозамороженные, патока, пектин, лимонная кислота, глянцеватель (растительное масло, воск карнаубский)</t>
  </si>
  <si>
    <t>Пастила брусничная с кедровыми орехами 100г</t>
  </si>
  <si>
    <t>яблочное пюре, брусника свежемороженая, ядро кедрового ореха</t>
  </si>
  <si>
    <t>Пастила вишнёвая 100г</t>
  </si>
  <si>
    <t>ягоды вишни, яблочное пюре</t>
  </si>
  <si>
    <t>Пастила клубничная 100г</t>
  </si>
  <si>
    <t>ягоды клубники, яблочное пюре</t>
  </si>
  <si>
    <t>Пастила клюквенная 100г</t>
  </si>
  <si>
    <t>ягоды клюквы, яблочное пюре</t>
  </si>
  <si>
    <t>Пастила малиновая 100г</t>
  </si>
  <si>
    <t>ягоды малины, яблочное пюре</t>
  </si>
  <si>
    <t>Пастила облепиховая 100г</t>
  </si>
  <si>
    <t>ягоды облепихи, яблочное пюре</t>
  </si>
  <si>
    <t>Пастила черничная 100г</t>
  </si>
  <si>
    <t>яблочное пюре, черника свежемороженая.</t>
  </si>
  <si>
    <t>ядра арахиса перётертые — 100%</t>
  </si>
  <si>
    <t>перетертая мякоть кокоса 100%</t>
  </si>
  <si>
    <t>семена кунжута перётертые — 100%</t>
  </si>
  <si>
    <t>Халва кедровая 200г</t>
  </si>
  <si>
    <t>Ядро кешью протертое, патока, сахар, цельное ядро кедрового ореха, корень солодки, лецитин, ванилин</t>
  </si>
  <si>
    <t>Варенье жимолости 200г</t>
  </si>
  <si>
    <t>Жимолость (50%), сахар-песок</t>
  </si>
  <si>
    <t>Мёд</t>
  </si>
  <si>
    <t>иван чай листовой ферментированный, ягода брусника</t>
  </si>
  <si>
    <t>иван чай листовой ферментированный, ягода малина</t>
  </si>
  <si>
    <t>иван чай листовой ферментированный, ягода облепиха</t>
  </si>
  <si>
    <t>Биолоджик</t>
  </si>
  <si>
    <t>Дробленный арахис+изюм+цукаты апельсина и мед натуральный, в шоколадной глазури</t>
  </si>
  <si>
    <t>Глазурь кондитерская темная, чернослив, изюм, мед натуральный, грецкий орех дробленый</t>
  </si>
  <si>
    <t>Сахар, пюре яблочное, патока крахмальная, пектин яблочный (желирующий агент), белок яичный сухой, цукаты апельсина, кислота молочная (регулятор кислотности), лактат натрия (влагоудерживающий агент)</t>
  </si>
  <si>
    <t xml:space="preserve">липа (могут присутствовать: кипрей, фацелия, крушина, дягиль, душица, мята перечная и другие ценные медоносы). 
</t>
  </si>
  <si>
    <t xml:space="preserve">горное разнотравье, гречиха (могут присутствовать: ива, медуница, акация желтая, синюха, дягиль сибирский, дудник лесной, осот, малина и кипрей и другие ценные медоносы) </t>
  </si>
  <si>
    <t xml:space="preserve">гречиха (могут присутствовать: кипрей, боярышник, дягиль сибирский, чабрец, душица, маралий корень, дудник, эспарцет и другие ценные медоносы). </t>
  </si>
  <si>
    <t>степное разнотравье (могут присутствовать: ива, шалфей, кипрей, медуница, мать-и-мачеха, дягиль сибирский и другие ценные медоносы)</t>
  </si>
  <si>
    <t>мед алтайский в сочетании с маточным молочком</t>
  </si>
  <si>
    <t>мед алтайский в сочетании с натуральным прополисом</t>
  </si>
  <si>
    <t>Мёд натуральный</t>
  </si>
  <si>
    <t>Royal forest</t>
  </si>
  <si>
    <t xml:space="preserve">100% натуральное какао. Не содержит добавок. </t>
  </si>
  <si>
    <t>Какао-порошок натуральный 100г</t>
  </si>
  <si>
    <t>Какао-порошок натуральный 200г</t>
  </si>
  <si>
    <t>Кэроб необжаренный 100г</t>
  </si>
  <si>
    <t>Натуральный порошок плодов рожкового дерева - необжаренный кэроб. Не содержит добавок</t>
  </si>
  <si>
    <t>Кэроб необжаренный 200г</t>
  </si>
  <si>
    <t>Натуральный порошок плодов рожкового дерева- необжаренный дробленный кэроб. Не содержит добавок</t>
  </si>
  <si>
    <t>Кэроб обжаренный 100г</t>
  </si>
  <si>
    <t>Натуральный порошок плодов рожкового дерева. Не содержит добавок</t>
  </si>
  <si>
    <t>Кэроб обжаренный 200г</t>
  </si>
  <si>
    <t>Соусы</t>
  </si>
  <si>
    <r>
      <t>Шоколад с кэробом Сarob milk bar без сахара "</t>
    </r>
    <r>
      <rPr>
        <b/>
        <sz val="10"/>
        <color theme="1"/>
        <rFont val="Calibri"/>
        <family val="2"/>
        <charset val="204"/>
        <scheme val="minor"/>
      </rPr>
      <t>апельсин, имбирь,корица</t>
    </r>
    <r>
      <rPr>
        <sz val="10"/>
        <color theme="1"/>
        <rFont val="Calibri"/>
        <family val="2"/>
        <scheme val="minor"/>
      </rPr>
      <t>" 75г</t>
    </r>
  </si>
  <si>
    <t xml:space="preserve">какао-масло, кэроб, молоко сухое обезжиренное, апельсиново-яблочные кусочки (концентрированное яблочное пюре, концентрированный грушевый сок, концентрированный апельсиновый сок, цитрусовые волокна, пектин, лимонная кислота), имбирь сушеный, корица. </t>
  </si>
  <si>
    <r>
      <t>Шоколад с кэробом Сarob milk bar без сахара "</t>
    </r>
    <r>
      <rPr>
        <b/>
        <sz val="10"/>
        <color theme="1"/>
        <rFont val="Calibri"/>
        <family val="2"/>
        <charset val="204"/>
        <scheme val="minor"/>
      </rPr>
      <t>лесной орех"</t>
    </r>
    <r>
      <rPr>
        <sz val="10"/>
        <color theme="1"/>
        <rFont val="Calibri"/>
        <family val="2"/>
        <scheme val="minor"/>
      </rPr>
      <t xml:space="preserve"> 75г</t>
    </r>
  </si>
  <si>
    <t xml:space="preserve">какао-масло, кэроб обжаренный, молоко сухое обезжиренное, фундук обжаренный. </t>
  </si>
  <si>
    <r>
      <t>Шоколад с кэробом Сarob milk bar без сахара "</t>
    </r>
    <r>
      <rPr>
        <b/>
        <sz val="10"/>
        <color theme="1"/>
        <rFont val="Calibri"/>
        <family val="2"/>
        <charset val="204"/>
        <scheme val="minor"/>
      </rPr>
      <t>миндаль, кэроб</t>
    </r>
    <r>
      <rPr>
        <sz val="10"/>
        <color theme="1"/>
        <rFont val="Calibri"/>
        <family val="2"/>
        <scheme val="minor"/>
      </rPr>
      <t>" 75г</t>
    </r>
  </si>
  <si>
    <t xml:space="preserve">какао-масло, кэроб обжаренный, молоко сухое, миндаль </t>
  </si>
  <si>
    <r>
      <t>Шоколад с кэробом Сarob milk bar без сахара "</t>
    </r>
    <r>
      <rPr>
        <b/>
        <sz val="10"/>
        <color theme="1"/>
        <rFont val="Calibri"/>
        <family val="2"/>
        <charset val="204"/>
        <scheme val="minor"/>
      </rPr>
      <t>необжареннный кэроб</t>
    </r>
    <r>
      <rPr>
        <sz val="10"/>
        <color theme="1"/>
        <rFont val="Calibri"/>
        <family val="2"/>
        <scheme val="minor"/>
      </rPr>
      <t>" 75г</t>
    </r>
  </si>
  <si>
    <t xml:space="preserve">какао-масло, кэроб необжаренный, молоко сухое </t>
  </si>
  <si>
    <r>
      <t>Шоколад с кэробом Сarob milk bar без сахара "</t>
    </r>
    <r>
      <rPr>
        <b/>
        <sz val="10"/>
        <color theme="1"/>
        <rFont val="Calibri"/>
        <family val="2"/>
        <charset val="204"/>
        <scheme val="minor"/>
      </rPr>
      <t>обжареннный кэроб</t>
    </r>
    <r>
      <rPr>
        <sz val="10"/>
        <color theme="1"/>
        <rFont val="Calibri"/>
        <family val="2"/>
        <scheme val="minor"/>
      </rPr>
      <t>" 75г</t>
    </r>
  </si>
  <si>
    <t>какао-масло, кэроб обжаренный, молоко сухое обезжиренное</t>
  </si>
  <si>
    <t>Образ жизни</t>
  </si>
  <si>
    <t>семена амаранта цельносмолотые</t>
  </si>
  <si>
    <t>Мука зелёной гречки цельносмолотая  500г</t>
  </si>
  <si>
    <t>Мука гречневая</t>
  </si>
  <si>
    <t>мука из семян конопли</t>
  </si>
  <si>
    <t>Мука кукурузная цельносмолотая 500г</t>
  </si>
  <si>
    <t>Мука льняная цельносмолотая 500г</t>
  </si>
  <si>
    <t>Мука овсяная цельносмолотая 500г</t>
  </si>
  <si>
    <t>Мука полбяная цельносмолотая  500г</t>
  </si>
  <si>
    <t>Мука полбяная</t>
  </si>
  <si>
    <t>Мука рисовая (белый рис) цельносмолотая 500г</t>
  </si>
  <si>
    <t>мука из белого риса</t>
  </si>
  <si>
    <t>Гречка зелёная для проращивания 500г</t>
  </si>
  <si>
    <t>Зеленая гречка</t>
  </si>
  <si>
    <t>Лён семена для проращивания 500г</t>
  </si>
  <si>
    <t>Овёс в оболочке 400г</t>
  </si>
  <si>
    <t>Овёс голозерный зерно резаное 500г</t>
  </si>
  <si>
    <t>Полба зерно 500г</t>
  </si>
  <si>
    <t>Зерно полбы</t>
  </si>
  <si>
    <t>Полба зерно резаное 500г</t>
  </si>
  <si>
    <t xml:space="preserve">зерно полбы </t>
  </si>
  <si>
    <t>Чечевица зерно для проращивания 500г</t>
  </si>
  <si>
    <t>чечевица</t>
  </si>
  <si>
    <t>Пшеница + Рожь + Ячмень + Овёс</t>
  </si>
  <si>
    <t>Полба + Амарант</t>
  </si>
  <si>
    <t>Полба + Овёс + Амарант</t>
  </si>
  <si>
    <t>Гречка + Овёс + Люцерна</t>
  </si>
  <si>
    <t>Овёс голозерный</t>
  </si>
  <si>
    <t>полба резаная</t>
  </si>
  <si>
    <t>хлопья полбяные из пророщенного зерна</t>
  </si>
  <si>
    <t>Хлопья чечевичные из пророщенного зерна</t>
  </si>
  <si>
    <t>Масло подсолнечное 500мл</t>
  </si>
  <si>
    <t>Bite</t>
  </si>
  <si>
    <t>Хлопья овсяные, отруби овсяные, мука овсяная, финиковый сироп, масло рапсовое, кунжут, семена чиа, яблочный порошок, соль, сода пищевая.</t>
  </si>
  <si>
    <t>Хлопья овсяные, отруби овсяные, мука овсяная, финиковый сироп, масло рапсовое, яблочный порошок, соль морская пищевая, сода пищевая.</t>
  </si>
  <si>
    <t>Хлопья овсяные, отруби овсяные, мука овсяная, финиковый сироп, масло рапсовое, семена подсолнечника, семена льна, яблочный порошок, семена чиа, соль, сода пищевая.</t>
  </si>
  <si>
    <t>Хлебцы гречневые 150г</t>
  </si>
  <si>
    <t>крупа рисовая, крупа гречневая, отруби кукурузные, крупа пшено, соль морская пищевая</t>
  </si>
  <si>
    <t>крупа кукурузная, крупа рисовая, отруби кукурузные, соль морская пищевая</t>
  </si>
  <si>
    <t>крупа кукурузная, крупа рисовая, отруби кукурузные, лук сушеный, соль морская пищевая</t>
  </si>
  <si>
    <t>Хлебцы рисово-гречневые 150г</t>
  </si>
  <si>
    <t>Крупа рисовая, крупа гречневая, крупа пшено, отруби кукурузные, соль морская пищевая</t>
  </si>
  <si>
    <t>вода, рис, кокосовое молоко, соль морская пищевая, натуральный кокосовый ароматизатор</t>
  </si>
  <si>
    <t xml:space="preserve">Изюм, мука овсяная, банан вяленый, сок яблочный концентрированный, масло подсолнечное, ароматизатор натуральный Банан </t>
  </si>
  <si>
    <t xml:space="preserve">Изюм, мука овсяная, масло подсолнечное, сок клубничный концентрированный, сок яблочный концентрированный, ароматизатор натуральный Клубника </t>
  </si>
  <si>
    <t>Изюм, мука овсяная, масло подсолнечное, сок черносмородиновый концентрированный, сок яблочный концентрированный, ароматизатор натуральный Черная смородина .</t>
  </si>
  <si>
    <t>Финиковая паста, ядро кешью, клюква сушеная, ядро миндаля, вишня сублимированная, соль морская пищевая, гвоздика, корица</t>
  </si>
  <si>
    <t>Финиковая паста, ядро кешью, кокосовая стружка, бразильский орех, лён, семена чиа, мускатный орех, кардамон</t>
  </si>
  <si>
    <t>Финиковая паста, ядро фундука, семена подсолнечника, лён, шоколад горький, какао порошок, ядро миндаля, мускатный орех, гвоздика, корица</t>
  </si>
  <si>
    <t>Концентрированный яблочный сок, концентрированный клубничный сок, концентрированное яблочное пюре, банановые хлопья, пектин (агент желирующий), концентрированный лимонный сок, натуральный ароматизатор, концентрированный сок бузины</t>
  </si>
  <si>
    <t>Концентрированный яблочный сок, концентрированный малиновый сок, концентрированное яблочное пюре, банановые хлопья, пектин (агент желирующий), концентрированный лимонный сок, натуральный ароматизатор, концентрированный клубничный сок.</t>
  </si>
  <si>
    <t>Концентрированный яблочный сок, концентрированный черной смородины, концентрированное яблочное пюре, банановые хлопья, пектин (агент желирующий), натуральный ароматизатор, концентрированный лимонный сок, цитрусовые волокна</t>
  </si>
  <si>
    <t>Булгур зерно  400г</t>
  </si>
  <si>
    <t>Здороведа</t>
  </si>
  <si>
    <t>полба цельная</t>
  </si>
  <si>
    <t>семена кунжута белые</t>
  </si>
  <si>
    <t>Нут семена 400г</t>
  </si>
  <si>
    <t>нут цельный</t>
  </si>
  <si>
    <t>100% тростниковый сахар</t>
  </si>
  <si>
    <t>Чечевица зеленая, рис средний, томаты сушеные, корень сельдерея, морковь сушеная, черный перец молотый, красный острый перец молотый, асафетида, кумин цельный, кориандр, укроп, кинза, розмарин.</t>
  </si>
  <si>
    <t>Горох колотый, корень сельдерея, морковь сушеная, перец черный молотый, асафетида, имбирь молотый, кумин цельный, кориандр, укроп</t>
  </si>
  <si>
    <t>Чечевица красная, маш, томаты сушеные кусочками, черный перец молотый, красный острый перец молотый, куркума, мускатный орех, асафетида, имбирь молотый, кумин цельный, кардамон молотый, корица молотая, смесь карри,
кориандр.</t>
  </si>
  <si>
    <t xml:space="preserve">Чечевица красная, макароны, баклажаны сушеные, томаты кусочками сушеные, морковь сушеная, перец черный молотый, асафетида, базилик, тимьян, орегано, розмарин.
</t>
  </si>
  <si>
    <t xml:space="preserve">Чечевица зеленая, кукурузная крупа, рис, томаты сушеные кусочками, перец черный молотый, перец чили острый молотый, асафетида, имбирь молотый, тмин, кумин цельный, орегано, майоран.
</t>
  </si>
  <si>
    <t>Горох колотый, чечевица зеленая, чечевица красная, маш, томаты сушеные кусочками, корень сельдерея, морковь сушеная, черный перец молотый, красный острый перец молотый, куркума, асафетида, имбирь молотый, кумин цельный, кориандр, базилик, чабер.</t>
  </si>
  <si>
    <t>Чечевица красная, булгур, томаты сушеные, паприка, черный перец молотый, красный острый перец молотый, асафетида, кумин, укроп, базилик, мята, розмарин.</t>
  </si>
  <si>
    <t>Бириани индийский плов 250г</t>
  </si>
  <si>
    <t>Рис длиннозерный, паприка сушеная, изюм, чернослив, красный перец чили, куркума, асафетида, шамбала, имбирь молотый, кумин, кардамон молотый, корица молотая, кориандр.</t>
  </si>
  <si>
    <t>Булгур с белыми грибами и овощами 250г</t>
  </si>
  <si>
    <t>Гречка зеленая 400г</t>
  </si>
  <si>
    <t>Зелёная гречка</t>
  </si>
  <si>
    <t>Гречка с белыми грибами 250г</t>
  </si>
  <si>
    <t>Гречка, баклажаны сушеные, корень сельдерея, морковь сушеная, грибы белые, перец черный молотый, куркума, асафетида, кумин, кориандр, орегано.</t>
  </si>
  <si>
    <t>Китчери маш с рисом 250г</t>
  </si>
  <si>
    <t>Маш, рис средний, паприка сушёная кусочками, морковь сушёная, черный перец молотый, горчица, куркума, асафетида, имбирь молотый, тмин, смесь карри, кориандр</t>
  </si>
  <si>
    <t>Плов с белыми грибами 250г</t>
  </si>
  <si>
    <t xml:space="preserve">Рис длиннозёрный, паприка сушеная кусочками, морковь сушеная, грибы белые, барбарис сушеный, изюм, черный перец молотый, красный острый перец молотый, куркума, асафетида, шамбала, имбирь молотый, кумин, кориандр.
</t>
  </si>
  <si>
    <t>Полба с белыми грибами и овощами 250г</t>
  </si>
  <si>
    <t>Крупа полбы дробленая, морковь сушеная, грибы белые, перец черный молотый, асафетида, кумин, кориандр, розмарин.</t>
  </si>
  <si>
    <t>Полба с зеленой чечевицей по-старорусски 250г</t>
  </si>
  <si>
    <t>Крупа полбы дробленая, чечевица зеленая, соевое мясо, томаты сушеные, морковь сушеная, корень сельдерея, перец черный молотый, куркума, асафетида, кориандр, петрушка, укроп.</t>
  </si>
  <si>
    <t>Ризотто 250г</t>
  </si>
  <si>
    <t>Рис длиннозерный, баклажаны сушеные, томаты сушеные, паприка, морковь сушеная, перец черный молотый, перец красный острый молотый, мускатный орех, асафетида, имбирь молотый, петрушка, базилик, розмарин.</t>
  </si>
  <si>
    <t>Ценозерновая мука полбы, вода.</t>
  </si>
  <si>
    <t>Морковь натуральная, семена подсолнечника, ламинария, паприка, куркума, чили, морская соль.</t>
  </si>
  <si>
    <t>Морковь натуральная, семена подсолнечника, ламинария, паприка, черный перец, горчица, морская соль.</t>
  </si>
  <si>
    <t>Морковь натуральная, семена подсолнечника, ламинария, соль.</t>
  </si>
  <si>
    <t>Чипсы морковные с перчиком чили 100г</t>
  </si>
  <si>
    <t>Морковь натуральная, семена подсолнечника, ламинария, томаты дробленые, перец чили, купин, паприка, морская соль.</t>
  </si>
  <si>
    <t>Свёкла натуральная, семена подсолнечника , ламинария, аджика (томат дробленый, чеснок, паприка, чили), морская соль.</t>
  </si>
  <si>
    <t>Свёкла натуральная, семена подсолнечника, ламинария, базилик,морская соль.</t>
  </si>
  <si>
    <t>Свёкла натуральная, семена подсолнечника, ламинария, прованские травы (розмарин, тимьян, майоран, чабер, укроп, орегано, мята перечная), морская соль.</t>
  </si>
  <si>
    <t>Свёкла натуральная, семена подсолнечника, ламинария, чеснок, соль.</t>
  </si>
  <si>
    <t xml:space="preserve">кокосовое молоко 99,7% (кокосовая мякоть 70%, вода 29,9%, эмульгатор Е435 0,01%) . Не содержит сахара, консервантов и красителей. Не содержит ГМО. </t>
  </si>
  <si>
    <t>вода, мякоть кокоса, стабилизаторы: микрокристаллическая целлюлоза и карбоксиметилцеллюлоза, эмульгатор полисорбат, регулятор кислотности - лимонная кислота, консервант пиросульфат натрия.</t>
  </si>
  <si>
    <t>Молоко кокосовое Roi Thai 250мл</t>
  </si>
  <si>
    <t>Кокосовое молоко 99, 7% (кокосовая мякоть - 70%, вода 29, 6%, эмульгатор Е435 0, 01%) , натуральные загустители: ксантановая смола 0, 1%, гуаровая смола 0, 2%.</t>
  </si>
  <si>
    <t>Вода питьевая (81%), миндаль (13%), семена подсолнечника (5%), органический нектар кокосовых соцветий (1%)</t>
  </si>
  <si>
    <t>Вода питьевая (82%), миндаль (13%), семечки подсолнечника (5%).</t>
  </si>
  <si>
    <t>100% кокосовая вода</t>
  </si>
  <si>
    <t>Натуральное кокосовое масло первого холодного отжима</t>
  </si>
  <si>
    <t>Масло рисовых отрубей King rice bran oil 500мл</t>
  </si>
  <si>
    <t>100% тайский жасминовый рис</t>
  </si>
  <si>
    <t>100% коричневый тайский рис</t>
  </si>
  <si>
    <t>Сгущенное молоко кокосовое King Island 180г</t>
  </si>
  <si>
    <t>кокосовое молоко 44,9%, сахар 40,0%, Натуральный загуститель: мальтодекстрин 10,0%, Кокосовое масло 5,0%, Натуральный стабилизатор: каррагинан 0,1%</t>
  </si>
  <si>
    <t>Кокосовые сливки 99,95% (кокосовая мякоть 80%, вода 19,95%, эмульгатор Е435 0,05%). Не содержит сахара, консервантов и красителей</t>
  </si>
  <si>
    <t>Вода, рыбный соус, хлорид калия, сорбитол, усилитель вкуса Е635, сорбат 
калия, натуральный краситель Е150.
Не содержит ГМО.</t>
  </si>
  <si>
    <t>Вода, сорбитол, устричный экстракт, соевый соус, хлорид калия, сахар, модифицированный крахмал, усилитель вкуса Е635, ароматизатор идентичный натуральному, натуральный краситель Е150, сорбат калия.
Не содержит ГМО.</t>
  </si>
  <si>
    <t>Вода, сорбитол, чили, чеснок, уксус, сахар, хлорид калия, подсластители 
Е950,  ксантановая камедь, усилитель вкуса Е635.</t>
  </si>
  <si>
    <t>Алтын бай</t>
  </si>
  <si>
    <t>60мес</t>
  </si>
  <si>
    <t>Иван чай, бадан, шиповник, красный корень, золотой корень</t>
  </si>
  <si>
    <t>шиповник, рябины ягода, бадан, лист земляники, зизифора, пустырник, лаванда</t>
  </si>
  <si>
    <t>курильский чай, лист земляники, зизифора, чага, лабазник, лаванда, ягода рябины</t>
  </si>
  <si>
    <t>бадан, лабазник, зизифора, лист смородины, шиповник, красный корень, красная щетка</t>
  </si>
  <si>
    <t>Лист малины, лабазник, курильский чай, зизифора, мята, лаванда, цвет черемухи</t>
  </si>
  <si>
    <t>кипрей, лабазник, лист малины, лист смородины, лаванда, красная щетка, душица</t>
  </si>
  <si>
    <t>кипрей, лабазник, душица, лист смородины, лист малины</t>
  </si>
  <si>
    <t>курильский чай, зверобой, чабрец, красная щетка, шиповник, лист малины, лист земляники.</t>
  </si>
  <si>
    <t>Иван чай, лабазник, лист малины, лист смородины, боровая матка, цветки ромашки, душица</t>
  </si>
  <si>
    <t>лабазник, Иван чай, душица, лист малины, лист смородины, мята, календула, ромашка, рябина.</t>
  </si>
  <si>
    <t>мята, лист земляники, зизифора, курильский чай, бадан</t>
  </si>
  <si>
    <t>зверобой, календула, чага, курильский чай, золотой корень, бадан, чабрец</t>
  </si>
  <si>
    <t xml:space="preserve"> бадан, курильский чай, лист малины, чабрец, лист смородины, ягода шиповника, ягода облепихи. </t>
  </si>
  <si>
    <t>органическая мыльная основа, голубая глина, ароматизатор</t>
  </si>
  <si>
    <r>
      <t>Мочалка для умывания "</t>
    </r>
    <r>
      <rPr>
        <b/>
        <sz val="10"/>
        <color theme="1"/>
        <rFont val="Calibri"/>
        <family val="2"/>
        <charset val="204"/>
        <scheme val="minor"/>
      </rPr>
      <t>Живичная</t>
    </r>
    <r>
      <rPr>
        <sz val="10"/>
        <color theme="1"/>
        <rFont val="Calibri"/>
        <family val="2"/>
        <scheme val="minor"/>
      </rPr>
      <t>" 60г</t>
    </r>
  </si>
  <si>
    <t>Средства для гигиены</t>
  </si>
  <si>
    <t>омыленное масло кокоса, стеариновая кислота, бетаин, глицерин, пропиленгликоль, вода, соль, живица алтайского кедра, эфирное масло кедра</t>
  </si>
  <si>
    <r>
      <t>Мочалка для умывания "</t>
    </r>
    <r>
      <rPr>
        <b/>
        <sz val="10"/>
        <color theme="1"/>
        <rFont val="Calibri"/>
        <family val="2"/>
        <charset val="204"/>
        <scheme val="minor"/>
      </rPr>
      <t>Мед и ромашка</t>
    </r>
    <r>
      <rPr>
        <sz val="10"/>
        <color theme="1"/>
        <rFont val="Calibri"/>
        <family val="2"/>
        <scheme val="minor"/>
      </rPr>
      <t>" 60г</t>
    </r>
  </si>
  <si>
    <t>омыленное масло кокоса, стеариновая кислота, бетаин, глицерин, пропиленгликоль, вода, соль, экстракт ромашки, алтайский мёд, экстракт ромашки, эфирное масло ромашки</t>
  </si>
  <si>
    <r>
      <t>Мочалка для умывания "</t>
    </r>
    <r>
      <rPr>
        <b/>
        <sz val="10"/>
        <color theme="1"/>
        <rFont val="Calibri"/>
        <family val="2"/>
        <charset val="204"/>
        <scheme val="minor"/>
      </rPr>
      <t>Мятная</t>
    </r>
    <r>
      <rPr>
        <sz val="10"/>
        <color theme="1"/>
        <rFont val="Calibri"/>
        <family val="2"/>
        <scheme val="minor"/>
      </rPr>
      <t>" 60г</t>
    </r>
  </si>
  <si>
    <t>омыленное масло кокоса, стеариновая кислота, бетаин, глицерин, пропиленгликоль, вода, соль, экстракт подорожника, эфирное масло мяты</t>
  </si>
  <si>
    <r>
      <t>Мочалка для умывания "</t>
    </r>
    <r>
      <rPr>
        <b/>
        <sz val="10"/>
        <color theme="1"/>
        <rFont val="Calibri"/>
        <family val="2"/>
        <charset val="204"/>
        <scheme val="minor"/>
      </rPr>
      <t>С золотым корнем</t>
    </r>
    <r>
      <rPr>
        <sz val="10"/>
        <color theme="1"/>
        <rFont val="Calibri"/>
        <family val="2"/>
        <scheme val="minor"/>
      </rPr>
      <t>" 60г</t>
    </r>
  </si>
  <si>
    <t xml:space="preserve">омыленное масло кокоса, стеариновая кислота, бетаин, глицерин, пропиленгликоль, вода, соль, экстракт золотого корня, мумиё, эфирное масло розмарина. </t>
  </si>
  <si>
    <r>
      <t>Мочалка для умывания "</t>
    </r>
    <r>
      <rPr>
        <b/>
        <sz val="10"/>
        <color theme="1"/>
        <rFont val="Calibri"/>
        <family val="2"/>
        <charset val="204"/>
        <scheme val="minor"/>
      </rPr>
      <t>С каменным маслом</t>
    </r>
    <r>
      <rPr>
        <sz val="10"/>
        <color theme="1"/>
        <rFont val="Calibri"/>
        <family val="2"/>
        <scheme val="minor"/>
      </rPr>
      <t>" 60г</t>
    </r>
  </si>
  <si>
    <r>
      <t>Мочалка для умывания "</t>
    </r>
    <r>
      <rPr>
        <b/>
        <sz val="10"/>
        <color theme="1"/>
        <rFont val="Calibri"/>
        <family val="2"/>
        <charset val="204"/>
        <scheme val="minor"/>
      </rPr>
      <t>С красной глиной</t>
    </r>
    <r>
      <rPr>
        <sz val="10"/>
        <color theme="1"/>
        <rFont val="Calibri"/>
        <family val="2"/>
        <scheme val="minor"/>
      </rPr>
      <t>" 60г</t>
    </r>
  </si>
  <si>
    <t>органическая мыльная основа, стопроцентная кедровая живица.</t>
  </si>
  <si>
    <t>органическая мыльная основа, можжевеловое масло.</t>
  </si>
  <si>
    <t>органическая мыльная основа, мумиё, ароматизатор.</t>
  </si>
  <si>
    <t>органическая мыльная основа, облепиховое масло.</t>
  </si>
  <si>
    <t>органическая мыльная основа, натуральное пихтовое масло.</t>
  </si>
  <si>
    <r>
      <t>Бальзам "</t>
    </r>
    <r>
      <rPr>
        <b/>
        <sz val="10"/>
        <color theme="1"/>
        <rFont val="Calibri"/>
        <family val="2"/>
        <charset val="204"/>
        <scheme val="minor"/>
      </rPr>
      <t>Сила Кедра</t>
    </r>
    <r>
      <rPr>
        <sz val="10"/>
        <color theme="1"/>
        <rFont val="Calibri"/>
        <family val="2"/>
        <scheme val="minor"/>
      </rPr>
      <t>" (для суставов и позвоночника) 50г</t>
    </r>
  </si>
  <si>
    <r>
      <t xml:space="preserve">Бальзам "Таёжный Сварок </t>
    </r>
    <r>
      <rPr>
        <b/>
        <sz val="10"/>
        <color theme="1"/>
        <rFont val="Calibri"/>
        <family val="2"/>
        <charset val="204"/>
        <scheme val="minor"/>
      </rPr>
      <t>Кедровый</t>
    </r>
    <r>
      <rPr>
        <sz val="10"/>
        <color theme="1"/>
        <rFont val="Calibri"/>
        <family val="2"/>
        <scheme val="minor"/>
      </rPr>
      <t>" (ранозаживляющий) 50г</t>
    </r>
  </si>
  <si>
    <r>
      <t xml:space="preserve">Бальзам "Таёжный Сварок </t>
    </r>
    <r>
      <rPr>
        <b/>
        <sz val="10"/>
        <color theme="1"/>
        <rFont val="Calibri"/>
        <family val="2"/>
        <charset val="204"/>
        <scheme val="minor"/>
      </rPr>
      <t>Пихтовый</t>
    </r>
    <r>
      <rPr>
        <sz val="10"/>
        <color theme="1"/>
        <rFont val="Calibri"/>
        <family val="2"/>
        <scheme val="minor"/>
      </rPr>
      <t>" (противовоспалительный) 50г</t>
    </r>
  </si>
  <si>
    <t>Zero</t>
  </si>
  <si>
    <t xml:space="preserve">вода, абрикос,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</si>
  <si>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ананас,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</si>
  <si>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вишня,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</si>
  <si>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киви,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</si>
  <si>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клубника,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</si>
  <si>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манго,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</si>
  <si>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черника,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</si>
  <si>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t xml:space="preserve">вода, сок вишни восстановленный, подсластитель 
эритрит, загуститель ксантановая камедь (природныйполисахарид), природный консервант сорбиновая
кислота, регулятор кислотности лимонная кислота, ваниль, подсластитель экстракт стевии </t>
  </si>
  <si>
    <t>вода, подсластитель эритрит, мальтодекстрин,загуститель ксантановая камедь (природныйполисахарид), природный консервант сорбиноваякислота, регулятор кислотности лимонная кислота,ваниль, кленовый экстракт, подсластитель экстракт стевии</t>
  </si>
  <si>
    <t>вода, сок клубники восстановленный, подсластитель эритрит,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</si>
  <si>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сок малины восстановленный, подсластитель  эритрит,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</si>
  <si>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сок манго восстановленный, подсластитель  эритрит,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</si>
  <si>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какао алкализованный, подсластитель эритрит, молоко сухое обезжиренное, соль,загуститель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</si>
  <si>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сок черешни восстановленный, подсластитель  эритрит, загуститель ксантановая камедь (природныйполисахарид), природный консервант сорбиновая кислота, регулятор кислотности лимонная кислота,  ваниль, подсластитель экстракт стевии</t>
  </si>
  <si>
    <t>вода, сок черной смородины восстановленный, подсластитель эритрит,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</si>
  <si>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сок черники восстановленный, подсластитель эритрит,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</si>
  <si>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какао алкализованный, подсластитель эритрит, фундук, соль, загуститель ксантановая камедь (природный полисахарид), природный консервант сорбиновая кислота, регулятор кислотности лимонная кислота, ваниль, подсластитель экстракт стевии</t>
  </si>
  <si>
    <t>вода, томатная паста, чернослив, лук жаренный, соевый соус, специи, подсластитель эритрит, соль, клетчатка соевая, загуститель ксантановая камедь (природный полисахарид), природный консервант сорбиновая кислота, уксуc</t>
  </si>
  <si>
    <t>томатная паста, томаты краш, паприка свежая, вода, специи, подсластитель эритрит, соль, загуститель соевая клетчатка, загуститель ксантановая камедь (природный полисахарид), природный консервант сорбиновая кислота, уксус</t>
  </si>
  <si>
    <t>вода, томатная паста, томаты краш, паприка свежая, оливки, специи, подсластитель эритрит, соль, перец халапеньо, загуститель ксантановая камедь, (природный полисахарид), природный консервант сорбиновая кислота, уксус</t>
  </si>
  <si>
    <t>вода, масло оливковое дезодорированное, загуститель крахмал кукурузный, подсластитель эритрит, соль, загуститель ксантановая камедь (природный полисахарид), уксус, регулятор кислотности лимонная кислота, природный консервант  сорбиновая кислота, смесь специй, натуральный ароматизатор сыр</t>
  </si>
  <si>
    <t>вода, масло оливковое дезодорированное, загуститель крахмал кукурузный, подсластитель эритрит, соль, загуститель ксантановая камедь (природный полисахарид), уксус, регулятор кислотности лимонная кислота, природный консервант сорбиновая кислота, специи</t>
  </si>
  <si>
    <t>Масляный король</t>
  </si>
  <si>
    <t>Измельченные семена льна и зародыши пшеницы</t>
  </si>
  <si>
    <t>Промолотые и частично обезжиренные семена льна и амаранта</t>
  </si>
  <si>
    <t>Обработанные специальным образом и измельчённые семена льна, зародыши пшеницы</t>
  </si>
  <si>
    <t>Измельченные семена льна; кунжут</t>
  </si>
  <si>
    <t xml:space="preserve">Частично обезжиренное промолотое семя льна, частично обезжиренные промолотые семена расторопши пятнистой. </t>
  </si>
  <si>
    <t>Масло абрикосовое 250мл</t>
  </si>
  <si>
    <t>100% абрикосовое масло</t>
  </si>
  <si>
    <t>Масло амарантовое 100мл</t>
  </si>
  <si>
    <t>100% амарантовое масло</t>
  </si>
  <si>
    <t>100% арахисовое масло</t>
  </si>
  <si>
    <t>Масло арахисовое 350мл</t>
  </si>
  <si>
    <t>Масло из виноградной косточки рафинированное</t>
  </si>
  <si>
    <t>100% горчичное масло</t>
  </si>
  <si>
    <t>Масло горчичное 350мл</t>
  </si>
  <si>
    <t>100% кедровое масло</t>
  </si>
  <si>
    <t>100% конопляное масло</t>
  </si>
  <si>
    <t>100% кунжутное масло</t>
  </si>
  <si>
    <t>Масло кунжутное 350мл</t>
  </si>
  <si>
    <t>100% льняное масло</t>
  </si>
  <si>
    <t>Масло льняное 350мл</t>
  </si>
  <si>
    <t>Масло облепиховое смесь 100мл</t>
  </si>
  <si>
    <t>смесь облепихового и подсолнечного масел. Содержание каратиноидов не менее 30 ед.</t>
  </si>
  <si>
    <t>Масло ореховое смесь 250мл</t>
  </si>
  <si>
    <t>смесь масла грецкого ореха, арахиса, фундука и кедрового ореха</t>
  </si>
  <si>
    <t>100% подсолнечное масло</t>
  </si>
  <si>
    <t>100% масло из семян расторопши</t>
  </si>
  <si>
    <t>Масло расторопши 350мл</t>
  </si>
  <si>
    <t>100% рыжиковое масло</t>
  </si>
  <si>
    <t>Масло рыжиковое 350мл</t>
  </si>
  <si>
    <t>100% тыквенное масло</t>
  </si>
  <si>
    <t>Масло тыквенное 350мл</t>
  </si>
  <si>
    <t>Масло хлопковое 350мл</t>
  </si>
  <si>
    <t>100% хлопковое масло</t>
  </si>
  <si>
    <t>масло черного тмина - 70%, масло подсолнечное рафинированное дезодорированное - 30%</t>
  </si>
  <si>
    <t>Масло шиповника 100мл</t>
  </si>
  <si>
    <t>100% масло шиповника</t>
  </si>
  <si>
    <t>Мука амарантовая 300г</t>
  </si>
  <si>
    <t>мука из зародышей пшеницы</t>
  </si>
  <si>
    <t>Мука конопляная 300г</t>
  </si>
  <si>
    <t xml:space="preserve">Мука кунжутная 300г </t>
  </si>
  <si>
    <t xml:space="preserve">Мука расторопши 300г </t>
  </si>
  <si>
    <t>Мука тыквенная 300г</t>
  </si>
  <si>
    <t>Новапродукт</t>
  </si>
  <si>
    <r>
      <t xml:space="preserve">Паста арахисовая </t>
    </r>
    <r>
      <rPr>
        <b/>
        <sz val="10"/>
        <color theme="1"/>
        <rFont val="Calibri"/>
        <family val="2"/>
        <charset val="204"/>
        <scheme val="minor"/>
      </rPr>
      <t>кусочками</t>
    </r>
    <r>
      <rPr>
        <sz val="10"/>
        <color theme="1"/>
        <rFont val="Calibri"/>
        <family val="2"/>
        <scheme val="minor"/>
      </rPr>
      <t xml:space="preserve"> CRUNCHY 200г</t>
    </r>
  </si>
  <si>
    <t>Биопродукты</t>
  </si>
  <si>
    <r>
      <t xml:space="preserve">Паста арахисовая с </t>
    </r>
    <r>
      <rPr>
        <b/>
        <sz val="10"/>
        <color theme="1"/>
        <rFont val="Calibri"/>
        <family val="2"/>
        <charset val="204"/>
        <scheme val="minor"/>
      </rPr>
      <t>изюмом и корицей</t>
    </r>
    <r>
      <rPr>
        <sz val="10"/>
        <color theme="1"/>
        <rFont val="Calibri"/>
        <family val="2"/>
        <scheme val="minor"/>
      </rPr>
      <t xml:space="preserve"> RAISINS&amp;CINNAMON 200г</t>
    </r>
  </si>
  <si>
    <t>Обжаренный арахис, изюм, корица, морская соль</t>
  </si>
  <si>
    <r>
      <t xml:space="preserve">Паста арахисовая с </t>
    </r>
    <r>
      <rPr>
        <b/>
        <sz val="10"/>
        <color theme="1"/>
        <rFont val="Calibri"/>
        <family val="2"/>
        <charset val="204"/>
        <scheme val="minor"/>
      </rPr>
      <t xml:space="preserve">фиником </t>
    </r>
    <r>
      <rPr>
        <sz val="10"/>
        <color theme="1"/>
        <rFont val="Calibri"/>
        <family val="2"/>
        <scheme val="minor"/>
      </rPr>
      <t>DATE 200г</t>
    </r>
  </si>
  <si>
    <t>Обжаренный арахис, финиковый сироп, финики, морская соль</t>
  </si>
  <si>
    <r>
      <t xml:space="preserve">Паста арахисовая с </t>
    </r>
    <r>
      <rPr>
        <b/>
        <sz val="10"/>
        <color theme="1"/>
        <rFont val="Calibri"/>
        <family val="2"/>
        <charset val="204"/>
        <scheme val="minor"/>
      </rPr>
      <t>шоколадом</t>
    </r>
    <r>
      <rPr>
        <sz val="10"/>
        <color theme="1"/>
        <rFont val="Calibri"/>
        <family val="2"/>
        <scheme val="minor"/>
      </rPr>
      <t xml:space="preserve"> CHOCO 200г</t>
    </r>
  </si>
  <si>
    <t xml:space="preserve">арахис обжаренный, фундук, мед, какао-порошок, ванилин, морская соль </t>
  </si>
  <si>
    <t>Урбеч из абрикоса 280г</t>
  </si>
  <si>
    <t>ядра абрикосовых косточек перётертые — 93%, сахар - 7%.</t>
  </si>
  <si>
    <t>Урбеч из арахиса 280г</t>
  </si>
  <si>
    <t>Урбеч из грецких орехов 280г</t>
  </si>
  <si>
    <t>ядра грецкого ореха перётертые — 100%</t>
  </si>
  <si>
    <t>Урбеч из кешью 280г</t>
  </si>
  <si>
    <t>ядра орехов кешью перётертые — 100%</t>
  </si>
  <si>
    <t>Урбеч из кокоса 280г</t>
  </si>
  <si>
    <t>Урбеч из кунжута 280г</t>
  </si>
  <si>
    <t>Урбеч из льна 280г</t>
  </si>
  <si>
    <t>семена льна органические перётертые — 100%</t>
  </si>
  <si>
    <t>Урбеч из миндаля 280г</t>
  </si>
  <si>
    <t>миндаль перётертый — 100%</t>
  </si>
  <si>
    <t>Урбеч из подсолнечника 280г</t>
  </si>
  <si>
    <t>семена подсолнечника перетёртые - 100%</t>
  </si>
  <si>
    <t>Урбеч из тыквенных семян 280г</t>
  </si>
  <si>
    <t>семена тыквы перётертые — 100%</t>
  </si>
  <si>
    <r>
      <t xml:space="preserve">Чай "О самом главном" № 1 </t>
    </r>
    <r>
      <rPr>
        <b/>
        <sz val="10"/>
        <color theme="1"/>
        <rFont val="Calibri"/>
        <family val="2"/>
        <charset val="204"/>
        <scheme val="minor"/>
      </rPr>
      <t>для сердца и сосудов</t>
    </r>
    <r>
      <rPr>
        <sz val="10"/>
        <color theme="1"/>
        <rFont val="Calibri"/>
        <family val="2"/>
        <scheme val="minor"/>
      </rPr>
      <t xml:space="preserve"> 30ф/п*2г</t>
    </r>
  </si>
  <si>
    <t>зеленый чай, шиповник (плоды), боярышник (плоды), пустырник (трава), душица (трава), отруби (пшеничные)</t>
  </si>
  <si>
    <r>
      <t xml:space="preserve">Чай "О самом главном" № 2 </t>
    </r>
    <r>
      <rPr>
        <b/>
        <sz val="10"/>
        <color theme="1"/>
        <rFont val="Calibri"/>
        <family val="2"/>
        <charset val="204"/>
        <scheme val="minor"/>
      </rPr>
      <t>желудочно-кишечные</t>
    </r>
    <r>
      <rPr>
        <sz val="10"/>
        <color theme="1"/>
        <rFont val="Calibri"/>
        <family val="2"/>
        <scheme val="minor"/>
      </rPr>
      <t xml:space="preserve"> 30ф/п*2г</t>
    </r>
  </si>
  <si>
    <t>зеленый чай, зверобой (трава), ромашка (цветки), мята (лист), подорожник (корень), репешок (трава), тысячелистник (трава), отруби (пшеничные)</t>
  </si>
  <si>
    <r>
      <t xml:space="preserve">Чай "О самом главном" № 3 </t>
    </r>
    <r>
      <rPr>
        <b/>
        <sz val="10"/>
        <color theme="1"/>
        <rFont val="Calibri"/>
        <family val="2"/>
        <charset val="204"/>
        <scheme val="minor"/>
      </rPr>
      <t>витаминные</t>
    </r>
    <r>
      <rPr>
        <sz val="10"/>
        <color theme="1"/>
        <rFont val="Calibri"/>
        <family val="2"/>
        <scheme val="minor"/>
      </rPr>
      <t xml:space="preserve"> 30ф/п*2г</t>
    </r>
  </si>
  <si>
    <r>
      <t xml:space="preserve">Чай "О самом главном" № 4 </t>
    </r>
    <r>
      <rPr>
        <b/>
        <sz val="10"/>
        <color theme="1"/>
        <rFont val="Calibri"/>
        <family val="2"/>
        <charset val="204"/>
        <scheme val="minor"/>
      </rPr>
      <t>для суставов</t>
    </r>
    <r>
      <rPr>
        <sz val="10"/>
        <color theme="1"/>
        <rFont val="Calibri"/>
        <family val="2"/>
        <scheme val="minor"/>
      </rPr>
      <t xml:space="preserve"> 30ф/п*2г</t>
    </r>
  </si>
  <si>
    <t>зеленый чай, брусника (лист), липа (цвет), крапива (лист), лопух (корень), череда (трава), отруби (пшеничные)</t>
  </si>
  <si>
    <r>
      <t xml:space="preserve">Чай "О самом главном" № 5 </t>
    </r>
    <r>
      <rPr>
        <b/>
        <sz val="10"/>
        <color theme="1"/>
        <rFont val="Calibri"/>
        <family val="2"/>
        <charset val="204"/>
        <scheme val="minor"/>
      </rPr>
      <t>для почек</t>
    </r>
    <r>
      <rPr>
        <sz val="10"/>
        <color theme="1"/>
        <rFont val="Calibri"/>
        <family val="2"/>
        <scheme val="minor"/>
      </rPr>
      <t xml:space="preserve"> 30ф/п*2г</t>
    </r>
  </si>
  <si>
    <t>зеленый чай, тысячелистник (трава), эхинацея (трава), хвощ полевой (трава), ортосифон тычиночный (почечный чай), брусника (лист), отруби (пшеничные)</t>
  </si>
  <si>
    <r>
      <t xml:space="preserve">Чай "О самом главном" № 6 </t>
    </r>
    <r>
      <rPr>
        <b/>
        <sz val="10"/>
        <color theme="1"/>
        <rFont val="Calibri"/>
        <family val="2"/>
        <charset val="204"/>
        <scheme val="minor"/>
      </rPr>
      <t>атеросклеротические</t>
    </r>
    <r>
      <rPr>
        <sz val="10"/>
        <color theme="1"/>
        <rFont val="Calibri"/>
        <family val="2"/>
        <scheme val="minor"/>
      </rPr>
      <t xml:space="preserve"> 30ф/п*2г</t>
    </r>
  </si>
  <si>
    <t>зеленый чай, лопух (корень), одуванчик (корень), шиповник (плоды), черная смородина (лист), ортосифон тычиночный (почечный чай), отруби (пшеничные)</t>
  </si>
  <si>
    <r>
      <t xml:space="preserve">Чай "О самом главном" № 7 </t>
    </r>
    <r>
      <rPr>
        <b/>
        <sz val="10"/>
        <color theme="1"/>
        <rFont val="Calibri"/>
        <family val="2"/>
        <charset val="204"/>
        <scheme val="minor"/>
      </rPr>
      <t>для снижения веса</t>
    </r>
    <r>
      <rPr>
        <sz val="10"/>
        <color theme="1"/>
        <rFont val="Calibri"/>
        <family val="2"/>
        <scheme val="minor"/>
      </rPr>
      <t xml:space="preserve"> 30ф/п*2г</t>
    </r>
  </si>
  <si>
    <r>
      <t xml:space="preserve">Чай "О самом главном" № 8 </t>
    </r>
    <r>
      <rPr>
        <b/>
        <sz val="10"/>
        <color theme="1"/>
        <rFont val="Calibri"/>
        <family val="2"/>
        <charset val="204"/>
        <scheme val="minor"/>
      </rPr>
      <t>для глаз</t>
    </r>
    <r>
      <rPr>
        <sz val="10"/>
        <color theme="1"/>
        <rFont val="Calibri"/>
        <family val="2"/>
        <scheme val="minor"/>
      </rPr>
      <t xml:space="preserve"> 30ф/п*2г</t>
    </r>
  </si>
  <si>
    <r>
      <t xml:space="preserve">Чай "О самом главном" № 9 </t>
    </r>
    <r>
      <rPr>
        <b/>
        <sz val="10"/>
        <color theme="1"/>
        <rFont val="Calibri"/>
        <family val="2"/>
        <charset val="204"/>
        <scheme val="minor"/>
      </rPr>
      <t>антиварикозные</t>
    </r>
    <r>
      <rPr>
        <sz val="10"/>
        <color theme="1"/>
        <rFont val="Calibri"/>
        <family val="2"/>
        <scheme val="minor"/>
      </rPr>
      <t xml:space="preserve"> 30ф/п*2г</t>
    </r>
  </si>
  <si>
    <t>зеленый чай, боярышник (плоды), крапива (лист), хмель (соплодия), отруби (пшеничные)</t>
  </si>
  <si>
    <r>
      <t xml:space="preserve">Чай "О самом главном" №10 </t>
    </r>
    <r>
      <rPr>
        <b/>
        <sz val="10"/>
        <color theme="1"/>
        <rFont val="Calibri"/>
        <family val="2"/>
        <charset val="204"/>
        <scheme val="minor"/>
      </rPr>
      <t>от похмелья</t>
    </r>
    <r>
      <rPr>
        <sz val="10"/>
        <color theme="1"/>
        <rFont val="Calibri"/>
        <family val="2"/>
        <scheme val="minor"/>
      </rPr>
      <t xml:space="preserve"> 30ф/п*2г</t>
    </r>
  </si>
  <si>
    <t>зеленый чай, шиповник (плоды), расторопша (плоды), спорыш (трава), тысячелистник (трава), мята (лист), отруби (пшеничные)</t>
  </si>
  <si>
    <r>
      <t xml:space="preserve">Чай "О самом главном" №11 </t>
    </r>
    <r>
      <rPr>
        <b/>
        <sz val="10"/>
        <color theme="1"/>
        <rFont val="Calibri"/>
        <family val="2"/>
        <charset val="204"/>
        <scheme val="minor"/>
      </rPr>
      <t>антипаразитарные травы</t>
    </r>
    <r>
      <rPr>
        <sz val="10"/>
        <color theme="1"/>
        <rFont val="Calibri"/>
        <family val="2"/>
        <scheme val="minor"/>
      </rPr>
      <t xml:space="preserve"> 30ф/п*2г</t>
    </r>
  </si>
  <si>
    <t>зеленый чай, бессмертник (цветки), душица (трава), зверобой (трава), кукурузные рыльца, грецкий орех (лист), гвоздика, отруби (пшеничные)</t>
  </si>
  <si>
    <r>
      <t xml:space="preserve">Чай "О самом главном" №12 </t>
    </r>
    <r>
      <rPr>
        <b/>
        <sz val="10"/>
        <color theme="1"/>
        <rFont val="Calibri"/>
        <family val="2"/>
        <charset val="204"/>
        <scheme val="minor"/>
      </rPr>
      <t>повышающие иммунитет</t>
    </r>
    <r>
      <rPr>
        <sz val="10"/>
        <color theme="1"/>
        <rFont val="Calibri"/>
        <family val="2"/>
        <scheme val="minor"/>
      </rPr>
      <t xml:space="preserve"> 30ф/п*2г</t>
    </r>
  </si>
  <si>
    <r>
      <t xml:space="preserve">Чай "О самом главном" №13 </t>
    </r>
    <r>
      <rPr>
        <b/>
        <sz val="10"/>
        <color theme="1"/>
        <rFont val="Calibri"/>
        <family val="2"/>
        <charset val="204"/>
        <scheme val="minor"/>
      </rPr>
      <t>от простуды</t>
    </r>
    <r>
      <rPr>
        <sz val="10"/>
        <color theme="1"/>
        <rFont val="Calibri"/>
        <family val="2"/>
        <scheme val="minor"/>
      </rPr>
      <t xml:space="preserve"> 30ф/п*2г</t>
    </r>
  </si>
  <si>
    <t>зеленый чай, шалфей (трава), липа (цветки), эвкалипт (лист), ромашка (цветки), ромашка (трава), душица (трава), отруби (пшеничные)</t>
  </si>
  <si>
    <r>
      <t xml:space="preserve">Чай "О самом главном" №14 </t>
    </r>
    <r>
      <rPr>
        <b/>
        <sz val="10"/>
        <color theme="1"/>
        <rFont val="Calibri"/>
        <family val="2"/>
        <charset val="204"/>
        <scheme val="minor"/>
      </rPr>
      <t>для снижения сахара</t>
    </r>
    <r>
      <rPr>
        <sz val="10"/>
        <color theme="1"/>
        <rFont val="Calibri"/>
        <family val="2"/>
        <scheme val="minor"/>
      </rPr>
      <t xml:space="preserve"> 30ф/п*2г</t>
    </r>
  </si>
  <si>
    <r>
      <t xml:space="preserve">Чай "О самом главном" №15 </t>
    </r>
    <r>
      <rPr>
        <b/>
        <sz val="10"/>
        <color theme="1"/>
        <rFont val="Calibri"/>
        <family val="2"/>
        <charset val="204"/>
        <scheme val="minor"/>
      </rPr>
      <t>для печени</t>
    </r>
    <r>
      <rPr>
        <sz val="10"/>
        <color theme="1"/>
        <rFont val="Calibri"/>
        <family val="2"/>
        <scheme val="minor"/>
      </rPr>
      <t xml:space="preserve"> 30ф/п*2г</t>
    </r>
  </si>
  <si>
    <r>
      <t>Чай "О самом главном" №16</t>
    </r>
    <r>
      <rPr>
        <b/>
        <sz val="10"/>
        <color theme="1"/>
        <rFont val="Calibri"/>
        <family val="2"/>
        <charset val="204"/>
        <scheme val="minor"/>
      </rPr>
      <t xml:space="preserve"> при дефиците йода в организме</t>
    </r>
    <r>
      <rPr>
        <sz val="10"/>
        <color theme="1"/>
        <rFont val="Calibri"/>
        <family val="2"/>
        <scheme val="minor"/>
      </rPr>
      <t xml:space="preserve"> 30ф/п*2г</t>
    </r>
  </si>
  <si>
    <t>зеленый чай, ламинария (слоевища), шиповник (плоды), боярышник (плоды), пустырник (трава), отруби (пшеничные)</t>
  </si>
  <si>
    <r>
      <t xml:space="preserve">Чай "О самом главном" №17 </t>
    </r>
    <r>
      <rPr>
        <b/>
        <sz val="10"/>
        <color theme="1"/>
        <rFont val="Calibri"/>
        <family val="2"/>
        <charset val="204"/>
        <scheme val="minor"/>
      </rPr>
      <t>мужские травы</t>
    </r>
    <r>
      <rPr>
        <sz val="10"/>
        <color theme="1"/>
        <rFont val="Calibri"/>
        <family val="2"/>
        <scheme val="minor"/>
      </rPr>
      <t xml:space="preserve"> 30ф/п*2г</t>
    </r>
  </si>
  <si>
    <t>зеленый чай, зверобой (трава), лопух (корень), шалфей (трава), укроп (семена), кипрей (трава), отруби (пшеничные)</t>
  </si>
  <si>
    <r>
      <t xml:space="preserve">Чай "О самом главном" №18 </t>
    </r>
    <r>
      <rPr>
        <b/>
        <sz val="10"/>
        <color theme="1"/>
        <rFont val="Calibri"/>
        <family val="2"/>
        <charset val="204"/>
        <scheme val="minor"/>
      </rPr>
      <t>для сна</t>
    </r>
    <r>
      <rPr>
        <sz val="10"/>
        <color theme="1"/>
        <rFont val="Calibri"/>
        <family val="2"/>
        <scheme val="minor"/>
      </rPr>
      <t xml:space="preserve"> 20ф/п*2г</t>
    </r>
  </si>
  <si>
    <t>Суп Вермишелька 210г</t>
  </si>
  <si>
    <t>Гурмайор</t>
  </si>
  <si>
    <t>макаронные изделия из твердой пшеницы вермишель, сублимированный горох и кукуруза, сушеные морковь, паприка, зеленый лук, петрушка.</t>
  </si>
  <si>
    <t>Суп Греческий с красной чечевицей 210г</t>
  </si>
  <si>
    <t>макаронные изделия из твердой пшеницы, красная чечевица, сушеные морковь, томат, сельдерей, паприка, лук, орегано, петрушка.</t>
  </si>
  <si>
    <t>Суп Итальянский минестроне 210г</t>
  </si>
  <si>
    <t>макаронные изделия из твердой пшеницы, сушеные томат, паприка, кабачок, баклажан, морковь, петрушка, чеснок, жареный лук.</t>
  </si>
  <si>
    <t>Суп Французский с лисичками и травами 210г</t>
  </si>
  <si>
    <t>макаронные изделия из твердой пшеницы звездочки, сушеные лисички эко (Алтай), сушеные морковь, паприка, прованские травы, петрушка, чеснок, репчатый лук.</t>
  </si>
  <si>
    <t>Суп Чилийский с киноа 210г</t>
  </si>
  <si>
    <t>макаронные изделия из твердой пшеницы звездочки, белая киноа, сушеные морковь, томат, репчатый лук, петрушка, перец чили.</t>
  </si>
  <si>
    <t>Лапшичка с овощами 250г</t>
  </si>
  <si>
    <t>мука из отборной твердой пшеницы (дурум) для макаронных изделий высшего сорта, специально подготовленная смесь сушеных овощей (морковь, тыква, кукуруза), фильтрованная вода.</t>
  </si>
  <si>
    <t>мука из отборной твердой пшеницы (дурум) для макаронных изделий высшего сорта, специально подготовленные шпинат, морковь, фильтрованная вода.</t>
  </si>
  <si>
    <t>мука из отборной твердой пшеницы (дурум) для макаронных изделий высшего сорта, специально подготовленный яичный желток, фильтрованная вода.</t>
  </si>
  <si>
    <t>мука из отборного зерна твердой пшеницы (дурум) для макаронных изделий высшего сорта, специально подготовленный шпинат, вкусоароматическая добавка из натуральных компонентов, фильтрованная вода.</t>
  </si>
  <si>
    <t>мука из отборного зерна твердой пшеницы (дурум) для макаронных изделий высшего сорта, специально подготовленные петрушка, чеснок, вкусоароматическая добавка из натуральных компонентов, фильтрованная вода.</t>
  </si>
  <si>
    <t>мука из отборного зерна твердой пшеницы (дурум) для макаронных изделий высшего сорта, специально подготовленные томат и яичный желток, фильтрованная вода.</t>
  </si>
  <si>
    <t>Паста классическая 400г</t>
  </si>
  <si>
    <t>мука из отборного зерна твердой пшеницы (дурум) для макаронных изделий высшего сорта, фильтрованная вода.</t>
  </si>
  <si>
    <t>мука из отборного зерна твердой пшеницы (дурум) для макаронных изделий высшего сорта, укроп (верхушки), натуральные сушеные белые грибы, приправа со вкусом и ароматом грибов (специи, ароматизатор идентичный натуральному, декстроза), фильтрованная вода.</t>
  </si>
  <si>
    <t>мука из отборного зерна твердой пшеницы (дурум) для макаронных изделий высшего сорта, специально подготовленные прованские травы (розмарин, базилик, тимьян, душица, майоран), фильтрованная вода.</t>
  </si>
  <si>
    <t>мука из отборного зерна твердой пшеницы (дурум) для макаронных изделий высшего сорта, специально подготовленные натуральные чернила морской каракатицы, фильтрованная вода.</t>
  </si>
  <si>
    <r>
      <t>Бальзам "</t>
    </r>
    <r>
      <rPr>
        <b/>
        <sz val="10"/>
        <color theme="1"/>
        <rFont val="Calibri"/>
        <family val="2"/>
        <charset val="204"/>
        <scheme val="minor"/>
      </rPr>
      <t>Бронхо +</t>
    </r>
    <r>
      <rPr>
        <sz val="10"/>
        <color theme="1"/>
        <rFont val="Calibri"/>
        <family val="2"/>
        <scheme val="minor"/>
      </rPr>
      <t>" (без сахара) 100мл</t>
    </r>
  </si>
  <si>
    <t>АлтайФитоПром</t>
  </si>
  <si>
    <r>
      <t>Бальзам "</t>
    </r>
    <r>
      <rPr>
        <b/>
        <sz val="10"/>
        <color theme="1"/>
        <rFont val="Calibri"/>
        <family val="2"/>
        <charset val="204"/>
        <scheme val="minor"/>
      </rPr>
      <t>Кардио +</t>
    </r>
    <r>
      <rPr>
        <sz val="10"/>
        <color theme="1"/>
        <rFont val="Calibri"/>
        <family val="2"/>
        <scheme val="minor"/>
      </rPr>
      <t>" (без сахара) 100мл</t>
    </r>
  </si>
  <si>
    <r>
      <t>Бальзам "</t>
    </r>
    <r>
      <rPr>
        <b/>
        <sz val="10"/>
        <color theme="1"/>
        <rFont val="Calibri"/>
        <family val="2"/>
        <charset val="204"/>
        <scheme val="minor"/>
      </rPr>
      <t>Релакс +</t>
    </r>
    <r>
      <rPr>
        <sz val="10"/>
        <color theme="1"/>
        <rFont val="Calibri"/>
        <family val="2"/>
        <scheme val="minor"/>
      </rPr>
      <t>" (без сахара) 100мл</t>
    </r>
  </si>
  <si>
    <r>
      <t>Бальзам "</t>
    </r>
    <r>
      <rPr>
        <b/>
        <sz val="10"/>
        <color theme="1"/>
        <rFont val="Calibri"/>
        <family val="2"/>
        <charset val="204"/>
        <scheme val="minor"/>
      </rPr>
      <t>Сустав +</t>
    </r>
    <r>
      <rPr>
        <sz val="10"/>
        <color theme="1"/>
        <rFont val="Calibri"/>
        <family val="2"/>
        <scheme val="minor"/>
      </rPr>
      <t>" (без сахара) 100мл</t>
    </r>
  </si>
  <si>
    <r>
      <t xml:space="preserve">Живица "Алтайская" с пч в, </t>
    </r>
    <r>
      <rPr>
        <b/>
        <sz val="10"/>
        <color theme="1"/>
        <rFont val="Calibri"/>
        <family val="2"/>
        <charset val="204"/>
        <scheme val="minor"/>
      </rPr>
      <t>кедровая</t>
    </r>
    <r>
      <rPr>
        <sz val="10"/>
        <color theme="1"/>
        <rFont val="Calibri"/>
        <family val="2"/>
        <scheme val="minor"/>
      </rPr>
      <t xml:space="preserve"> табл. 0,80г</t>
    </r>
  </si>
  <si>
    <t>Жевательная резинка</t>
  </si>
  <si>
    <t>Живица (смола) алтайского кедра, пчелиный прополисный воск.</t>
  </si>
  <si>
    <r>
      <t xml:space="preserve">Живица "Алтайская" с пч в, </t>
    </r>
    <r>
      <rPr>
        <b/>
        <sz val="10"/>
        <color theme="1"/>
        <rFont val="Calibri"/>
        <family val="2"/>
        <charset val="204"/>
        <scheme val="minor"/>
      </rPr>
      <t>лиственничная</t>
    </r>
    <r>
      <rPr>
        <sz val="10"/>
        <color theme="1"/>
        <rFont val="Calibri"/>
        <family val="2"/>
        <scheme val="minor"/>
      </rPr>
      <t xml:space="preserve"> табл. 0,80г</t>
    </r>
  </si>
  <si>
    <t>Живица (смола) алтайской лиственницы, пчелиный прополисный воск.</t>
  </si>
  <si>
    <r>
      <t xml:space="preserve">Живица "Алтайская" с пч в, </t>
    </r>
    <r>
      <rPr>
        <b/>
        <sz val="10"/>
        <color theme="1"/>
        <rFont val="Calibri"/>
        <family val="2"/>
        <charset val="204"/>
        <scheme val="minor"/>
      </rPr>
      <t>мята</t>
    </r>
    <r>
      <rPr>
        <sz val="10"/>
        <color theme="1"/>
        <rFont val="Calibri"/>
        <family val="2"/>
        <scheme val="minor"/>
      </rPr>
      <t xml:space="preserve"> табл. 0,80г</t>
    </r>
  </si>
  <si>
    <t>Живица (смола) алтайской лиственницы, пчелиный прополисный воск, экстракт мяты перечной.</t>
  </si>
  <si>
    <t>Живица резинка жевательная натуральная кедровая 0,8г</t>
  </si>
  <si>
    <t>живица сибирского кедра.</t>
  </si>
  <si>
    <r>
      <t xml:space="preserve">Смолка жевательная </t>
    </r>
    <r>
      <rPr>
        <b/>
        <sz val="10"/>
        <color theme="1"/>
        <rFont val="Calibri"/>
        <family val="2"/>
        <charset val="204"/>
        <scheme val="minor"/>
      </rPr>
      <t>кедровая</t>
    </r>
    <r>
      <rPr>
        <sz val="10"/>
        <color theme="1"/>
        <rFont val="Calibri"/>
        <family val="2"/>
        <scheme val="minor"/>
      </rPr>
      <t xml:space="preserve"> «Кедрица» 0,8г</t>
    </r>
  </si>
  <si>
    <t xml:space="preserve">живица кедровая
</t>
  </si>
  <si>
    <r>
      <t xml:space="preserve">Смолка жевательная </t>
    </r>
    <r>
      <rPr>
        <b/>
        <sz val="10"/>
        <color theme="1"/>
        <rFont val="Calibri"/>
        <family val="2"/>
        <charset val="204"/>
        <scheme val="minor"/>
      </rPr>
      <t>лиственница сибирская</t>
    </r>
    <r>
      <rPr>
        <sz val="10"/>
        <color theme="1"/>
        <rFont val="Calibri"/>
        <family val="2"/>
        <scheme val="minor"/>
      </rPr>
      <t xml:space="preserve"> (лиственничная) 0,8г</t>
    </r>
  </si>
  <si>
    <t>живица лиственницы сибирской</t>
  </si>
  <si>
    <r>
      <t>Смолка жевательная</t>
    </r>
    <r>
      <rPr>
        <b/>
        <sz val="10"/>
        <color theme="1"/>
        <rFont val="Calibri"/>
        <family val="2"/>
        <charset val="204"/>
        <scheme val="minor"/>
      </rPr>
      <t xml:space="preserve"> лиственничная</t>
    </r>
    <r>
      <rPr>
        <sz val="10"/>
        <color theme="1"/>
        <rFont val="Calibri"/>
        <family val="2"/>
        <scheme val="minor"/>
      </rPr>
      <t xml:space="preserve"> «Листвица» 0,8г</t>
    </r>
  </si>
  <si>
    <r>
      <t xml:space="preserve">Смолка жевательная </t>
    </r>
    <r>
      <rPr>
        <b/>
        <sz val="10"/>
        <color theme="1"/>
        <rFont val="Calibri"/>
        <family val="2"/>
        <charset val="204"/>
        <scheme val="minor"/>
      </rPr>
      <t>с мятой</t>
    </r>
    <r>
      <rPr>
        <sz val="10"/>
        <color theme="1"/>
        <rFont val="Calibri"/>
        <family val="2"/>
        <scheme val="minor"/>
      </rPr>
      <t xml:space="preserve"> (лиственничная) 0,8г</t>
    </r>
  </si>
  <si>
    <t>живица лиственницы сибирской, экстракт мяты</t>
  </si>
  <si>
    <r>
      <t xml:space="preserve">Смолка жевательная </t>
    </r>
    <r>
      <rPr>
        <b/>
        <sz val="10"/>
        <color theme="1"/>
        <rFont val="Calibri"/>
        <family val="2"/>
        <charset val="204"/>
        <scheme val="minor"/>
      </rPr>
      <t>с облепихой</t>
    </r>
    <r>
      <rPr>
        <sz val="10"/>
        <color theme="1"/>
        <rFont val="Calibri"/>
        <family val="2"/>
        <scheme val="minor"/>
      </rPr>
      <t xml:space="preserve"> (лиственничная) 0,8г</t>
    </r>
  </si>
  <si>
    <t>живица лиственницы сибирской, экстракт облепихи</t>
  </si>
  <si>
    <r>
      <t xml:space="preserve">Смолка жевательная </t>
    </r>
    <r>
      <rPr>
        <b/>
        <sz val="10"/>
        <color theme="1"/>
        <rFont val="Calibri"/>
        <family val="2"/>
        <charset val="204"/>
        <scheme val="minor"/>
      </rPr>
      <t>с прополисом</t>
    </r>
    <r>
      <rPr>
        <sz val="10"/>
        <color theme="1"/>
        <rFont val="Calibri"/>
        <family val="2"/>
        <scheme val="minor"/>
      </rPr>
      <t xml:space="preserve"> (лиственничная) 0,8г</t>
    </r>
  </si>
  <si>
    <t>живица лиственницы сибирской, экстракт прополиса</t>
  </si>
  <si>
    <r>
      <t xml:space="preserve">Смолка жевательная </t>
    </r>
    <r>
      <rPr>
        <b/>
        <sz val="10"/>
        <color theme="1"/>
        <rFont val="Calibri"/>
        <family val="2"/>
        <charset val="204"/>
        <scheme val="minor"/>
      </rPr>
      <t>с черникой</t>
    </r>
    <r>
      <rPr>
        <sz val="10"/>
        <color theme="1"/>
        <rFont val="Calibri"/>
        <family val="2"/>
        <scheme val="minor"/>
      </rPr>
      <t xml:space="preserve"> (лиственничная) 0,8г</t>
    </r>
  </si>
  <si>
    <t xml:space="preserve">живица сибирской лиственницы, экстракт черники.
</t>
  </si>
  <si>
    <t>Мумие очищенное "Алтайский Нектар", таб №20 0,2г</t>
  </si>
  <si>
    <t>48мес</t>
  </si>
  <si>
    <t>Мумиё очищенное "Алтайский Нектар", цельное 3г</t>
  </si>
  <si>
    <t>Мумиё очищенное цельное</t>
  </si>
  <si>
    <t>Прополис пчелиный натуральный, блистер №5 0,8г</t>
  </si>
  <si>
    <t>120мес</t>
  </si>
  <si>
    <t>100% натуральный очищенный прополис.</t>
  </si>
  <si>
    <r>
      <t xml:space="preserve">Фитокомплекс "MASCULINEX" </t>
    </r>
    <r>
      <rPr>
        <b/>
        <sz val="10"/>
        <color theme="1"/>
        <rFont val="Calibri"/>
        <family val="2"/>
        <charset val="204"/>
        <scheme val="minor"/>
      </rPr>
      <t>для мужчин</t>
    </r>
    <r>
      <rPr>
        <sz val="10"/>
        <color theme="1"/>
        <rFont val="Calibri"/>
        <family val="2"/>
        <scheme val="minor"/>
      </rPr>
      <t xml:space="preserve"> банка 60капс. 0,40г</t>
    </r>
  </si>
  <si>
    <t>Спирулина порошок zip пакет 100г</t>
  </si>
  <si>
    <t>Тор спирулина</t>
  </si>
  <si>
    <t>Спирулина порошок zip пакет 250г</t>
  </si>
  <si>
    <t>Спирулина таблекти тубус 100г</t>
  </si>
  <si>
    <t>Спирулина таблекти тубус 50г</t>
  </si>
  <si>
    <t>Закваска зерновая бездрожжевая 360г</t>
  </si>
  <si>
    <t>Сибтар</t>
  </si>
  <si>
    <t>талкан ржаной (мука из пророщенного зерна ржи), витазар (мука зародышей пшеницы), отруби пшеничные, хмель.</t>
  </si>
  <si>
    <t>Масло зародышей пшеницы 100% 100мл</t>
  </si>
  <si>
    <t>Масло зародышей пшеницы нерафинированное изготовлено методом холодного прессования 100% натуральное</t>
  </si>
  <si>
    <t>Масло зародышей пшеницы 100% 50г</t>
  </si>
  <si>
    <t>Мука зародышей пшеницы (витазар) 100г</t>
  </si>
  <si>
    <t>Отруби кукурузные 200г</t>
  </si>
  <si>
    <t>отруби кукурузные</t>
  </si>
  <si>
    <t>Отруби пшеничные "Очищеные" 200г</t>
  </si>
  <si>
    <t>отруби пшеничные</t>
  </si>
  <si>
    <t>Отруби ржаные очищеные 200г</t>
  </si>
  <si>
    <t>Талкан из пророшенной пшеницы 500г</t>
  </si>
  <si>
    <t>дробленые пророщенные зерна пшеницы</t>
  </si>
  <si>
    <t>Талкан из пророщенной ржи 500г</t>
  </si>
  <si>
    <t>дробленые пророщенные зерна ржи</t>
  </si>
  <si>
    <t>Талкан ячменный 500г</t>
  </si>
  <si>
    <t>дробленые пророщенные зерна ячменя</t>
  </si>
  <si>
    <t>Толокно овсяное 350г</t>
  </si>
  <si>
    <t>толокно овсяное</t>
  </si>
  <si>
    <t>Хлопья зародышей пшеницы 250г</t>
  </si>
  <si>
    <t>Хлопья зародышей пшеницы</t>
  </si>
  <si>
    <t>Емельяновская Биофабрика</t>
  </si>
  <si>
    <t>листья Иван-чая (Кипрей узколистный Epilobium angustifolium L) ферментированные, листья смородины</t>
  </si>
  <si>
    <t>Иван-чай зелёный пачка 50г</t>
  </si>
  <si>
    <t>листья Иван-чая (Кипрей узколистный Epilobium angustifolium L)</t>
  </si>
  <si>
    <t>листья Иван-чая (Кипрей узколистный Epilobium angustifolium L) ферментированные, ягоды брусники сушеные, листья брусники</t>
  </si>
  <si>
    <t>листья Иван-чая (Кипрей узколистный Epilobium angustifolium L) ферментированные, ягоды клюквы сушёные.</t>
  </si>
  <si>
    <t>листья Иван-чая (Кипрей узколистный Epilobium angustifolium L) ферментированные, липовый цвет</t>
  </si>
  <si>
    <t>листья Иван-чая (Кипрей узколистный Epilobium angustifolium L) ферментированные, ягоды малины сушёные, листья малины</t>
  </si>
  <si>
    <t>листья Иван-чая (Кипрей узколистный Epilobium angustifolium L) ферментированные, ягоды облепихи сушёные</t>
  </si>
  <si>
    <t>листья Иван-чая (Кипрей узколистный Epilobium angustifolium L) ферментированные, чабрец.</t>
  </si>
  <si>
    <t>Иван-чай с липовым цветом банка 50г</t>
  </si>
  <si>
    <t>Иван-чай с цветками кипрея банка 50г</t>
  </si>
  <si>
    <t>листья Иван-чая (Кипрей узколистный Epilobium angustifolium L) ферментированные, цветы кипрея</t>
  </si>
  <si>
    <t>Иван-чай со смородиной банка 50г</t>
  </si>
  <si>
    <t>Трава чабреца</t>
  </si>
  <si>
    <t>Иван-чай черный крупнолистовой (пак) 500г.</t>
  </si>
  <si>
    <t xml:space="preserve">цельное зерно ячменя пророщенное плющенное сушеное, зерно пшеницы пророщенное плющенное сушеное, зерно овса пророщенное плющенное сушеное. </t>
  </si>
  <si>
    <t xml:space="preserve">цельное зерно ячменя пророщенное плющенное сушеное, зерно ржи пророщенное плющенное сушеное, зерно пшеницы пророщенное плющенное сушеное, зерно овса пророщенное плющенное сушеное. </t>
  </si>
  <si>
    <t>овсяные хлопья, зерно пророщенное плющенное сушеное (пшеница, ячмень, овес, рожь), гречневые хлопья, фундук, изюм, сахар, соль йодированная, пищевая добавка гуммиарабик (натуральное растворимое пребиотическое волокно), витамины.</t>
  </si>
  <si>
    <t>цельное зерно пшеницы пророщенное плющеное сушеное, цельное зерно овса пророщенное плющенное сушенное, цельное зерно ржи пророщенное плющенное сушеное, цельное зерно ячменя пророщенное плющенное сушеное, хлопья гречневые, хлопья пшенные.</t>
  </si>
  <si>
    <t>овсяные хлопья, сахар, овес пророщенный плющенный сушеный, клубника сушеная, сухие сливки, соль йодированная, пищевая добавка гуммиарабик (натуральное растворимое пребиотическое волокно), витамины.</t>
  </si>
  <si>
    <t>овсяные хлопья, сахар, овес пророщенный плющенный сушеный, клюква сушеная, отруби (пшеничные, овсяные), соль йодированная, пищевая добавка гуммиарабик (натуральное растворимое пребиотическое волокно), витамины.</t>
  </si>
  <si>
    <t>цельное зерно овса пророщенное плющеное сушеное.</t>
  </si>
  <si>
    <t>цельное зерно пшеницы пророщенное, плющеное, сушеное.</t>
  </si>
  <si>
    <t>цельное зерно ржи пророщенное плющеное сушеное.</t>
  </si>
  <si>
    <t>цельное зерно ячменя пророщенное плющенное сушеное.</t>
  </si>
  <si>
    <t>овсяные хлопья, яблоко сушеное, сахар, овес пророщенный плющенный сушеный, соль йодированная, корица молотая, пищевая добавка гуммиарабик (натуральное растворимое пребиотическое волокно), ароматизатор идентичный натуральному «Ванилин», витамины.</t>
  </si>
  <si>
    <t>овсяные хлопья, зерно пророщенное плющенное сушеное (пшеница, ячмень, овес, рожь), абрикос сушеный, сахар, соль йодированная, пищевая добавка гуммиарабик (натуральное растворимое пребиотическое волокно), ароматизатор идентичный натуральному «Ванилин», витамины.</t>
  </si>
  <si>
    <t>Molecola</t>
  </si>
  <si>
    <t>Эко-химия для стирки</t>
  </si>
  <si>
    <t>Вода, &gt; 5 % анионные ПАВ, глицерин, &gt; 5 % амфотерные ПАВ, консервант, отдушка, загуститель (хлорид натрия), лимонная кислота, загуститель (ксантановая камедь).</t>
  </si>
  <si>
    <t>Вода специально подготовленная, 5-15% АПАВ, 5-15% растительное мыло, &lt;5% НПАВ, ароматизатор, консервант, функциональные добавки, краситель.</t>
  </si>
  <si>
    <t>Кондиционер для белья French Lavender Французская лаванда 1000мл</t>
  </si>
  <si>
    <t>Вода, &lt; 5 % катионные ПАВ, глицерин, пропиленгликоль, консервант, отдушка, лимонная кислота.</t>
  </si>
  <si>
    <t>Sodium Carbonate &lt;62-65%, Natural plant based soap &lt;30–33%, Sodium Percarbonate (Oxygen Bleach) &lt;10%, Plant Enzymes &lt;1%, Citric Acid &lt;1%, Aqua, Cellulose Gum &lt;0,1-0,2%.</t>
  </si>
  <si>
    <t>&lt; 5% - цитрат натрия, &gt; 30% - детское натуральное мыло(изготовлено на основе пальмового и кокосового масел), сода.</t>
  </si>
  <si>
    <t>Sodium Carbonate &lt;62-65%, Natural plant based soap &lt;30–33%, Plant Enzymes &lt;1%, Citric Acid &lt;1%, Aqua, Cellulose Gum &lt;0,1-0,2%.</t>
  </si>
  <si>
    <t>Вода, анионные ПАВ 5-15%, амфотерные ПАВ &lt;5%, глицерин, загуститель, консервант, лимонная кислота, отдушка.</t>
  </si>
  <si>
    <t>Вода, анионные ПАВ &lt; 5% (75% растительного происхождения), амфотерные ПАВ &lt; 5%, глицерин, загуститель, консервант, отдушка, лимонная кислота, пищевой краситель.</t>
  </si>
  <si>
    <t>Вода, анионные ПАВ &lt; 5%, амфотерные ПАВ &lt; 5%, глицерин, загуститель, консервант, отдушка, лимонная кислота, пищевой краситель.</t>
  </si>
  <si>
    <t>Эко-химия для уборки</t>
  </si>
  <si>
    <t>Вода очищенная, АПАВ &lt; 5 %, НПАВ &lt; 5 %, натуральный загуститель, отдушка, лимонная кислота, консервант.</t>
  </si>
  <si>
    <t xml:space="preserve">Спрей для ванной комнаты очищающий Изумрудный лес 500мл </t>
  </si>
  <si>
    <t>Вода, лимонная кислота, щавелевая кислота, амфотерные ПАВ &lt;5%, НПАВ &lt;5%, консервант, отдушка, цитронеллол.</t>
  </si>
  <si>
    <t>Сибирская клетчатка</t>
  </si>
  <si>
    <r>
      <t xml:space="preserve">Клетчатка льняная с </t>
    </r>
    <r>
      <rPr>
        <b/>
        <sz val="10"/>
        <color theme="1"/>
        <rFont val="Calibri"/>
        <family val="2"/>
        <charset val="204"/>
        <scheme val="minor"/>
      </rPr>
      <t>Фруктами</t>
    </r>
    <r>
      <rPr>
        <sz val="10"/>
        <color theme="1"/>
        <rFont val="Calibri"/>
        <family val="2"/>
        <scheme val="minor"/>
      </rPr>
      <t xml:space="preserve"> 280г</t>
    </r>
  </si>
  <si>
    <t>Оболочка пшеничного зерна, льняная мука, яблоко плоды, абрикос плоды, лопух корень</t>
  </si>
  <si>
    <r>
      <t xml:space="preserve">Клетчатка льняная с </t>
    </r>
    <r>
      <rPr>
        <b/>
        <sz val="10"/>
        <color theme="1"/>
        <rFont val="Calibri"/>
        <family val="2"/>
        <charset val="204"/>
        <scheme val="minor"/>
      </rPr>
      <t>Черникой</t>
    </r>
    <r>
      <rPr>
        <sz val="10"/>
        <color theme="1"/>
        <rFont val="Calibri"/>
        <family val="2"/>
        <scheme val="minor"/>
      </rPr>
      <t xml:space="preserve"> 280г</t>
    </r>
  </si>
  <si>
    <t>Оболочка пшеничного зерна, черника ягода, льняная мука, яблоко плоды, лопух корень</t>
  </si>
  <si>
    <r>
      <t xml:space="preserve">Клетчатка льняная с </t>
    </r>
    <r>
      <rPr>
        <b/>
        <sz val="10"/>
        <color theme="1"/>
        <rFont val="Calibri"/>
        <family val="2"/>
        <charset val="204"/>
        <scheme val="minor"/>
      </rPr>
      <t>Ягодами</t>
    </r>
    <r>
      <rPr>
        <sz val="10"/>
        <color theme="1"/>
        <rFont val="Calibri"/>
        <family val="2"/>
        <scheme val="minor"/>
      </rPr>
      <t xml:space="preserve"> 280гр</t>
    </r>
  </si>
  <si>
    <t>Оболочка пшеничного зерна, льняная мука, яблоко плоды, корень лопуха, черника ягода, клюква ягода, шиповник плоды</t>
  </si>
  <si>
    <r>
      <t xml:space="preserve">Клетчатка овсяная </t>
    </r>
    <r>
      <rPr>
        <b/>
        <sz val="10"/>
        <color theme="1"/>
        <rFont val="Calibri"/>
        <family val="2"/>
        <charset val="204"/>
        <scheme val="minor"/>
      </rPr>
      <t>Анти-Диабет</t>
    </r>
    <r>
      <rPr>
        <sz val="10"/>
        <color theme="1"/>
        <rFont val="Calibri"/>
        <family val="2"/>
        <scheme val="minor"/>
      </rPr>
      <t xml:space="preserve"> 170г</t>
    </r>
  </si>
  <si>
    <t>Оболочка пшеничного зерна, отруби овсяные, яблоко плоды, травяной сбор (пырея корень, створки фасоли, корень цикория, овёс цветущий трава, побеги черники, шиповник плоды, манжета трава, тысячелистник трава)</t>
  </si>
  <si>
    <r>
      <t>Клетчатка пшеничная</t>
    </r>
    <r>
      <rPr>
        <b/>
        <sz val="10"/>
        <color theme="1"/>
        <rFont val="Calibri"/>
        <family val="2"/>
        <charset val="204"/>
        <scheme val="minor"/>
      </rPr>
      <t xml:space="preserve"> Витаминная поляна</t>
    </r>
    <r>
      <rPr>
        <sz val="10"/>
        <color theme="1"/>
        <rFont val="Calibri"/>
        <family val="2"/>
        <scheme val="minor"/>
      </rPr>
      <t xml:space="preserve"> 280г</t>
    </r>
  </si>
  <si>
    <t>оболочка пшеничного зерна, черника ягода,брусника ягода,клюква ягода,ядро кедрового ореха</t>
  </si>
  <si>
    <r>
      <t xml:space="preserve">Клетчатка пшеничная </t>
    </r>
    <r>
      <rPr>
        <b/>
        <sz val="10"/>
        <color theme="1"/>
        <rFont val="Calibri"/>
        <family val="2"/>
        <charset val="204"/>
        <scheme val="minor"/>
      </rPr>
      <t>Здоровая печень</t>
    </r>
    <r>
      <rPr>
        <sz val="10"/>
        <color theme="1"/>
        <rFont val="Calibri"/>
        <family val="2"/>
        <scheme val="minor"/>
      </rPr>
      <t xml:space="preserve"> 170г</t>
    </r>
  </si>
  <si>
    <t>оболочка пшеничного зерна, мята лист, зверобоя трава, расторопша пятнистая, хмеля шишки, ромашка цветки, можжевельник плоды, бадан лист, морковь,шиповник,красная рябина,яблоко.</t>
  </si>
  <si>
    <r>
      <t xml:space="preserve">Клетчатка пшеничная </t>
    </r>
    <r>
      <rPr>
        <b/>
        <sz val="10"/>
        <color theme="1"/>
        <rFont val="Calibri"/>
        <family val="2"/>
        <charset val="204"/>
        <scheme val="minor"/>
      </rPr>
      <t>Золотой возраст 55+</t>
    </r>
    <r>
      <rPr>
        <sz val="10"/>
        <color theme="1"/>
        <rFont val="Calibri"/>
        <family val="2"/>
        <scheme val="minor"/>
      </rPr>
      <t xml:space="preserve"> 280г</t>
    </r>
  </si>
  <si>
    <t>оболочка пшеничного зерна, абрикос, чернослив, шиповник, виноградная косточка, топинамбур, яблоко</t>
  </si>
  <si>
    <r>
      <t xml:space="preserve">Клетчатка пшеничная </t>
    </r>
    <r>
      <rPr>
        <b/>
        <sz val="10"/>
        <color theme="1"/>
        <rFont val="Calibri"/>
        <family val="2"/>
        <charset val="204"/>
        <scheme val="minor"/>
      </rPr>
      <t xml:space="preserve">Кедровый орешек </t>
    </r>
    <r>
      <rPr>
        <sz val="10"/>
        <color theme="1"/>
        <rFont val="Calibri"/>
        <family val="2"/>
        <scheme val="minor"/>
      </rPr>
      <t>280г</t>
    </r>
  </si>
  <si>
    <t>Оболочка пшеничного зерна, яблоко плоды, кедровый орех ядро</t>
  </si>
  <si>
    <r>
      <t xml:space="preserve">Клетчатка пшеничная </t>
    </r>
    <r>
      <rPr>
        <b/>
        <sz val="10"/>
        <color theme="1"/>
        <rFont val="Calibri"/>
        <family val="2"/>
        <charset val="204"/>
        <scheme val="minor"/>
      </rPr>
      <t>Корзинка здоровья</t>
    </r>
    <r>
      <rPr>
        <sz val="10"/>
        <color theme="1"/>
        <rFont val="Calibri"/>
        <family val="2"/>
        <scheme val="minor"/>
      </rPr>
      <t xml:space="preserve"> 280г</t>
    </r>
  </si>
  <si>
    <t>оболочка пшеничного зерна, ядро кедрового ореха, шиповник, яблоко, груша</t>
  </si>
  <si>
    <r>
      <t xml:space="preserve">Клетчатка пшеничная </t>
    </r>
    <r>
      <rPr>
        <b/>
        <sz val="10"/>
        <color theme="1"/>
        <rFont val="Calibri"/>
        <family val="2"/>
        <charset val="204"/>
        <scheme val="minor"/>
      </rPr>
      <t xml:space="preserve">Очищающая </t>
    </r>
    <r>
      <rPr>
        <sz val="10"/>
        <color theme="1"/>
        <rFont val="Calibri"/>
        <family val="2"/>
        <scheme val="minor"/>
      </rPr>
      <t>170г</t>
    </r>
  </si>
  <si>
    <t>Оболочка пшеничного зерна, клюква ягода, яблоко плоды, травяной сбор (ромашка цветы, календула цветы, володушка трава, тысячелистник трава,  таволга трава, клевер трава, мята трава,  курильский чай побеги, крушина кора, тыква плоды,  шиповник плоды, укроп  пахучий плоды)</t>
  </si>
  <si>
    <r>
      <t xml:space="preserve">Клетчатка пшеничная </t>
    </r>
    <r>
      <rPr>
        <b/>
        <sz val="10"/>
        <color theme="1"/>
        <rFont val="Calibri"/>
        <family val="2"/>
        <charset val="204"/>
        <scheme val="minor"/>
      </rPr>
      <t>Расторопша</t>
    </r>
    <r>
      <rPr>
        <sz val="10"/>
        <color theme="1"/>
        <rFont val="Calibri"/>
        <family val="2"/>
        <scheme val="minor"/>
      </rPr>
      <t xml:space="preserve"> 170г</t>
    </r>
  </si>
  <si>
    <t>Оболочка пшеничного зерна, клюква ягода, яблоко плоды, расторопша шрот</t>
  </si>
  <si>
    <r>
      <t>Клетчатка пшеничная</t>
    </r>
    <r>
      <rPr>
        <b/>
        <sz val="10"/>
        <color theme="1"/>
        <rFont val="Calibri"/>
        <family val="2"/>
        <charset val="204"/>
        <scheme val="minor"/>
      </rPr>
      <t xml:space="preserve"> Стопаппетит </t>
    </r>
    <r>
      <rPr>
        <sz val="10"/>
        <color theme="1"/>
        <rFont val="Calibri"/>
        <family val="2"/>
        <scheme val="minor"/>
      </rPr>
      <t>170г</t>
    </r>
  </si>
  <si>
    <t>Оболочка пшеничного зерна, семена чиа, травяной сбор (пырей корень, земляника лист, черника побега, лопух корень, одуванчик корень, цикорий корень и трава, кипрей трава, тысячелистник трава, овёс цветущий трава, крапива лист), яблоко плоды, клюква ягода, стабилизатор альгинат натрия (экстракт морских водорослей)</t>
  </si>
  <si>
    <r>
      <t xml:space="preserve">Клетчатка пшеничная </t>
    </r>
    <r>
      <rPr>
        <b/>
        <sz val="10"/>
        <color theme="1"/>
        <rFont val="Calibri"/>
        <family val="2"/>
        <charset val="204"/>
        <scheme val="minor"/>
      </rPr>
      <t>Супербрусника</t>
    </r>
    <r>
      <rPr>
        <sz val="10"/>
        <color theme="1"/>
        <rFont val="Calibri"/>
        <family val="2"/>
        <scheme val="minor"/>
      </rPr>
      <t xml:space="preserve"> 280 г</t>
    </r>
  </si>
  <si>
    <t>Оболочка пшеничного зерна, брусника ягода, яблоко плоды</t>
  </si>
  <si>
    <r>
      <t xml:space="preserve">Клетчатка пшеничная </t>
    </r>
    <r>
      <rPr>
        <b/>
        <sz val="10"/>
        <color theme="1"/>
        <rFont val="Calibri"/>
        <family val="2"/>
        <charset val="204"/>
        <scheme val="minor"/>
      </rPr>
      <t>Суперчерника</t>
    </r>
    <r>
      <rPr>
        <sz val="10"/>
        <color theme="1"/>
        <rFont val="Calibri"/>
        <family val="2"/>
        <scheme val="minor"/>
      </rPr>
      <t xml:space="preserve"> 280 г</t>
    </r>
  </si>
  <si>
    <t>Оболочка пшеничного зерна, черника ягода, яблоко плоды</t>
  </si>
  <si>
    <r>
      <t xml:space="preserve">Клетчатка пшеничная </t>
    </r>
    <r>
      <rPr>
        <b/>
        <sz val="10"/>
        <color theme="1"/>
        <rFont val="Calibri"/>
        <family val="2"/>
        <charset val="204"/>
        <scheme val="minor"/>
      </rPr>
      <t>Яблоко</t>
    </r>
    <r>
      <rPr>
        <sz val="10"/>
        <color theme="1"/>
        <rFont val="Calibri"/>
        <family val="2"/>
        <scheme val="minor"/>
      </rPr>
      <t xml:space="preserve"> 280г</t>
    </r>
  </si>
  <si>
    <t>Оболочка пшеничного зерна, яблоко</t>
  </si>
  <si>
    <t>ржи и пшеницы зародышевые оболочки 70%, водорослей бурых экстракт 7%, клубника сушеная 5%, яблоко сушеное 5%, смородина черная 5%, чиа семена 5%, крушины кора 2%</t>
  </si>
  <si>
    <t>малина сушеная, ржи и пшеницы зародышевые оболочки, витамины, смородина черная, чиа семена, водорослей бурых экстракт</t>
  </si>
  <si>
    <t>Миндальные лепестки 100г</t>
  </si>
  <si>
    <t>Оргтиум</t>
  </si>
  <si>
    <t>Мука миндальная 100г</t>
  </si>
  <si>
    <t>Отруби подорожника экологические</t>
  </si>
  <si>
    <t>Хлорелла &amp; Спирулина прессованная в таблетки 50г</t>
  </si>
  <si>
    <t>Порошок хлореллы, прессованный в таблетки, порошок спирулины, прессованный в таблетки</t>
  </si>
  <si>
    <t>Протеин семян конопли 250г</t>
  </si>
  <si>
    <t>Порошок семян конопли</t>
  </si>
  <si>
    <t>Протеин семян тыквы 250г</t>
  </si>
  <si>
    <t>Порошок из обезжиренных семян тыквы (иерейская голосемянная)</t>
  </si>
  <si>
    <t>Протеин соевый  500г</t>
  </si>
  <si>
    <t>Чай гречишный 100г</t>
  </si>
  <si>
    <t>Чай матча зеленый, 50г</t>
  </si>
  <si>
    <t>Порошок из листьев зелёного чая Матча</t>
  </si>
  <si>
    <t>Андатель</t>
  </si>
  <si>
    <t>яблочное пюре, абрикосовое пюре</t>
  </si>
  <si>
    <t>яблоко, малина</t>
  </si>
  <si>
    <r>
      <t xml:space="preserve">Батончик "Фрутилад" </t>
    </r>
    <r>
      <rPr>
        <b/>
        <sz val="10"/>
        <color theme="1"/>
        <rFont val="Calibri"/>
        <family val="2"/>
        <charset val="204"/>
        <scheme val="minor"/>
      </rPr>
      <t>Апельсин-Брусника</t>
    </r>
    <r>
      <rPr>
        <sz val="10"/>
        <color theme="1"/>
        <rFont val="Calibri"/>
        <family val="2"/>
        <scheme val="minor"/>
      </rPr>
      <t xml:space="preserve"> 30г</t>
    </r>
  </si>
  <si>
    <r>
      <t xml:space="preserve">Батончик "Фрутилад" </t>
    </r>
    <r>
      <rPr>
        <b/>
        <sz val="10"/>
        <color theme="1"/>
        <rFont val="Calibri"/>
        <family val="2"/>
        <charset val="204"/>
        <scheme val="minor"/>
      </rPr>
      <t>Вишня в шоколаде</t>
    </r>
    <r>
      <rPr>
        <sz val="10"/>
        <color theme="1"/>
        <rFont val="Calibri"/>
        <family val="2"/>
        <scheme val="minor"/>
      </rPr>
      <t xml:space="preserve"> 55г</t>
    </r>
  </si>
  <si>
    <t>абрикос сушеный, глазурь кондитерская (сахар, заменитель масла какао лауринового типа, какао-порошок, эмульгаторы (Е322, Е476), ароматизатор ванилин), вишня свежемороженая, яблоко сушеное, изюм, яблочное пюре натуральное, фруктоза, стабилизатор гуммиарабик, консервант сорбат калия.</t>
  </si>
  <si>
    <r>
      <t xml:space="preserve">Батончик "Фрутилад" </t>
    </r>
    <r>
      <rPr>
        <b/>
        <sz val="10"/>
        <color theme="1"/>
        <rFont val="Calibri"/>
        <family val="2"/>
        <charset val="204"/>
        <scheme val="minor"/>
      </rPr>
      <t>Клюква-Малина</t>
    </r>
    <r>
      <rPr>
        <sz val="10"/>
        <color theme="1"/>
        <rFont val="Calibri"/>
        <family val="2"/>
        <scheme val="minor"/>
      </rPr>
      <t xml:space="preserve"> 30г</t>
    </r>
  </si>
  <si>
    <r>
      <t xml:space="preserve">Батончик "Фрутилад" </t>
    </r>
    <r>
      <rPr>
        <b/>
        <sz val="10"/>
        <color theme="1"/>
        <rFont val="Calibri"/>
        <family val="2"/>
        <charset val="204"/>
        <scheme val="minor"/>
      </rPr>
      <t>Облепиха</t>
    </r>
    <r>
      <rPr>
        <sz val="10"/>
        <color theme="1"/>
        <rFont val="Calibri"/>
        <family val="2"/>
        <scheme val="minor"/>
      </rPr>
      <t xml:space="preserve"> 30г</t>
    </r>
  </si>
  <si>
    <r>
      <t xml:space="preserve">Батончик "Фрутилад" финиковый с </t>
    </r>
    <r>
      <rPr>
        <b/>
        <sz val="10"/>
        <color theme="1"/>
        <rFont val="Calibri"/>
        <family val="2"/>
        <charset val="204"/>
        <scheme val="minor"/>
      </rPr>
      <t>арахисом</t>
    </r>
    <r>
      <rPr>
        <sz val="10"/>
        <color theme="1"/>
        <rFont val="Calibri"/>
        <family val="2"/>
        <scheme val="minor"/>
      </rPr>
      <t xml:space="preserve"> 42г</t>
    </r>
  </si>
  <si>
    <t>финик, арахис обжаренный, какао масло.</t>
  </si>
  <si>
    <r>
      <t xml:space="preserve">Батончик "Фрутилад" финиковый с </t>
    </r>
    <r>
      <rPr>
        <b/>
        <sz val="10"/>
        <color theme="1"/>
        <rFont val="Calibri"/>
        <family val="2"/>
        <charset val="204"/>
        <scheme val="minor"/>
      </rPr>
      <t>миндалём</t>
    </r>
    <r>
      <rPr>
        <sz val="10"/>
        <color theme="1"/>
        <rFont val="Calibri"/>
        <family val="2"/>
        <scheme val="minor"/>
      </rPr>
      <t xml:space="preserve"> 42г</t>
    </r>
  </si>
  <si>
    <t>финик, миндаль, какао масло</t>
  </si>
  <si>
    <r>
      <t>Батончик "Фрутилад" финиковый с</t>
    </r>
    <r>
      <rPr>
        <b/>
        <sz val="10"/>
        <color theme="1"/>
        <rFont val="Calibri"/>
        <family val="2"/>
        <charset val="204"/>
        <scheme val="minor"/>
      </rPr>
      <t xml:space="preserve"> фундуком и шоколадом</t>
    </r>
    <r>
      <rPr>
        <sz val="10"/>
        <color theme="1"/>
        <rFont val="Calibri"/>
        <family val="2"/>
        <scheme val="minor"/>
      </rPr>
      <t xml:space="preserve"> 42г </t>
    </r>
  </si>
  <si>
    <t>финик, фундук обжаренный, шоколад несладкий (какао-масло, какао-порошок).</t>
  </si>
  <si>
    <r>
      <t xml:space="preserve">Батончик "Фрутилад" финиковый </t>
    </r>
    <r>
      <rPr>
        <b/>
        <sz val="10"/>
        <color theme="1"/>
        <rFont val="Calibri"/>
        <family val="2"/>
        <charset val="204"/>
        <scheme val="minor"/>
      </rPr>
      <t>шоколад с арахисом</t>
    </r>
    <r>
      <rPr>
        <sz val="10"/>
        <color theme="1"/>
        <rFont val="Calibri"/>
        <family val="2"/>
        <scheme val="minor"/>
      </rPr>
      <t xml:space="preserve"> 30г</t>
    </r>
  </si>
  <si>
    <r>
      <t xml:space="preserve">Батончик "Фрутилад" </t>
    </r>
    <r>
      <rPr>
        <b/>
        <sz val="10"/>
        <color theme="1"/>
        <rFont val="Calibri"/>
        <family val="2"/>
        <charset val="204"/>
        <scheme val="minor"/>
      </rPr>
      <t>Чернослив</t>
    </r>
    <r>
      <rPr>
        <sz val="10"/>
        <color theme="1"/>
        <rFont val="Calibri"/>
        <family val="2"/>
        <scheme val="minor"/>
      </rPr>
      <t xml:space="preserve"> 30г</t>
    </r>
  </si>
  <si>
    <t>чернослив, яблочное пюре натуральное, глазурь кондитерская (сахар, заменитель масла какао лауринового типа, какао-порошок, эмульгаторы (Е322, Е476), ароматизатор ванилин), изюм, яблоко сушеное, стабилизатор гуммиарабик, консервант сорбат калия.</t>
  </si>
  <si>
    <t>Здоровые вкусы</t>
  </si>
  <si>
    <t>Масло виноградной косточки 250мл</t>
  </si>
  <si>
    <t>Масло конопляное нерафинированное холодного отжима</t>
  </si>
  <si>
    <t>Масло кунжутное нерафинированное холодного отжима.</t>
  </si>
  <si>
    <t>Масло льняное нерафинированное холодного отжима.</t>
  </si>
  <si>
    <t>Масло расторопши нерафинированное холодного отжима</t>
  </si>
  <si>
    <t>Масло черного тмина нерафинированное холодного отжима</t>
  </si>
  <si>
    <t>Масло виноградной косточки 500мл</t>
  </si>
  <si>
    <t>Масло черного тмина 500мл</t>
  </si>
  <si>
    <t>Мука кунжутная 300г</t>
  </si>
  <si>
    <t>Паста кунжутная "Тахини" 500г</t>
  </si>
  <si>
    <t>Сокровища Сезам</t>
  </si>
  <si>
    <t>семена кунжута измельченные</t>
  </si>
  <si>
    <t>семена кунжута измельченные, тростниковый сахар нерафинированный, патока крахмальная, пенообразователь - экстракт мыльного корня, лимонная кислота (не более 0,05%)</t>
  </si>
  <si>
    <t>кунжут (измельчённые семена), сахар тростниковый, патока из крахмала, курага, грецкий орех дробленый, экстракт мыльного корня (пенообразователь), лимонная кислота</t>
  </si>
  <si>
    <t>кунжут (измельчённые семена), сахар тростниковый, патока из крахмала, изюм, фундук дробленый, экстракт мыльного корня (пенообразователь), лимонная кислота</t>
  </si>
  <si>
    <t>Иван да</t>
  </si>
  <si>
    <t>мука пшеничная цельнозерновая, мука льняная, закваска пшеничная (мука 1сорт), масло кукурузное, фруктоза, соль морская.</t>
  </si>
  <si>
    <t>мука пшеничная цельнозерновая, закваска пшеничная (мука 1 сорт), фруктоза, масло кукурузное, морковь сушёная, соль морская, куркума.</t>
  </si>
  <si>
    <t>сушёное обжаренное яблоко, плоды рябины обыкновенной, лист толокнянки, цвет гибискуса, плоды вишни</t>
  </si>
  <si>
    <t>сушёное обжаренное яблоко, плоды рябины обыкновенной, лист толокнянки, цвет гибискуса, плоды шиповника</t>
  </si>
  <si>
    <t>Паста арахисовая USA 180г</t>
  </si>
  <si>
    <r>
      <t xml:space="preserve">Паста арахисовая </t>
    </r>
    <r>
      <rPr>
        <b/>
        <sz val="10"/>
        <color theme="1"/>
        <rFont val="Calibri"/>
        <family val="2"/>
        <charset val="204"/>
        <scheme val="minor"/>
      </rPr>
      <t>с морской солью</t>
    </r>
    <r>
      <rPr>
        <sz val="10"/>
        <color theme="1"/>
        <rFont val="Calibri"/>
        <family val="2"/>
        <scheme val="minor"/>
      </rPr>
      <t xml:space="preserve"> USA 180г</t>
    </r>
  </si>
  <si>
    <r>
      <t xml:space="preserve">Паста арахисовая </t>
    </r>
    <r>
      <rPr>
        <b/>
        <sz val="10"/>
        <color theme="1"/>
        <rFont val="Calibri"/>
        <family val="2"/>
        <charset val="204"/>
        <scheme val="minor"/>
      </rPr>
      <t>сладкая</t>
    </r>
    <r>
      <rPr>
        <sz val="10"/>
        <color theme="1"/>
        <rFont val="Calibri"/>
        <family val="2"/>
        <scheme val="minor"/>
      </rPr>
      <t xml:space="preserve"> USA 180г</t>
    </r>
  </si>
  <si>
    <r>
      <t xml:space="preserve">Паста арахисовая </t>
    </r>
    <r>
      <rPr>
        <b/>
        <sz val="10"/>
        <color theme="1"/>
        <rFont val="Calibri"/>
        <family val="2"/>
        <charset val="204"/>
        <scheme val="minor"/>
      </rPr>
      <t>шоколадная</t>
    </r>
    <r>
      <rPr>
        <sz val="10"/>
        <color theme="1"/>
        <rFont val="Calibri"/>
        <family val="2"/>
        <scheme val="minor"/>
      </rPr>
      <t xml:space="preserve"> USA 180г</t>
    </r>
  </si>
  <si>
    <t>Паста кунжутная (белая) "Тахини" 180г</t>
  </si>
  <si>
    <t>Урбеч из абрикосовой косточки 180г</t>
  </si>
  <si>
    <t>Урбеч из кешью 180г</t>
  </si>
  <si>
    <t>Урбеч из кокоса 180г</t>
  </si>
  <si>
    <t>Урбеч из миндаля 180г</t>
  </si>
  <si>
    <t>Урбеч из семян тыквы 180г</t>
  </si>
  <si>
    <t>Vegan Food</t>
  </si>
  <si>
    <t>Масло кокосовое н.раф. 200мл</t>
  </si>
  <si>
    <t>100% кокосовое масло, нерафинированное</t>
  </si>
  <si>
    <t>Масло кокосовое н.раф. 500мл</t>
  </si>
  <si>
    <t>Купецкий посад</t>
  </si>
  <si>
    <t>Топинамбур, вода</t>
  </si>
  <si>
    <r>
      <t xml:space="preserve">Сироп топинамбура </t>
    </r>
    <r>
      <rPr>
        <b/>
        <sz val="10"/>
        <color theme="1"/>
        <rFont val="Calibri"/>
        <family val="2"/>
        <charset val="204"/>
        <scheme val="minor"/>
      </rPr>
      <t>с брусникой</t>
    </r>
    <r>
      <rPr>
        <sz val="10"/>
        <color theme="1"/>
        <rFont val="Calibri"/>
        <family val="2"/>
        <scheme val="minor"/>
      </rPr>
      <t xml:space="preserve"> 330г</t>
    </r>
  </si>
  <si>
    <r>
      <t xml:space="preserve">Сироп топинамбура </t>
    </r>
    <r>
      <rPr>
        <b/>
        <sz val="10"/>
        <color theme="1"/>
        <rFont val="Calibri"/>
        <family val="2"/>
        <charset val="204"/>
        <scheme val="minor"/>
      </rPr>
      <t>с вишней</t>
    </r>
    <r>
      <rPr>
        <sz val="10"/>
        <color theme="1"/>
        <rFont val="Calibri"/>
        <family val="2"/>
        <scheme val="minor"/>
      </rPr>
      <t xml:space="preserve"> 330г</t>
    </r>
  </si>
  <si>
    <r>
      <t xml:space="preserve">Сироп топинамбура </t>
    </r>
    <r>
      <rPr>
        <b/>
        <sz val="10"/>
        <color theme="1"/>
        <rFont val="Calibri"/>
        <family val="2"/>
        <charset val="204"/>
        <scheme val="minor"/>
      </rPr>
      <t>с клубникой</t>
    </r>
    <r>
      <rPr>
        <sz val="10"/>
        <color theme="1"/>
        <rFont val="Calibri"/>
        <family val="2"/>
        <scheme val="minor"/>
      </rPr>
      <t xml:space="preserve"> 330г</t>
    </r>
  </si>
  <si>
    <r>
      <t xml:space="preserve">Сироп топинамбура </t>
    </r>
    <r>
      <rPr>
        <b/>
        <sz val="10"/>
        <color theme="1"/>
        <rFont val="Calibri"/>
        <family val="2"/>
        <charset val="204"/>
        <scheme val="minor"/>
      </rPr>
      <t>с лимоном</t>
    </r>
    <r>
      <rPr>
        <sz val="10"/>
        <color theme="1"/>
        <rFont val="Calibri"/>
        <family val="2"/>
        <scheme val="minor"/>
      </rPr>
      <t xml:space="preserve"> 330г</t>
    </r>
  </si>
  <si>
    <r>
      <t xml:space="preserve">Сироп топинамбура </t>
    </r>
    <r>
      <rPr>
        <b/>
        <sz val="10"/>
        <color theme="1"/>
        <rFont val="Calibri"/>
        <family val="2"/>
        <charset val="204"/>
        <scheme val="minor"/>
      </rPr>
      <t>с черникой</t>
    </r>
    <r>
      <rPr>
        <sz val="10"/>
        <color theme="1"/>
        <rFont val="Calibri"/>
        <family val="2"/>
        <scheme val="minor"/>
      </rPr>
      <t xml:space="preserve"> 330г</t>
    </r>
  </si>
  <si>
    <r>
      <t xml:space="preserve">Сироп топинамбура </t>
    </r>
    <r>
      <rPr>
        <b/>
        <sz val="10"/>
        <color theme="1"/>
        <rFont val="Calibri"/>
        <family val="2"/>
        <charset val="204"/>
        <scheme val="minor"/>
      </rPr>
      <t>с чёрной смородиной</t>
    </r>
    <r>
      <rPr>
        <sz val="10"/>
        <color theme="1"/>
        <rFont val="Calibri"/>
        <family val="2"/>
        <scheme val="minor"/>
      </rPr>
      <t xml:space="preserve"> 330г</t>
    </r>
  </si>
  <si>
    <r>
      <t xml:space="preserve">Цукаты из топинамбура </t>
    </r>
    <r>
      <rPr>
        <b/>
        <sz val="10"/>
        <color theme="1"/>
        <rFont val="Calibri"/>
        <family val="2"/>
        <charset val="204"/>
        <scheme val="minor"/>
      </rPr>
      <t>натуральные</t>
    </r>
    <r>
      <rPr>
        <sz val="10"/>
        <color theme="1"/>
        <rFont val="Calibri"/>
        <family val="2"/>
        <scheme val="minor"/>
      </rPr>
      <t xml:space="preserve"> 120г</t>
    </r>
  </si>
  <si>
    <t>Цукаты</t>
  </si>
  <si>
    <t>Топинамбур, фруктоза</t>
  </si>
  <si>
    <r>
      <t xml:space="preserve">Цукаты из топинамбура с </t>
    </r>
    <r>
      <rPr>
        <b/>
        <sz val="10"/>
        <color theme="1"/>
        <rFont val="Calibri"/>
        <family val="2"/>
        <charset val="204"/>
        <scheme val="minor"/>
      </rPr>
      <t>яблоком</t>
    </r>
    <r>
      <rPr>
        <sz val="10"/>
        <color theme="1"/>
        <rFont val="Calibri"/>
        <family val="2"/>
        <scheme val="minor"/>
      </rPr>
      <t xml:space="preserve"> 120г</t>
    </r>
  </si>
  <si>
    <t>Холи корн</t>
  </si>
  <si>
    <t>Холи Корн</t>
  </si>
  <si>
    <t>Зерно кукурузы, кокосовое масло, морская соль</t>
  </si>
  <si>
    <t>Зерно кукурузы, кокосовое масло, тростниковый сахар, морская соль</t>
  </si>
  <si>
    <t>Зерно кукурузы, кокосовое масло, морская соль, натуральный сырный порошок чеддер</t>
  </si>
  <si>
    <t>Соевое мясо 200г</t>
  </si>
  <si>
    <t>Соймик</t>
  </si>
  <si>
    <t>Соевая продукция</t>
  </si>
  <si>
    <t>мука соевая текстурированная обезжиренная</t>
  </si>
  <si>
    <t>Соевый шницель 200г</t>
  </si>
  <si>
    <t>Белов</t>
  </si>
  <si>
    <t>шрот из семян амаранта</t>
  </si>
  <si>
    <t>Здоровей</t>
  </si>
  <si>
    <t>крупа рисовая, крупа гречневая, соль</t>
  </si>
  <si>
    <t>Крупа кукурузная, соль</t>
  </si>
  <si>
    <t>Крупа рисовая, соль</t>
  </si>
  <si>
    <t>Крупа рисовая, крупа гречневая, соль</t>
  </si>
  <si>
    <r>
      <t xml:space="preserve">Завтрак сухой "Шарики особые </t>
    </r>
    <r>
      <rPr>
        <b/>
        <sz val="10"/>
        <rFont val="Calibri"/>
        <family val="2"/>
        <charset val="204"/>
        <scheme val="minor"/>
      </rPr>
      <t>зеленой гречки</t>
    </r>
    <r>
      <rPr>
        <sz val="10"/>
        <rFont val="Calibri"/>
        <family val="2"/>
        <charset val="204"/>
        <scheme val="minor"/>
      </rPr>
      <t>" 30г</t>
    </r>
  </si>
  <si>
    <r>
      <t xml:space="preserve">Завтрак сухой "Шарики особые </t>
    </r>
    <r>
      <rPr>
        <b/>
        <sz val="10"/>
        <color theme="1"/>
        <rFont val="Calibri"/>
        <family val="2"/>
        <charset val="204"/>
        <scheme val="minor"/>
      </rPr>
      <t>кукурузные</t>
    </r>
    <r>
      <rPr>
        <sz val="10"/>
        <color theme="1"/>
        <rFont val="Calibri"/>
        <family val="2"/>
        <scheme val="minor"/>
      </rPr>
      <t>" 30г</t>
    </r>
  </si>
  <si>
    <r>
      <t xml:space="preserve">Завтрак сухой "Шарики особые </t>
    </r>
    <r>
      <rPr>
        <b/>
        <sz val="10"/>
        <color theme="1"/>
        <rFont val="Calibri"/>
        <family val="2"/>
        <charset val="204"/>
        <scheme val="minor"/>
      </rPr>
      <t>рисовые</t>
    </r>
    <r>
      <rPr>
        <sz val="10"/>
        <color theme="1"/>
        <rFont val="Calibri"/>
        <family val="2"/>
        <scheme val="minor"/>
      </rPr>
      <t>" 30г</t>
    </r>
  </si>
  <si>
    <t>Масло амарантовое 500мл</t>
  </si>
  <si>
    <t>Эко-про</t>
  </si>
  <si>
    <t>100% амарантовое масло холодного отжима</t>
  </si>
  <si>
    <t>Шрот амаранта 200г</t>
  </si>
  <si>
    <t>Шрот расторопши 200г</t>
  </si>
  <si>
    <t>шрот из семян расторопши</t>
  </si>
  <si>
    <t>Стевия кубики 240г</t>
  </si>
  <si>
    <t>экстракт стевии с наивысшей степенью очистки Ребаудиозид  А 97</t>
  </si>
  <si>
    <t>Стевия саше 25шт</t>
  </si>
  <si>
    <t>Экстракт стевии Ребаудиозид А 97, эритрол</t>
  </si>
  <si>
    <t>Ребаудиозид А — 97 (высокоочищенный экстракт стевии)</t>
  </si>
  <si>
    <t>Стевия таблетки 200шт</t>
  </si>
  <si>
    <t>Стевия таблетки 400шт</t>
  </si>
  <si>
    <t>Русский лес</t>
  </si>
  <si>
    <t>Брусника, концентрированный виноградный сок, загуститель фруктовый пектин.</t>
  </si>
  <si>
    <t>ежевика, концентрированный виноградный сок, загуститель фруктовый пектин</t>
  </si>
  <si>
    <t>клубника, концентрированный виноградный сок, загуститель фруктовый пектин</t>
  </si>
  <si>
    <t>Концентрированный виноградный сок, черника, клюква, загуститель фруктовый пектин</t>
  </si>
  <si>
    <t>Красная смородина, концентрированный виноградный сок, загуститель фруктовый пектин.</t>
  </si>
  <si>
    <t>малина, концентрированный виноградный сок, загуститель фруктовый пектин</t>
  </si>
  <si>
    <t>облепиха, концентрированный виноградный сок, загуститель фруктовый пектин</t>
  </si>
  <si>
    <t>черника, концентрированный виноградный сок, загуститель фруктовый пектин</t>
  </si>
  <si>
    <t>Виноградный сок, яблочный сок, пектин</t>
  </si>
  <si>
    <t>Клюква, черника,виноградный сок, пектин, яблочный сок</t>
  </si>
  <si>
    <t xml:space="preserve">красная смородина, концентрированный виноградный сок, загуститель фруктовый пектин.
</t>
  </si>
  <si>
    <t>Концентрированный виноградный сок, малина, брусника, загуститель фруктовый пектин.</t>
  </si>
  <si>
    <t>Домашний погребок</t>
  </si>
  <si>
    <t>слива 100%</t>
  </si>
  <si>
    <t>яблоко 100%</t>
  </si>
  <si>
    <t>Яблоко, абрикос</t>
  </si>
  <si>
    <t>яблоко,брусника</t>
  </si>
  <si>
    <t>яблоко, вишня</t>
  </si>
  <si>
    <t>яблоко, клубника</t>
  </si>
  <si>
    <t>яблоко, клюква</t>
  </si>
  <si>
    <t>яблоко, слива</t>
  </si>
  <si>
    <t>яблоко,смородина</t>
  </si>
  <si>
    <t>Гигиена полости рта</t>
  </si>
  <si>
    <t>Соль Гималайская розовая  крупный помол солонка 230г</t>
  </si>
  <si>
    <t>Предприятие МС</t>
  </si>
  <si>
    <t>Гималайская пищевая розовая соль</t>
  </si>
  <si>
    <t>Соль Гималайская розовая помол №0 солонка 150г</t>
  </si>
  <si>
    <r>
      <t xml:space="preserve">Флайчипсы зерновые с </t>
    </r>
    <r>
      <rPr>
        <b/>
        <sz val="10"/>
        <color theme="1"/>
        <rFont val="Calibri"/>
        <family val="2"/>
        <charset val="204"/>
        <scheme val="minor"/>
      </rPr>
      <t>копченой паприкой</t>
    </r>
    <r>
      <rPr>
        <sz val="10"/>
        <color theme="1"/>
        <rFont val="Calibri"/>
        <family val="2"/>
        <scheme val="minor"/>
      </rPr>
      <t xml:space="preserve"> 40г</t>
    </r>
  </si>
  <si>
    <t xml:space="preserve">крупа рисовая, масло подсолнечное рафинированное дезодорированное высокоолеиновое, крупа гречневая, крупа кукурузная, крупа пшеничная, вода питьевая, паприка сушеная молотая, чеснок сушеный молотый,  соль пищевая йодированная, паприка копченая сушеная молотая, куркума сушеная молотая, перец красный сушеный молотый.
</t>
  </si>
  <si>
    <t>крупа рисовая, масло подсолнечное рафинированное дезодорированное, крупа гречневая, крупа кукурузная, крупа пшеничная, паприка сушеная молотая, вода питьевая, чеснок сушеный молотый, соль пищевая йодированная, куркума сушеная молотая</t>
  </si>
  <si>
    <t>крупа рисовая, масло подсолнечное рафинированное дезодорированное высокоолеиновое, крупа гречневая, крупа кукурузная, крупа пшеничная, вода питьевая, чеснок сушеный молотый, паприка сушеная молотая, соль пищевая йодированная, куркума сушеная молотая</t>
  </si>
  <si>
    <r>
      <t xml:space="preserve">Флайчипсы зерновые с </t>
    </r>
    <r>
      <rPr>
        <b/>
        <sz val="10"/>
        <color theme="1"/>
        <rFont val="Calibri"/>
        <family val="2"/>
        <charset val="204"/>
        <scheme val="minor"/>
      </rPr>
      <t>прованскими травами</t>
    </r>
    <r>
      <rPr>
        <sz val="10"/>
        <color theme="1"/>
        <rFont val="Calibri"/>
        <family val="2"/>
        <scheme val="minor"/>
      </rPr>
      <t xml:space="preserve"> 40г</t>
    </r>
  </si>
  <si>
    <t>крупа рисовая, масло подсолнечное рафинированное дезодорированное высокоолеиновое, крупа гречневая, крупа кукурузная, крупа пшеничная, вода питьевая, парика сушеная молотая, соль пищевая йодированая, петрушка сушеная молотая, укроп сушеный молотый, тмин сушеный молотый, базилик сушеный молотый, майоран сушеный молотый, чеснок сушеный молотый, куркума сушеная молотая, перец черный молотый, орегано сушеное молотое, тимьян сушеный молотый, шалфей сушеный молотый, мята сушеная молотая</t>
  </si>
  <si>
    <t>крупа рисовая, масло подсолнечное рафинированное дезодорированное высокоолеиновое, крупа гречневая, крупа кукурузная, крупа пшеничная, вода питьевая, томат сушеный молотый, паприка сушеная молотая, тимьян сушеный молотый, соль пищевая йодированная, базилик сушеный молотый, орегано сушеное молотое, лук сушеный молотый, петрушка сушеная молотая, чеснок сушеный молотый</t>
  </si>
  <si>
    <r>
      <t xml:space="preserve">Флайчипсы зерновые с </t>
    </r>
    <r>
      <rPr>
        <b/>
        <sz val="10"/>
        <color theme="1"/>
        <rFont val="Calibri"/>
        <family val="2"/>
        <charset val="204"/>
        <scheme val="minor"/>
      </rPr>
      <t>томатом и оливками</t>
    </r>
    <r>
      <rPr>
        <sz val="10"/>
        <color theme="1"/>
        <rFont val="Calibri"/>
        <family val="2"/>
        <scheme val="minor"/>
      </rPr>
      <t xml:space="preserve"> 40г</t>
    </r>
  </si>
  <si>
    <t>крупа рисовая, масло подсолнечное рафинированное дезодорированное высокоолеиновое, крупа гречневая, крупа кукурузная, крупа пшеничная, томат сушеный молотый, вода питьевая, соль пищевая йодированная, базилик сушеный молотый, лук сушеный молотый, орегано сушеное молотое, чеснок сушеный молотый, шалфей сушеный молотый, сахар, оливки сушеные молотые</t>
  </si>
  <si>
    <r>
      <t xml:space="preserve">Флайчипсы кукурузно-рисовые с </t>
    </r>
    <r>
      <rPr>
        <b/>
        <sz val="10"/>
        <color theme="1"/>
        <rFont val="Calibri"/>
        <family val="2"/>
        <charset val="204"/>
        <scheme val="minor"/>
      </rPr>
      <t>солью</t>
    </r>
    <r>
      <rPr>
        <sz val="10"/>
        <color theme="1"/>
        <rFont val="Calibri"/>
        <family val="2"/>
        <scheme val="minor"/>
      </rPr>
      <t xml:space="preserve"> без глютена 40г</t>
    </r>
  </si>
  <si>
    <t>Твёрдый мёд</t>
  </si>
  <si>
    <t>мёд, воск пчелиный</t>
  </si>
  <si>
    <t>мед, сок имбиря, эфирное масло лимона, воск пчелиный.</t>
  </si>
  <si>
    <t>мед, экстракт облепихи крушиновидной, эфирное масло апельсина, воск пчелиный</t>
  </si>
  <si>
    <t>мед, экстракт шалфея, эфирное масло шалфея, воск пчелиный.</t>
  </si>
  <si>
    <t>мед, ментол, эвкалиптовое масло, воск пчелиный.</t>
  </si>
  <si>
    <t>Гель для тела "Адов Корень" 50г</t>
  </si>
  <si>
    <t>Реалкапс</t>
  </si>
  <si>
    <t xml:space="preserve">Коэнзим Q10 форте КАПСУЛЫ №30 </t>
  </si>
  <si>
    <t>Коэнзим Q10 - 33мг, витамин Е - 15мг, масло растительное (оливковое, подсолнечное или их смесь)</t>
  </si>
  <si>
    <t>Коэнзим КАРДИО капс№30</t>
  </si>
  <si>
    <t>Коэнзим Q10 - 33мг, витамин Е - 15мг, масло льняное</t>
  </si>
  <si>
    <r>
      <t xml:space="preserve">Крем для тела </t>
    </r>
    <r>
      <rPr>
        <b/>
        <sz val="10"/>
        <color theme="1"/>
        <rFont val="Calibri"/>
        <family val="2"/>
        <charset val="204"/>
        <scheme val="minor"/>
      </rPr>
      <t>суставник</t>
    </r>
    <r>
      <rPr>
        <sz val="10"/>
        <color theme="1"/>
        <rFont val="Calibri"/>
        <family val="2"/>
        <scheme val="minor"/>
      </rPr>
      <t xml:space="preserve"> с винтегреновым маслом 50г</t>
    </r>
  </si>
  <si>
    <t>вода подготовленная,винтегреневое масло, камфора, эмульгатор, касторовое масло,масло растительное, пропиленгликоль,высшие жирные спирты,вазелин,ментол, диметикон, экстракт сабельника болотного, экстракт окопника, микрокер,карбомер,триэтаноламин,отдушка пряная</t>
  </si>
  <si>
    <t>Лютеин 100% капс №30</t>
  </si>
  <si>
    <t>лактоза, лютеин,оболочка капсулы( желатин,титана диоксид(краситель))</t>
  </si>
  <si>
    <t>Лютеин 100% капс №60</t>
  </si>
  <si>
    <t> масло зародышей пшеницы, альфа-токоферол</t>
  </si>
  <si>
    <t>масло из орехов кедра.</t>
  </si>
  <si>
    <t>масло льняное</t>
  </si>
  <si>
    <t>облепиховое масло концентрированное, оболочка капсулы (желатин, глицерин (влагоудерживающий агент), вода деминерализованная</t>
  </si>
  <si>
    <t>масло из плодов расторопши пятнистой, оболочка капсулы (желатин, глицерин (влагоудерживающий агент), вода деминерализованная)</t>
  </si>
  <si>
    <t>масло из семян тыквы.</t>
  </si>
  <si>
    <t xml:space="preserve">Рыбий жир без добавок №100 капс. 300мг </t>
  </si>
  <si>
    <t>Рыбий жир, оболочка капсулы (желатин, глицерин, вода деминерализованная), смесь токоферолов (антиокислитель). Содержание полиненасыщенных жирных кислот Омега-3 не менее 17%</t>
  </si>
  <si>
    <t>Рыбий жир д/детей "кусалочка" жевательные капс.№60 700мг</t>
  </si>
  <si>
    <t>рыбий жир, натуральный ароматизатор Тутти-Фрутти, витамин Е, витамин А, витамин Д.</t>
  </si>
  <si>
    <t>Рыбий жир Детский с 3-х лет капс. №100 200мг</t>
  </si>
  <si>
    <t xml:space="preserve">рыбий жир из лосося или океанических рыб, витамины Е-ацетат, А-пальмитат, D3 Массовая доля ПНЖК Омега 3, %, не менее 30 Массовая доля витамина Е, %, не менее 0,1 Массовая доля витамина А, МЕ/г, не менее 350
</t>
  </si>
  <si>
    <t>Фитосила</t>
  </si>
  <si>
    <t>Барсучий жир Обогащенный 120 капс. по 0,25г</t>
  </si>
  <si>
    <t>Барсучий жир (80%), масло зародышей пшеницы (20%).</t>
  </si>
  <si>
    <t>Масло семян рыжика, эмульгатор, масло растительное, хондроитин, диметикон, пропиленгликоль, вазелин, высшие жирные спирты, экстракт сабельника (водно-спиртовой), экстракт чистяка (водно-спиртовой), вода, липосентол, метилпарабен, пропилпарабен, парфюмерная композиция, хлорофилл Е141</t>
  </si>
  <si>
    <t>Бальзам для суставов Жабий камень хондропротектор №30 капс*0,55 50г</t>
  </si>
  <si>
    <t>Глюкозамин - 705 мг; Хондроитин сульфат - 360 мг</t>
  </si>
  <si>
    <t>Биобальзам для рук с азуленом Норка 50мл</t>
  </si>
  <si>
    <t>Норковый жир, вода, эмульгатор SE-HF, масло соевое, белсил ДМ-350, пропиленгликоль, вазелин медицинский, цетилстеариловый спирт, нафол 16-18 Н, липосентол, эфирное масло сосны, метилпарабен, пропилпарабен, отдушка «лимон», азулен</t>
  </si>
  <si>
    <t>Гель для ног "жабий камень" активирующий с глюкозамином 30г</t>
  </si>
  <si>
    <t>Пропиленгликоль, глицерин, глюкозамин сульфат, троксерутин, вода, масло семян рыжика, Natrasol HHR 250, чистяка экстракт, липосентол, конский каштан экстракт, иглица колючая экстракт, виноградные листья экстракт, горец экстракт, отдушка, краситель зелёный</t>
  </si>
  <si>
    <t>Крем для век Клирвин 20г</t>
  </si>
  <si>
    <t xml:space="preserve">Вода, Арбутин, Эмульсионный воск, Париол GMS, Цетеариловый спирт, Изопропилпальмитат, Пропиленгликоль, Кемабен, Экстракт толокнянки, Отдушка, Карбомер, Экстракт ангелики, Оксинекс 2004, Трилон Б, Витамин А пальмитат, Экстракт лакричника, Гидроксид натрия
</t>
  </si>
  <si>
    <t>Крем для лица Клирвин отбеливающий от веснушек и пигментных пятен, 100 г</t>
  </si>
  <si>
    <t>Вода, прополис, диоксид титана, масло белое минеральное, воск пчелиный, ланолин, комплекс экстрактов: аира обыкновенного, марены красильной, ним листья, куркумы, алоэ барбадосского, лимонная кислота, яблочная кислота, отдушка, маточное молочко (королевское желе)</t>
  </si>
  <si>
    <t xml:space="preserve"> Aloe vera - 4,5%; Helianthus anuus oil - 3,0%; Sandalwood - 0,4%; Acorus calamus - 0,2%; Curcuma longa - 0,2%; Rubia tinctorum - 0,2%; Melia azadirachta - 0,1%; Cream base - q.s.</t>
  </si>
  <si>
    <r>
      <t xml:space="preserve">Крем для суставов Сустамед на </t>
    </r>
    <r>
      <rPr>
        <b/>
        <sz val="10"/>
        <color theme="1"/>
        <rFont val="Calibri"/>
        <family val="2"/>
        <charset val="204"/>
        <scheme val="minor"/>
      </rPr>
      <t>барсучьем жире</t>
    </r>
    <r>
      <rPr>
        <sz val="10"/>
        <color theme="1"/>
        <rFont val="Calibri"/>
        <family val="2"/>
        <scheme val="minor"/>
      </rPr>
      <t xml:space="preserve"> 75 мл</t>
    </r>
  </si>
  <si>
    <t>Вода, эмульгатор, растительное масло, диметикон, пропиленгликоль, вазелин, высшие жирные спирты, барсучий жир, эфирное масло сосны, липосентол, метилпарабен, пропилпарабен</t>
  </si>
  <si>
    <r>
      <t xml:space="preserve">Крем для суставов Сустамед на </t>
    </r>
    <r>
      <rPr>
        <b/>
        <sz val="10"/>
        <color theme="1"/>
        <rFont val="Calibri"/>
        <family val="2"/>
        <charset val="204"/>
        <scheme val="minor"/>
      </rPr>
      <t>медвежем жире</t>
    </r>
    <r>
      <rPr>
        <sz val="10"/>
        <color theme="1"/>
        <rFont val="Calibri"/>
        <family val="2"/>
        <scheme val="minor"/>
      </rPr>
      <t xml:space="preserve"> 75 мл</t>
    </r>
  </si>
  <si>
    <t>Вода, эмульгатор, растительное масло, диметикон, пропиленгликоль, вазелин, высшие жирные спирты, медвежий жир, эфирное масло сосны, липосентол, метилпарабен, пропилпарабен</t>
  </si>
  <si>
    <t>Крем для тела Клирвин 25г</t>
  </si>
  <si>
    <t>маргоза, эмблика лекарственная, аир обыкновенный, лодхра, турмерик, марена сердцелистая, кайфал и алоэ вера отработанные в кунжутном масле, пчелиный воск, базилик священный, бура, кремовая основа</t>
  </si>
  <si>
    <t>Крем для тела Клирвин солнцезащитный SPF 50 60 г</t>
  </si>
  <si>
    <t>Agua, Olive Oil, Octocrylene, Diisopropyl Adipate, Cetyl Alcohol (and) Glyceryl Stearate (and) PEG-75 Stearate (and) Ceteth-20 /Steareth-20, Ethylhexyl Salicylate, TRIETHANOLAMINE, Phenylbenzimidazole Sulfonic Acid, Butyl Methoxydibenzoylmethane, Вees Wax, Polyacrylamid(and)C13-14, Isoparafin(and) Laureth-7, Titanium Dioxide, Parfu</t>
  </si>
  <si>
    <t>Лосьон для ногтей и кожи Клотримазол 15мл</t>
  </si>
  <si>
    <t>Спирт изопропиловый, Изопропилпальминат, ПЭГ 400, Глицерин, Клотримазол, Отдушка</t>
  </si>
  <si>
    <t>Масло капсулированное чесночное обогащенное №100</t>
  </si>
  <si>
    <t>чесночное масло, г - 0,18; льняное масло, г - 0,12.</t>
  </si>
  <si>
    <t>Спирулина табл. №120 х 0,35г</t>
  </si>
  <si>
    <t>спирулина лактоза стабилизатор (стеариновая кислота Е570) диоксид кремния</t>
  </si>
  <si>
    <t>Вторая молодость,смесь 380г</t>
  </si>
  <si>
    <t>Камни для очистки воды состоят из: горного кварца – 2 части, розового песка – 3 части, жадеита – 1 часть, кремня – 1 часть, шунгита – 1 часть.</t>
  </si>
  <si>
    <t>Горный кварц 150г</t>
  </si>
  <si>
    <t>Шунгит Природный целитель активатор воды 500г</t>
  </si>
  <si>
    <t>камень Шунгит (минерал) – 100%</t>
  </si>
  <si>
    <t>Кремень</t>
  </si>
  <si>
    <t>Шунгит</t>
  </si>
  <si>
    <t>Эсвицин 250мл</t>
  </si>
  <si>
    <t xml:space="preserve">
вода, янтарная кислота, хлорид меди, цинка, магния, кобальта, хрома, силикат натрия </t>
  </si>
  <si>
    <t>Мослецитин</t>
  </si>
  <si>
    <t>Рекицен - РД 100г</t>
  </si>
  <si>
    <t>В составе «Рекицена-РД» - до 44% углеводов (из них 31,2% крахмала), до 17, % белков (в т.ч. более 18 видов незаменимых аминокислот), 11, 9 % клетчатки, 2,3% жиров, 1,3% нуклеиновых кислот, 0,15 % пектинов</t>
  </si>
  <si>
    <t>Чай №  1 Для укрепления ногтей и роста волос 20х1,5г</t>
  </si>
  <si>
    <t>рцф</t>
  </si>
  <si>
    <t>Плоды шиповника коричного, трава зверобоя продырявленного, листья крапивы двудомной, корни лопуха большого, цветки ромашки аптечной, соплодия хмеля обыкновенного, трава череды трехраздельной, плоды можжевельника обыкновенного, листья стевии, плоды рябины обыкновенной, корневища аира обыкновенного</t>
  </si>
  <si>
    <t>Чай №  2 Нормализующий сон 20х1,5г</t>
  </si>
  <si>
    <t>Плоды шиповника коричного, корни и корневища валерианы лекарственной, трава пустырника и чабреца, плоды боярышника, трава душицы, цветки календулы, листья мяты перечной, цветки ромашки аптечной, листья стевии и шалфея, цветки липы</t>
  </si>
  <si>
    <t>Чай №  3  При кожных заболеваниях 20х1,5г</t>
  </si>
  <si>
    <t>Трава зверобоя продырявленного, цветки календулы, листья крапивы двудомной, корни лопуха большого и одуванчика лекарственного, трава пустырника, цветки ромашки аптечной, листья стевии, трава тысячелистника, фиалки полевой и череды, плоды шиповника коричного, листья земляники лесной, плоды рябины обыкновенной</t>
  </si>
  <si>
    <t>Чай №  4 Нормализующий давление 20х1,5г</t>
  </si>
  <si>
    <t>плоды шиповника коричного и боярышника, трава пастушьей сумки, корни и корневища валерианы лекарственной, листья земляники лесной и крапивы двудомной, трава пустырника и спорыша, листья стевии, трава тысячелистника и хвоща полевого</t>
  </si>
  <si>
    <t>Чай №  5 Желудочно-кишечный 20х1,5г</t>
  </si>
  <si>
    <t>Плоды шиповника коричного, трава зверобоя продырявленного, листья крапивы двудомной, мяты перечной и подорожника большого, цветки ромашки аптечной, трава спорыша, листья стевии, трава тысячелистника и чабреца, чага, листья шалфея, корневища аира, цветки липы</t>
  </si>
  <si>
    <t>Чай №  6 При варикозном расширении вен 20х1,5г</t>
  </si>
  <si>
    <t>трава кипрея, трава зверобоя, почки березы повислой, цветки ромашки, трава пустырника, трава тысячелистника, трава чабреца, плоды боярышника, плоды шиповника коричного, листья земляники, лист стевии, цветки календулы, корень лопуха, лист крапивы, плоды рябины обыкновенной</t>
  </si>
  <si>
    <t>Чай №  7 От головной боли 20х1,5г</t>
  </si>
  <si>
    <t>трава зверобоя продырявленного; трава кипрея;листья мяты перечной;плоды боярышника;корневища валерианы лекарственной; цветки календулы ,трава пустырника; цветки ромашки аптечной;листья стевии;трава чабреца; плоды шиповника коричного;листья земляники лесной.</t>
  </si>
  <si>
    <t>Чай №  8 При болях в кишечнике (ветрогонный) 20х1,5г</t>
  </si>
  <si>
    <t xml:space="preserve"> плоды тмина обыкновенного, плоды шиповника коричного, плоды укропа пахучего, трава душицы, корни одуванчика, листья стевии, листья крапивы двудомной, цветки липы, трава тысячелистника</t>
  </si>
  <si>
    <t>Чай №  9 Сердечно-сосудистый 220х1,5г</t>
  </si>
  <si>
    <t>плоды боярышника, трава пустырника, листья стевии, почки березы повислой, корневища валерианы, трава зверобоя продырявленного, листья земляники лесной, цветки календулы, листья мяты перечной и подорожника большого, цветки ромашки аптечной, плоды рябины обыкновенной, трава тысячелистника, хвоща полевого и чабреца, плоды шиповника коричного</t>
  </si>
  <si>
    <t>Чай № 10 При заболевании мочевого пузыря 20х1,5г</t>
  </si>
  <si>
    <t>листья брусники обыкновенной, листья толокнянки обыкновенной, цветки ромашки аптечной, трава зверобоя продырявленного, трава спорыша, семена льна обыкновенного, трава хвоща полевого, листья стевии, плоды шиповника коричного, трава тысячелистника обыкновенного, сухой экстракт эхинацеи, трава фиалки полевой, трава чабреца, соплодия хмеля обыкновенного</t>
  </si>
  <si>
    <t>Чай № 11 От простатита 20х1,5г</t>
  </si>
  <si>
    <t>трава кипрея узколистного, трава зверобоя продырявленного, трава пустырника пятилопастного, листья толокнянки обыкновенной, листья стевии, цветки ромашки аптечной, плоды боярышника кроваво-красного, почки березы повислой, плоды можжевельника обыкновенного, семена льна обыкновенного, листья подорожника большого, трава чабреца, трава хвоща полевого, сухой экстракт эхинацеи, плоды шиповника коричного.</t>
  </si>
  <si>
    <t>Чай № 12 Для нормализации нервной системы 20х1,5г</t>
  </si>
  <si>
    <t xml:space="preserve"> трава пустырника пятилопастного, плоды боярышника кроваво-красного, корни с корневищами валерианы лекарственной, цветки ромашки аптечной, листья мяты перечной, листья стевии, соплодия хмеля обыкновенного, трава хвоща полевого, трава чабреца, плоды шиповника коричного, корневища аира обыкновенного, цветки липы сердцевидной</t>
  </si>
  <si>
    <t>Чай № 13 Для поджелудочной железы 20х1,5г</t>
  </si>
  <si>
    <t>плоды шиповника коричного, корневища с корнями девясила высокого, трава зверобоя продырявленного, корневища с корнями валерианы лекарственной, плоды можжевельника обыкновенного, цветки календулы лекарственной, листья мяты перечной, листья подорожника большого, корни одуванчика обыкновенного, цветки ромашки аптечной, трава тысячелистника обыкновенного, листья стевии, трава чабреца</t>
  </si>
  <si>
    <t>Чай № 14 При болезнях суставов 20х1,5г</t>
  </si>
  <si>
    <t>сабельник болотный (подземная и надземная части), листья крапивы двудомной, почки березы повислой, корни лопуха большого, трава фиалки полевой, листья стевии, трава хвоща полевого, трава чабреца, плоды шиповника майского, трава череды трехраздельной, цветки липы сердцевидной, сухой экстракт эхинацеи, корневища аира обыкновенного, плоды рябины обыкновенной</t>
  </si>
  <si>
    <t>Чай № 15 От аллергии 20х1,5г</t>
  </si>
  <si>
    <t>плоды шиповника коричного, цветки ромашки аптечной, трава зверобоя продырявленного, почки березы повислой, трава череды трехраздельной, листья мяты перечной, листья земляники лесной, корни одуванчика лекарственного, плоды рябины обыкновенной, трава фиалки полевой, листья стевии</t>
  </si>
  <si>
    <t>Чай № 16 При климаксе 20х1,5г</t>
  </si>
  <si>
    <t xml:space="preserve"> плоды шиповника коричного, трава чабреца, трава пустырника сердечного, листья шалфея лекарственного, трава душицы обыкновенной, плоды боярышника кроваво-красного, трава зверобоя продырявленного, трава кипрея узколистного, цветки календулы лекарственной, листья стевии</t>
  </si>
  <si>
    <t>Чай № 17 Омолаживающий 20х1,5г</t>
  </si>
  <si>
    <t>Листья шалфея лекарственного, плоды шиповника коричного и боярышника кроваво-красного, трава зверобоя продырявленного, листья мяты перечной, трава пустырника сердечного, цветки ромашки аптечной, листья стевии, трава тысячелистника и чабреца, цветки календулы лекарственной и липы, плоды рябины обыкновенной, семена льна</t>
  </si>
  <si>
    <t>Чай № 18 От болезней почек 20х1,5г</t>
  </si>
  <si>
    <t xml:space="preserve"> листья ортосифона тычиночного (почечного чая), корни одуванчика обыкновенного, плоды можжевельника обыкновенного, листья стевии, почки березы повислой, плоды шиповника коричного, листья брусники обыкновенной, трава зверобоя продырявленного, листья крапивы двудомной, листья земляники лесной, семена льна, трава пастушьей сумки обыкновенной, трава тысячелистника, плоды укропа пахучего, трава хвоща полевого, трава фиалки полевой, корневища аира обыкновенного</t>
  </si>
  <si>
    <t>Чай № 19 Для снижения сахара в крови 20х1,5г</t>
  </si>
  <si>
    <t>плоды шиповника;лист земляники;плоды боярышника;трава спорыша;трава хвоща;кора крушины;трава мяты;трава крапивы;трава зверобоя;лист березы;корень лопуха;плоды черники;
корень одуванчика;стевия.</t>
  </si>
  <si>
    <t>Чай № 20 Для похудения 20х1,5г</t>
  </si>
  <si>
    <t>плоды шиповника коричного и боярышника кроваво-красного, столбики с рыльцами кукурузы, трава зверобоя продырявленного, плоды жостера слабительного, трава спорыша (горца птичьего), почки березы повислой, листья мяты перечной, плоды рябины обыкновенной, семена льна, листьев стевии</t>
  </si>
  <si>
    <t>Чай № 21 От отечности организма 20х1,5г</t>
  </si>
  <si>
    <t xml:space="preserve">корень лопуха большого, цветки ромашки аптечной, трава хвоща полевого, трава зверобоя продырявленного, листья земляники лесной, листья крапивы двудомной, листья мяты перечной, листья стевии, трава тысячелистника обыкновенного, трава череды трехраздельной, плоды шиповника коричного, листья подорожника большого, плоды рябины обыкновенной
</t>
  </si>
  <si>
    <t>Чай № 22 Против камней в желчном пузыре 20х1,5г</t>
  </si>
  <si>
    <t>Плоды шиповника коричного, столбики с рыльцами кукурузы, корни лопуха большого, трава зверобоя продырявленного, цветки ромашки аптечной, семена льна, трава спорыша (горца птичьего), листья стевии и мяты перечной, корни с корневищами валерианы, цветки календулы лекарственной, листья крапивы двудомной, плоды жостера слабительного, трава чабреца, корневища аира</t>
  </si>
  <si>
    <t>Чай № 23 Тонизирующий и успокаивающий 20х1,5г</t>
  </si>
  <si>
    <t>Плоды шиповника коричного, листья мяты перечной, цветки ромашки аптечной, трава чабреца, плоды боярышника кроваво-красного, корни с корневищами валерианы, трава зверобоя продырявленного, цветки липы, листья подорожника большого, трава пустырника пятилопастного, листья стевии</t>
  </si>
  <si>
    <t>Чай № 24 При заболеваниях печени 20х1,5г</t>
  </si>
  <si>
    <t>Плоды шиповника коричного, столбики с рыльцами кукурузы, трава тысячелистника обыкновенного и зверобоя продырявленного, листья земляники лесной, подорожника большого и стевии, трава чабреца, почки березы повислой, листья крапивы двудомной, плоды можжевельника обыкновенного, листья мяты перечной, цветки пижмы обыкновенной и спорыша (горца птичьего)</t>
  </si>
  <si>
    <t>Чай № 25 От кашля 20х1,5г</t>
  </si>
  <si>
    <t>плоды шиповника, корневища с корнями девясила большого, листья подорожника большого, корневища с корнями солодки голой, листья шалфея лекарственного, эвкалипта и стевии, трава фиалки полевой и чабреца, цветки календулы лекарственной и липы, листья мяты перечной</t>
  </si>
  <si>
    <t>Чай № 26 Мочегонный 20х1,5г</t>
  </si>
  <si>
    <t>Плоды шиповника, почки березовые, листья ортосифона тычиночного (почечного чая), листья толокнянки, трава зверобоя, листья крапивы, трава спорыша (горца птичьего), листья стевии, трава хвоща полевого, трава чабреца, листья земляники, плоды можжевельника, корневища аира</t>
  </si>
  <si>
    <t>Чай № 27 Для растворения камней в почках 20х1,5г</t>
  </si>
  <si>
    <t>листья ортосифона тычиночного (почечного чая), почки березовые, листья брусники, листья мяты перечной, цветки ромашки, листья стевии, листья толокнянки, трава хвоща полевого, плоды шиповника, листья земляники, столбики с рыльцами кукурузы, плоды можжевельника, трава спорыша (горца птичьего), плоды укропа пахучего, трава чабреца (тимьяна ползучего)</t>
  </si>
  <si>
    <t>Чай № 28 От глистов 20х1,5г</t>
  </si>
  <si>
    <t>Цветки пижмы обыкновенной, плоды шиповника, трава чабреца, почки березы, трава душицы обыкновенной, трава зверобоя продырявленного, листья мяты перечной, корни одуванчика лекарственного, цветки ромашки аптечной, листья стевии, соплодия хмеля обыкновенного</t>
  </si>
  <si>
    <t>Чай № 29 Повышающий иммунитет 20х1,5г</t>
  </si>
  <si>
    <t>плоды шиповника коричного, трава эхинацеи, трава зверобоя продырявленного, корни одуванчика лекарственного, цветки ромашки аптечной, листья земляники лесной, плоды рябины обыкновенной, трава спорыша, листья стевии, плоды боярышника</t>
  </si>
  <si>
    <t>Чай № 30 При воспалениях горла 20х1,5г</t>
  </si>
  <si>
    <t>плоды шиповника коричного, цветки ромашки аптечной, трава эхинацеи, цветки календулы лекарственной, листья крапивы двудомной, цветки липы сердцевидной и стевии, трава фиалки полевой, листья шалфея лекарственного, эвкалипта прутовидного, трава тысячелистника обыкновенного, тимьян ползучего (чабреца) и череды трехраздельной</t>
  </si>
  <si>
    <t>Чай № 31 От алкоголизма 20х1,5г</t>
  </si>
  <si>
    <t>плоды боярышника, трава душицы обыкновенной и зверобоя продырявленного, плоды шиповника коричного, трава кипрея узколистного (иван-чая), плоды можжевельника обыкновенного, листья мяты перечной и стевии, трава тимьяна ползучего (чабреца), экстракт травы эхинацеи, листья брусники обыкновенной, плоды рябины обыкновенной, трава горца птичьего (спорыша)</t>
  </si>
  <si>
    <t>Чай № 32 Очищающий 20х1,5г</t>
  </si>
  <si>
    <t>Трава фиалки полевой и хвоща полевого, листья кассии остролистной (сенны) и мяты перечной, корни с корневищами солодки голой, листья стевии, трава тысячелистника, листья шалфея, плоды шиповника, жостера слабительного (крушины) и можжевельника обыкновенного, трава зверобоя, цветки ромашки аптечной и липы</t>
  </si>
  <si>
    <t>Чай № 33 От геморроя 20х1,5г</t>
  </si>
  <si>
    <t>плоды шиповника майского, корни лопуха большого, трава пастушьей сумки и зверобоя продырявленного, листья крапивы двудомной, плоды жостера слабительного, цветки ромашки аптечной, листья стевии, плоды рябины обыкновенной, листья мяты перечной, семена льна обыкновенного, трава спорыша (горца птичьего) и тысячелистника обыкновенного</t>
  </si>
  <si>
    <t>Чай № 34 От стресса 20х1,5г</t>
  </si>
  <si>
    <t>трава пустырника сердечного, плоды шиповника майского, трава тимьяна ползучего (чабреца), плоды боярышника кроваво-красного, корневища с корнями валерианы лекарственной, трава зверобоя продырявленного, листья мяты перечной, листья стевии и земляники лесной, цветки липы сердцевидной, листья подорожника большого</t>
  </si>
  <si>
    <t>Чай № 35 От опухолевых заболеваний 20х1,5г</t>
  </si>
  <si>
    <t>Трава зверобоя продырявленного, плоды рябины обыкновенной, семена льна обыкновенного, березовый гриб чага, плоды шиповника майского, экстракт эхинацеи, цветки календулы лекарственной, листья подорожника большого, сабельник болотный , листья стевии, трава хвоща полевого и тимьяна ползучего (чабреца)</t>
  </si>
  <si>
    <t>Чай № 36 При Язвенных заболеваниях 20х1,5г</t>
  </si>
  <si>
    <t>Цветки ромашки аптечной, плоды шиповника майского и боярышника кроваво-красного, корневища с корнями валерианы лекарственной, цветки календулы лекарственной, корни лопуха большого, листья мяты перечной, сухой экстракт эхинацеи, листья стевии, трава фиалки полевой</t>
  </si>
  <si>
    <t>Чай № 37 Для умственной работоспособности 20х1,5г</t>
  </si>
  <si>
    <t>плоды шиповника коричного и боярышника кроваво-красного, трава зверобоя продырявленного, корни одуванчика лекарственного, эхинацея трава, листья крапивы двудомной, плоды можжевельника обыкновенного, трава пустырника сердечного, листья стевии, шалфея лекарственного и земляники лесной, корневища аира</t>
  </si>
  <si>
    <t>Чай № 38 От запоров 20х1,5г</t>
  </si>
  <si>
    <t>листья кассии остролистной (сенны), плоды жостера слабительного (крушины), семена льна, корни с корневищами солодки голой, трава спорыша (горца птичьего), корни одуванчика лекарственного, трава пустырника сердечного, листья подорожника большого, цветки ромашки аптечной, плоды шиповника коричного, листья стевии, плоды укропа пахучего</t>
  </si>
  <si>
    <t>Чай № 39 От простуды 20х1,5г</t>
  </si>
  <si>
    <t>плоды шиповника коричного, экстракт травы эхинацеи пурпурной, корневища с корнями девясила большого, цветки липы сердцевидной, листья мяты перечной, цветки ромашки аптечной, корни с корневищами солодки голой, листья стевии, шалфея лекарственного и эвкалипта прутовидного, плоды боярышника кроваво-красного, трава душицы обыкновенной, цветки календулы лекарственной, трава тимьяна ползучего (чабреца)</t>
  </si>
  <si>
    <t>Чай № 40 Улучшающий зрение 20х1,5г</t>
  </si>
  <si>
    <t>плоды черники обыкновенной, трава зверобоя продырявленного, плоды шиповника коричного, почки березы повислой, корневища с корнями девясила большого, плоды рябины обыкновенной, трава тимьяна ползучего (чабреца), листья стевии, корневища аира</t>
  </si>
  <si>
    <t>Бишофит гель 75мл</t>
  </si>
  <si>
    <t>Инфарма</t>
  </si>
  <si>
    <t>Виросепт крем противогерпесный 10 мл</t>
  </si>
  <si>
    <t>Глутамол крем для детей с цинком 50мл в кор</t>
  </si>
  <si>
    <t>Вода очищенная, масло растительное, эмульгатор ПГ-3, эмульсионный воск, сорбитол, витамин Е, стеарин, мономульс 90-018, нипагин, масло чайного дерева, витамин А, нипазол, пиритионат цинка, триэтаноламин (ТЭА), глутамол</t>
  </si>
  <si>
    <t>Детское Масло (экстракт череды,ромашки,вит АЕ) 100мл</t>
  </si>
  <si>
    <t>масло вазелиновое, трава череды, трава ромашки, отдушка «Флория», нипазол, витамин А</t>
  </si>
  <si>
    <t>Крем Детский противоаллергический 75мл</t>
  </si>
  <si>
    <t xml:space="preserve"> вода очищенная, масло растительное, сорбитол, эмульгатор пг-3, эмульсионный воск, витамин Е, мономульс 90-018, стеарин, отдушка,  нипагин, трава череды, чистотела, ромашки, витамин А, нипазол, триэтаноламин, фолиевая кислота</t>
  </si>
  <si>
    <t>Мукофитин крем согревающий от кашля 50мл</t>
  </si>
  <si>
    <t xml:space="preserve"> вода очищенная, липодерм 10, масло растительное, вазелин, цитрат натрия, камфара, сорбитол, 1,3 Диметилксантин, йодистый калий, нипагин, витамин РР, масло пихтовое, алоэ вера, нипазол, трилон Б</t>
  </si>
  <si>
    <t>Фундизол противогрибковый крем для ногтей и кожи 30 мл</t>
  </si>
  <si>
    <t>вода очищенная, вазелин, пентол, окись цинка, ланолин, масло растительное, экстракт травы чистотела, эмульсионный воск, сорбитол, эмульгатор ПГ-3, мономульс 90-018, йодистый калий, экстракт коры дуба, нипагин, салициловая кислота, отдушка «Флория», нипазол, витамин Е</t>
  </si>
  <si>
    <t>Цитралгин крем 50мл</t>
  </si>
  <si>
    <t xml:space="preserve"> вода очищенная, вазелин, масло растительное, цитрат натрия, пентол, мономульс 90-018, эмульсионный воск, сорбитол, натрия глутамат, витамин Е, нипагин, нипазол</t>
  </si>
  <si>
    <t>Крем для лица от морщин Q10 с Эластаном 50мл</t>
  </si>
  <si>
    <t>Лучикс</t>
  </si>
  <si>
    <t>вода, изооктил стеарат, полиакрилат натрия, масло миндальное, гель алоэ вера, эластин гидролизованный, экстракт фукуса, экстракт хвоща,акулий жир, аллантоин, ретинола пальмитат, масло грейпфрута, масло лиметт, масло нероли, масло фенхеля, коэнзим Q10,диазолидинил,мочевина, йодопропинилбутилкарбамат, пропиленгликоль</t>
  </si>
  <si>
    <t>Крем для лица от морщин Хитозан с коллагеном 50мл</t>
  </si>
  <si>
    <t>вода, масло ши,цетеарилгликозиды пшеницы,цетеариловый спирт,моностеарат глицерина,каприлик/каприк триглицерид, глицерин,масло авокадо, масло жожоба,диметикон,дистеарат, экстракт конского каштана, экстракт ромашки, акулий жир,дезаминоколлаген,витамин F,токоферол,аллантоин,цетилфосфат калия,ретинола пальмитат, масло лиметт, масло нероли, масло апельсина, масло иланг-иланг,полиакрилат натрия,метилпарабен,бутилпарабен, изобутилпарабен, феноксиэтанол</t>
  </si>
  <si>
    <t>Вода, глицерин, полиоксиэтилированный (20) цетилстеариловый спирт, масло кукурузное, цетилстеариловый спирт, диметикон, триэтаноламин, акрилаты/С 10-30 алкил акрилат кроссполимер, акулий жир, камфора, масло перца, экстракт сабельника, экстракт лавра, экстракт сирени, экстракт меда, экстракт золотого уса, экстракт прополиса, экстракт морской соли, экстракт подорожника, масло можжевельника, масло эвкалипта, масло пихты, муравьиная кислота, диазолидинил мочевина, йодопропинилбутилкарбамат, пропиленгликоль</t>
  </si>
  <si>
    <t>Вода, глицерин, полиоксиэтилированный(20)цетилстеариловый спирт, масло кукурузное, цетилстериариловый спирт, диметикон, триэтаноламин, акулий жир, камфора, экстракт перца, экстракт сабельника, экстракт лавра, экстракт сирени, экстракт меда, экстракт фукуса, акрилаты/с10-30алкил акрилат кроссполимер, масло лаванды, масломожжевельника, масло эвкалипта, масло пихты, метил никотинат, муравьиная кислота, диазолидинил мочевина, йодопропинилбутилкарбамат, пропиленгликоль</t>
  </si>
  <si>
    <t>акулий жир, экстракт камфары, масло кукурузное, экстракт перца, экстракт сабельника, эфирные масла можжевельника, лаванды, эвкалипта, экстракт меда, сирени.</t>
  </si>
  <si>
    <t>вода, глицерин, полиоксиэтилированный (20) цетилстеариловый спирт, изооктил стеарат, цетилстериловый спирт, диметикон, комплекс "ЛеВИн" ( экстракты листа лещины, красных листьев винограда, гидрогенизированное касторовое масло), акулий жир, ментол, экстракт конского каштана, экстракт полыни, акрилаты/С 10-30 алкил акрилат кроссполимер, триэтаноламин, масло лимона, масло кипариса, масло петитгрейн, диазолидинил мочевина, йодопропинилбутилкарбамат, пропиленгликоль</t>
  </si>
  <si>
    <t>Вода, глицерин, полиоксиэтилированный (20) цетилстеариловый спирт, изооктил стеарат, цетилстериловый спирт, диметикон,акулий жир, экстракт календулы, акрилаты/С 10-30 алкил акрилат кроссполимер, триэтаноламин, аллантоин, масло лаванды, лимона, майорана, пальмарозы, экстракт облепихи, диазолидинил мочевина, йодопропинилбутилкарбамат, пропиленгликоль</t>
  </si>
  <si>
    <t>вода, масло кукурузное, глицерин, цетилстеариловый спирт, диметикон, акулий жир, экстракты: полыни, инжира, конского каштана, хвоща, донника; ментол, камфора, масла: кипариса, мяты, лимона, мирта; пропиленгликоль, цитраль, гераниол, лимонен, цитронеллол, эвгенол</t>
  </si>
  <si>
    <t>Вода, глицерин, полиоксиэтилированный (20) цетилстеариловый спирт, масло кукурузное, цетилстеариловый спирт, диметикон, аристофлекс AVC, акулий жир, экстракт коры дуба, экстракт листьев березы, ментол, экстракт бархата амурского, триклозан, масло лаванды, масло можжевельника, масло чайного дерева, масло чабреца, диазолидинил мочевины, йодопропинилбутилкарбамат, пропиленгликоль</t>
  </si>
  <si>
    <t>Вода, глицерин, полиоксиэтилированный (20), цетилстеариловый спирт, диметикон, аристофлекс AVC, ментол, акулий жир, экстракт конского каштана, экстракт корня девясила, экстракт донника, экстракт хвоща, экстракт коры ивы, масло петит грейн, масло лимона, масло кипариса, дизолидил мочевины, йодопропинулбутилкарбамат, пропиленгликоль</t>
  </si>
  <si>
    <t>Вода, глицерин, полиоксиэтиловый цетилстеариловый спирт, изооктил стеарат, цетилстеариловый спирт, диметикон, риэтаноламин, акулий жир, камфора, экстракт лавра, полыни, акрилаты, ментол, масло розмарина, масло лаванды, кислота липоевая, масло пихты, кедра, витамин В6, диазолидинил мочевина, йодопропинилбутилкарбамат, пропиленгликоль</t>
  </si>
  <si>
    <t>Крем для суставов восстанавливающий АЖ и Глюкозамин с хондроитином 75мл</t>
  </si>
  <si>
    <t>Вода, каприк, каприликтриглицерид, эмульсионный воск, акулий жир, масло рапса/риса, масло соевое, диметикон, глицерил моностерат, цетеариловый спирт, этилгексилстеарат, сорбитол, камфора, ментол, хондротин сульфат натрия, эфирное масло пихты, глюкозамин, эфирное масло сосны, эфирное масло майорана, эфирное масло можжевельника, масло перца ,акрилаты, алкил акрилат кроссполимер, метилпарабен, дигидрокверцетин, динатрий ЭДТА, метилхлороизотиазолинон, метилизотиазолин</t>
  </si>
  <si>
    <t>Крем для суставов от боли АЖ и Горчица с мёдом 75мл</t>
  </si>
  <si>
    <t>вода, глицерин, полиоксиэтилированный (20) цетилстеариловый спирт, изооктил стеарат, цетилстериловый спирт, диметикон, камфора, акулий жир, масло оливковое, экстракт меда, экстракт лопуха, акрилаты/С 10-30 алкил акрилат кроссполимер, триэтаноламин, ментол, масло можжевельника, масло лаванды, масло горчицы, масло майорана, масло арники, масло сосны, метил никотинат, диазолидинил мочевина, йодопропинилбутилкарбамат, пропиленгликоль</t>
  </si>
  <si>
    <t>Крем для тела в области суставов АЖ и Шунгит 75мл</t>
  </si>
  <si>
    <t>масло кукурузное,вода, глицерин, цетилстеариловый спирт, диметикон, акулийжир, камфора, экстракт хвоща и сабельника, дезамидоколлаген, глюкозамина гидрохлорид, хондроитина сульфат, масла: можжевельника, каепута, розмарина, мускатного ореха; метил никотинат, шунгит, мочевина, пропиленгликоль, линалоол, лимонен, цитраль, гераниол</t>
  </si>
  <si>
    <t>Крем для тела восстанавливающий АЖ и Акулий Хрящ Усиленный 75мл</t>
  </si>
  <si>
    <t>Вода, полиоксиэтилированный цетилстеариловый спирт, масло кукурузное, диметикон, кополимер, акулий жир, экстракт сабельника, камфора, экстракт перца,  глюкозамина гидрохлорид, масло можжевельника, масло лаванды, масло эвкалипта, масло пихты, метил никотинат, муравьиная кислота, диазолидинил мочевина, пропилен-гликоль</t>
  </si>
  <si>
    <t>Крем для тела от боли в мышцах, судорог и онемения АЖ и Имбирь 75мл</t>
  </si>
  <si>
    <t>вода, каприк/каприлик триглицерид, эмульсионный воск, акулий жир, масло рапса/риса, масло соевое,диметикон, глицерил моностеарат, цетеариловый спирт,сорбитол, камфора, ментол, эфирное масло сосны, эфирное масло лаванды, эфирное масло майорана,эфирное масло можжевельника,горофит имбиря,масло перца, акрилаты, алкил акрилат кроссполимер, метилпарабен,пропилпарабен, дигидроквертицин, динатрий, метилхлороизотиазолинон, метилизотиазолинон</t>
  </si>
  <si>
    <t>Крем для тела при болях в спине и пояснице АЖ и Пчелиный Яд 75мл</t>
  </si>
  <si>
    <t>вода, каприк/каприлик триглицерид, эмульсионный воск, акулий жир, масло рапса/риса, диметикон, глицерил моностеарат, цетеариловый спирт, этилгексил стеарат, сорбитол, камфора, ментол, хондроитин сульфат натрия, масло соевое, эфирное масло кедра, эфирное масло сосны, эфирное масло майорана, эфирное масло можжевельника, пчелиный яд, масло перца, акрилаты, метилпарабен, пропилпарабен, дигидроквертицин, динатрий, метилхлороизотиазолинон, метилизотиазолинон</t>
  </si>
  <si>
    <r>
      <t xml:space="preserve">Крем для тела </t>
    </r>
    <r>
      <rPr>
        <sz val="10"/>
        <color theme="1"/>
        <rFont val="Calibri"/>
        <family val="2"/>
        <charset val="204"/>
        <scheme val="minor"/>
      </rPr>
      <t xml:space="preserve">с </t>
    </r>
    <r>
      <rPr>
        <b/>
        <sz val="10"/>
        <color theme="1"/>
        <rFont val="Calibri"/>
        <family val="2"/>
        <charset val="204"/>
        <scheme val="minor"/>
      </rPr>
      <t>Чистотелом</t>
    </r>
    <r>
      <rPr>
        <sz val="10"/>
        <color theme="1"/>
        <rFont val="Calibri"/>
        <family val="2"/>
        <scheme val="minor"/>
      </rPr>
      <t xml:space="preserve"> 75 мл</t>
    </r>
  </si>
  <si>
    <t>Вода, глицерин, полиоксиэтилированный (20), цетилстеариловый спирт, цетилстеариловый спирт, масло кукурузное, масло расторопши, деметикон, аристофлекс AVC, акулий жир, экстракт чистотела, экстракт чебреца, экстракт арники, масло лаванды, масло лаванды, масло эвкалипта, масло чайного дерава, диазолидинил мочевины, йодопропинилбутилкарбамат, пропиленгликоль</t>
  </si>
  <si>
    <t>Крем для тела Согревающий АЖ с Муравьиной кислотой и Сабельником 75мл</t>
  </si>
  <si>
    <t>Вода, полиоксиэтилированный цетилстеариловый спирт, масло кукурузное, диметикон, кополимер, акулий жир, экстракт сабельника, камфора, экстракт перца, глюкозамина гидрохлорид, масло можжевельника, масло лаванды, масло эвкалипта, масло пихты, метил никотинат, муравьиная кислота, диазолидинил мочевина, пропилен-гликоль</t>
  </si>
  <si>
    <t>Крем для теля в области мышц и суставов согревающий АЖ и Барсучий жир 75мл</t>
  </si>
  <si>
    <t>вода, глицерин, масло кукурузное,цетилстеариновый спирт,диметикон,аристофлекс,акулий жир, камфора, масло миндальное, экстракт горчицы, экстракт хвоща,, барсучий жир, метил никотинат,витамин В1, масло лаванды, масло майорана,масло розмарина,масло пихты, экстракт перца, мочевина, пропиленгликоль, кумарин, гераниол, линалоол,лимонен, цитронеллол</t>
  </si>
  <si>
    <t xml:space="preserve">лимона масло, витамин с, лиметта эфирное масло, хвоща экстракт, алоэ сок, лимона эфирное масло, вода
</t>
  </si>
  <si>
    <t>мяты экстракт, бадяги экстракт, кукурузное масло, чайного дерева масло, ананаса экстракт, лаванды масло, вода</t>
  </si>
  <si>
    <t>экстракт арбуза, экстракт конского каштана, масло кукурузное, масло оливк-овое, масло лиметт, мало мяты, масло нероли, масло петитгрейн, акулий жир, дезамино-коллаген, эластин гидролизованный, Д- пантенолтриэтаноламин, аллантоин, гиалу-ронат натрия, вода, глицерин, поливиниловый спирт, парфюмерная композиция</t>
  </si>
  <si>
    <t xml:space="preserve">экстракт дыни, экстракт шалфея, масло лиметт, масло мускатного ореха, масло розмарина, масло нероли, масло кукурузное, масло оливковое, акулий жир, коэнзим Q10 (3% раствор), argireline (вода, ацетил гексапептид-8), эластин гидролизованный, дезаминоколлаген, гиалуронат натрия, вода, глицерин, поливиниловый спирт, парфюмерная композиция </t>
  </si>
  <si>
    <t>Вода,поливиниловый спирт,изооктил стеарат,каолин,масло кукурузное,дезаминоколлаген,маслооливковое,глицерин, полиоксиэтилированный цетилстеариловый спирт,акулий жир,масло жожоба,экстракт женьшеня.Акрилаты/С 10-30 алкил акрилат кроссполимер,триэтаноламин,аскорбилфосфат натрия,триэтаноламин,В1,витамин В6,диазолидинил мочевина,йодопропинилбутилкарбамат,пропиленгликоль</t>
  </si>
  <si>
    <t>Вода, поливиниловый спирт, изооктил стеарат, каолин, масло кукурузное, дезаминоколлаген, маслооливковое, глицерин, полиоксиэтилированный цетилстеариловый спирт, акулий жир, масло жожоба, экстракт женьшеня. Акрилаты/С 10-30 алкил акрилат кроссполимер, триэтаноламин, аскорбилфосфат натрия, триэтаноламин, В1, витамин В6, диазолидинил мочевина, йодопропинилбутилкарбамат, пропиленгликоль</t>
  </si>
  <si>
    <t>Вода, поливиниловый спирт, изооктил стеарат, каолин, глицерин, масло кукурузное, масло оливковое, полиоксиэтилированный цетилстеариловый спирт, цетилстеариловый спирт, гидролизат плаценты, экстракт зеленого чая, акрилаты/С10-30, акрил, акрилат, кроссполимер масло лаванды, гиалуронат натрия, витамин А, витамин Е, 
акулий жир, диазолидинил мочевины, йодопропинилбутилкарбамат, пропиленгликоль, парфюмерная композиция</t>
  </si>
  <si>
    <t>вода,  поливиниловый  спирт,  каолин,  изооктил  стеарат,  масло  кукурузное,  масло  оливковое,  полиоксиэтилированный (20) цетилстеариловый  спирт,  глицерин,  цетилстеариловый  спирт,  дезаминоколлаген,  эластин  гидролизованный, йогуртовый  порошок,  акулий  жир,  триэтаноламин,  акрилаты/С 10-30  алкик  акрилат  кроссполимер,  аллантоин,  гиалуронат  натрия,  ретинола  пальмитат,  токоферол,  масло  лиметт,  масло  иланг-иланг,  масло  нероли,  парфюмерная  композиция,  диазолидинил  мочевина,  йодопропинилбутилкарбамат,  пропиленгликоль</t>
  </si>
  <si>
    <t>Вода,глицерин,гидролизат плаценты,аристофлекс АVC, 
акулийжир, экстракт арники,гель ламинарии,экстракт хвоща.Витамин В5,масло апельсина,гиалуронат натрия,витамин Е диазолидинил мочевины,йодопропинилбутилкарбамат,пропиленгликоль</t>
  </si>
  <si>
    <t>Вода, дезаминоколлаген, глицерин, триэтаноламин, акулий жир, комлекс экстрактов белой лилии, марапуамы и плаффии (бразильского женьшеня), экстракт петрушки, экстракт арники, экстракт конского каштана, экстракт шалфея, витамин Е, акрилаты/С 10-30 алкил акрилат кроссполимер, диазолидинилмочевина, йодопропинилбутилкарамбат, припиленгликоль</t>
  </si>
  <si>
    <t>Вода, поливиниловый спирт, каолин, масло кукурузное, масло оливковое, глицерин, полиоксиэтилированный(20) цетилстеариловый спирт, акулий жир, экстракт арника, экстракт арники, экстракт крапивы</t>
  </si>
  <si>
    <t>Вода, поливиниловый спирт, изооктил стеарат, каолин, масло кукурузное, дезаминоколлаген, масло оливковое, глицерин, полиоксиэтилированный цетилстеариловый спирт, акулий жир, экстракт гинко билоба, экстракт хвоща, экстракт фукуса, витамин Е, Акрилаты/С 10-30 алкил акрилат кроссполимер, триэтаноламин, аскорбилфосфат натрия, триэтаноламин, В1, витамин В6, диазолидинил мочевина, йодопропинилбутилкарбамат, пропиленгликоль.</t>
  </si>
  <si>
    <t>Ботаника</t>
  </si>
  <si>
    <t>Эфирные масла</t>
  </si>
  <si>
    <t>100% растительное масло из косточек абрикоса.</t>
  </si>
  <si>
    <t>100% растительное масло авокадо</t>
  </si>
  <si>
    <t>100% масло арганы</t>
  </si>
  <si>
    <t>100% растительное масло из косточек винограда</t>
  </si>
  <si>
    <t xml:space="preserve">100% натуральное растительное масло из ядер грецкого ореха методом холодного отжима </t>
  </si>
  <si>
    <t>100% натуральное растительное масло  из семян симондсии китайской</t>
  </si>
  <si>
    <t>100% натуральное растительное масло  из сердцевины зародыша пшеничного зерна</t>
  </si>
  <si>
    <t>100% натуральное растительное масло из стеблей и цветов  зверобоя</t>
  </si>
  <si>
    <t>100% натуральное растительное масло из цветков календулы</t>
  </si>
  <si>
    <t>100% натуральное растительное масло из семян клещевины</t>
  </si>
  <si>
    <t>100% натуральное растительное масло кокоса</t>
  </si>
  <si>
    <t>100% натуральное растительное из семян конопли</t>
  </si>
  <si>
    <t>100% натуральное растительное из семян лавра</t>
  </si>
  <si>
    <t>100% натуральное растительное из плодов макадамии</t>
  </si>
  <si>
    <t>100% натуральное растительное из косточек плодов персикового дерева</t>
  </si>
  <si>
    <t>100% натуральное растительное из мякоти косточек плодов вечнозеленого дерева ши</t>
  </si>
  <si>
    <t>100% натуральное растительное из высушенных и измельченных семян шиповника</t>
  </si>
  <si>
    <t>100% эфирное масло апельсина</t>
  </si>
  <si>
    <t>100% эфирное масло Бергамота</t>
  </si>
  <si>
    <t>100% эфирное масло вербены лимонной</t>
  </si>
  <si>
    <t>100% эфирное масло листьев гвоздики</t>
  </si>
  <si>
    <t>100% эфирное масло герани</t>
  </si>
  <si>
    <t>100% эфирное масло из свежей кожуры грейпфрута</t>
  </si>
  <si>
    <t>100% эфирное масло из хвои ели обыкновенной</t>
  </si>
  <si>
    <t>100% эфирное масло из цветков жасмина</t>
  </si>
  <si>
    <t>100% эфирное масло из свежих цветков тропического дерева иланг-иланг</t>
  </si>
  <si>
    <t>100% эфирное масло из высушенного корня имбиря</t>
  </si>
  <si>
    <t>100% эфирное масло из древесины, коры и хвои кедра</t>
  </si>
  <si>
    <t>100% эфирное масло из листьев корицы</t>
  </si>
  <si>
    <t>100% эфирное масло из свежих цветков лаванды</t>
  </si>
  <si>
    <t>100% эфирное масло из свежих или немного подсушенных стеблей одноименного растения</t>
  </si>
  <si>
    <t>100% эфирное масло  из верхнего слоя свежей кожуры плодов лимонного дерева</t>
  </si>
  <si>
    <t>100% эфирное масло из цедры спелых плодов мандаринового дерева</t>
  </si>
  <si>
    <t>100% эфирное масло из цветущих верхушек и листьев мелиссы лекарственной</t>
  </si>
  <si>
    <t>100% эфирное масло из шишкоягод, хвои, коры можжевельника обыкновенного</t>
  </si>
  <si>
    <t>100% эфирное масло из надземной части мяты луговой</t>
  </si>
  <si>
    <t>100% эфирное масло  из свежих цветов горького апельсина</t>
  </si>
  <si>
    <t xml:space="preserve">100% эфирное масло из листьев кустистого травянистого растения пачули. </t>
  </si>
  <si>
    <t>100% эфирное масло из хвои, веток и шишек пихты</t>
  </si>
  <si>
    <t>100% эфирное масло из свежих лепестков дамасской розы</t>
  </si>
  <si>
    <t>100% эфирное масло из надземной части розмарина</t>
  </si>
  <si>
    <t>100% эфирное масло  из обработанной паром древесины розового дерева</t>
  </si>
  <si>
    <t>100% эфирное масло из древесины сандалового дерева</t>
  </si>
  <si>
    <t>100% эфирное масло из хвои и молодых веточек сосны обыкновенной</t>
  </si>
  <si>
    <t>100% эфирное масло из листьев малалеуки</t>
  </si>
  <si>
    <t>100% эфирное масло из цветущих частей и листьев шалфея мускатного</t>
  </si>
  <si>
    <t>100% эфирное масло листьев эвкалипта</t>
  </si>
  <si>
    <t>Yummy</t>
  </si>
  <si>
    <t xml:space="preserve">вода, абрикосы,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 </t>
  </si>
  <si>
    <t xml:space="preserve">вода, апельсины, подсластитель натуральный - эритрит, загустители натуральные - пектин, КМЦ (клетчатка), имбирь, лимонная кислота, подсластитель натуральный - экстракт стевии, сорбиновая кислота. </t>
  </si>
  <si>
    <t xml:space="preserve">вода, вишня,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 </t>
  </si>
  <si>
    <t xml:space="preserve">вода, клубника,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 </t>
  </si>
  <si>
    <t xml:space="preserve">вода, черная смородина,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 </t>
  </si>
  <si>
    <t xml:space="preserve">вода, яблоки, подсластитель натуральный - эритрит, загустители натуральные - пектин, КМЦ (клетчатка), лимонная кислота, корица, подсластитель натуральный - экстракт стевии, сорбиновая кислота. </t>
  </si>
  <si>
    <t>Хлопья овсяные из голозерного овса без глютена 375г</t>
  </si>
  <si>
    <t>Сташевское</t>
  </si>
  <si>
    <r>
      <t xml:space="preserve">Хлопья овсяные с </t>
    </r>
    <r>
      <rPr>
        <b/>
        <sz val="10"/>
        <color theme="1"/>
        <rFont val="Calibri"/>
        <family val="2"/>
        <charset val="204"/>
        <scheme val="minor"/>
      </rPr>
      <t>вишней</t>
    </r>
    <r>
      <rPr>
        <sz val="10"/>
        <color theme="1"/>
        <rFont val="Calibri"/>
        <family val="2"/>
        <scheme val="minor"/>
      </rPr>
      <t xml:space="preserve"> без глютена 375г</t>
    </r>
  </si>
  <si>
    <r>
      <t xml:space="preserve">Хлопья овсяные с </t>
    </r>
    <r>
      <rPr>
        <b/>
        <sz val="10"/>
        <color theme="1"/>
        <rFont val="Calibri"/>
        <family val="2"/>
        <charset val="204"/>
        <scheme val="minor"/>
      </rPr>
      <t>клубникой</t>
    </r>
    <r>
      <rPr>
        <sz val="10"/>
        <color theme="1"/>
        <rFont val="Calibri"/>
        <family val="2"/>
        <scheme val="minor"/>
      </rPr>
      <t xml:space="preserve"> без глютена 375г</t>
    </r>
  </si>
  <si>
    <r>
      <t xml:space="preserve">Хлопья овсяные с </t>
    </r>
    <r>
      <rPr>
        <b/>
        <sz val="10"/>
        <color theme="1"/>
        <rFont val="Calibri"/>
        <family val="2"/>
        <charset val="204"/>
        <scheme val="minor"/>
      </rPr>
      <t>малиной</t>
    </r>
    <r>
      <rPr>
        <sz val="10"/>
        <color theme="1"/>
        <rFont val="Calibri"/>
        <family val="2"/>
        <scheme val="minor"/>
      </rPr>
      <t xml:space="preserve"> без глютена 375г</t>
    </r>
  </si>
  <si>
    <r>
      <t xml:space="preserve">Хлопья овсяные с </t>
    </r>
    <r>
      <rPr>
        <b/>
        <sz val="10"/>
        <color theme="1"/>
        <rFont val="Calibri"/>
        <family val="2"/>
        <charset val="204"/>
        <scheme val="minor"/>
      </rPr>
      <t>мёдом</t>
    </r>
    <r>
      <rPr>
        <sz val="10"/>
        <color theme="1"/>
        <rFont val="Calibri"/>
        <family val="2"/>
        <scheme val="minor"/>
      </rPr>
      <t xml:space="preserve"> без глютена 375г</t>
    </r>
  </si>
  <si>
    <r>
      <t xml:space="preserve">Хлопья овсяные с </t>
    </r>
    <r>
      <rPr>
        <b/>
        <sz val="10"/>
        <color theme="1"/>
        <rFont val="Calibri"/>
        <family val="2"/>
        <charset val="204"/>
        <scheme val="minor"/>
      </rPr>
      <t>шоколадом</t>
    </r>
    <r>
      <rPr>
        <sz val="10"/>
        <color theme="1"/>
        <rFont val="Calibri"/>
        <family val="2"/>
        <scheme val="minor"/>
      </rPr>
      <t xml:space="preserve"> без глютена 375г</t>
    </r>
  </si>
  <si>
    <r>
      <t xml:space="preserve">Хлопья овсяные с </t>
    </r>
    <r>
      <rPr>
        <b/>
        <sz val="10"/>
        <color theme="1"/>
        <rFont val="Calibri"/>
        <family val="2"/>
        <charset val="204"/>
        <scheme val="minor"/>
      </rPr>
      <t>яблоком</t>
    </r>
    <r>
      <rPr>
        <sz val="10"/>
        <color theme="1"/>
        <rFont val="Calibri"/>
        <family val="2"/>
        <scheme val="minor"/>
      </rPr>
      <t xml:space="preserve"> без глютена 375г</t>
    </r>
  </si>
  <si>
    <t>Наименование</t>
  </si>
  <si>
    <t>Сумма</t>
  </si>
  <si>
    <t>Хлопья и завтраки</t>
  </si>
  <si>
    <t>Макароны и манка</t>
  </si>
  <si>
    <t>Гранолы</t>
  </si>
  <si>
    <t>Иван чай</t>
  </si>
  <si>
    <t>Соль</t>
  </si>
  <si>
    <t>Жмых и мука</t>
  </si>
  <si>
    <t>от 30 тыс</t>
  </si>
  <si>
    <t>Мука и крупа</t>
  </si>
  <si>
    <t>Каши и готовые блюда</t>
  </si>
  <si>
    <t>Хлебцы</t>
  </si>
  <si>
    <t>Батончики и вафли</t>
  </si>
  <si>
    <t>Серия "Умные сладости"</t>
  </si>
  <si>
    <t>Макароные без глютена</t>
  </si>
  <si>
    <t>Мука, отруби и прочее</t>
  </si>
  <si>
    <t>Варенье, мёд, сироп</t>
  </si>
  <si>
    <t>Какао и кэроб</t>
  </si>
  <si>
    <t>Шоколад с кэробом, кокосом</t>
  </si>
  <si>
    <t>Смеси семян и крупа</t>
  </si>
  <si>
    <t>Мюсли и хлопья</t>
  </si>
  <si>
    <t>для детей</t>
  </si>
  <si>
    <t>Зерно, семена, мука</t>
  </si>
  <si>
    <t>Хумус и тростниковый сахар</t>
  </si>
  <si>
    <t>Мука, зерно, сахар</t>
  </si>
  <si>
    <t>Соусы и сиропы</t>
  </si>
  <si>
    <t>Мыло</t>
  </si>
  <si>
    <t>Мочалки и фитозапарки</t>
  </si>
  <si>
    <t>Джемы</t>
  </si>
  <si>
    <t>Мюсли</t>
  </si>
  <si>
    <t>Смолка, жевательная резинка</t>
  </si>
  <si>
    <t>Продукты пчеловодства</t>
  </si>
  <si>
    <t>Масло, фитокомплекс и крем</t>
  </si>
  <si>
    <t>от 10 тыс</t>
  </si>
  <si>
    <t>Каши овсяные</t>
  </si>
  <si>
    <t>Масла, мука</t>
  </si>
  <si>
    <t>Отруби, толокно, талкан</t>
  </si>
  <si>
    <t>Соус и мусс</t>
  </si>
  <si>
    <t>Паштеты, урбеч и хумус</t>
  </si>
  <si>
    <t>Кондиционер для детского белья для чувствительной кожи 1000мл</t>
  </si>
  <si>
    <t>Моющее средство для детской посуды для чувствительной кожи 500мл</t>
  </si>
  <si>
    <t>Экотаблетки для посудомоечных машин с горчичным порошком 30таб</t>
  </si>
  <si>
    <t>Варенье и джемы</t>
  </si>
  <si>
    <t>от 3 тыс</t>
  </si>
  <si>
    <t>Какао и кокосовая продукция</t>
  </si>
  <si>
    <t>Сироп топинамбура 330г</t>
  </si>
  <si>
    <r>
      <t xml:space="preserve">Сироп топинамбура </t>
    </r>
    <r>
      <rPr>
        <b/>
        <sz val="10"/>
        <color theme="1"/>
        <rFont val="Calibri"/>
        <family val="2"/>
        <charset val="204"/>
        <scheme val="minor"/>
      </rPr>
      <t>натуральный</t>
    </r>
    <r>
      <rPr>
        <sz val="10"/>
        <color theme="1"/>
        <rFont val="Calibri"/>
        <family val="2"/>
        <scheme val="minor"/>
      </rPr>
      <t xml:space="preserve"> 330г</t>
    </r>
  </si>
  <si>
    <t>Сиропы и цукаты топинамбура</t>
  </si>
  <si>
    <t>Поп-корн</t>
  </si>
  <si>
    <t>Масло и шрот</t>
  </si>
  <si>
    <t>Завтраки и макароны</t>
  </si>
  <si>
    <t>Чай имбирный</t>
  </si>
  <si>
    <t>Джемы без сахара</t>
  </si>
  <si>
    <t>Сироп топинамбура</t>
  </si>
  <si>
    <t>Смоква, натуральная пастила</t>
  </si>
  <si>
    <t>Гималайская соль</t>
  </si>
  <si>
    <t>Флайчипсы</t>
  </si>
  <si>
    <t>Карамель медовая</t>
  </si>
  <si>
    <r>
      <t xml:space="preserve">Масло капсулированное </t>
    </r>
    <r>
      <rPr>
        <b/>
        <sz val="10"/>
        <color theme="1"/>
        <rFont val="Calibri"/>
        <family val="2"/>
        <charset val="204"/>
        <scheme val="minor"/>
      </rPr>
      <t>зародышей пшеницы</t>
    </r>
    <r>
      <rPr>
        <sz val="10"/>
        <color theme="1"/>
        <rFont val="Calibri"/>
        <family val="2"/>
        <scheme val="minor"/>
      </rPr>
      <t xml:space="preserve"> №60</t>
    </r>
  </si>
  <si>
    <r>
      <t xml:space="preserve">Масло капсулированное </t>
    </r>
    <r>
      <rPr>
        <b/>
        <sz val="10"/>
        <color theme="1"/>
        <rFont val="Calibri"/>
        <family val="2"/>
        <charset val="204"/>
        <scheme val="minor"/>
      </rPr>
      <t>кедровое</t>
    </r>
    <r>
      <rPr>
        <sz val="10"/>
        <color theme="1"/>
        <rFont val="Calibri"/>
        <family val="2"/>
        <scheme val="minor"/>
      </rPr>
      <t xml:space="preserve"> №60</t>
    </r>
  </si>
  <si>
    <r>
      <t xml:space="preserve">Масло капсулированное </t>
    </r>
    <r>
      <rPr>
        <b/>
        <sz val="10"/>
        <color theme="1"/>
        <rFont val="Calibri"/>
        <family val="2"/>
        <charset val="204"/>
        <scheme val="minor"/>
      </rPr>
      <t>облепиховое</t>
    </r>
    <r>
      <rPr>
        <sz val="10"/>
        <color theme="1"/>
        <rFont val="Calibri"/>
        <family val="2"/>
        <scheme val="minor"/>
      </rPr>
      <t xml:space="preserve"> №100</t>
    </r>
  </si>
  <si>
    <r>
      <t xml:space="preserve">Масло капсулированное </t>
    </r>
    <r>
      <rPr>
        <b/>
        <sz val="10"/>
        <color theme="1"/>
        <rFont val="Calibri"/>
        <family val="2"/>
        <charset val="204"/>
        <scheme val="minor"/>
      </rPr>
      <t>расторопши</t>
    </r>
    <r>
      <rPr>
        <sz val="10"/>
        <color theme="1"/>
        <rFont val="Calibri"/>
        <family val="2"/>
        <scheme val="minor"/>
      </rPr>
      <t xml:space="preserve"> №200</t>
    </r>
  </si>
  <si>
    <r>
      <t xml:space="preserve">Масло капсулированное </t>
    </r>
    <r>
      <rPr>
        <b/>
        <sz val="10"/>
        <color theme="1"/>
        <rFont val="Calibri"/>
        <family val="2"/>
        <charset val="204"/>
        <scheme val="minor"/>
      </rPr>
      <t>тыквенное</t>
    </r>
    <r>
      <rPr>
        <sz val="10"/>
        <color theme="1"/>
        <rFont val="Calibri"/>
        <family val="2"/>
        <scheme val="minor"/>
      </rPr>
      <t xml:space="preserve"> №60</t>
    </r>
  </si>
  <si>
    <t>Крема и гели</t>
  </si>
  <si>
    <t>Капсулированные масла и жиры</t>
  </si>
  <si>
    <t>БАДы</t>
  </si>
  <si>
    <t>Региональный центр фиточаёв</t>
  </si>
  <si>
    <t xml:space="preserve">Масло Зародышей пшеницы жирное 30 мл </t>
  </si>
  <si>
    <t xml:space="preserve">Масло Корица эфирное  10 мл </t>
  </si>
  <si>
    <t xml:space="preserve">Масло Можжевельник эфирное  10 мл </t>
  </si>
  <si>
    <t>Масло Вербена эфирное 10мл</t>
  </si>
  <si>
    <t>Масло Грейпфрут эфирное  10мл</t>
  </si>
  <si>
    <t>Масло Жасмин эфирное  10мл</t>
  </si>
  <si>
    <t>Масло Имбирь Индийский эфирное 10мл</t>
  </si>
  <si>
    <t>Масло Лемонграсс эфирное 10мл</t>
  </si>
  <si>
    <t xml:space="preserve">Масло Лимон эфирное  10мл </t>
  </si>
  <si>
    <t xml:space="preserve">Масло Мандарин эфирное 10мл </t>
  </si>
  <si>
    <t>Масло Мелисса эфирное  10мл</t>
  </si>
  <si>
    <t xml:space="preserve">Масло Мята эфирное  10мл </t>
  </si>
  <si>
    <t>Масло Нероли эфирное  10мл</t>
  </si>
  <si>
    <t xml:space="preserve">Масло Пачули эфирное  10мл </t>
  </si>
  <si>
    <t>Масло Пихта эфирное  10мл</t>
  </si>
  <si>
    <t xml:space="preserve">Масло Роза натуральная эфирное 10мл </t>
  </si>
  <si>
    <t xml:space="preserve">Масло Розмарин эфирное  10мл </t>
  </si>
  <si>
    <t xml:space="preserve">Масло Розовое дерево эфирное  10мл </t>
  </si>
  <si>
    <t>Масло Сандаловое дерево эфирное  10мл</t>
  </si>
  <si>
    <t>Масло Сосна эфирное 10мл</t>
  </si>
  <si>
    <t xml:space="preserve">Масло Чайного  дерева эфирное 10 мл </t>
  </si>
  <si>
    <t>Масло Шалфей эфирное  10мл</t>
  </si>
  <si>
    <t xml:space="preserve">Масло Эвкалипт эфирное  10мл </t>
  </si>
  <si>
    <t xml:space="preserve">Масло Лаванда эфирное  10мл </t>
  </si>
  <si>
    <t xml:space="preserve">Масло Кедр эфирное  10мл </t>
  </si>
  <si>
    <t xml:space="preserve">Масло Иланг-иланг эфирное  10мл </t>
  </si>
  <si>
    <t xml:space="preserve">Масло Ель эфирное  10мл </t>
  </si>
  <si>
    <t xml:space="preserve">Масло Герань эфирное  10мл </t>
  </si>
  <si>
    <t xml:space="preserve">Масло Гвоздика эфирное  10мл </t>
  </si>
  <si>
    <t xml:space="preserve">Масло Бергамот эфирное  10мл </t>
  </si>
  <si>
    <t xml:space="preserve">Масло Апельсин эфирное  10мл </t>
  </si>
  <si>
    <t xml:space="preserve">Масло Шиповника из косточки жирное 30мл </t>
  </si>
  <si>
    <t xml:space="preserve">Масло Ши жирное 30мл </t>
  </si>
  <si>
    <t xml:space="preserve">Масло Персика из косточки жирное 30мл </t>
  </si>
  <si>
    <t>Масло Макадамия жирное 30мл</t>
  </si>
  <si>
    <t xml:space="preserve">Масло Лавра жирное 30мл </t>
  </si>
  <si>
    <t xml:space="preserve">Масло Конопли жирное 30мл </t>
  </si>
  <si>
    <t xml:space="preserve">Масло Кокоса жирное 30мл </t>
  </si>
  <si>
    <t xml:space="preserve">Масло Касторовое 100% жирное 30мл </t>
  </si>
  <si>
    <t xml:space="preserve">Масло Календулы 100% жирное 30мл </t>
  </si>
  <si>
    <t>Масло зверобоя 30мл</t>
  </si>
  <si>
    <t>Масло Жожоба жирное 30мл</t>
  </si>
  <si>
    <t xml:space="preserve">Масло Грецкого ореха жирное 30мл </t>
  </si>
  <si>
    <t xml:space="preserve">Масло Винограда из косточек жирное 30мл </t>
  </si>
  <si>
    <t xml:space="preserve">Масло Аргана железное дерево 30мл </t>
  </si>
  <si>
    <t xml:space="preserve">Масло Авокадо жирное 30мл </t>
  </si>
  <si>
    <t xml:space="preserve">Масло Абрикос из косточек жирное 30мл </t>
  </si>
  <si>
    <t>Быстрый поиск</t>
  </si>
  <si>
    <t>Алтын Бай</t>
  </si>
  <si>
    <t>Биопродукт Урбеч</t>
  </si>
  <si>
    <t>БиоФудЛаб BITE</t>
  </si>
  <si>
    <t>Ботаника Арома</t>
  </si>
  <si>
    <t>Веган Фуд (Vegan Food)</t>
  </si>
  <si>
    <t>Живая каша VITA</t>
  </si>
  <si>
    <t>Зеро (ZERO)</t>
  </si>
  <si>
    <t>Иван Да</t>
  </si>
  <si>
    <t>Изомальто (yummy jam)</t>
  </si>
  <si>
    <t>Купецкий Посадъ</t>
  </si>
  <si>
    <t>Молекола (Molecola)</t>
  </si>
  <si>
    <t>Новапродукт (Bionova, Ол Лайт)</t>
  </si>
  <si>
    <t>Предприятие МС (гималайская соль)</t>
  </si>
  <si>
    <t>Сибереко (Sibereco)</t>
  </si>
  <si>
    <t>Сибиский Кедр</t>
  </si>
  <si>
    <t>Сила Сибири - твердый мёд</t>
  </si>
  <si>
    <t>Спирулина-ТОР</t>
  </si>
  <si>
    <t>Тай Стайл (Thai Style)</t>
  </si>
  <si>
    <t>ТрансКэроб</t>
  </si>
  <si>
    <t>Фит Парад</t>
  </si>
  <si>
    <t>Флайчипсы (Арт-ам)</t>
  </si>
  <si>
    <t>Холи Корн (Holy Corn)</t>
  </si>
  <si>
    <t>Центр Фиточаев</t>
  </si>
  <si>
    <t>Эко про</t>
  </si>
  <si>
    <t>Эко Продукт</t>
  </si>
  <si>
    <t>Быстрый
поиск &gt;&gt;</t>
  </si>
  <si>
    <t>Минимальный квант 42шт</t>
  </si>
  <si>
    <t>акции</t>
  </si>
  <si>
    <t>Минимальный квант 16шт</t>
  </si>
  <si>
    <t>Минимальный квант 20шт</t>
  </si>
  <si>
    <t>Минимальный квант 10шт</t>
  </si>
  <si>
    <t>Минимальный квант 6шт</t>
  </si>
  <si>
    <t>Минимальный квант 30шт</t>
  </si>
  <si>
    <t>Минимальный квант 8шт</t>
  </si>
  <si>
    <t>Минимальный квант 15шт</t>
  </si>
  <si>
    <t>Минимальный квант 5шт</t>
  </si>
  <si>
    <t>Минимальный квант 18шт</t>
  </si>
  <si>
    <t>Минимальный квант 12шт</t>
  </si>
  <si>
    <t>Лён семена 40г</t>
  </si>
  <si>
    <r>
      <t xml:space="preserve">ФитПарад № 28 </t>
    </r>
    <r>
      <rPr>
        <b/>
        <sz val="10"/>
        <color theme="1"/>
        <rFont val="Calibri"/>
        <family val="2"/>
        <charset val="204"/>
        <scheme val="minor"/>
      </rPr>
      <t>Амаретто</t>
    </r>
    <r>
      <rPr>
        <sz val="10"/>
        <color theme="1"/>
        <rFont val="Calibri"/>
        <family val="2"/>
        <scheme val="minor"/>
      </rPr>
      <t xml:space="preserve"> (стики 100 шт) 50г</t>
    </r>
  </si>
  <si>
    <t>Мука пшеничная хлебопекарная Алтайская 1сорт 2кг</t>
  </si>
  <si>
    <t>Конфеты "Кедровый марципан" 170г</t>
  </si>
  <si>
    <t>Конфеты "Кедровый марципан" ассорти 170г</t>
  </si>
  <si>
    <t>Конфеты "Кедровый марципан" в шоколадной глазури крафт 200г</t>
  </si>
  <si>
    <r>
      <t>Иван-чай "</t>
    </r>
    <r>
      <rPr>
        <b/>
        <sz val="10"/>
        <color theme="1"/>
        <rFont val="Calibri"/>
        <family val="2"/>
        <charset val="204"/>
        <scheme val="minor"/>
      </rPr>
      <t>Батыр</t>
    </r>
    <r>
      <rPr>
        <sz val="10"/>
        <color theme="1"/>
        <rFont val="Calibri"/>
        <family val="2"/>
        <scheme val="minor"/>
      </rPr>
      <t>" (урологический) 100г</t>
    </r>
  </si>
  <si>
    <r>
      <t>Иван-чай "</t>
    </r>
    <r>
      <rPr>
        <b/>
        <sz val="10"/>
        <color theme="1"/>
        <rFont val="Calibri"/>
        <family val="2"/>
        <charset val="204"/>
        <scheme val="minor"/>
      </rPr>
      <t>Горные реки</t>
    </r>
    <r>
      <rPr>
        <sz val="10"/>
        <color theme="1"/>
        <rFont val="Calibri"/>
        <family val="2"/>
        <scheme val="minor"/>
      </rPr>
      <t>" (для сердца и сосудов) 100г</t>
    </r>
  </si>
  <si>
    <r>
      <t>Иван-чай "</t>
    </r>
    <r>
      <rPr>
        <b/>
        <sz val="10"/>
        <color theme="1"/>
        <rFont val="Calibri"/>
        <family val="2"/>
        <charset val="204"/>
        <scheme val="minor"/>
      </rPr>
      <t>Грация</t>
    </r>
    <r>
      <rPr>
        <sz val="10"/>
        <color theme="1"/>
        <rFont val="Calibri"/>
        <family val="2"/>
        <scheme val="minor"/>
      </rPr>
      <t>" (похудение) 100г</t>
    </r>
  </si>
  <si>
    <r>
      <t>Иван-чай "</t>
    </r>
    <r>
      <rPr>
        <b/>
        <sz val="10"/>
        <color theme="1"/>
        <rFont val="Calibri"/>
        <family val="2"/>
        <charset val="204"/>
        <scheme val="minor"/>
      </rPr>
      <t>Доброе утро</t>
    </r>
    <r>
      <rPr>
        <sz val="10"/>
        <color theme="1"/>
        <rFont val="Calibri"/>
        <family val="2"/>
        <scheme val="minor"/>
      </rPr>
      <t>" (иммунный) 100г</t>
    </r>
  </si>
  <si>
    <r>
      <t>Иван-чай "</t>
    </r>
    <r>
      <rPr>
        <b/>
        <sz val="10"/>
        <color theme="1"/>
        <rFont val="Calibri"/>
        <family val="2"/>
        <charset val="204"/>
        <scheme val="minor"/>
      </rPr>
      <t>Душевный вечер</t>
    </r>
    <r>
      <rPr>
        <sz val="10"/>
        <color theme="1"/>
        <rFont val="Calibri"/>
        <family val="2"/>
        <scheme val="minor"/>
      </rPr>
      <t>" (успокаивающий) 100г</t>
    </r>
  </si>
  <si>
    <r>
      <t>Иван-чай "</t>
    </r>
    <r>
      <rPr>
        <b/>
        <sz val="10"/>
        <color theme="1"/>
        <rFont val="Calibri"/>
        <family val="2"/>
        <charset val="204"/>
        <scheme val="minor"/>
      </rPr>
      <t>Золотая луна</t>
    </r>
    <r>
      <rPr>
        <sz val="10"/>
        <color theme="1"/>
        <rFont val="Calibri"/>
        <family val="2"/>
        <scheme val="minor"/>
      </rPr>
      <t>" (для женского здоровья) 100г</t>
    </r>
  </si>
  <si>
    <r>
      <t>Иван-чай "</t>
    </r>
    <r>
      <rPr>
        <b/>
        <sz val="10"/>
        <color theme="1"/>
        <rFont val="Calibri"/>
        <family val="2"/>
        <charset val="204"/>
        <scheme val="minor"/>
      </rPr>
      <t>Классический ароматный</t>
    </r>
    <r>
      <rPr>
        <sz val="10"/>
        <color theme="1"/>
        <rFont val="Calibri"/>
        <family val="2"/>
        <scheme val="minor"/>
      </rPr>
      <t>"  100г</t>
    </r>
  </si>
  <si>
    <r>
      <t>Иван-чай "</t>
    </r>
    <r>
      <rPr>
        <b/>
        <sz val="10"/>
        <color theme="1"/>
        <rFont val="Calibri"/>
        <family val="2"/>
        <charset val="204"/>
        <scheme val="minor"/>
      </rPr>
      <t>Летняя ночь</t>
    </r>
    <r>
      <rPr>
        <sz val="10"/>
        <color theme="1"/>
        <rFont val="Calibri"/>
        <family val="2"/>
        <scheme val="minor"/>
      </rPr>
      <t>" (общеукрепляющий) 100г</t>
    </r>
  </si>
  <si>
    <r>
      <t>Иван-чай "</t>
    </r>
    <r>
      <rPr>
        <b/>
        <sz val="10"/>
        <color theme="1"/>
        <rFont val="Calibri"/>
        <family val="2"/>
        <charset val="204"/>
        <scheme val="minor"/>
      </rPr>
      <t>Родниковый</t>
    </r>
    <r>
      <rPr>
        <sz val="10"/>
        <color theme="1"/>
        <rFont val="Calibri"/>
        <family val="2"/>
        <scheme val="minor"/>
      </rPr>
      <t>" (для почек) 100г</t>
    </r>
  </si>
  <si>
    <r>
      <t>Иван-чай "</t>
    </r>
    <r>
      <rPr>
        <b/>
        <sz val="10"/>
        <color theme="1"/>
        <rFont val="Calibri"/>
        <family val="2"/>
        <charset val="204"/>
        <scheme val="minor"/>
      </rPr>
      <t>Свободное дыхание</t>
    </r>
    <r>
      <rPr>
        <sz val="10"/>
        <color theme="1"/>
        <rFont val="Calibri"/>
        <family val="2"/>
        <scheme val="minor"/>
      </rPr>
      <t>" (противопростудный) 100г</t>
    </r>
  </si>
  <si>
    <r>
      <t>Иван-чай "</t>
    </r>
    <r>
      <rPr>
        <b/>
        <sz val="10"/>
        <color theme="1"/>
        <rFont val="Calibri"/>
        <family val="2"/>
        <charset val="204"/>
        <scheme val="minor"/>
      </rPr>
      <t>Снежние вершины</t>
    </r>
    <r>
      <rPr>
        <sz val="10"/>
        <color theme="1"/>
        <rFont val="Calibri"/>
        <family val="2"/>
        <scheme val="minor"/>
      </rPr>
      <t>" (желудочно-кишечный) 100г</t>
    </r>
  </si>
  <si>
    <r>
      <t>Иван-чай "</t>
    </r>
    <r>
      <rPr>
        <b/>
        <sz val="10"/>
        <color theme="1"/>
        <rFont val="Calibri"/>
        <family val="2"/>
        <charset val="204"/>
        <scheme val="minor"/>
      </rPr>
      <t>Солнечный</t>
    </r>
    <r>
      <rPr>
        <sz val="10"/>
        <color theme="1"/>
        <rFont val="Calibri"/>
        <family val="2"/>
        <scheme val="minor"/>
      </rPr>
      <t>" (для печени и желч пузыря) 100г</t>
    </r>
  </si>
  <si>
    <r>
      <t>Иван-чай "</t>
    </r>
    <r>
      <rPr>
        <b/>
        <sz val="10"/>
        <color theme="1"/>
        <rFont val="Calibri"/>
        <family val="2"/>
        <charset val="204"/>
        <scheme val="minor"/>
      </rPr>
      <t>Ягодка</t>
    </r>
    <r>
      <rPr>
        <sz val="10"/>
        <color theme="1"/>
        <rFont val="Calibri"/>
        <family val="2"/>
        <scheme val="minor"/>
      </rPr>
      <t>" (витаминный) 100г</t>
    </r>
  </si>
  <si>
    <r>
      <t>Фитозапарка "</t>
    </r>
    <r>
      <rPr>
        <b/>
        <sz val="10"/>
        <color theme="1"/>
        <rFont val="Calibri"/>
        <family val="2"/>
        <charset val="204"/>
        <scheme val="minor"/>
      </rPr>
      <t>Антистресс</t>
    </r>
    <r>
      <rPr>
        <sz val="10"/>
        <color theme="1"/>
        <rFont val="Calibri"/>
        <family val="2"/>
        <scheme val="minor"/>
      </rPr>
      <t>" 30г</t>
    </r>
  </si>
  <si>
    <r>
      <t>Фитозапарка "</t>
    </r>
    <r>
      <rPr>
        <b/>
        <sz val="10"/>
        <color theme="1"/>
        <rFont val="Calibri"/>
        <family val="2"/>
        <charset val="204"/>
        <scheme val="minor"/>
      </rPr>
      <t>Свободное дыхание</t>
    </r>
    <r>
      <rPr>
        <sz val="10"/>
        <color theme="1"/>
        <rFont val="Calibri"/>
        <family val="2"/>
        <scheme val="minor"/>
      </rPr>
      <t>" 30г</t>
    </r>
  </si>
  <si>
    <t>Шунгит Природный целитель кремень 10г</t>
  </si>
  <si>
    <t>Шунгит Природный целитель кремниевый 50г</t>
  </si>
  <si>
    <t>Шунгит Природный целитель сорбент 150г</t>
  </si>
  <si>
    <r>
      <t xml:space="preserve">Крем для ног АЖ и </t>
    </r>
    <r>
      <rPr>
        <b/>
        <sz val="10"/>
        <color theme="1"/>
        <rFont val="Calibri"/>
        <family val="2"/>
        <charset val="204"/>
        <scheme val="minor"/>
      </rPr>
      <t>Золотой УС</t>
    </r>
    <r>
      <rPr>
        <sz val="10"/>
        <color theme="1"/>
        <rFont val="Calibri"/>
        <family val="2"/>
        <scheme val="minor"/>
      </rPr>
      <t xml:space="preserve"> (от пяточной шпоры) Усиленный. 75мл</t>
    </r>
  </si>
  <si>
    <r>
      <t xml:space="preserve">Крем для ног АЖ и </t>
    </r>
    <r>
      <rPr>
        <b/>
        <sz val="10"/>
        <color theme="1"/>
        <rFont val="Calibri"/>
        <family val="2"/>
        <charset val="204"/>
        <scheme val="minor"/>
      </rPr>
      <t>Лавр</t>
    </r>
    <r>
      <rPr>
        <sz val="10"/>
        <color theme="1"/>
        <rFont val="Calibri"/>
        <family val="2"/>
        <scheme val="minor"/>
      </rPr>
      <t xml:space="preserve"> (Шишка стоп) 20мл</t>
    </r>
  </si>
  <si>
    <r>
      <t xml:space="preserve">Крем для ног АЖ и </t>
    </r>
    <r>
      <rPr>
        <b/>
        <sz val="10"/>
        <color theme="1"/>
        <rFont val="Calibri"/>
        <family val="2"/>
        <charset val="204"/>
        <scheme val="minor"/>
      </rPr>
      <t>Лавр</t>
    </r>
    <r>
      <rPr>
        <sz val="10"/>
        <color theme="1"/>
        <rFont val="Calibri"/>
        <family val="2"/>
        <scheme val="minor"/>
      </rPr>
      <t xml:space="preserve"> (Шишка стоп) Усиленный. 75мл</t>
    </r>
  </si>
  <si>
    <r>
      <t xml:space="preserve">Крем для ног АЖ и </t>
    </r>
    <r>
      <rPr>
        <b/>
        <sz val="10"/>
        <color theme="1"/>
        <rFont val="Calibri"/>
        <family val="2"/>
        <charset val="204"/>
        <scheme val="minor"/>
      </rPr>
      <t>Лесной орех</t>
    </r>
    <r>
      <rPr>
        <sz val="10"/>
        <color theme="1"/>
        <rFont val="Calibri"/>
        <family val="2"/>
        <scheme val="minor"/>
      </rPr>
      <t xml:space="preserve"> (при варикозном расширении вен) 75мл</t>
    </r>
  </si>
  <si>
    <r>
      <t xml:space="preserve">Крем для ног АЖ и </t>
    </r>
    <r>
      <rPr>
        <b/>
        <sz val="10"/>
        <color theme="1"/>
        <rFont val="Calibri"/>
        <family val="2"/>
        <charset val="204"/>
        <scheme val="minor"/>
      </rPr>
      <t>Облепиха</t>
    </r>
    <r>
      <rPr>
        <sz val="10"/>
        <color theme="1"/>
        <rFont val="Calibri"/>
        <family val="2"/>
        <scheme val="minor"/>
      </rPr>
      <t xml:space="preserve"> (от трещин на пятках и ступнях) 75мл</t>
    </r>
  </si>
  <si>
    <r>
      <t xml:space="preserve">Крем для ног АЖ и </t>
    </r>
    <r>
      <rPr>
        <b/>
        <sz val="10"/>
        <color theme="1"/>
        <rFont val="Calibri"/>
        <family val="2"/>
        <charset val="204"/>
        <scheme val="minor"/>
      </rPr>
      <t>Пиявка</t>
    </r>
    <r>
      <rPr>
        <sz val="10"/>
        <color theme="1"/>
        <rFont val="Calibri"/>
        <family val="2"/>
        <scheme val="minor"/>
      </rPr>
      <t xml:space="preserve"> с охлаждающим эффектом тонизирующий 75мл</t>
    </r>
  </si>
  <si>
    <r>
      <t xml:space="preserve">Крем для ног АЖ с </t>
    </r>
    <r>
      <rPr>
        <b/>
        <sz val="10"/>
        <color theme="1"/>
        <rFont val="Calibri"/>
        <family val="2"/>
        <charset val="204"/>
        <scheme val="minor"/>
      </rPr>
      <t>Бархотом амурским</t>
    </r>
    <r>
      <rPr>
        <sz val="10"/>
        <color theme="1"/>
        <rFont val="Calibri"/>
        <family val="2"/>
        <scheme val="minor"/>
      </rPr>
      <t xml:space="preserve"> от грибка и потливости 75 мл</t>
    </r>
  </si>
  <si>
    <r>
      <t xml:space="preserve">Крем для ног АЖ с </t>
    </r>
    <r>
      <rPr>
        <b/>
        <sz val="10"/>
        <color theme="1"/>
        <rFont val="Calibri"/>
        <family val="2"/>
        <charset val="204"/>
        <scheme val="minor"/>
      </rPr>
      <t>Конским коштаном</t>
    </r>
    <r>
      <rPr>
        <sz val="10"/>
        <color theme="1"/>
        <rFont val="Calibri"/>
        <family val="2"/>
        <scheme val="minor"/>
      </rPr>
      <t xml:space="preserve"> и корой ивы -антиварикоз 75мл</t>
    </r>
  </si>
  <si>
    <r>
      <t xml:space="preserve">Крем для рук АЖ и </t>
    </r>
    <r>
      <rPr>
        <b/>
        <sz val="10"/>
        <color theme="1"/>
        <rFont val="Calibri"/>
        <family val="2"/>
        <charset val="204"/>
        <scheme val="minor"/>
      </rPr>
      <t>Полынь</t>
    </r>
    <r>
      <rPr>
        <sz val="10"/>
        <color theme="1"/>
        <rFont val="Calibri"/>
        <family val="2"/>
        <scheme val="minor"/>
      </rPr>
      <t xml:space="preserve"> (от боли в руках-синдром запястного канала) 75мл</t>
    </r>
  </si>
  <si>
    <r>
      <t xml:space="preserve">Маска АЖ и </t>
    </r>
    <r>
      <rPr>
        <b/>
        <sz val="10"/>
        <color theme="1"/>
        <rFont val="Calibri"/>
        <family val="2"/>
        <charset val="204"/>
        <scheme val="minor"/>
      </rPr>
      <t>алоэ</t>
    </r>
    <r>
      <rPr>
        <sz val="10"/>
        <color theme="1"/>
        <rFont val="Calibri"/>
        <family val="2"/>
        <scheme val="minor"/>
      </rPr>
      <t xml:space="preserve"> для лица и шеи для зрелой кожи</t>
    </r>
  </si>
  <si>
    <r>
      <t xml:space="preserve">Маска АЖ и </t>
    </r>
    <r>
      <rPr>
        <b/>
        <sz val="10"/>
        <color theme="1"/>
        <rFont val="Calibri"/>
        <family val="2"/>
        <charset val="204"/>
        <scheme val="minor"/>
      </rPr>
      <t>ананас</t>
    </r>
    <r>
      <rPr>
        <sz val="10"/>
        <color theme="1"/>
        <rFont val="Calibri"/>
        <family val="2"/>
        <scheme val="minor"/>
      </rPr>
      <t xml:space="preserve"> биопилинг и питание д/чувств.кожи эластин-коллагеновая</t>
    </r>
  </si>
  <si>
    <r>
      <t xml:space="preserve">Маска АЖ и </t>
    </r>
    <r>
      <rPr>
        <b/>
        <sz val="10"/>
        <color theme="1"/>
        <rFont val="Calibri"/>
        <family val="2"/>
        <charset val="204"/>
        <scheme val="minor"/>
      </rPr>
      <t>арбуз</t>
    </r>
    <r>
      <rPr>
        <sz val="10"/>
        <color theme="1"/>
        <rFont val="Calibri"/>
        <family val="2"/>
        <scheme val="minor"/>
      </rPr>
      <t xml:space="preserve"> "экспресс" освежающая эластин-коллагеновая</t>
    </r>
  </si>
  <si>
    <r>
      <t xml:space="preserve">Маска АЖ и </t>
    </r>
    <r>
      <rPr>
        <b/>
        <sz val="10"/>
        <color theme="1"/>
        <rFont val="Calibri"/>
        <family val="2"/>
        <charset val="204"/>
        <scheme val="minor"/>
      </rPr>
      <t>дыня</t>
    </r>
    <r>
      <rPr>
        <sz val="10"/>
        <color theme="1"/>
        <rFont val="Calibri"/>
        <family val="2"/>
        <scheme val="minor"/>
      </rPr>
      <t xml:space="preserve"> от носогубных складок с эфф.ботокса эластин-коллагеновая</t>
    </r>
  </si>
  <si>
    <r>
      <t xml:space="preserve">Маска АЖ и </t>
    </r>
    <r>
      <rPr>
        <b/>
        <sz val="10"/>
        <color theme="1"/>
        <rFont val="Calibri"/>
        <family val="2"/>
        <charset val="204"/>
        <scheme val="minor"/>
      </rPr>
      <t>женьшень</t>
    </r>
    <r>
      <rPr>
        <sz val="10"/>
        <color theme="1"/>
        <rFont val="Calibri"/>
        <family val="2"/>
        <scheme val="minor"/>
      </rPr>
      <t xml:space="preserve"> для возрастной уставшей кожи лица и декольте</t>
    </r>
  </si>
  <si>
    <r>
      <t xml:space="preserve">Маска АЖ и </t>
    </r>
    <r>
      <rPr>
        <b/>
        <sz val="10"/>
        <color theme="1"/>
        <rFont val="Calibri"/>
        <family val="2"/>
        <charset val="204"/>
        <scheme val="minor"/>
      </rPr>
      <t>жожоба</t>
    </r>
    <r>
      <rPr>
        <sz val="10"/>
        <color theme="1"/>
        <rFont val="Calibri"/>
        <family val="2"/>
        <scheme val="minor"/>
      </rPr>
      <t xml:space="preserve"> Омолаживающая, активный лифтинг</t>
    </r>
  </si>
  <si>
    <r>
      <t xml:space="preserve">Маска АЖ и </t>
    </r>
    <r>
      <rPr>
        <b/>
        <sz val="10"/>
        <color theme="1"/>
        <rFont val="Calibri"/>
        <family val="2"/>
        <charset val="204"/>
        <scheme val="minor"/>
      </rPr>
      <t>зеленый чай</t>
    </r>
    <r>
      <rPr>
        <sz val="10"/>
        <color theme="1"/>
        <rFont val="Calibri"/>
        <family val="2"/>
        <scheme val="minor"/>
      </rPr>
      <t xml:space="preserve"> от морщин</t>
    </r>
  </si>
  <si>
    <r>
      <t xml:space="preserve">Маска АЖ и </t>
    </r>
    <r>
      <rPr>
        <b/>
        <sz val="10"/>
        <color theme="1"/>
        <rFont val="Calibri"/>
        <family val="2"/>
        <charset val="204"/>
        <scheme val="minor"/>
      </rPr>
      <t>йогурт</t>
    </r>
    <r>
      <rPr>
        <sz val="10"/>
        <color theme="1"/>
        <rFont val="Calibri"/>
        <family val="2"/>
        <scheme val="minor"/>
      </rPr>
      <t xml:space="preserve"> омолаживающая эластин-коллагеновая</t>
    </r>
  </si>
  <si>
    <r>
      <t xml:space="preserve">Маска АЖ и </t>
    </r>
    <r>
      <rPr>
        <b/>
        <sz val="10"/>
        <color theme="1"/>
        <rFont val="Calibri"/>
        <family val="2"/>
        <charset val="204"/>
        <scheme val="minor"/>
      </rPr>
      <t>ламинария</t>
    </r>
    <r>
      <rPr>
        <sz val="10"/>
        <color theme="1"/>
        <rFont val="Calibri"/>
        <family val="2"/>
        <scheme val="minor"/>
      </rPr>
      <t xml:space="preserve"> от морщин и отеков в области глаз</t>
    </r>
  </si>
  <si>
    <r>
      <t xml:space="preserve">Маска АЖ и </t>
    </r>
    <r>
      <rPr>
        <b/>
        <sz val="10"/>
        <color theme="1"/>
        <rFont val="Calibri"/>
        <family val="2"/>
        <charset val="204"/>
        <scheme val="minor"/>
      </rPr>
      <t>петрушка</t>
    </r>
    <r>
      <rPr>
        <sz val="10"/>
        <color theme="1"/>
        <rFont val="Calibri"/>
        <family val="2"/>
        <scheme val="minor"/>
      </rPr>
      <t xml:space="preserve"> для утомл.кожи от темных кругов и мешков под глазами</t>
    </r>
  </si>
  <si>
    <r>
      <t xml:space="preserve">Маска АЖ и с </t>
    </r>
    <r>
      <rPr>
        <b/>
        <sz val="10"/>
        <color theme="1"/>
        <rFont val="Calibri"/>
        <family val="2"/>
        <charset val="204"/>
        <scheme val="minor"/>
      </rPr>
      <t>календулой</t>
    </r>
    <r>
      <rPr>
        <sz val="10"/>
        <color theme="1"/>
        <rFont val="Calibri"/>
        <family val="2"/>
        <scheme val="minor"/>
      </rPr>
      <t xml:space="preserve"> от юношеских угрей и прыщей</t>
    </r>
  </si>
  <si>
    <r>
      <t xml:space="preserve">Маска АЖ и </t>
    </r>
    <r>
      <rPr>
        <b/>
        <sz val="10"/>
        <color theme="1"/>
        <rFont val="Calibri"/>
        <family val="2"/>
        <charset val="204"/>
        <scheme val="minor"/>
      </rPr>
      <t>фукус</t>
    </r>
    <r>
      <rPr>
        <sz val="10"/>
        <color theme="1"/>
        <rFont val="Calibri"/>
        <family val="2"/>
        <scheme val="minor"/>
      </rPr>
      <t xml:space="preserve"> Ультралифтинг для лица и шеи, от двойного подбородка</t>
    </r>
  </si>
  <si>
    <t>рыбий жир из печени трески, желатиновая масса (вода, желатин, пластификатор (глицерин), консервант (сорбат калия))</t>
  </si>
  <si>
    <t xml:space="preserve">масло льняное пищевое нерафинированное с растительным экстрактом облепихи, желатин пищевой </t>
  </si>
  <si>
    <t>Масло льняное "Компас Здоровья" Se Cr Si 200мл</t>
  </si>
  <si>
    <t>Масло льняное "Компас Здоровья" Se Cr Si 500мл</t>
  </si>
  <si>
    <r>
      <t xml:space="preserve">Мюсли порционные Bionova </t>
    </r>
    <r>
      <rPr>
        <b/>
        <sz val="10"/>
        <color theme="1"/>
        <rFont val="Calibri"/>
        <family val="2"/>
        <charset val="204"/>
        <scheme val="minor"/>
      </rPr>
      <t>тропические</t>
    </r>
    <r>
      <rPr>
        <sz val="10"/>
        <color theme="1"/>
        <rFont val="Calibri"/>
        <family val="2"/>
        <scheme val="minor"/>
      </rPr>
      <t>60г</t>
    </r>
  </si>
  <si>
    <r>
      <t xml:space="preserve">Мюсли порционные Bionova </t>
    </r>
    <r>
      <rPr>
        <b/>
        <sz val="10"/>
        <color theme="1"/>
        <rFont val="Calibri"/>
        <family val="2"/>
        <charset val="204"/>
        <scheme val="minor"/>
      </rPr>
      <t>шоколадные</t>
    </r>
    <r>
      <rPr>
        <sz val="10"/>
        <color theme="1"/>
        <rFont val="Calibri"/>
        <family val="2"/>
        <scheme val="minor"/>
      </rPr>
      <t xml:space="preserve"> 60г</t>
    </r>
  </si>
  <si>
    <r>
      <t xml:space="preserve">Мюсли порционные Bionova </t>
    </r>
    <r>
      <rPr>
        <b/>
        <sz val="10"/>
        <color theme="1"/>
        <rFont val="Calibri"/>
        <family val="2"/>
        <charset val="204"/>
        <scheme val="minor"/>
      </rPr>
      <t>шоколадные с клубникой и бананом</t>
    </r>
    <r>
      <rPr>
        <sz val="10"/>
        <color theme="1"/>
        <rFont val="Calibri"/>
        <family val="2"/>
        <scheme val="minor"/>
      </rPr>
      <t xml:space="preserve"> 60г</t>
    </r>
  </si>
  <si>
    <r>
      <t xml:space="preserve">Мюсли порционные Bionova </t>
    </r>
    <r>
      <rPr>
        <b/>
        <sz val="10"/>
        <color theme="1"/>
        <rFont val="Calibri"/>
        <family val="2"/>
        <charset val="204"/>
        <scheme val="minor"/>
      </rPr>
      <t>яблочные</t>
    </r>
    <r>
      <rPr>
        <sz val="10"/>
        <color theme="1"/>
        <rFont val="Calibri"/>
        <family val="2"/>
        <scheme val="minor"/>
      </rPr>
      <t xml:space="preserve"> 60г</t>
    </r>
  </si>
  <si>
    <r>
      <t xml:space="preserve">Мюсли порционные Bionova </t>
    </r>
    <r>
      <rPr>
        <b/>
        <sz val="10"/>
        <color theme="1"/>
        <rFont val="Calibri"/>
        <family val="2"/>
        <charset val="204"/>
        <scheme val="minor"/>
      </rPr>
      <t xml:space="preserve">ягодные </t>
    </r>
    <r>
      <rPr>
        <sz val="10"/>
        <color theme="1"/>
        <rFont val="Calibri"/>
        <family val="2"/>
        <charset val="204"/>
        <scheme val="minor"/>
      </rPr>
      <t>6</t>
    </r>
    <r>
      <rPr>
        <sz val="10"/>
        <color theme="1"/>
        <rFont val="Calibri"/>
        <family val="2"/>
        <scheme val="minor"/>
      </rPr>
      <t>0г</t>
    </r>
  </si>
  <si>
    <t>Мармелад, пастила</t>
  </si>
  <si>
    <r>
      <t xml:space="preserve">Хлопья </t>
    </r>
    <r>
      <rPr>
        <b/>
        <sz val="10"/>
        <color theme="1"/>
        <rFont val="Calibri"/>
        <family val="2"/>
        <charset val="204"/>
        <scheme val="minor"/>
      </rPr>
      <t xml:space="preserve">чечевичные </t>
    </r>
    <r>
      <rPr>
        <sz val="10"/>
        <color theme="1"/>
        <rFont val="Calibri"/>
        <family val="2"/>
        <scheme val="minor"/>
      </rPr>
      <t>пророщенные без варки "Душа зерна" 250г</t>
    </r>
  </si>
  <si>
    <r>
      <t xml:space="preserve">Хлопья </t>
    </r>
    <r>
      <rPr>
        <b/>
        <sz val="10"/>
        <color theme="1"/>
        <rFont val="Calibri"/>
        <family val="2"/>
        <charset val="204"/>
        <scheme val="minor"/>
      </rPr>
      <t>полбяные</t>
    </r>
    <r>
      <rPr>
        <sz val="10"/>
        <color theme="1"/>
        <rFont val="Calibri"/>
        <family val="2"/>
        <scheme val="minor"/>
      </rPr>
      <t xml:space="preserve"> пророщенные без варки "Душа зерна" 250г</t>
    </r>
  </si>
  <si>
    <r>
      <t xml:space="preserve">Сушки </t>
    </r>
    <r>
      <rPr>
        <b/>
        <sz val="10"/>
        <color theme="1"/>
        <rFont val="Calibri"/>
        <family val="2"/>
        <charset val="204"/>
        <scheme val="minor"/>
      </rPr>
      <t>льняные</t>
    </r>
    <r>
      <rPr>
        <sz val="10"/>
        <color theme="1"/>
        <rFont val="Calibri"/>
        <family val="2"/>
        <scheme val="minor"/>
      </rPr>
      <t xml:space="preserve"> ц\з на закваске </t>
    </r>
    <r>
      <rPr>
        <sz val="10"/>
        <color theme="1"/>
        <rFont val="Calibri"/>
        <family val="2"/>
        <charset val="204"/>
        <scheme val="minor"/>
      </rPr>
      <t>на фруктозе</t>
    </r>
    <r>
      <rPr>
        <sz val="10"/>
        <color theme="1"/>
        <rFont val="Calibri"/>
        <family val="2"/>
        <scheme val="minor"/>
      </rPr>
      <t xml:space="preserve"> 150г</t>
    </r>
  </si>
  <si>
    <r>
      <t xml:space="preserve">Сушки </t>
    </r>
    <r>
      <rPr>
        <b/>
        <sz val="10"/>
        <color theme="1"/>
        <rFont val="Calibri"/>
        <family val="2"/>
        <charset val="204"/>
        <scheme val="minor"/>
      </rPr>
      <t>медовые</t>
    </r>
    <r>
      <rPr>
        <sz val="10"/>
        <color theme="1"/>
        <rFont val="Calibri"/>
        <family val="2"/>
        <scheme val="minor"/>
      </rPr>
      <t xml:space="preserve"> на закваске </t>
    </r>
    <r>
      <rPr>
        <sz val="10"/>
        <color theme="1"/>
        <rFont val="Calibri"/>
        <family val="2"/>
        <charset val="204"/>
        <scheme val="minor"/>
      </rPr>
      <t>без сахара</t>
    </r>
    <r>
      <rPr>
        <b/>
        <sz val="10"/>
        <color theme="1"/>
        <rFont val="Calibri"/>
        <family val="2"/>
        <charset val="204"/>
        <scheme val="minor"/>
      </rPr>
      <t xml:space="preserve"> </t>
    </r>
    <r>
      <rPr>
        <sz val="10"/>
        <color theme="1"/>
        <rFont val="Calibri"/>
        <family val="2"/>
        <scheme val="minor"/>
      </rPr>
      <t>150г</t>
    </r>
  </si>
  <si>
    <r>
      <t xml:space="preserve">Сушки </t>
    </r>
    <r>
      <rPr>
        <b/>
        <sz val="10"/>
        <color theme="1"/>
        <rFont val="Calibri"/>
        <family val="2"/>
        <charset val="204"/>
        <scheme val="minor"/>
      </rPr>
      <t>морковные</t>
    </r>
    <r>
      <rPr>
        <sz val="10"/>
        <color theme="1"/>
        <rFont val="Calibri"/>
        <family val="2"/>
        <scheme val="minor"/>
      </rPr>
      <t xml:space="preserve"> ц\з на закваске</t>
    </r>
    <r>
      <rPr>
        <sz val="10"/>
        <color theme="1"/>
        <rFont val="Calibri"/>
        <family val="2"/>
        <charset val="204"/>
        <scheme val="minor"/>
      </rPr>
      <t xml:space="preserve"> на фруктозе </t>
    </r>
    <r>
      <rPr>
        <sz val="10"/>
        <color theme="1"/>
        <rFont val="Calibri"/>
        <family val="2"/>
        <scheme val="minor"/>
      </rPr>
      <t>150г</t>
    </r>
  </si>
  <si>
    <r>
      <t xml:space="preserve">Сушки </t>
    </r>
    <r>
      <rPr>
        <b/>
        <sz val="10"/>
        <color theme="1"/>
        <rFont val="Calibri"/>
        <family val="2"/>
        <charset val="204"/>
        <scheme val="minor"/>
      </rPr>
      <t>пшеничный</t>
    </r>
    <r>
      <rPr>
        <sz val="10"/>
        <color theme="1"/>
        <rFont val="Calibri"/>
        <family val="2"/>
        <scheme val="minor"/>
      </rPr>
      <t xml:space="preserve"> </t>
    </r>
    <r>
      <rPr>
        <b/>
        <sz val="10"/>
        <color theme="1"/>
        <rFont val="Calibri"/>
        <family val="2"/>
        <charset val="204"/>
        <scheme val="minor"/>
      </rPr>
      <t>ванильные</t>
    </r>
    <r>
      <rPr>
        <sz val="10"/>
        <color theme="1"/>
        <rFont val="Calibri"/>
        <family val="2"/>
        <scheme val="minor"/>
      </rPr>
      <t xml:space="preserve"> с корицей </t>
    </r>
    <r>
      <rPr>
        <sz val="10"/>
        <color theme="1"/>
        <rFont val="Calibri"/>
        <family val="2"/>
        <charset val="204"/>
        <scheme val="minor"/>
      </rPr>
      <t>на фруктозе</t>
    </r>
    <r>
      <rPr>
        <sz val="10"/>
        <color theme="1"/>
        <rFont val="Calibri"/>
        <family val="2"/>
        <scheme val="minor"/>
      </rPr>
      <t xml:space="preserve"> 150г</t>
    </r>
  </si>
  <si>
    <r>
      <t xml:space="preserve">Сушки </t>
    </r>
    <r>
      <rPr>
        <b/>
        <sz val="10"/>
        <color theme="1"/>
        <rFont val="Calibri"/>
        <family val="2"/>
        <charset val="204"/>
        <scheme val="minor"/>
      </rPr>
      <t>чесночные</t>
    </r>
    <r>
      <rPr>
        <sz val="10"/>
        <color theme="1"/>
        <rFont val="Calibri"/>
        <family val="2"/>
        <scheme val="minor"/>
      </rPr>
      <t xml:space="preserve"> ц\з на закваске без сахара 150г</t>
    </r>
  </si>
  <si>
    <t>Каша льняная без добавок дой-пак 300г</t>
  </si>
  <si>
    <t>кунжут</t>
  </si>
  <si>
    <t>пшеница</t>
  </si>
  <si>
    <t>тывкенные семена очищенные</t>
  </si>
  <si>
    <t>Новинка</t>
  </si>
  <si>
    <t>Клетчатка и мука</t>
  </si>
  <si>
    <t>эритрит, стевиозид,инулин</t>
  </si>
  <si>
    <t>эритрит, сукралоза</t>
  </si>
  <si>
    <t>Завтраки, палочки, печенье, подушечки</t>
  </si>
  <si>
    <t>Печенье, соломка, сухари, хлебцы</t>
  </si>
  <si>
    <t>Чагочай и саган-дайля 100г</t>
  </si>
  <si>
    <t>Чагочай и смородина 100г</t>
  </si>
  <si>
    <t>Чагочай нежный мятный 100г</t>
  </si>
  <si>
    <t>Чагочай с чабрецом 100г</t>
  </si>
  <si>
    <t>чага берёзовая (Inonotus Obliquus), лист смородины чёрной (Ribes nigrum)</t>
  </si>
  <si>
    <t>чага берёзовая (Inonotus Obliquus), лист мяты перечной (Méntha piperíta)</t>
  </si>
  <si>
    <t>Молоко кокосовое Chaokoh lite  ж.б. 400мл</t>
  </si>
  <si>
    <t>Вода кокосовая без сахара King island 250мл</t>
  </si>
  <si>
    <t>Вода кокосовая без сахара King island 500мл</t>
  </si>
  <si>
    <t>Масло кокосовое раф. 100% roi thai 1000мл</t>
  </si>
  <si>
    <t>Молоко кокосовое Chaokoh 65мл</t>
  </si>
  <si>
    <t>Молоко кокосовое Chaokoh 250мл</t>
  </si>
  <si>
    <t xml:space="preserve">Рис жасминовый тайский Asanee 1000г </t>
  </si>
  <si>
    <t>Рис коричневый тайский Ivory 1000г</t>
  </si>
  <si>
    <t>Сливки кокосовые Chaokoh 250 мл</t>
  </si>
  <si>
    <t>Суп Том Ка Roi thai 250мл</t>
  </si>
  <si>
    <t>Суп Том Ям с кокосовым молоком Roi thai 250мл</t>
  </si>
  <si>
    <t>Бульон на травах (вода, лемонтрасс, имбирь-галангал, лaйм - кафир, шалот, чили) кокосовое мопоко, рыбный соус, сахар, сок лайма .</t>
  </si>
  <si>
    <t xml:space="preserve">Бульон на травах (вода, имбирь-галангал, лaйм - кафир, шалот, чили), кокосовое мопоко, рыбный соус, сахар,  чили - паста , соль.
</t>
  </si>
  <si>
    <t>Тайланд</t>
  </si>
  <si>
    <t>топинамбур, вода</t>
  </si>
  <si>
    <r>
      <t>Смоква Яблочно-</t>
    </r>
    <r>
      <rPr>
        <b/>
        <sz val="10"/>
        <color theme="1"/>
        <rFont val="Calibri"/>
        <family val="2"/>
        <charset val="204"/>
        <scheme val="minor"/>
      </rPr>
      <t xml:space="preserve">абрикосовая </t>
    </r>
    <r>
      <rPr>
        <sz val="10"/>
        <color theme="1"/>
        <rFont val="Calibri"/>
        <family val="2"/>
        <scheme val="minor"/>
      </rPr>
      <t>30г</t>
    </r>
  </si>
  <si>
    <r>
      <t>Смоква Яблочно-</t>
    </r>
    <r>
      <rPr>
        <b/>
        <sz val="10"/>
        <color theme="1"/>
        <rFont val="Calibri"/>
        <family val="2"/>
        <charset val="204"/>
        <scheme val="minor"/>
      </rPr>
      <t>брусничная</t>
    </r>
    <r>
      <rPr>
        <sz val="10"/>
        <color theme="1"/>
        <rFont val="Calibri"/>
        <family val="2"/>
        <scheme val="minor"/>
      </rPr>
      <t xml:space="preserve"> 30г</t>
    </r>
  </si>
  <si>
    <r>
      <t>Смоква Яблочно-</t>
    </r>
    <r>
      <rPr>
        <b/>
        <sz val="10"/>
        <color theme="1"/>
        <rFont val="Calibri"/>
        <family val="2"/>
        <charset val="204"/>
        <scheme val="minor"/>
      </rPr>
      <t>вишневая</t>
    </r>
    <r>
      <rPr>
        <sz val="10"/>
        <color theme="1"/>
        <rFont val="Calibri"/>
        <family val="2"/>
        <scheme val="minor"/>
      </rPr>
      <t xml:space="preserve"> 30г</t>
    </r>
  </si>
  <si>
    <r>
      <t>Смоква Яблочно-</t>
    </r>
    <r>
      <rPr>
        <b/>
        <sz val="10"/>
        <color theme="1"/>
        <rFont val="Calibri"/>
        <family val="2"/>
        <charset val="204"/>
        <scheme val="minor"/>
      </rPr>
      <t>клубничная</t>
    </r>
    <r>
      <rPr>
        <sz val="10"/>
        <color theme="1"/>
        <rFont val="Calibri"/>
        <family val="2"/>
        <scheme val="minor"/>
      </rPr>
      <t xml:space="preserve"> 30г</t>
    </r>
  </si>
  <si>
    <r>
      <t>Смоква Яблочно-</t>
    </r>
    <r>
      <rPr>
        <b/>
        <sz val="10"/>
        <color theme="1"/>
        <rFont val="Calibri"/>
        <family val="2"/>
        <charset val="204"/>
        <scheme val="minor"/>
      </rPr>
      <t>клюквенная</t>
    </r>
    <r>
      <rPr>
        <sz val="10"/>
        <color theme="1"/>
        <rFont val="Calibri"/>
        <family val="2"/>
        <scheme val="minor"/>
      </rPr>
      <t xml:space="preserve"> 30г</t>
    </r>
  </si>
  <si>
    <r>
      <t>Смоква Яблочно-</t>
    </r>
    <r>
      <rPr>
        <b/>
        <sz val="10"/>
        <color theme="1"/>
        <rFont val="Calibri"/>
        <family val="2"/>
        <charset val="204"/>
        <scheme val="minor"/>
      </rPr>
      <t>малиновая</t>
    </r>
    <r>
      <rPr>
        <sz val="10"/>
        <color theme="1"/>
        <rFont val="Calibri"/>
        <family val="2"/>
        <scheme val="minor"/>
      </rPr>
      <t xml:space="preserve"> 30г</t>
    </r>
  </si>
  <si>
    <r>
      <t>Смоква Яблочно-</t>
    </r>
    <r>
      <rPr>
        <b/>
        <sz val="10"/>
        <color theme="1"/>
        <rFont val="Calibri"/>
        <family val="2"/>
        <charset val="204"/>
        <scheme val="minor"/>
      </rPr>
      <t>сливовая</t>
    </r>
    <r>
      <rPr>
        <sz val="10"/>
        <color theme="1"/>
        <rFont val="Calibri"/>
        <family val="2"/>
        <scheme val="minor"/>
      </rPr>
      <t xml:space="preserve"> 30г</t>
    </r>
  </si>
  <si>
    <r>
      <t>Смоква Яблочно-</t>
    </r>
    <r>
      <rPr>
        <b/>
        <sz val="10"/>
        <color theme="1"/>
        <rFont val="Calibri"/>
        <family val="2"/>
        <charset val="204"/>
        <scheme val="minor"/>
      </rPr>
      <t>смородиновая</t>
    </r>
    <r>
      <rPr>
        <sz val="10"/>
        <color theme="1"/>
        <rFont val="Calibri"/>
        <family val="2"/>
        <scheme val="minor"/>
      </rPr>
      <t xml:space="preserve"> 30г</t>
    </r>
  </si>
  <si>
    <t>Смоква Яблочная 30г</t>
  </si>
  <si>
    <t>Смоква Сливовая 30г</t>
  </si>
  <si>
    <t>группа товаров</t>
  </si>
  <si>
    <t xml:space="preserve">толокно овсяное, мука льняная сахар. </t>
  </si>
  <si>
    <t>толокно овсяное, мука льняная, топинамбур сушёный молотый, свёкла сушёная молотая, фруктоза, соль.</t>
  </si>
  <si>
    <t xml:space="preserve">толокно овсяное, мука льняная, имбирь сушёный, сахар. </t>
  </si>
  <si>
    <t>Морские чипсы из ламинарии</t>
  </si>
  <si>
    <r>
      <t xml:space="preserve">Чипсы из ламинарии "Морские" с </t>
    </r>
    <r>
      <rPr>
        <b/>
        <sz val="10"/>
        <color theme="1"/>
        <rFont val="Calibri"/>
        <family val="2"/>
        <charset val="204"/>
        <scheme val="minor"/>
      </rPr>
      <t>томатом</t>
    </r>
    <r>
      <rPr>
        <sz val="10"/>
        <color theme="1"/>
        <rFont val="Calibri"/>
        <family val="2"/>
        <scheme val="minor"/>
      </rPr>
      <t xml:space="preserve">  90</t>
    </r>
  </si>
  <si>
    <r>
      <t xml:space="preserve">Чипсы из ламинарии "Морские" с </t>
    </r>
    <r>
      <rPr>
        <b/>
        <sz val="10"/>
        <color theme="1"/>
        <rFont val="Calibri"/>
        <family val="2"/>
        <charset val="204"/>
        <scheme val="minor"/>
      </rPr>
      <t>чесноком</t>
    </r>
    <r>
      <rPr>
        <sz val="10"/>
        <color theme="1"/>
        <rFont val="Calibri"/>
        <family val="2"/>
        <scheme val="minor"/>
      </rPr>
      <t xml:space="preserve">  90г</t>
    </r>
  </si>
  <si>
    <t>ламинария, семя подсолнуха, семя льна, лук свежий, соль морская, черный перец</t>
  </si>
  <si>
    <t>ламинария , семя подсолнуха, семя льна, морковь свежая, кориандр, соль морская, черный перец</t>
  </si>
  <si>
    <t>ламинария, семя подсолнуха, семя льна, чеснок свежий, соль морская, черный перец</t>
  </si>
  <si>
    <t>ламинария , семя подсолнуха, семя льна, свекла свежая, базилик,соль морская, черный перец</t>
  </si>
  <si>
    <t>ламинария беломорская, семя подсолнуха, семя льна, куркума, перец красный(чили), чеснок, кориандр, перец черный,тмин, имбирь, корица, соль морская розовая с бета-каротином</t>
  </si>
  <si>
    <t>ламинария беломорская, семя подсолнуха, семя льна, томаты сушеный, паприка сушеная, соль</t>
  </si>
  <si>
    <t>ламинария беломорская, семя подсолнуха, семя льна, томаты сушеные, соль</t>
  </si>
  <si>
    <t>вода, масло оливковое, загуститель крахмал кукурузный, подсластитель эритрит, соль, уксус, регулятор кислотности лимонная кислота, природный консервант сорбиновая кислота, горчичное масло</t>
  </si>
  <si>
    <t>Здоровцов</t>
  </si>
  <si>
    <t>временно отсутствует</t>
  </si>
  <si>
    <t>Зефир и пастила</t>
  </si>
  <si>
    <t>opt@naturevector.ru</t>
  </si>
  <si>
    <t>шелуха подорожника</t>
  </si>
  <si>
    <t>Варенье сосновых шишек стекло 240г</t>
  </si>
  <si>
    <t>сосновая шишка, патока, сахар, концентрированный сок лимона.</t>
  </si>
  <si>
    <t>Вода, томаты краш, томатная паста, подсластитель эритрит, грецких орех, соль, загуститель ксантановая камедь, кинза свежая, чеснок свежий, хмели-сунели, смесь специй, консервант сорбиновая кислота, подсластитель растительный экстракт Луо Хан Гуо.</t>
  </si>
  <si>
    <r>
      <t xml:space="preserve">Сироп </t>
    </r>
    <r>
      <rPr>
        <b/>
        <sz val="10"/>
        <rFont val="Calibri"/>
        <family val="2"/>
        <scheme val="minor"/>
      </rPr>
      <t>Ванильный</t>
    </r>
    <r>
      <rPr>
        <sz val="10"/>
        <rFont val="Calibri"/>
        <family val="2"/>
        <scheme val="minor"/>
      </rPr>
      <t xml:space="preserve"> низкокалорийный 330г</t>
    </r>
  </si>
  <si>
    <r>
      <t xml:space="preserve">Сироп </t>
    </r>
    <r>
      <rPr>
        <b/>
        <sz val="10"/>
        <rFont val="Calibri"/>
        <family val="2"/>
        <scheme val="minor"/>
      </rPr>
      <t>Вишня</t>
    </r>
    <r>
      <rPr>
        <sz val="10"/>
        <rFont val="Calibri"/>
        <family val="2"/>
        <scheme val="minor"/>
      </rPr>
      <t xml:space="preserve"> низкокалорийный 330г</t>
    </r>
  </si>
  <si>
    <r>
      <t xml:space="preserve">Сироп </t>
    </r>
    <r>
      <rPr>
        <b/>
        <sz val="10"/>
        <rFont val="Calibri"/>
        <family val="2"/>
        <scheme val="minor"/>
      </rPr>
      <t>Клубника</t>
    </r>
    <r>
      <rPr>
        <sz val="10"/>
        <rFont val="Calibri"/>
        <family val="2"/>
        <scheme val="minor"/>
      </rPr>
      <t xml:space="preserve"> низкокалорийный 330г</t>
    </r>
  </si>
  <si>
    <r>
      <t xml:space="preserve">Сироп </t>
    </r>
    <r>
      <rPr>
        <b/>
        <sz val="10"/>
        <rFont val="Calibri"/>
        <family val="2"/>
        <scheme val="minor"/>
      </rPr>
      <t>Черешня</t>
    </r>
    <r>
      <rPr>
        <sz val="10"/>
        <rFont val="Calibri"/>
        <family val="2"/>
        <scheme val="minor"/>
      </rPr>
      <t xml:space="preserve"> низкокалорийный 330г</t>
    </r>
  </si>
  <si>
    <r>
      <t xml:space="preserve">Сироп </t>
    </r>
    <r>
      <rPr>
        <b/>
        <sz val="10"/>
        <rFont val="Calibri"/>
        <family val="2"/>
        <scheme val="minor"/>
      </rPr>
      <t>Чёрная смородина</t>
    </r>
    <r>
      <rPr>
        <sz val="10"/>
        <rFont val="Calibri"/>
        <family val="2"/>
        <scheme val="minor"/>
      </rPr>
      <t xml:space="preserve"> низкокалорийный 330г</t>
    </r>
  </si>
  <si>
    <r>
      <t xml:space="preserve">Соус </t>
    </r>
    <r>
      <rPr>
        <b/>
        <sz val="10"/>
        <rFont val="Calibri"/>
        <family val="2"/>
        <scheme val="minor"/>
      </rPr>
      <t>Кетчуп</t>
    </r>
    <r>
      <rPr>
        <sz val="10"/>
        <rFont val="Calibri"/>
        <family val="2"/>
        <scheme val="minor"/>
      </rPr>
      <t xml:space="preserve"> низкокалорийный 330г</t>
    </r>
  </si>
  <si>
    <r>
      <t xml:space="preserve">Соус </t>
    </r>
    <r>
      <rPr>
        <b/>
        <sz val="10"/>
        <rFont val="Calibri"/>
        <family val="2"/>
        <scheme val="minor"/>
      </rPr>
      <t>Сальса</t>
    </r>
    <r>
      <rPr>
        <sz val="10"/>
        <rFont val="Calibri"/>
        <family val="2"/>
        <scheme val="minor"/>
      </rPr>
      <t xml:space="preserve"> низкокалорийный 330г</t>
    </r>
  </si>
  <si>
    <r>
      <t xml:space="preserve">Соус </t>
    </r>
    <r>
      <rPr>
        <b/>
        <sz val="10"/>
        <rFont val="Calibri"/>
        <family val="2"/>
        <scheme val="minor"/>
      </rPr>
      <t>Сацебели</t>
    </r>
    <r>
      <rPr>
        <sz val="10"/>
        <rFont val="Calibri"/>
        <family val="2"/>
        <scheme val="minor"/>
      </rPr>
      <t xml:space="preserve"> низкокалорийный 330г</t>
    </r>
  </si>
  <si>
    <r>
      <t xml:space="preserve">Соус </t>
    </r>
    <r>
      <rPr>
        <b/>
        <sz val="10"/>
        <rFont val="Calibri"/>
        <family val="2"/>
        <scheme val="minor"/>
      </rPr>
      <t>Сладкий чили</t>
    </r>
    <r>
      <rPr>
        <sz val="10"/>
        <rFont val="Calibri"/>
        <family val="2"/>
        <scheme val="minor"/>
      </rPr>
      <t xml:space="preserve"> 330г</t>
    </r>
  </si>
  <si>
    <r>
      <t xml:space="preserve">Соус </t>
    </r>
    <r>
      <rPr>
        <b/>
        <sz val="10"/>
        <rFont val="Calibri"/>
        <family val="2"/>
        <scheme val="minor"/>
      </rPr>
      <t>Средиземноморский</t>
    </r>
    <r>
      <rPr>
        <sz val="10"/>
        <rFont val="Calibri"/>
        <family val="2"/>
        <scheme val="minor"/>
      </rPr>
      <t xml:space="preserve"> низкокалорийный 330г</t>
    </r>
  </si>
  <si>
    <r>
      <t xml:space="preserve">Соус </t>
    </r>
    <r>
      <rPr>
        <b/>
        <sz val="10"/>
        <rFont val="Calibri"/>
        <family val="2"/>
        <scheme val="minor"/>
      </rPr>
      <t>Сырный</t>
    </r>
    <r>
      <rPr>
        <sz val="10"/>
        <rFont val="Calibri"/>
        <family val="2"/>
        <scheme val="minor"/>
      </rPr>
      <t xml:space="preserve"> низкокалорийный 330г</t>
    </r>
  </si>
  <si>
    <t xml:space="preserve">мука пшеничная обойная, мука пшеничная 1 сорт,  мука из зелёной гречки, масло кукурузное рафинированное, ламинария сушёная дроблёная,  вода питьевая, соль морская, разрыхлитель (крахмал кукурузный, гидрокарбонат натрия).                </t>
  </si>
  <si>
    <t xml:space="preserve">мука пшеничная обойная, мука пшеничная 1 сорт,  мука кукурузная, масло кукурузное рафинированное, тыква (порошок), вода питьевая, мед натуральный, куркума, стевия, соль пищевая, разрыхлитель (крахмал кукурузный, гидрокарбонат натрия).     </t>
  </si>
  <si>
    <r>
      <t xml:space="preserve">Джем </t>
    </r>
    <r>
      <rPr>
        <b/>
        <sz val="10"/>
        <rFont val="Calibri"/>
        <family val="2"/>
        <scheme val="minor"/>
      </rPr>
      <t>Абрикос</t>
    </r>
    <r>
      <rPr>
        <sz val="10"/>
        <rFont val="Calibri"/>
        <family val="2"/>
        <scheme val="minor"/>
      </rPr>
      <t xml:space="preserve"> низкокалорийный 270г</t>
    </r>
  </si>
  <si>
    <r>
      <t xml:space="preserve">Джем </t>
    </r>
    <r>
      <rPr>
        <b/>
        <sz val="10"/>
        <rFont val="Calibri"/>
        <family val="2"/>
        <scheme val="minor"/>
      </rPr>
      <t>Ананас</t>
    </r>
    <r>
      <rPr>
        <sz val="10"/>
        <rFont val="Calibri"/>
        <family val="2"/>
        <scheme val="minor"/>
      </rPr>
      <t xml:space="preserve"> низкокалорийный 270г</t>
    </r>
  </si>
  <si>
    <r>
      <t xml:space="preserve">Джем </t>
    </r>
    <r>
      <rPr>
        <b/>
        <sz val="10"/>
        <rFont val="Calibri"/>
        <family val="2"/>
        <scheme val="minor"/>
      </rPr>
      <t>Вишня</t>
    </r>
    <r>
      <rPr>
        <sz val="10"/>
        <rFont val="Calibri"/>
        <family val="2"/>
        <scheme val="minor"/>
      </rPr>
      <t xml:space="preserve"> низкокалорийный 270г</t>
    </r>
  </si>
  <si>
    <r>
      <t xml:space="preserve">Джем </t>
    </r>
    <r>
      <rPr>
        <b/>
        <sz val="10"/>
        <rFont val="Calibri"/>
        <family val="2"/>
        <scheme val="minor"/>
      </rPr>
      <t>Киви</t>
    </r>
    <r>
      <rPr>
        <sz val="10"/>
        <rFont val="Calibri"/>
        <family val="2"/>
        <scheme val="minor"/>
      </rPr>
      <t xml:space="preserve"> низкокалорийный 270г</t>
    </r>
  </si>
  <si>
    <r>
      <t xml:space="preserve">Джем </t>
    </r>
    <r>
      <rPr>
        <b/>
        <sz val="10"/>
        <rFont val="Calibri"/>
        <family val="2"/>
        <scheme val="minor"/>
      </rPr>
      <t>Клубника</t>
    </r>
    <r>
      <rPr>
        <sz val="10"/>
        <rFont val="Calibri"/>
        <family val="2"/>
        <scheme val="minor"/>
      </rPr>
      <t xml:space="preserve"> низкокалорийный 270г</t>
    </r>
  </si>
  <si>
    <r>
      <t xml:space="preserve">Джем </t>
    </r>
    <r>
      <rPr>
        <b/>
        <sz val="10"/>
        <rFont val="Calibri"/>
        <family val="2"/>
        <scheme val="minor"/>
      </rPr>
      <t>Манго</t>
    </r>
    <r>
      <rPr>
        <sz val="10"/>
        <rFont val="Calibri"/>
        <family val="2"/>
        <scheme val="minor"/>
      </rPr>
      <t xml:space="preserve"> низкокалорийный 270г</t>
    </r>
  </si>
  <si>
    <r>
      <t xml:space="preserve">Джем </t>
    </r>
    <r>
      <rPr>
        <b/>
        <sz val="10"/>
        <rFont val="Calibri"/>
        <family val="2"/>
        <scheme val="minor"/>
      </rPr>
      <t>Черника</t>
    </r>
    <r>
      <rPr>
        <sz val="10"/>
        <rFont val="Calibri"/>
        <family val="2"/>
        <scheme val="minor"/>
      </rPr>
      <t xml:space="preserve"> низкокалорийный 270г</t>
    </r>
  </si>
  <si>
    <r>
      <t xml:space="preserve">Сироп </t>
    </r>
    <r>
      <rPr>
        <b/>
        <sz val="10"/>
        <rFont val="Calibri"/>
        <family val="2"/>
        <scheme val="minor"/>
      </rPr>
      <t>Молочный шоколад</t>
    </r>
    <r>
      <rPr>
        <sz val="10"/>
        <rFont val="Calibri"/>
        <family val="2"/>
        <scheme val="minor"/>
      </rPr>
      <t xml:space="preserve"> низкокалорийный 330г</t>
    </r>
  </si>
  <si>
    <r>
      <t xml:space="preserve">Соус </t>
    </r>
    <r>
      <rPr>
        <b/>
        <sz val="10"/>
        <rFont val="Calibri"/>
        <family val="2"/>
        <scheme val="minor"/>
      </rPr>
      <t>Тар-Тар</t>
    </r>
    <r>
      <rPr>
        <sz val="10"/>
        <rFont val="Calibri"/>
        <family val="2"/>
        <scheme val="minor"/>
      </rPr>
      <t xml:space="preserve"> низкокалорийный 330г</t>
    </r>
  </si>
  <si>
    <r>
      <t xml:space="preserve">Соус </t>
    </r>
    <r>
      <rPr>
        <b/>
        <sz val="10"/>
        <rFont val="Calibri"/>
        <family val="2"/>
        <scheme val="minor"/>
      </rPr>
      <t>Цезарь</t>
    </r>
    <r>
      <rPr>
        <sz val="10"/>
        <rFont val="Calibri"/>
        <family val="2"/>
        <scheme val="minor"/>
      </rPr>
      <t xml:space="preserve"> низкокалорийный 330г</t>
    </r>
  </si>
  <si>
    <r>
      <t xml:space="preserve">Паста арахисовая с </t>
    </r>
    <r>
      <rPr>
        <b/>
        <sz val="10"/>
        <color theme="1"/>
        <rFont val="Calibri"/>
        <family val="2"/>
        <charset val="204"/>
        <scheme val="minor"/>
      </rPr>
      <t>морской солью</t>
    </r>
    <r>
      <rPr>
        <sz val="10"/>
        <color theme="1"/>
        <rFont val="Calibri"/>
        <family val="2"/>
        <scheme val="minor"/>
      </rPr>
      <t xml:space="preserve"> 180г</t>
    </r>
  </si>
  <si>
    <t>корень одуванчика порошок, оболочка капсул: гипромеллоза (носитель).</t>
  </si>
  <si>
    <t>мука конопляная, мука пшеничная 1 сорт, семя белого льна, масло растительное кукурузное, масло растительное подсолнечника, соль поваренная, сода пищевая, кислота лимонная.</t>
  </si>
  <si>
    <t>ржаная мука, ржаной солод, пшеничная закваска, ржаная закваска, мука 1 сорт, ячменный солод, пшеничный солод, масло растительное кукурузное, масло растительное подсолнечника, тмин, кориандр, соль поваренная, сода пищевая.</t>
  </si>
  <si>
    <t>мука гречневая, мука пшеничная 1 сорта, семя льна, тмин, масло растительное кукурузное, масло растительное подсолнечника, соль поваренная, сода пищевая, кислота лимонная.</t>
  </si>
  <si>
    <t>мука ржаная обойная, мука пшеничная 1 сорта, солод ржаной, семя кунжута, масло растительное кукурузное, масло растительное подсолнечника, соль поваренная, сода пищевая, кислота лимонная</t>
  </si>
  <si>
    <t>мука пшеничная цельнозерновая, мука пшеничная 1 сорт, лук репчатый сушёный, масло растительное кукурузное, масло растительное подсолнечника, соль поваренная, сода пищевая, кислота лимонная</t>
  </si>
  <si>
    <t>мука пшеничная цельнозерновая, мука пшеничная 1 сорт, семя льна, масло растительное кукурузное, масло растительное подсолнечника, соль поваренная, сода пищевая, кислота лимонная</t>
  </si>
  <si>
    <t>Овсяные хлопья, финиковый сироп, кокосовое масло, рапсовое масло, крахмал кукурузный, семена чиа, разрыхлители (пирофосфат натрия, бикарбонат аммония,бикарбонат натрия), соль морская, ароматизаторы натуральные (“Ваниль”, “Сливки”), эмульгатор - соевый лецитин, подсластитель – сукралоза</t>
  </si>
  <si>
    <t>Овсяные хлопья, финиковый сироп, масло кокосовое, масло рапсовое, крахмал кукурузный, кокосовая стружка, семена чиа, разрыхлители (пирофосфат натрия, бикарбонат аммония, бикарбонат натрия), соль морская, натуральный ароматизатор, эмульгатор - соевый лецитин, подсластитель – сукралоза.</t>
  </si>
  <si>
    <r>
      <t xml:space="preserve">Пастила </t>
    </r>
    <r>
      <rPr>
        <b/>
        <sz val="10"/>
        <color theme="1"/>
        <rFont val="Calibri"/>
        <family val="2"/>
        <charset val="204"/>
        <scheme val="minor"/>
      </rPr>
      <t>Абрикосовая</t>
    </r>
    <r>
      <rPr>
        <sz val="10"/>
        <color theme="1"/>
        <rFont val="Calibri"/>
        <family val="2"/>
        <scheme val="minor"/>
      </rPr>
      <t xml:space="preserve"> с грецким орехом 50г</t>
    </r>
  </si>
  <si>
    <r>
      <t xml:space="preserve">Пастила фруктовая </t>
    </r>
    <r>
      <rPr>
        <b/>
        <sz val="10"/>
        <color theme="1"/>
        <rFont val="Calibri"/>
        <family val="2"/>
        <charset val="204"/>
        <scheme val="minor"/>
      </rPr>
      <t>Яблочная</t>
    </r>
    <r>
      <rPr>
        <sz val="10"/>
        <color theme="1"/>
        <rFont val="Calibri"/>
        <family val="2"/>
        <scheme val="minor"/>
      </rPr>
      <t xml:space="preserve"> б.сахара 80г</t>
    </r>
  </si>
  <si>
    <t>абрикосовое пюре, яблочное пюре.</t>
  </si>
  <si>
    <t>яблочное пюре.</t>
  </si>
  <si>
    <t>пюре из манго, яблочное пюре.</t>
  </si>
  <si>
    <t>яблочное пюре, грецкий орех.</t>
  </si>
  <si>
    <t>манговое пюре, яблочное пюре, грецкий орех.</t>
  </si>
  <si>
    <t>абрикосовое пюре, грецкий орех.</t>
  </si>
  <si>
    <t>пюре абрикосовое.</t>
  </si>
  <si>
    <t>концентрированный натуральный сок вишни, яблочное пюре, вода очищенная, лимонная кислота.</t>
  </si>
  <si>
    <t>Чурчхела и пастила</t>
  </si>
  <si>
    <r>
      <t xml:space="preserve">Печенье ц/з (крекер) </t>
    </r>
    <r>
      <rPr>
        <b/>
        <sz val="10"/>
        <rFont val="Calibri"/>
        <family val="2"/>
        <scheme val="minor"/>
      </rPr>
      <t xml:space="preserve">имбирное </t>
    </r>
    <r>
      <rPr>
        <sz val="10"/>
        <rFont val="Calibri"/>
        <family val="2"/>
        <scheme val="minor"/>
      </rPr>
      <t>150г</t>
    </r>
  </si>
  <si>
    <r>
      <t xml:space="preserve">Печенье ц/з (крекер) </t>
    </r>
    <r>
      <rPr>
        <b/>
        <sz val="10"/>
        <rFont val="Calibri"/>
        <family val="2"/>
        <scheme val="minor"/>
      </rPr>
      <t>медовые с тыквой и куркумой</t>
    </r>
    <r>
      <rPr>
        <sz val="10"/>
        <rFont val="Calibri"/>
        <family val="2"/>
        <scheme val="minor"/>
      </rPr>
      <t xml:space="preserve"> 150г</t>
    </r>
  </si>
  <si>
    <r>
      <t xml:space="preserve">Сироп </t>
    </r>
    <r>
      <rPr>
        <b/>
        <sz val="10"/>
        <rFont val="Calibri"/>
        <family val="2"/>
        <scheme val="minor"/>
      </rPr>
      <t>Манго</t>
    </r>
    <r>
      <rPr>
        <sz val="10"/>
        <rFont val="Calibri"/>
        <family val="2"/>
        <scheme val="minor"/>
      </rPr>
      <t xml:space="preserve"> низкокалорийный 330г</t>
    </r>
  </si>
  <si>
    <r>
      <t xml:space="preserve">Сироп </t>
    </r>
    <r>
      <rPr>
        <b/>
        <sz val="10"/>
        <rFont val="Calibri"/>
        <family val="2"/>
        <scheme val="minor"/>
      </rPr>
      <t>Черника</t>
    </r>
    <r>
      <rPr>
        <sz val="10"/>
        <rFont val="Calibri"/>
        <family val="2"/>
        <scheme val="minor"/>
      </rPr>
      <t xml:space="preserve"> низкокалорийный 330г</t>
    </r>
  </si>
  <si>
    <r>
      <t xml:space="preserve">Сироп </t>
    </r>
    <r>
      <rPr>
        <b/>
        <sz val="10"/>
        <rFont val="Calibri"/>
        <family val="2"/>
        <scheme val="minor"/>
      </rPr>
      <t>Шоколад</t>
    </r>
    <r>
      <rPr>
        <sz val="10"/>
        <rFont val="Calibri"/>
        <family val="2"/>
        <scheme val="minor"/>
      </rPr>
      <t xml:space="preserve"> с лесным орехом низкокалорийный 330г</t>
    </r>
  </si>
  <si>
    <t>новинки</t>
  </si>
  <si>
    <t>Масло кокосовое раф. 100% roi thai 600мл</t>
  </si>
  <si>
    <t>грушевое пюре, яблоко сушеное, яблочное пюре, стабилизатор гуммиарабик (камедь аравийской акации)</t>
  </si>
  <si>
    <t>яблочное пюре, яблоко сушеное, черника, стабилизатор гуммиарабик (камедь аравийской акации)</t>
  </si>
  <si>
    <t>Финиковый порошок, мука нутовая, масло кокосовое рафинированное дезодорированное, кукурузный крахмал, мука рисовая, вишня сублимированная (порошок), масло подсолнечное рафинированное дезодорированное, свекла сушеная (порошок), эмульгатор – соевый лецитин, соль,</t>
  </si>
  <si>
    <t>Финиковый порошок, мука нутовая, масло кокосовое рафинированное дезодорированное, кукурузный крахмал, мука рисовая, брокколи сублимированная (порошок), масло подсолнечное рафинированное дезодорированное, груша сушеная (порошок), эмульгатор – соевый лецитин, соль</t>
  </si>
  <si>
    <t>Финиковый порошок, масло кокосовое рафинированное дезодорированное, мука нутовая, кукурузный крахмал, мука рисовая, какао-порошок, масло подсолнечное рафинированное дезодорированное, эмульгатор – соевый лецитин, натуральные ароматизаторы, соль,</t>
  </si>
  <si>
    <t>Финиковый порошок, мука нутовая, масло кокосовое рафинированное дезодорированное, кукурузный крахмал, мука рисовая, манго сушёное (порошок), масло подсолнечное рафинированное дезодорированное, морковь сушеная (порошок), эмульгатор – соевый лецитин, соль</t>
  </si>
  <si>
    <t>эритрит, инулин (пребиотик растительного происхождения), сукралоза</t>
  </si>
  <si>
    <t>вода подготовленная, подсластитель сукралоза (Е955), подсластитель стевиозид (Е960),  ароматизатор "Малина", консервант - сорбиновая кислота</t>
  </si>
  <si>
    <t>Цикорий порошкообразный, растительные сливки, мука кедрового ореха, корица.</t>
  </si>
  <si>
    <t>Редкие виды мёда 500г</t>
  </si>
  <si>
    <t>Иван да Марья</t>
  </si>
  <si>
    <r>
      <t xml:space="preserve">Сироп </t>
    </r>
    <r>
      <rPr>
        <b/>
        <sz val="10"/>
        <rFont val="Calibri"/>
        <family val="2"/>
        <scheme val="minor"/>
      </rPr>
      <t>Кленовый</t>
    </r>
    <r>
      <rPr>
        <sz val="10"/>
        <rFont val="Calibri"/>
        <family val="2"/>
        <scheme val="minor"/>
      </rPr>
      <t xml:space="preserve"> низкокалорийный 330г</t>
    </r>
  </si>
  <si>
    <r>
      <t xml:space="preserve">Сироп </t>
    </r>
    <r>
      <rPr>
        <b/>
        <sz val="10"/>
        <rFont val="Calibri"/>
        <family val="2"/>
        <scheme val="minor"/>
      </rPr>
      <t>Малина</t>
    </r>
    <r>
      <rPr>
        <sz val="10"/>
        <rFont val="Calibri"/>
        <family val="2"/>
        <scheme val="minor"/>
      </rPr>
      <t xml:space="preserve"> низкокалорийный 330г</t>
    </r>
  </si>
  <si>
    <r>
      <t xml:space="preserve">Соус </t>
    </r>
    <r>
      <rPr>
        <b/>
        <sz val="10"/>
        <rFont val="Calibri"/>
        <family val="2"/>
        <scheme val="minor"/>
      </rPr>
      <t>Барбекю</t>
    </r>
    <r>
      <rPr>
        <sz val="10"/>
        <rFont val="Calibri"/>
        <family val="2"/>
        <scheme val="minor"/>
      </rPr>
      <t xml:space="preserve"> низкокалорийный 330г</t>
    </r>
  </si>
  <si>
    <r>
      <t xml:space="preserve">Соус </t>
    </r>
    <r>
      <rPr>
        <b/>
        <sz val="10"/>
        <rFont val="Calibri"/>
        <family val="2"/>
        <scheme val="minor"/>
      </rPr>
      <t>Чесночный</t>
    </r>
    <r>
      <rPr>
        <sz val="10"/>
        <rFont val="Calibri"/>
        <family val="2"/>
        <scheme val="minor"/>
      </rPr>
      <t xml:space="preserve"> низкокалорийный 330г</t>
    </r>
  </si>
  <si>
    <r>
      <t>Смесь семян "</t>
    </r>
    <r>
      <rPr>
        <b/>
        <sz val="10"/>
        <rFont val="Calibri"/>
        <family val="2"/>
        <scheme val="minor"/>
      </rPr>
      <t>Деревенская</t>
    </r>
    <r>
      <rPr>
        <sz val="10"/>
        <rFont val="Calibri"/>
        <family val="2"/>
        <scheme val="minor"/>
      </rPr>
      <t>" 200г</t>
    </r>
  </si>
  <si>
    <r>
      <t>Смесь семян "</t>
    </r>
    <r>
      <rPr>
        <b/>
        <sz val="10"/>
        <rFont val="Calibri"/>
        <family val="2"/>
        <scheme val="minor"/>
      </rPr>
      <t>Для салатов</t>
    </r>
    <r>
      <rPr>
        <sz val="10"/>
        <rFont val="Calibri"/>
        <family val="2"/>
        <scheme val="minor"/>
      </rPr>
      <t>" 200г</t>
    </r>
  </si>
  <si>
    <r>
      <t>Смесь семян "</t>
    </r>
    <r>
      <rPr>
        <b/>
        <sz val="10"/>
        <rFont val="Calibri"/>
        <family val="2"/>
        <scheme val="minor"/>
      </rPr>
      <t>Дуэт</t>
    </r>
    <r>
      <rPr>
        <sz val="10"/>
        <rFont val="Calibri"/>
        <family val="2"/>
        <scheme val="minor"/>
      </rPr>
      <t>" 200г</t>
    </r>
  </si>
  <si>
    <r>
      <t xml:space="preserve">Клетчатка пшеничная </t>
    </r>
    <r>
      <rPr>
        <b/>
        <sz val="10"/>
        <rFont val="Calibri"/>
        <family val="2"/>
        <scheme val="minor"/>
      </rPr>
      <t xml:space="preserve">крупная </t>
    </r>
    <r>
      <rPr>
        <sz val="10"/>
        <rFont val="Calibri"/>
        <family val="2"/>
        <scheme val="minor"/>
      </rPr>
      <t xml:space="preserve">150г </t>
    </r>
  </si>
  <si>
    <r>
      <t>Попкорн микроволновый "</t>
    </r>
    <r>
      <rPr>
        <b/>
        <sz val="10"/>
        <rFont val="Calibri"/>
        <family val="2"/>
        <scheme val="minor"/>
      </rPr>
      <t>Сладкий</t>
    </r>
    <r>
      <rPr>
        <sz val="10"/>
        <rFont val="Calibri"/>
        <family val="2"/>
        <scheme val="minor"/>
      </rPr>
      <t>" на кокосовом масле 70г</t>
    </r>
  </si>
  <si>
    <t>Вода специально подготовленная, аПАВ 5-15%, нПАВ &lt;5%, функциональные добавки &lt;5%, ароматизаторы, консервант, краситель.</t>
  </si>
  <si>
    <t>более 30% кислородсодержащий компонент, 15-30% сода кальцинированная, 15-30% АПАВ (растительного происхождения), 5-15% мыло натуральное, менее 5% функциональные добавки.</t>
  </si>
  <si>
    <t>Под заказ</t>
  </si>
  <si>
    <t>Финиковая паста, шоколад тёмный без сахара, кукурузные шарики, ядра миндаля обжаренные дроблёные, какао-порошок, мука рисовая, клубника сублимированная (порошок), антиокислители (аскорбиновая кислота, смесь токоферолов), корица молотая (порошок), ацерола, натуральные ароматизаторы</t>
  </si>
  <si>
    <t>Финиковая паста, шоколад тёмный без сахара, ядра бобов арахиса обжаренные дробленые, кукурузные шарики, ядра кешью обжаренные дроблёные, семена подсолнечника, мука рисовая, пищевые волокна, соль морская, антиокислители (аскорбиновая кислота, смесь токоферолов), натуральные ароматизаторы, ацерола, мускатный орех молотый</t>
  </si>
  <si>
    <t>Птитим 350г</t>
  </si>
  <si>
    <t>Булгур с чечевицей по арабски 250г</t>
  </si>
  <si>
    <t>Булгур, морковь сушеная, грибы белые, перец черный молотый, асафетида, кумин, кориандр, майоран.</t>
  </si>
  <si>
    <t>Паста с овощами по-итальянски 250г</t>
  </si>
  <si>
    <t>Протеин соевый 250г</t>
  </si>
  <si>
    <t>масло облепиховое, каротиноидов - не более 55 мг%</t>
  </si>
  <si>
    <t>Вода, масло оливковое, подсластитель эритрит, загуститель крахмал кукурузный, соль, анчоусы, сыр пармезан, лимонный сок, горчичный порошок, уксус натуральный, смесь специй, соевый соус, регулятор кислотности лимонная кислота, консервант сорбиновая кислота, подсластитель растительный экстракт Луа Хан Гуо, загуститель ксантановая камедь, лимонное масло, подсолнечное масло, стабилизатор камедь рожкового дерева, натуральный ароматизатор чеснок</t>
  </si>
  <si>
    <t>Хлопья овсяные из голозерного овса без варки и без глютена 275г</t>
  </si>
  <si>
    <r>
      <t>Печенье "</t>
    </r>
    <r>
      <rPr>
        <b/>
        <sz val="10"/>
        <color theme="1"/>
        <rFont val="Calibri"/>
        <family val="2"/>
        <charset val="204"/>
        <scheme val="minor"/>
      </rPr>
      <t>К чаю</t>
    </r>
    <r>
      <rPr>
        <sz val="10"/>
        <color theme="1"/>
        <rFont val="Calibri"/>
        <family val="2"/>
        <scheme val="minor"/>
      </rPr>
      <t>" 200г</t>
    </r>
  </si>
  <si>
    <r>
      <t>Печенье "</t>
    </r>
    <r>
      <rPr>
        <b/>
        <sz val="10"/>
        <color theme="1"/>
        <rFont val="Calibri"/>
        <family val="2"/>
        <charset val="204"/>
        <scheme val="minor"/>
      </rPr>
      <t>С семенами льна</t>
    </r>
    <r>
      <rPr>
        <sz val="10"/>
        <color theme="1"/>
        <rFont val="Calibri"/>
        <family val="2"/>
        <scheme val="minor"/>
      </rPr>
      <t>" 200г</t>
    </r>
  </si>
  <si>
    <t>мука овсяная, масло кокосовое, сироп топинамбура (клубни топинамбура, вода), мука рисовая, экстракт из проростков ячменя (солод ячменный светлый, вода), крахмал кукурузный, мука кукурузная, кокосовая стружка (мякоть кокоса)</t>
  </si>
  <si>
    <t xml:space="preserve">Нутовые чипсы </t>
  </si>
  <si>
    <t>Нутовая мука, кукурузная мука, луковый порошок, петрушка, морская соль.</t>
  </si>
  <si>
    <t>Нутовая мука, кукурузная мука, ароматизатор натуральный «Сыр Чеддер», масло подсолнечное высокоолеиновое рафинированное дезодорированное, сырный порошок, сыворотка молочная, лук порошок, морская соль</t>
  </si>
  <si>
    <t>Нутовая мука, кукурузная мука, петрушка, Аромат Сметана и зелень (Соль, сливки сухие растительные, молоко сухое, лук порошок, лимонная кислота, натуральные ароматические вещества, сельдерей зелень, чеснок порошок), морская соль</t>
  </si>
  <si>
    <t>Нутовая мука, кукурузная мука, томат порошок, ароматизатор натуральный «Томат и базилик», масло подсолнечное высокоолеиновое рафинированное дезодорированное, лук порошок, базилик сушеный, морская соль, перец черный молотый</t>
  </si>
  <si>
    <r>
      <t xml:space="preserve">Мюсли порционные Bionova </t>
    </r>
    <r>
      <rPr>
        <b/>
        <sz val="10"/>
        <rFont val="Calibri"/>
        <family val="2"/>
        <scheme val="minor"/>
      </rPr>
      <t>Ореховые</t>
    </r>
    <r>
      <rPr>
        <sz val="10"/>
        <rFont val="Calibri"/>
        <family val="2"/>
        <scheme val="minor"/>
      </rPr>
      <t xml:space="preserve"> 60г</t>
    </r>
  </si>
  <si>
    <t>мука пшеничная хлебопекарная обойная, вода питьевая, мука гречневая, мука пшеничная хлебопекарная 1 сорт, масло подсолнечное рафинированное дезодорированное,  сироп стевии, облепиха сушёная (порошок), черника сушёная (порошок), соль пищевая поваренная, кислота аскорбиновая.</t>
  </si>
  <si>
    <t>мука пшеничная обойная, мука пшеничная 1 сорт, вода питьевая, масло подсолнечное, дрожжи хлебопекарные прессованные, сахар, семя льна, соль пищевая поваренная</t>
  </si>
  <si>
    <t>Нат Виноград</t>
  </si>
  <si>
    <t>Кус-кус с баклажанами по-провански 200г</t>
  </si>
  <si>
    <t>Кус-кус 300г</t>
  </si>
  <si>
    <r>
      <t>Каша гречневая протеиновая Bionova</t>
    </r>
    <r>
      <rPr>
        <b/>
        <sz val="10"/>
        <rFont val="Calibri"/>
        <family val="2"/>
        <scheme val="minor"/>
      </rPr>
      <t xml:space="preserve"> </t>
    </r>
    <r>
      <rPr>
        <sz val="10"/>
        <rFont val="Calibri"/>
        <family val="2"/>
        <scheme val="minor"/>
      </rPr>
      <t>классическая 40г</t>
    </r>
  </si>
  <si>
    <r>
      <t xml:space="preserve">Каша овсяная протеиновая Bionova с </t>
    </r>
    <r>
      <rPr>
        <b/>
        <sz val="10"/>
        <rFont val="Calibri"/>
        <family val="2"/>
        <scheme val="minor"/>
      </rPr>
      <t>клубникой</t>
    </r>
    <r>
      <rPr>
        <sz val="10"/>
        <rFont val="Calibri"/>
        <family val="2"/>
        <scheme val="minor"/>
      </rPr>
      <t xml:space="preserve"> 40г</t>
    </r>
  </si>
  <si>
    <r>
      <t xml:space="preserve">Каша овсяная протеиновая Bionova с </t>
    </r>
    <r>
      <rPr>
        <b/>
        <sz val="10"/>
        <rFont val="Calibri"/>
        <family val="2"/>
        <scheme val="minor"/>
      </rPr>
      <t>черникой</t>
    </r>
    <r>
      <rPr>
        <sz val="10"/>
        <rFont val="Calibri"/>
        <family val="2"/>
        <scheme val="minor"/>
      </rPr>
      <t xml:space="preserve"> 40г</t>
    </r>
  </si>
  <si>
    <r>
      <t xml:space="preserve">Каша овсяная протеиновая Bionova с </t>
    </r>
    <r>
      <rPr>
        <b/>
        <sz val="10"/>
        <rFont val="Calibri"/>
        <family val="2"/>
        <scheme val="minor"/>
      </rPr>
      <t>шоколадом</t>
    </r>
    <r>
      <rPr>
        <sz val="10"/>
        <rFont val="Calibri"/>
        <family val="2"/>
        <scheme val="minor"/>
      </rPr>
      <t xml:space="preserve"> 40г</t>
    </r>
  </si>
  <si>
    <r>
      <t>Каша овсяная протеиновая Bionova с</t>
    </r>
    <r>
      <rPr>
        <b/>
        <sz val="10"/>
        <rFont val="Calibri"/>
        <family val="2"/>
        <scheme val="minor"/>
      </rPr>
      <t xml:space="preserve"> яблоком и корицей</t>
    </r>
    <r>
      <rPr>
        <sz val="10"/>
        <rFont val="Calibri"/>
        <family val="2"/>
        <scheme val="minor"/>
      </rPr>
      <t xml:space="preserve"> 40г</t>
    </r>
  </si>
  <si>
    <r>
      <t xml:space="preserve">Суп (крем-суп) протеиновый б.приготовления </t>
    </r>
    <r>
      <rPr>
        <b/>
        <sz val="10"/>
        <rFont val="Calibri"/>
        <family val="2"/>
        <scheme val="minor"/>
      </rPr>
      <t>Брокколи</t>
    </r>
    <r>
      <rPr>
        <sz val="10"/>
        <rFont val="Calibri"/>
        <family val="2"/>
        <scheme val="minor"/>
      </rPr>
      <t xml:space="preserve"> 20г</t>
    </r>
  </si>
  <si>
    <r>
      <t xml:space="preserve">Суп (крем-суп) протеиновый б.приготовления </t>
    </r>
    <r>
      <rPr>
        <b/>
        <sz val="10"/>
        <rFont val="Calibri"/>
        <family val="2"/>
        <scheme val="minor"/>
      </rPr>
      <t xml:space="preserve">Грибы </t>
    </r>
    <r>
      <rPr>
        <sz val="10"/>
        <rFont val="Calibri"/>
        <family val="2"/>
        <scheme val="minor"/>
      </rPr>
      <t>20г</t>
    </r>
  </si>
  <si>
    <r>
      <t xml:space="preserve">Суп (крем-суп) протеиновый б.приготовления </t>
    </r>
    <r>
      <rPr>
        <b/>
        <sz val="10"/>
        <rFont val="Calibri"/>
        <family val="2"/>
        <scheme val="minor"/>
      </rPr>
      <t>Сыр</t>
    </r>
    <r>
      <rPr>
        <sz val="10"/>
        <rFont val="Calibri"/>
        <family val="2"/>
        <scheme val="minor"/>
      </rPr>
      <t xml:space="preserve"> 20г</t>
    </r>
  </si>
  <si>
    <r>
      <t xml:space="preserve">Суп (крем-суп) протеиновый б.приготовления </t>
    </r>
    <r>
      <rPr>
        <b/>
        <sz val="10"/>
        <rFont val="Calibri"/>
        <family val="2"/>
        <scheme val="minor"/>
      </rPr>
      <t>Томат</t>
    </r>
    <r>
      <rPr>
        <sz val="10"/>
        <rFont val="Calibri"/>
        <family val="2"/>
        <scheme val="minor"/>
      </rPr>
      <t xml:space="preserve"> 20г</t>
    </r>
  </si>
  <si>
    <r>
      <t xml:space="preserve">Мюсли медовые ОлЛайт с </t>
    </r>
    <r>
      <rPr>
        <b/>
        <sz val="10"/>
        <rFont val="Calibri"/>
        <family val="2"/>
        <scheme val="minor"/>
      </rPr>
      <t>тропическими фруктами</t>
    </r>
    <r>
      <rPr>
        <sz val="10"/>
        <rFont val="Calibri"/>
        <family val="2"/>
        <scheme val="minor"/>
      </rPr>
      <t xml:space="preserve"> 280г</t>
    </r>
  </si>
  <si>
    <r>
      <t xml:space="preserve">Мюсли медовые ОлЛайт с </t>
    </r>
    <r>
      <rPr>
        <b/>
        <sz val="10"/>
        <rFont val="Calibri"/>
        <family val="2"/>
        <scheme val="minor"/>
      </rPr>
      <t xml:space="preserve">фруктами и орехами </t>
    </r>
    <r>
      <rPr>
        <sz val="10"/>
        <rFont val="Calibri"/>
        <family val="2"/>
        <scheme val="minor"/>
      </rPr>
      <t>280г</t>
    </r>
  </si>
  <si>
    <r>
      <t xml:space="preserve">Мюсли медовые ОлЛайт с </t>
    </r>
    <r>
      <rPr>
        <b/>
        <sz val="10"/>
        <rFont val="Calibri"/>
        <family val="2"/>
        <scheme val="minor"/>
      </rPr>
      <t>ягодами</t>
    </r>
    <r>
      <rPr>
        <sz val="10"/>
        <rFont val="Calibri"/>
        <family val="2"/>
        <scheme val="minor"/>
      </rPr>
      <t xml:space="preserve"> 280г</t>
    </r>
  </si>
  <si>
    <r>
      <t xml:space="preserve">Клетчатка </t>
    </r>
    <r>
      <rPr>
        <b/>
        <sz val="10"/>
        <color theme="1"/>
        <rFont val="Calibri"/>
        <family val="2"/>
        <charset val="204"/>
        <scheme val="minor"/>
      </rPr>
      <t>яблочная</t>
    </r>
    <r>
      <rPr>
        <sz val="10"/>
        <color theme="1"/>
        <rFont val="Calibri"/>
        <family val="2"/>
        <scheme val="minor"/>
      </rPr>
      <t xml:space="preserve"> с пектином 25г</t>
    </r>
  </si>
  <si>
    <t>Грецкий орех в сиропе из сосновой шишки, стекло 200г</t>
  </si>
  <si>
    <t>Кедровый орех в сиропе из сосновой шишки, стекло 200г</t>
  </si>
  <si>
    <t>Миндаль в сиропе из сосновой шишки, стекло 200г</t>
  </si>
  <si>
    <t>Фундук  в сиропе из сосновой шишки, стекло 200г</t>
  </si>
  <si>
    <r>
      <t>Попкорн "</t>
    </r>
    <r>
      <rPr>
        <b/>
        <sz val="10"/>
        <rFont val="Calibri"/>
        <family val="2"/>
        <scheme val="minor"/>
      </rPr>
      <t>сыр</t>
    </r>
    <r>
      <rPr>
        <sz val="10"/>
        <rFont val="Calibri"/>
        <family val="2"/>
        <scheme val="minor"/>
      </rPr>
      <t>" 25г</t>
    </r>
  </si>
  <si>
    <r>
      <t xml:space="preserve">Завтрак сухой "Хлебцы хрустящие </t>
    </r>
    <r>
      <rPr>
        <b/>
        <sz val="10"/>
        <rFont val="Calibri"/>
        <family val="2"/>
        <scheme val="minor"/>
      </rPr>
      <t>гречишно-рисовые"</t>
    </r>
    <r>
      <rPr>
        <sz val="10"/>
        <rFont val="Calibri"/>
        <family val="2"/>
        <scheme val="minor"/>
      </rPr>
      <t xml:space="preserve"> 90г</t>
    </r>
  </si>
  <si>
    <r>
      <t xml:space="preserve">Завтрак сухой "Хлебцы хрустящие </t>
    </r>
    <r>
      <rPr>
        <b/>
        <sz val="10"/>
        <rFont val="Calibri"/>
        <family val="2"/>
        <scheme val="minor"/>
      </rPr>
      <t>кукурузные</t>
    </r>
    <r>
      <rPr>
        <sz val="10"/>
        <rFont val="Calibri"/>
        <family val="2"/>
        <scheme val="minor"/>
      </rPr>
      <t>" 90г</t>
    </r>
  </si>
  <si>
    <r>
      <t xml:space="preserve">Завтрак сухой "Хлебцы хрустящие </t>
    </r>
    <r>
      <rPr>
        <b/>
        <sz val="10"/>
        <rFont val="Calibri"/>
        <family val="2"/>
        <scheme val="minor"/>
      </rPr>
      <t>рисовые</t>
    </r>
    <r>
      <rPr>
        <sz val="10"/>
        <rFont val="Calibri"/>
        <family val="2"/>
        <scheme val="minor"/>
      </rPr>
      <t>" 90г</t>
    </r>
  </si>
  <si>
    <r>
      <t xml:space="preserve">Завтрак сухой "Шарики особые </t>
    </r>
    <r>
      <rPr>
        <b/>
        <sz val="10"/>
        <rFont val="Calibri"/>
        <family val="2"/>
        <scheme val="minor"/>
      </rPr>
      <t>гречишно-рисовые</t>
    </r>
    <r>
      <rPr>
        <sz val="10"/>
        <rFont val="Calibri"/>
        <family val="2"/>
        <scheme val="minor"/>
      </rPr>
      <t>" 30г</t>
    </r>
  </si>
  <si>
    <t>Магнезиум хелат комплекс + B6 120капс</t>
  </si>
  <si>
    <t>сироп топинамбура (сок клубней топинамбура, вода), вода деминерализованная, магний (магния аспарагинат), магний (магния бисглицинат), антиокислитель (лимонная кислота), витамин В6 (пиридоксина гидрохлорид)</t>
  </si>
  <si>
    <t>магния аспарагинат, гидроксипропилметилцеллюлоза (загуститель - оболочка капсулы), магния бисглицинат, микрокристаллическая целлюлоза (носитель), агент антислёживающий (диоксид кремния аморфный, магниевая соль стеариновой кислоты), витамин В6 (пиридоксина гидрохлорид).</t>
  </si>
  <si>
    <t>Соломка ц/з с клюквой на фруктозе 200г</t>
  </si>
  <si>
    <r>
      <t>Попкорн микроволновый "</t>
    </r>
    <r>
      <rPr>
        <b/>
        <sz val="10"/>
        <rFont val="Calibri"/>
        <family val="2"/>
        <scheme val="minor"/>
      </rPr>
      <t>Морская соль</t>
    </r>
    <r>
      <rPr>
        <sz val="10"/>
        <rFont val="Calibri"/>
        <family val="2"/>
        <scheme val="minor"/>
      </rPr>
      <t>" 65г</t>
    </r>
  </si>
  <si>
    <r>
      <t>Попкорн микроволновый "</t>
    </r>
    <r>
      <rPr>
        <b/>
        <sz val="10"/>
        <rFont val="Calibri"/>
        <family val="2"/>
        <scheme val="minor"/>
      </rPr>
      <t>Нежный Сыр</t>
    </r>
    <r>
      <rPr>
        <sz val="10"/>
        <rFont val="Calibri"/>
        <family val="2"/>
        <scheme val="minor"/>
      </rPr>
      <t>" 65г</t>
    </r>
  </si>
  <si>
    <t>Печенье и маффины</t>
  </si>
  <si>
    <t>Тюлений жир в капсулах 120капс. 36г</t>
  </si>
  <si>
    <t>Мармелад "Ягодень" Глинтвейн, подложка 165г</t>
  </si>
  <si>
    <r>
      <t xml:space="preserve">Маффин </t>
    </r>
    <r>
      <rPr>
        <b/>
        <sz val="10"/>
        <rFont val="Calibri"/>
        <family val="2"/>
        <scheme val="minor"/>
      </rPr>
      <t>двойной шоколад</t>
    </r>
    <r>
      <rPr>
        <sz val="10"/>
        <rFont val="Calibri"/>
        <family val="2"/>
        <scheme val="minor"/>
      </rPr>
      <t xml:space="preserve"> Rocky 55г</t>
    </r>
  </si>
  <si>
    <r>
      <t xml:space="preserve">Маффин </t>
    </r>
    <r>
      <rPr>
        <b/>
        <sz val="10"/>
        <rFont val="Calibri"/>
        <family val="2"/>
        <scheme val="minor"/>
      </rPr>
      <t>маковый</t>
    </r>
    <r>
      <rPr>
        <sz val="10"/>
        <rFont val="Calibri"/>
        <family val="2"/>
        <scheme val="minor"/>
      </rPr>
      <t xml:space="preserve"> Rocky 55г</t>
    </r>
  </si>
  <si>
    <t>Конфеты "Кедровый трюфель" ассорти с кедровой настойкой 100г</t>
  </si>
  <si>
    <t>Сухое молоко, талкан, экстракт курильского чая, экстракт душицы, соль</t>
  </si>
  <si>
    <r>
      <t xml:space="preserve">Маффин </t>
    </r>
    <r>
      <rPr>
        <b/>
        <sz val="10"/>
        <rFont val="Calibri"/>
        <family val="2"/>
        <scheme val="minor"/>
      </rPr>
      <t>морковный торт</t>
    </r>
    <r>
      <rPr>
        <sz val="10"/>
        <rFont val="Calibri"/>
        <family val="2"/>
        <scheme val="minor"/>
      </rPr>
      <t xml:space="preserve"> Rocky 55г</t>
    </r>
  </si>
  <si>
    <t>8 (495) 269-83-70</t>
  </si>
  <si>
    <r>
      <t xml:space="preserve">Мюсли запеченные Bionova </t>
    </r>
    <r>
      <rPr>
        <b/>
        <sz val="10"/>
        <rFont val="Calibri"/>
        <family val="2"/>
        <scheme val="minor"/>
      </rPr>
      <t>вишневые</t>
    </r>
    <r>
      <rPr>
        <sz val="10"/>
        <rFont val="Calibri"/>
        <family val="2"/>
        <scheme val="minor"/>
      </rPr>
      <t xml:space="preserve"> 400г</t>
    </r>
  </si>
  <si>
    <r>
      <t xml:space="preserve">Мюсли запеченные Bionova </t>
    </r>
    <r>
      <rPr>
        <b/>
        <sz val="10"/>
        <rFont val="Calibri"/>
        <family val="2"/>
        <scheme val="minor"/>
      </rPr>
      <t>шоколадные</t>
    </r>
    <r>
      <rPr>
        <sz val="10"/>
        <rFont val="Calibri"/>
        <family val="2"/>
        <scheme val="minor"/>
      </rPr>
      <t xml:space="preserve"> 400г</t>
    </r>
  </si>
  <si>
    <r>
      <t xml:space="preserve">Каша конопляная с </t>
    </r>
    <r>
      <rPr>
        <b/>
        <sz val="10"/>
        <rFont val="Calibri"/>
        <family val="2"/>
        <scheme val="minor"/>
      </rPr>
      <t>куркумой и кайенским перцем</t>
    </r>
    <r>
      <rPr>
        <sz val="10"/>
        <rFont val="Calibri"/>
        <family val="2"/>
        <scheme val="minor"/>
      </rPr>
      <t xml:space="preserve"> 200г</t>
    </r>
  </si>
  <si>
    <r>
      <t xml:space="preserve">Кофейный напиток таёжный </t>
    </r>
    <r>
      <rPr>
        <b/>
        <sz val="10"/>
        <rFont val="Calibri"/>
        <family val="2"/>
        <scheme val="minor"/>
      </rPr>
      <t>кедролюб</t>
    </r>
    <r>
      <rPr>
        <sz val="10"/>
        <rFont val="Calibri"/>
        <family val="2"/>
        <scheme val="minor"/>
      </rPr>
      <t xml:space="preserve"> (классический) 85г</t>
    </r>
  </si>
  <si>
    <r>
      <t xml:space="preserve">Напиток кедровый </t>
    </r>
    <r>
      <rPr>
        <b/>
        <sz val="10"/>
        <rFont val="Calibri"/>
        <family val="2"/>
        <scheme val="minor"/>
      </rPr>
      <t>Латте без сахара</t>
    </r>
    <r>
      <rPr>
        <sz val="10"/>
        <rFont val="Calibri"/>
        <family val="2"/>
        <scheme val="minor"/>
      </rPr>
      <t xml:space="preserve"> Eleo 150г</t>
    </r>
  </si>
  <si>
    <t>Мука гречневая ц\з (из зеленой гречихи) 500г</t>
  </si>
  <si>
    <t>Мука гречневая ц\з 500г</t>
  </si>
  <si>
    <t>Мука кукурузная ц\з 500г</t>
  </si>
  <si>
    <t>Мука нутовая ц\з 500г</t>
  </si>
  <si>
    <t>Мука полбяная ц\з 500г</t>
  </si>
  <si>
    <t>Мука рисовая ц\з 500г</t>
  </si>
  <si>
    <t>Мука пшеничная ц\з тонкого помола 1кг</t>
  </si>
  <si>
    <t>Мука ржаная ц\з тонкого помола 1кг</t>
  </si>
  <si>
    <t>Мука ржаная ц\з 1кг</t>
  </si>
  <si>
    <t>6\12</t>
  </si>
  <si>
    <t>ТвердоХлеб</t>
  </si>
  <si>
    <t>Овёс зерно пакет 500г</t>
  </si>
  <si>
    <t>Пшеница для проращивания бум. пакет 500г</t>
  </si>
  <si>
    <t>Овёс зерно голозерный крафт 500г</t>
  </si>
  <si>
    <t>Солод ржаной ферментированный 500г</t>
  </si>
  <si>
    <t xml:space="preserve">Мука пшеничная высший сорт 2кг </t>
  </si>
  <si>
    <t xml:space="preserve">Мука пшеничная высший сорт мешок 4,1кг </t>
  </si>
  <si>
    <r>
      <t xml:space="preserve">Конфеты "Кедровые палочки" в шоколадной глазури </t>
    </r>
    <r>
      <rPr>
        <b/>
        <sz val="10"/>
        <rFont val="Calibri"/>
        <family val="2"/>
        <scheme val="minor"/>
      </rPr>
      <t>Ассорти</t>
    </r>
    <r>
      <rPr>
        <sz val="10"/>
        <rFont val="Calibri"/>
        <family val="2"/>
        <scheme val="minor"/>
      </rPr>
      <t xml:space="preserve"> 110г</t>
    </r>
  </si>
  <si>
    <r>
      <t xml:space="preserve">Конфеты "Кедровый грильяж" с </t>
    </r>
    <r>
      <rPr>
        <b/>
        <sz val="10"/>
        <rFont val="Calibri"/>
        <family val="2"/>
        <scheme val="minor"/>
      </rPr>
      <t>клюквой</t>
    </r>
    <r>
      <rPr>
        <sz val="10"/>
        <rFont val="Calibri"/>
        <family val="2"/>
        <scheme val="minor"/>
      </rPr>
      <t xml:space="preserve"> в шоколадной глазури 120г</t>
    </r>
  </si>
  <si>
    <t>P</t>
  </si>
  <si>
    <t>масло льняное пищевое нерафинированное, желатин пищевой 
Форма выпуска: мягкие желатиновые капсулы массой 300 мг Область применения:рекомендуется в качестве дополнительного источника полиненасыщенных жирных кислот Омега-3</t>
  </si>
  <si>
    <t>Мука пшеничная обойная, мука ржаная обойная, вода питьевая</t>
  </si>
  <si>
    <t>вода, масло оливковое, оливки, загуститель крахмал кукурузный, подсластитель эритрит, соль, уксус, регулятор кислотности лимонная кислота, природный консервант сорбиновая кислота, горчичное масло</t>
  </si>
  <si>
    <r>
      <t xml:space="preserve">Сироп топинамбура </t>
    </r>
    <r>
      <rPr>
        <b/>
        <sz val="10"/>
        <rFont val="Calibri"/>
        <family val="2"/>
        <scheme val="minor"/>
      </rPr>
      <t>натуральный</t>
    </r>
    <r>
      <rPr>
        <sz val="10"/>
        <rFont val="Calibri"/>
        <family val="2"/>
        <scheme val="minor"/>
      </rPr>
      <t xml:space="preserve"> пластик 650г</t>
    </r>
  </si>
  <si>
    <r>
      <t xml:space="preserve">Сироп топинамбура </t>
    </r>
    <r>
      <rPr>
        <b/>
        <sz val="10"/>
        <rFont val="Calibri"/>
        <family val="2"/>
        <scheme val="minor"/>
      </rPr>
      <t>натуральный</t>
    </r>
    <r>
      <rPr>
        <sz val="10"/>
        <rFont val="Calibri"/>
        <family val="2"/>
        <scheme val="minor"/>
      </rPr>
      <t xml:space="preserve"> пластик 5л</t>
    </r>
  </si>
  <si>
    <t>Мука пшеничная хлебопекарная 1 сорта 1кг</t>
  </si>
  <si>
    <t>Мука пшеничная хлебопекарная 2 сорта 1кг</t>
  </si>
  <si>
    <t>Мармелад "Таёжный" с сиропом из сосновых шишек 124г</t>
  </si>
  <si>
    <t>Натуральная цельнозерновая мука, жерновой помол</t>
  </si>
  <si>
    <t>Молоко кокосовое сухое 30г</t>
  </si>
  <si>
    <r>
      <t xml:space="preserve">Пастилки фруктовые "Котики" </t>
    </r>
    <r>
      <rPr>
        <b/>
        <sz val="10"/>
        <rFont val="Calibri"/>
        <family val="2"/>
        <scheme val="minor"/>
      </rPr>
      <t>Вишня</t>
    </r>
    <r>
      <rPr>
        <sz val="10"/>
        <rFont val="Calibri"/>
        <family val="2"/>
        <scheme val="minor"/>
      </rPr>
      <t xml:space="preserve"> 40г</t>
    </r>
  </si>
  <si>
    <t>Масло Амарантовое 100% «Отборное» 2х100мл</t>
  </si>
  <si>
    <t>масло амарантовое</t>
  </si>
  <si>
    <t>Кедрокофе Тропический Apic пакет 125г</t>
  </si>
  <si>
    <r>
      <t xml:space="preserve">Конфеты "Кедровый марципан" </t>
    </r>
    <r>
      <rPr>
        <b/>
        <sz val="10"/>
        <rFont val="Calibri"/>
        <family val="2"/>
        <scheme val="minor"/>
      </rPr>
      <t>с клюквой</t>
    </r>
    <r>
      <rPr>
        <sz val="10"/>
        <rFont val="Calibri"/>
        <family val="2"/>
        <scheme val="minor"/>
      </rPr>
      <t xml:space="preserve"> 40г</t>
    </r>
  </si>
  <si>
    <t>Мука пшеничная ц\з 1кг</t>
  </si>
  <si>
    <r>
      <t xml:space="preserve">Шейк протеиновый с </t>
    </r>
    <r>
      <rPr>
        <b/>
        <sz val="10"/>
        <rFont val="Calibri"/>
        <family val="2"/>
        <scheme val="minor"/>
      </rPr>
      <t>Клубникой</t>
    </r>
    <r>
      <rPr>
        <sz val="10"/>
        <rFont val="Calibri"/>
        <family val="2"/>
        <scheme val="minor"/>
      </rPr>
      <t xml:space="preserve"> "Bionova" 25г</t>
    </r>
  </si>
  <si>
    <r>
      <t xml:space="preserve">Шейк протеиновый с </t>
    </r>
    <r>
      <rPr>
        <b/>
        <sz val="10"/>
        <rFont val="Calibri"/>
        <family val="2"/>
        <scheme val="minor"/>
      </rPr>
      <t>Малиной</t>
    </r>
    <r>
      <rPr>
        <sz val="10"/>
        <rFont val="Calibri"/>
        <family val="2"/>
        <scheme val="minor"/>
      </rPr>
      <t xml:space="preserve"> "Bionova" 25г</t>
    </r>
  </si>
  <si>
    <r>
      <t xml:space="preserve">Шейк протеиновый с </t>
    </r>
    <r>
      <rPr>
        <b/>
        <sz val="10"/>
        <rFont val="Calibri"/>
        <family val="2"/>
        <scheme val="minor"/>
      </rPr>
      <t>Черникой</t>
    </r>
    <r>
      <rPr>
        <sz val="10"/>
        <rFont val="Calibri"/>
        <family val="2"/>
        <scheme val="minor"/>
      </rPr>
      <t xml:space="preserve"> "Bionova" 25г</t>
    </r>
  </si>
  <si>
    <r>
      <t xml:space="preserve">Шейк протеиновый с </t>
    </r>
    <r>
      <rPr>
        <b/>
        <sz val="10"/>
        <rFont val="Calibri"/>
        <family val="2"/>
        <scheme val="minor"/>
      </rPr>
      <t>Шоколадом</t>
    </r>
    <r>
      <rPr>
        <sz val="10"/>
        <rFont val="Calibri"/>
        <family val="2"/>
        <scheme val="minor"/>
      </rPr>
      <t xml:space="preserve"> "Bionova" 25г</t>
    </r>
  </si>
  <si>
    <r>
      <t xml:space="preserve">Шейк протеиновый с </t>
    </r>
    <r>
      <rPr>
        <b/>
        <sz val="10"/>
        <rFont val="Calibri"/>
        <family val="2"/>
        <scheme val="minor"/>
      </rPr>
      <t>Шоколадом и Бананом</t>
    </r>
    <r>
      <rPr>
        <sz val="10"/>
        <rFont val="Calibri"/>
        <family val="2"/>
        <scheme val="minor"/>
      </rPr>
      <t xml:space="preserve"> "Bionova" 25г</t>
    </r>
  </si>
  <si>
    <r>
      <t xml:space="preserve">Крупа </t>
    </r>
    <r>
      <rPr>
        <b/>
        <sz val="10"/>
        <rFont val="Calibri"/>
        <family val="2"/>
        <scheme val="minor"/>
      </rPr>
      <t>зелёная гречка</t>
    </r>
    <r>
      <rPr>
        <sz val="10"/>
        <rFont val="Calibri"/>
        <family val="2"/>
        <scheme val="minor"/>
      </rPr>
      <t xml:space="preserve"> в варочных пакетах 350г</t>
    </r>
  </si>
  <si>
    <r>
      <t xml:space="preserve">Крупа </t>
    </r>
    <r>
      <rPr>
        <b/>
        <sz val="10"/>
        <rFont val="Calibri"/>
        <family val="2"/>
        <scheme val="minor"/>
      </rPr>
      <t>овёс</t>
    </r>
    <r>
      <rPr>
        <sz val="10"/>
        <rFont val="Calibri"/>
        <family val="2"/>
        <scheme val="minor"/>
      </rPr>
      <t xml:space="preserve"> голозёрный резаный в варочных пакетах 350г</t>
    </r>
  </si>
  <si>
    <t>Жироудалитель 500 мл</t>
  </si>
  <si>
    <t>Правильные гарниры - готовые блюда</t>
  </si>
  <si>
    <t>Полба с киноа и овощами 300г</t>
  </si>
  <si>
    <t>Рис бурый с овощами 300г</t>
  </si>
  <si>
    <t>Чечевица зеленая с полбой и овощами 300г</t>
  </si>
  <si>
    <r>
      <t>Конфеты "Кедровые палочки"</t>
    </r>
    <r>
      <rPr>
        <b/>
        <sz val="10"/>
        <rFont val="Calibri"/>
        <family val="2"/>
        <charset val="204"/>
        <scheme val="minor"/>
      </rPr>
      <t xml:space="preserve"> классические</t>
    </r>
    <r>
      <rPr>
        <sz val="10"/>
        <rFont val="Calibri"/>
        <family val="2"/>
        <scheme val="minor"/>
      </rPr>
      <t xml:space="preserve"> 640г</t>
    </r>
  </si>
  <si>
    <t>Леденцы, карамель</t>
  </si>
  <si>
    <t>сахар, патока крахмальная, лимонная кислота (регулятор кислотности), сибирский экстракт, экстракт чаги</t>
  </si>
  <si>
    <r>
      <t>Бальзам "</t>
    </r>
    <r>
      <rPr>
        <b/>
        <sz val="10"/>
        <rFont val="Calibri"/>
        <family val="2"/>
        <scheme val="minor"/>
      </rPr>
      <t>Иммуно +</t>
    </r>
    <r>
      <rPr>
        <sz val="10"/>
        <rFont val="Calibri"/>
        <family val="2"/>
        <scheme val="minor"/>
      </rPr>
      <t>" (без сахара) 100мл</t>
    </r>
  </si>
  <si>
    <r>
      <t>Гель для умывания "</t>
    </r>
    <r>
      <rPr>
        <b/>
        <sz val="10"/>
        <rFont val="Calibri"/>
        <family val="2"/>
        <scheme val="minor"/>
      </rPr>
      <t>Анти-Акне</t>
    </r>
    <r>
      <rPr>
        <sz val="10"/>
        <rFont val="Calibri"/>
        <family val="2"/>
        <scheme val="minor"/>
      </rPr>
      <t xml:space="preserve">" для проблемной кожи 200мл </t>
    </r>
  </si>
  <si>
    <r>
      <t>Гель для умывания "</t>
    </r>
    <r>
      <rPr>
        <b/>
        <sz val="10"/>
        <rFont val="Calibri"/>
        <family val="2"/>
        <scheme val="minor"/>
      </rPr>
      <t>Увлажняющий</t>
    </r>
    <r>
      <rPr>
        <sz val="10"/>
        <rFont val="Calibri"/>
        <family val="2"/>
        <scheme val="minor"/>
      </rPr>
      <t>" для сухой кожи 200мл</t>
    </r>
  </si>
  <si>
    <r>
      <t xml:space="preserve">Клетчатка пшеничная </t>
    </r>
    <r>
      <rPr>
        <b/>
        <sz val="10"/>
        <rFont val="Calibri"/>
        <family val="2"/>
        <scheme val="minor"/>
      </rPr>
      <t>мелкая</t>
    </r>
    <r>
      <rPr>
        <sz val="10"/>
        <rFont val="Calibri"/>
        <family val="2"/>
        <scheme val="minor"/>
      </rPr>
      <t xml:space="preserve"> 200г</t>
    </r>
  </si>
  <si>
    <r>
      <t>Смесь семян "</t>
    </r>
    <r>
      <rPr>
        <b/>
        <sz val="10"/>
        <rFont val="Calibri"/>
        <family val="2"/>
        <scheme val="minor"/>
      </rPr>
      <t>Иммунитет</t>
    </r>
    <r>
      <rPr>
        <sz val="10"/>
        <rFont val="Calibri"/>
        <family val="2"/>
        <scheme val="minor"/>
      </rPr>
      <t>" (Полба + Амарант) 350г</t>
    </r>
  </si>
  <si>
    <r>
      <t xml:space="preserve">Конфеты "Кедровый грильяж" ассорти </t>
    </r>
    <r>
      <rPr>
        <b/>
        <sz val="10"/>
        <rFont val="Calibri"/>
        <family val="2"/>
        <scheme val="minor"/>
      </rPr>
      <t xml:space="preserve">в </t>
    </r>
    <r>
      <rPr>
        <b/>
        <u/>
        <sz val="10"/>
        <rFont val="Calibri"/>
        <family val="2"/>
        <charset val="204"/>
        <scheme val="minor"/>
      </rPr>
      <t>натуральном шоколаде</t>
    </r>
    <r>
      <rPr>
        <b/>
        <sz val="10"/>
        <rFont val="Calibri"/>
        <family val="2"/>
        <scheme val="minor"/>
      </rPr>
      <t xml:space="preserve"> - клюква, облепиха, черника </t>
    </r>
    <r>
      <rPr>
        <sz val="10"/>
        <rFont val="Calibri"/>
        <family val="2"/>
        <scheme val="minor"/>
      </rPr>
      <t xml:space="preserve">120г </t>
    </r>
  </si>
  <si>
    <t>Продукция</t>
  </si>
  <si>
    <t>соль пищевая каменная молотая, перец белый (молотый), имбирь корень (молотый), кардамон зерно (молотое), куркума (молотая), гвоздика (молотая)</t>
  </si>
  <si>
    <t>соль пищевая каменная молотая, перец красный чили (молотый), лемонграсс (молотый)</t>
  </si>
  <si>
    <t>соль пищевая каменная молотая, можжевельник ягода (молотая), шиповник плоды (молотые), смородины лист (молотый), шалфей лист (молотый)</t>
  </si>
  <si>
    <t>высококонцентрированный водно-глицериновый экстракт патринии скальной</t>
  </si>
  <si>
    <r>
      <t xml:space="preserve">ФитПарад № 36 </t>
    </r>
    <r>
      <rPr>
        <b/>
        <sz val="10"/>
        <rFont val="Calibri"/>
        <family val="2"/>
        <scheme val="minor"/>
      </rPr>
      <t>Малина</t>
    </r>
    <r>
      <rPr>
        <sz val="10"/>
        <rFont val="Calibri"/>
        <family val="2"/>
        <scheme val="minor"/>
      </rPr>
      <t xml:space="preserve"> (флакон) (заменяет 1,5кг сахара) 30мл</t>
    </r>
  </si>
  <si>
    <r>
      <t>Печенье "</t>
    </r>
    <r>
      <rPr>
        <b/>
        <sz val="10"/>
        <rFont val="Calibri"/>
        <family val="2"/>
        <scheme val="minor"/>
      </rPr>
      <t>Кокосовое</t>
    </r>
    <r>
      <rPr>
        <sz val="10"/>
        <rFont val="Calibri"/>
        <family val="2"/>
        <scheme val="minor"/>
      </rPr>
      <t>" 150г</t>
    </r>
  </si>
  <si>
    <r>
      <t xml:space="preserve">Печенье "три пользы" </t>
    </r>
    <r>
      <rPr>
        <b/>
        <sz val="10"/>
        <rFont val="Calibri"/>
        <family val="2"/>
        <scheme val="minor"/>
      </rPr>
      <t>конопляное с белым льном</t>
    </r>
    <r>
      <rPr>
        <sz val="10"/>
        <rFont val="Calibri"/>
        <family val="2"/>
        <scheme val="minor"/>
      </rPr>
      <t xml:space="preserve"> б.сахара 150г</t>
    </r>
  </si>
  <si>
    <r>
      <t xml:space="preserve">Печенье </t>
    </r>
    <r>
      <rPr>
        <b/>
        <sz val="10"/>
        <rFont val="Calibri"/>
        <family val="2"/>
        <scheme val="minor"/>
      </rPr>
      <t>льняное</t>
    </r>
    <r>
      <rPr>
        <sz val="10"/>
        <rFont val="Calibri"/>
        <family val="2"/>
        <scheme val="minor"/>
      </rPr>
      <t xml:space="preserve"> с пребиотиком, без сахара и глютена 85г</t>
    </r>
  </si>
  <si>
    <r>
      <t xml:space="preserve">Завтрак сухой "Шарики особые </t>
    </r>
    <r>
      <rPr>
        <b/>
        <sz val="10"/>
        <rFont val="Calibri"/>
        <family val="2"/>
        <scheme val="minor"/>
      </rPr>
      <t>кукурузно-рисовые</t>
    </r>
    <r>
      <rPr>
        <sz val="10"/>
        <rFont val="Calibri"/>
        <family val="2"/>
        <scheme val="minor"/>
      </rPr>
      <t>" 30г</t>
    </r>
  </si>
  <si>
    <t>Косметика Nativica</t>
  </si>
  <si>
    <t>Масло рисовых отрубей King rice bran oil 1000мл</t>
  </si>
  <si>
    <r>
      <t>Эликсир "</t>
    </r>
    <r>
      <rPr>
        <b/>
        <sz val="10"/>
        <color theme="1"/>
        <rFont val="Calibri"/>
        <family val="2"/>
        <charset val="204"/>
        <scheme val="minor"/>
      </rPr>
      <t>Для Зрения - Омега 3</t>
    </r>
    <r>
      <rPr>
        <sz val="10"/>
        <color theme="1"/>
        <rFont val="Calibri"/>
        <family val="2"/>
        <scheme val="minor"/>
      </rPr>
      <t>" на льняном масле 200мл</t>
    </r>
  </si>
  <si>
    <t>Масло пажитниковое 250мл</t>
  </si>
  <si>
    <t>Масло чёрного тмина 250мл</t>
  </si>
  <si>
    <t>изомальтоолигосахарид, начинка (арахис, подсластитель - мальтитол, масло ши, эмульгатор – соевый лецитин, соль), глазурь без сахара молочная, молочно-белковый концентрат, арахис дробленый,  гидролизованный рыбный коллаген,масло рапсовое, арахисовая паста, глицерин, соль, эмульгатор – соевый лецитин, натуральные ароматизаторы, краситель – колер карамельный, антиокислитель – концентрат смеси токоферолов (Витамин Е)</t>
  </si>
  <si>
    <t>изомальтоолигосахарид, начинка (арахис, подсластитель – мальтитол, масло ши, эмульгатор – соевый лецитин, соль), глазурь без сахара, молочно-белковый концентрат, пищевые волокна, гидролизованный рыбный коллаген, миндаль дробленый, масло рапсовое, влагоудерживающий агент – глицерин, банановый порошок, соль, эмульгатор – соевый лецитин, натуральный ароматизатор, антиокислитель – концентрат смеси токоферолов (Витамин Е).</t>
  </si>
  <si>
    <r>
      <t xml:space="preserve">Карамель твёрдый мёд </t>
    </r>
    <r>
      <rPr>
        <b/>
        <sz val="10"/>
        <rFont val="Calibri"/>
        <family val="2"/>
        <scheme val="minor"/>
      </rPr>
      <t>Горное Разнотравье</t>
    </r>
    <r>
      <rPr>
        <sz val="10"/>
        <rFont val="Calibri"/>
        <family val="2"/>
        <scheme val="minor"/>
      </rPr>
      <t xml:space="preserve"> 99% мёда 30г</t>
    </r>
  </si>
  <si>
    <r>
      <t xml:space="preserve">Карамель твёрдый мёд </t>
    </r>
    <r>
      <rPr>
        <b/>
        <sz val="10"/>
        <rFont val="Calibri"/>
        <family val="2"/>
        <scheme val="minor"/>
      </rPr>
      <t>Лимон и имбирь</t>
    </r>
    <r>
      <rPr>
        <sz val="10"/>
        <rFont val="Calibri"/>
        <family val="2"/>
        <scheme val="minor"/>
      </rPr>
      <t xml:space="preserve"> 99% мёда 30г</t>
    </r>
  </si>
  <si>
    <r>
      <t xml:space="preserve">Карамель твёрдый мёд </t>
    </r>
    <r>
      <rPr>
        <b/>
        <sz val="10"/>
        <rFont val="Calibri"/>
        <family val="2"/>
        <scheme val="minor"/>
      </rPr>
      <t>Малина и ромашка</t>
    </r>
    <r>
      <rPr>
        <sz val="10"/>
        <rFont val="Calibri"/>
        <family val="2"/>
        <scheme val="minor"/>
      </rPr>
      <t xml:space="preserve"> 30г</t>
    </r>
  </si>
  <si>
    <r>
      <t xml:space="preserve">Карамель твёрдый мёд </t>
    </r>
    <r>
      <rPr>
        <b/>
        <sz val="10"/>
        <rFont val="Calibri"/>
        <family val="2"/>
        <scheme val="minor"/>
      </rPr>
      <t>Облепиха и апельсин</t>
    </r>
    <r>
      <rPr>
        <sz val="10"/>
        <rFont val="Calibri"/>
        <family val="2"/>
        <scheme val="minor"/>
      </rPr>
      <t xml:space="preserve"> 30г </t>
    </r>
  </si>
  <si>
    <r>
      <t xml:space="preserve">Карамель твёрдый мёд </t>
    </r>
    <r>
      <rPr>
        <b/>
        <sz val="10"/>
        <rFont val="Calibri"/>
        <family val="2"/>
        <scheme val="minor"/>
      </rPr>
      <t>Шалфей</t>
    </r>
    <r>
      <rPr>
        <sz val="10"/>
        <rFont val="Calibri"/>
        <family val="2"/>
        <scheme val="minor"/>
      </rPr>
      <t xml:space="preserve">" 99% мёда 30г </t>
    </r>
  </si>
  <si>
    <r>
      <t xml:space="preserve">Карамель твёрдый мёд </t>
    </r>
    <r>
      <rPr>
        <b/>
        <sz val="10"/>
        <rFont val="Calibri"/>
        <family val="2"/>
        <scheme val="minor"/>
      </rPr>
      <t>Эвкалипт</t>
    </r>
    <r>
      <rPr>
        <sz val="10"/>
        <rFont val="Calibri"/>
        <family val="2"/>
        <scheme val="minor"/>
      </rPr>
      <t xml:space="preserve"> 99% мёда 30г</t>
    </r>
  </si>
  <si>
    <t>Пряности</t>
  </si>
  <si>
    <t>Специи и пряности</t>
  </si>
  <si>
    <t>куркума, корица,перец душистый, кардамон молотый</t>
  </si>
  <si>
    <t>корица молотая, имбмрь молотый ,мускатный орех, перец черный молотый,гвоздика  молотая,кардамон молотый, бадьян молотый</t>
  </si>
  <si>
    <t>Куркума молотая 200г</t>
  </si>
  <si>
    <t>Варенье из сосновых шишек стекло 450г</t>
  </si>
  <si>
    <t>Сироп из плодов шиповника 400г</t>
  </si>
  <si>
    <t>сахар, отвар плодов шиповника, вода, концентрированный лимонный сок.</t>
  </si>
  <si>
    <t>сахар, зеленые сосновые шишки, вода, концентрированный лимонный сок</t>
  </si>
  <si>
    <t>цельные ягоды брусники, сахар, загуститель фруктовый пектин, лимонная кислота.</t>
  </si>
  <si>
    <t>цельные ягоды клюквы и черники, сахар, загуститель фруктовый пектин, лимонная кислота.</t>
  </si>
  <si>
    <t>цельные ягоды клубники, сахар, загуститель фруктовый пектин, лимонная кислота</t>
  </si>
  <si>
    <t>цельные ягоды черники, сахар, загуститель фруктовый пектин, лимонная кислота</t>
  </si>
  <si>
    <t>Вода - 41%, сахар - 21,0%, 10%-дистиллированный спиртовой уксус - 17,0%, фруктозный сироп - 12,0%, лемонграсс - 4,8%, соль - 2,2%, маринованный красный чили (красный чили, соль, 10%-дистиллированный спиртовой уксус - 1,0%, красный чили - 0,7%, стабилизатор: ксантановая камедь (Е415) - 0,3%</t>
  </si>
  <si>
    <r>
      <t>Бай чай "</t>
    </r>
    <r>
      <rPr>
        <b/>
        <sz val="10"/>
        <rFont val="Calibri"/>
        <family val="2"/>
        <scheme val="minor"/>
      </rPr>
      <t>С курильским чаем и душицей</t>
    </r>
    <r>
      <rPr>
        <sz val="10"/>
        <rFont val="Calibri"/>
        <family val="2"/>
        <scheme val="minor"/>
      </rPr>
      <t>" (Успокаивающий) 10 стиков*12г</t>
    </r>
  </si>
  <si>
    <r>
      <t xml:space="preserve">Печенье </t>
    </r>
    <r>
      <rPr>
        <b/>
        <sz val="10"/>
        <rFont val="Calibri"/>
        <family val="2"/>
        <scheme val="minor"/>
      </rPr>
      <t>гречневое</t>
    </r>
    <r>
      <rPr>
        <sz val="10"/>
        <rFont val="Calibri"/>
        <family val="2"/>
        <scheme val="minor"/>
      </rPr>
      <t xml:space="preserve"> с пребиотиком, без сахара и глютена 85г</t>
    </r>
  </si>
  <si>
    <r>
      <t>Смесь семян "</t>
    </r>
    <r>
      <rPr>
        <b/>
        <sz val="10"/>
        <rFont val="Calibri"/>
        <family val="2"/>
        <scheme val="minor"/>
      </rPr>
      <t>Баланс</t>
    </r>
    <r>
      <rPr>
        <sz val="10"/>
        <rFont val="Calibri"/>
        <family val="2"/>
        <scheme val="minor"/>
      </rPr>
      <t>" (Пшеница + Рожь + Ячмень + Овёс) 350г</t>
    </r>
  </si>
  <si>
    <r>
      <t>Смесь семян "</t>
    </r>
    <r>
      <rPr>
        <b/>
        <sz val="10"/>
        <rFont val="Calibri"/>
        <family val="2"/>
        <scheme val="minor"/>
      </rPr>
      <t>Интеллект</t>
    </r>
    <r>
      <rPr>
        <sz val="10"/>
        <rFont val="Calibri"/>
        <family val="2"/>
        <scheme val="minor"/>
      </rPr>
      <t>" (Полба + Овёс + Амарант) 350г</t>
    </r>
  </si>
  <si>
    <r>
      <t>Смесь семян "</t>
    </r>
    <r>
      <rPr>
        <b/>
        <sz val="10"/>
        <rFont val="Calibri"/>
        <family val="2"/>
        <scheme val="minor"/>
      </rPr>
      <t>Стройность</t>
    </r>
    <r>
      <rPr>
        <sz val="10"/>
        <rFont val="Calibri"/>
        <family val="2"/>
        <scheme val="minor"/>
      </rPr>
      <t>" (Гречка + Овёс + Люцерна) 350г</t>
    </r>
  </si>
  <si>
    <r>
      <t xml:space="preserve">Крупа </t>
    </r>
    <r>
      <rPr>
        <b/>
        <sz val="10"/>
        <rFont val="Calibri"/>
        <family val="2"/>
        <scheme val="minor"/>
      </rPr>
      <t>полба резаная</t>
    </r>
    <r>
      <rPr>
        <sz val="10"/>
        <rFont val="Calibri"/>
        <family val="2"/>
        <scheme val="minor"/>
      </rPr>
      <t xml:space="preserve"> в варочных пакетах 350г</t>
    </r>
  </si>
  <si>
    <t>Эликсир таёжный, пэт 1000мл</t>
  </si>
  <si>
    <t>Эликсир таёжный, пэт 500мл</t>
  </si>
  <si>
    <t>Напитки, клеточный сок пихты, сиропы</t>
  </si>
  <si>
    <t>экстракт натуральный пихты сибирской, стевиозид (подсластитель)</t>
  </si>
  <si>
    <t>экстракт натуральный пихты сибирской, экстракт гриба чаги</t>
  </si>
  <si>
    <t>сахар, вода, шишка кедровая, лимонная кислота</t>
  </si>
  <si>
    <r>
      <t>Чайный напиток "</t>
    </r>
    <r>
      <rPr>
        <b/>
        <sz val="10"/>
        <rFont val="Calibri"/>
        <family val="2"/>
        <scheme val="minor"/>
      </rPr>
      <t>Горный мир</t>
    </r>
    <r>
      <rPr>
        <sz val="10"/>
        <rFont val="Calibri"/>
        <family val="2"/>
        <scheme val="minor"/>
      </rPr>
      <t>" витаминный пирамидка 15*10г</t>
    </r>
  </si>
  <si>
    <r>
      <t>Чайный напиток "</t>
    </r>
    <r>
      <rPr>
        <b/>
        <sz val="10"/>
        <rFont val="Calibri"/>
        <family val="2"/>
        <scheme val="minor"/>
      </rPr>
      <t>Мир Алтая</t>
    </r>
    <r>
      <rPr>
        <sz val="10"/>
        <rFont val="Calibri"/>
        <family val="2"/>
        <scheme val="minor"/>
      </rPr>
      <t>" иммунный пирамидка 15*10г</t>
    </r>
  </si>
  <si>
    <r>
      <t>Чайный напиток "</t>
    </r>
    <r>
      <rPr>
        <b/>
        <sz val="10"/>
        <rFont val="Calibri"/>
        <family val="2"/>
        <scheme val="minor"/>
      </rPr>
      <t>Мир Сибири</t>
    </r>
    <r>
      <rPr>
        <sz val="10"/>
        <rFont val="Calibri"/>
        <family val="2"/>
        <scheme val="minor"/>
      </rPr>
      <t>" тонизирующий пирамидка 15*10г</t>
    </r>
  </si>
  <si>
    <r>
      <t>Чайный напиток "</t>
    </r>
    <r>
      <rPr>
        <b/>
        <sz val="10"/>
        <rFont val="Calibri"/>
        <family val="2"/>
        <scheme val="minor"/>
      </rPr>
      <t>Таежный мир</t>
    </r>
    <r>
      <rPr>
        <sz val="10"/>
        <rFont val="Calibri"/>
        <family val="2"/>
        <scheme val="minor"/>
      </rPr>
      <t>" общеукрепляющий пирамидка 15*10г</t>
    </r>
  </si>
  <si>
    <t>каолин высокой степени очистки, кремний, вода, масло плодов облепихи, сорбитол; пав на растительной основе, экстракт облепихи, экстракт стевии, эфирное масло пихты сибирской,, эфирное масло мяты, лимонная кислота</t>
  </si>
  <si>
    <t>каолин высокой степени очистки, кремний, вода, масло льняное, сорбитол, пав на растительной основе, экстракт ромашки, экстракт стевии, эфирное масло можжевельника, эфирное масло мяты, лимонная кислота.</t>
  </si>
  <si>
    <t>каолин высокой степени очистки, кремний, вода, масло льняное, сорбитол, живица кедровая, пав на растительной основе, экстракт стевии, эфирное масло кедра сибирского, ментол, лимонная кислота.</t>
  </si>
  <si>
    <t>каолин высокой степени очистки, кремний, вода, масло льняное, сорбитол, живица кедровая, пав на растительной основе, экстракт стевии, прополис, ментол, лимонная кислота</t>
  </si>
  <si>
    <t>каолин высокой степени очистки, кремний, вода, масло льняное, сорбитол, мумие алтайское, пав на растительной основе, экстракт стевии, ментол, лимонная кислота</t>
  </si>
  <si>
    <r>
      <t xml:space="preserve">Мыло для рук </t>
    </r>
    <r>
      <rPr>
        <b/>
        <sz val="10"/>
        <rFont val="Calibri"/>
        <family val="2"/>
        <scheme val="minor"/>
      </rPr>
      <t>Кедровое</t>
    </r>
    <r>
      <rPr>
        <sz val="10"/>
        <rFont val="Calibri"/>
        <family val="2"/>
        <scheme val="minor"/>
      </rPr>
      <t xml:space="preserve"> 80г</t>
    </r>
  </si>
  <si>
    <r>
      <t xml:space="preserve">Мыло для рук </t>
    </r>
    <r>
      <rPr>
        <b/>
        <sz val="10"/>
        <rFont val="Calibri"/>
        <family val="2"/>
        <scheme val="minor"/>
      </rPr>
      <t>Можжевеловое</t>
    </r>
    <r>
      <rPr>
        <sz val="10"/>
        <rFont val="Calibri"/>
        <family val="2"/>
        <scheme val="minor"/>
      </rPr>
      <t xml:space="preserve"> 80г</t>
    </r>
  </si>
  <si>
    <t>Пастила натуральная</t>
  </si>
  <si>
    <t>яблочное пюре, вишневый концентрированный сок, мед цветочный, лимонная кислота, натуральный краситель</t>
  </si>
  <si>
    <t>яблочное пюре, малиновый концентрированный сок, мед цветочный, лимонная кислота, краситель натуральный</t>
  </si>
  <si>
    <t>яблочное пюре, клубничный концентрированный сок, мед цветочный, лимонная кислота, краситель натуральный</t>
  </si>
  <si>
    <t>яблочное пюре, облепиховый концентрат, мед цветочный, лимонная кислота, краситель натуральный</t>
  </si>
  <si>
    <t>яблочное пюре, Сок клубничный, сок малиновый концентрированный, сок облепиховый концентрированный, Сок смородиновый, цветочный мед, лимонная кислота, краситель натуральный</t>
  </si>
  <si>
    <t>пюре яблочное, сок винограда концентрированный, сок вишневый концентрированный, сок сливы концентрированный, мед цветочный, лимонная кислота, натуральный краситель</t>
  </si>
  <si>
    <t>Яблочное пюре, сок клубничный концентрированный, мёд цветочный, мякоть кокоса, лимонная кислота, натуральный краситель</t>
  </si>
  <si>
    <t>Яблочное пюре, сок малиновый концентрированный, семена льна, цветочный мед, лимонная кислота, натуральный краситель</t>
  </si>
  <si>
    <t>Яблочное пюре, сок облепиховый концентрированный, семена чиа, цветочный мед, лимонная кислота, натуральный краситель</t>
  </si>
  <si>
    <t>Яблочное пюре, сок яблочный концентрированный, семена тыквы, цветочный мед, лимонная кислота, натуральный краситель</t>
  </si>
  <si>
    <t>Яблочное пюре, сок вишневый концентрированный, арахис, цветочный мед, лимонная кислота, натуральный краситель</t>
  </si>
  <si>
    <t>яблочное пюре, черничный  концентрированный сок, мед цветочный, лимонная кислота, краситель натуральный</t>
  </si>
  <si>
    <t>от 2 тыс</t>
  </si>
  <si>
    <t>Морс, мармелад и орехи в сиропе</t>
  </si>
  <si>
    <t>сахар, молодая сосновая шишка, вода, лимонная кислота (регулятор кислоты)</t>
  </si>
  <si>
    <t>кедровый орех дроблёный, заменитель сливок (кукурузная патока, кокосовое масло, молочный белок), корица молотая, имбирь молотый, кардамон молотый, гвоздика молотая, куркума молотая</t>
  </si>
  <si>
    <t>Кедрокофе Йоговский с пряностями Apic 250г</t>
  </si>
  <si>
    <t>кедровый орех дробленый, заменитель сливок (кукурузная патока, кокосовое масло, молочный белок), какао натуральное, сахар</t>
  </si>
  <si>
    <t>кедровый орех дробленый, заменитель сливок (кукурузная патока, кокосовое масло, молочный белок), корица молотая, кардамон молотый, имбирь молотый, гвоздика молотая, куркума молотая.</t>
  </si>
  <si>
    <t>кедровый орех дробленый, заменитель сливок (кукурузная патока, кокосовое масло, молочный белок), тростниковый сахар</t>
  </si>
  <si>
    <t>масло кедровое</t>
  </si>
  <si>
    <t>кедровый орех дробленый, заменитель сливок (кукурузная патока, кокосовое масло, молочный белок), экстракт чаги гранулированный (содержит нерастворимый осадок)</t>
  </si>
  <si>
    <t>вода, масло соевое, загуститель крахмал картофельный, подсластитель эритрит, масло оливковое, соль, горчичный порошок, яичный желток, уксус натуральный, загуститель крахмал кукурузный, загуститель камедь гуаровая, регулятор кислотности лимонная кислота, консервант сорбиновая кислота, экстракт черного перца, натуральный краситель B-каротин.</t>
  </si>
  <si>
    <r>
      <t xml:space="preserve">Мюсли хрустящие Оллайт </t>
    </r>
    <r>
      <rPr>
        <b/>
        <sz val="10"/>
        <color theme="1"/>
        <rFont val="Calibri"/>
        <family val="2"/>
        <charset val="204"/>
        <scheme val="minor"/>
      </rPr>
      <t>шоколадные с орехами</t>
    </r>
    <r>
      <rPr>
        <sz val="10"/>
        <color theme="1"/>
        <rFont val="Calibri"/>
        <family val="2"/>
        <scheme val="minor"/>
      </rPr>
      <t xml:space="preserve"> 280г</t>
    </r>
  </si>
  <si>
    <t>Мармелад "Ягодень" Малина 165г</t>
  </si>
  <si>
    <t>Конфеты "Кедровый марципан" 40г</t>
  </si>
  <si>
    <t>Duke Almond</t>
  </si>
  <si>
    <t>Миндаль, фундук, мед, сахар, вафля тонкая (крахмал картофельный, подсолнечное масло), яичный белок</t>
  </si>
  <si>
    <t>Миндаль, мед, сахар, вафля тонкая (крахмал картофельный, подсолнечное масло), яичный белок</t>
  </si>
  <si>
    <t>Арахис,  мед, сахар, вафля тонкая (крахмал картофельный, подсолнечное масло), яичный белок</t>
  </si>
  <si>
    <t>Дигидрокверцитин 30капс*250мг</t>
  </si>
  <si>
    <t>рисовая мука, шиповник плоды, дигидроклерцетин, арабиногалактан, желатин (оболочка капсулы).</t>
  </si>
  <si>
    <t>ксантановая камедь, уксус, загуститель, соль, корень имбиря, сорбиновая кислота, специи, пшеница, эритритол, соя, подсластитель, вода, оливковое масло</t>
  </si>
  <si>
    <r>
      <t>Соус майонезный "</t>
    </r>
    <r>
      <rPr>
        <b/>
        <sz val="10"/>
        <rFont val="Calibri"/>
        <family val="2"/>
        <scheme val="minor"/>
      </rPr>
      <t>Провансальский</t>
    </r>
    <r>
      <rPr>
        <sz val="10"/>
        <rFont val="Calibri"/>
        <family val="2"/>
        <scheme val="minor"/>
      </rPr>
      <t>" 270г</t>
    </r>
  </si>
  <si>
    <t>высококачественное натуральное сливочное масло</t>
  </si>
  <si>
    <t>сливочное масло, черный перец</t>
  </si>
  <si>
    <t>растительные жиры, мальтодекстрин, ваниль, лецитин соевый, сухая молочная сыворотка, кокосовая стружка, патока, стевиозид, молоко сухое обезжиренное, изомальт, белая глазурь с заменителем сахара, ароматизатор кокос</t>
  </si>
  <si>
    <t>Лицитин, растительные жиры, мальтодекстрин, ваниль, сухая молочная сыворотка, кокосовая стружка, патока, стевиозид, изомальт, молоко обезжиренное сухое, молочная глазурь с заменителем сахара, ароматизатор кокос</t>
  </si>
  <si>
    <t>водная вытяжка из растительного сырья (гинкго билоба лист, лабазника вязолистного цветки (таволга), родиола розовая (золотой корень), женьшеня обыкновенного корень, шиповника плоды), фруктоза, лецитин, сорбат калия (консервант)</t>
  </si>
  <si>
    <t>минимальный квант 22шт</t>
  </si>
  <si>
    <r>
      <t xml:space="preserve">Каша овсяная молочная с </t>
    </r>
    <r>
      <rPr>
        <b/>
        <sz val="10"/>
        <rFont val="Calibri"/>
        <family val="2"/>
        <scheme val="minor"/>
      </rPr>
      <t>изюмом и инжиром</t>
    </r>
    <r>
      <rPr>
        <sz val="10"/>
        <rFont val="Calibri"/>
        <family val="2"/>
        <scheme val="minor"/>
      </rPr>
      <t xml:space="preserve"> ОлЛайт 40г</t>
    </r>
  </si>
  <si>
    <r>
      <t xml:space="preserve">Каша овсяная молочная с </t>
    </r>
    <r>
      <rPr>
        <b/>
        <sz val="10"/>
        <rFont val="Calibri"/>
        <family val="2"/>
        <scheme val="minor"/>
      </rPr>
      <t>клубникой</t>
    </r>
    <r>
      <rPr>
        <sz val="10"/>
        <rFont val="Calibri"/>
        <family val="2"/>
        <scheme val="minor"/>
      </rPr>
      <t xml:space="preserve"> ОлЛайт 40г</t>
    </r>
  </si>
  <si>
    <r>
      <t xml:space="preserve">Каша овсяная молочная с </t>
    </r>
    <r>
      <rPr>
        <b/>
        <sz val="10"/>
        <rFont val="Calibri"/>
        <family val="2"/>
        <scheme val="minor"/>
      </rPr>
      <t>малиной</t>
    </r>
    <r>
      <rPr>
        <sz val="10"/>
        <rFont val="Calibri"/>
        <family val="2"/>
        <scheme val="minor"/>
      </rPr>
      <t xml:space="preserve"> ОлЛайт 40г</t>
    </r>
  </si>
  <si>
    <r>
      <t xml:space="preserve">Напиток грецкий раф </t>
    </r>
    <r>
      <rPr>
        <b/>
        <sz val="10"/>
        <rFont val="Calibri"/>
        <family val="2"/>
        <scheme val="minor"/>
      </rPr>
      <t>без сахара</t>
    </r>
    <r>
      <rPr>
        <sz val="10"/>
        <rFont val="Calibri"/>
        <family val="2"/>
        <scheme val="minor"/>
      </rPr>
      <t xml:space="preserve"> Eleo 150г</t>
    </r>
  </si>
  <si>
    <r>
      <t xml:space="preserve">Напиток пихтовый капучино </t>
    </r>
    <r>
      <rPr>
        <b/>
        <sz val="10"/>
        <rFont val="Calibri"/>
        <family val="2"/>
        <scheme val="minor"/>
      </rPr>
      <t>без сахара</t>
    </r>
    <r>
      <rPr>
        <sz val="10"/>
        <rFont val="Calibri"/>
        <family val="2"/>
        <scheme val="minor"/>
      </rPr>
      <t xml:space="preserve"> Eleo 150г</t>
    </r>
  </si>
  <si>
    <t>минимальный квант 6шт</t>
  </si>
  <si>
    <r>
      <t xml:space="preserve">Шоколад тёмный с </t>
    </r>
    <r>
      <rPr>
        <b/>
        <sz val="10"/>
        <rFont val="Calibri"/>
        <family val="2"/>
        <scheme val="minor"/>
      </rPr>
      <t>Манго и тыквой</t>
    </r>
    <r>
      <rPr>
        <sz val="10"/>
        <rFont val="Calibri"/>
        <family val="2"/>
        <scheme val="minor"/>
      </rPr>
      <t xml:space="preserve"> без сахара 30г</t>
    </r>
  </si>
  <si>
    <r>
      <t xml:space="preserve">Чайный напиток травяной </t>
    </r>
    <r>
      <rPr>
        <b/>
        <sz val="10"/>
        <rFont val="Calibri"/>
        <family val="2"/>
        <scheme val="minor"/>
      </rPr>
      <t>ромашка</t>
    </r>
    <r>
      <rPr>
        <sz val="10"/>
        <rFont val="Calibri"/>
        <family val="2"/>
        <scheme val="minor"/>
      </rPr>
      <t xml:space="preserve"> 40г</t>
    </r>
  </si>
  <si>
    <r>
      <t xml:space="preserve">Чайный напиток травяной </t>
    </r>
    <r>
      <rPr>
        <b/>
        <sz val="10"/>
        <rFont val="Calibri"/>
        <family val="2"/>
        <scheme val="minor"/>
      </rPr>
      <t>чабрец</t>
    </r>
    <r>
      <rPr>
        <sz val="10"/>
        <rFont val="Calibri"/>
        <family val="2"/>
        <scheme val="minor"/>
      </rPr>
      <t xml:space="preserve"> 40г</t>
    </r>
  </si>
  <si>
    <t>лимонная кислота, натуральный мед, яичный белок сухой, яблочное пюре, апельсин, сахар, агар-агар, патока, пищевые</t>
  </si>
  <si>
    <t>сахар, вода, патока, сосновые шишки, лимонная кислота (регулятор кислотности)</t>
  </si>
  <si>
    <t xml:space="preserve">Варенье из сосновых шишек Cedar Immuno 170г </t>
  </si>
  <si>
    <t xml:space="preserve">Варенье из сосновых шишек Cedar Immuno 290г </t>
  </si>
  <si>
    <t>Рисовая мука, кокосовое масло, кукурузный крахмал, сок яблочный, финиковый сироп, порошок банана, порошок яблочный, сода пищевая, карбонат кальция (источник кальций), соль, ароматизатор натуральный "Банан", витамины (В5, В6)</t>
  </si>
  <si>
    <t>Мука рисовая, кокосовое масло, крахмал кукурузный, финиковый сироп, порошок яблочный, молоко кокосовое сухое, порошок малиновый, порошок свекольный, разрыхлитель сода пищевая, соль морская, карбонат кальция (источник кальция), ароматизаторы натуральные «малина», «сливки», витамины (В5, В6)</t>
  </si>
  <si>
    <t>Рисовая мука, кокосовое масло, кукурузный крахмал, сок яблочный, финиковый сироп, порошок брокколи, порошок яблочный, сода пищевая, карбонат кальция (источник кальций), соль, витамины (В5, В6)</t>
  </si>
  <si>
    <t>Рисовая мука, кокосовое масло, кукурузный крахмал, сок клубничный, финиковый сироп, порошок свекольный, порошок яблочный, сода пищевая, карбонат кальция (источник кальция), соль, ароматизатор натуральный "Клубника", витамины В5, В6</t>
  </si>
  <si>
    <t>Рисовая мука, кокосовое масло, кукурузный крахмал, сок черной смородины, финиковый сироп, порошок свекольный, порошок яблочный, сода пищевая, карбонат кальция (источник кальций), соль, ароматизатор натуральный "Черная смородина", витамины (В5, В6).</t>
  </si>
  <si>
    <r>
      <t xml:space="preserve">Крем для рук </t>
    </r>
    <r>
      <rPr>
        <sz val="10"/>
        <color theme="1"/>
        <rFont val="Calibri"/>
        <family val="2"/>
        <charset val="204"/>
        <scheme val="minor"/>
      </rPr>
      <t>Клирвин</t>
    </r>
    <r>
      <rPr>
        <sz val="10"/>
        <color theme="1"/>
        <rFont val="Calibri"/>
        <family val="2"/>
        <scheme val="minor"/>
      </rPr>
      <t xml:space="preserve"> 25г</t>
    </r>
  </si>
  <si>
    <r>
      <t xml:space="preserve">Палочки ц/з хлебные </t>
    </r>
    <r>
      <rPr>
        <b/>
        <sz val="10"/>
        <rFont val="Calibri"/>
        <family val="2"/>
        <scheme val="minor"/>
      </rPr>
      <t xml:space="preserve">со льном </t>
    </r>
    <r>
      <rPr>
        <sz val="10"/>
        <rFont val="Calibri"/>
        <family val="2"/>
        <scheme val="minor"/>
      </rPr>
      <t>мини 400г</t>
    </r>
  </si>
  <si>
    <t>рисовая мука, шиповник плоды порошок, диоксид кремния (Е551), микрокристаллическая целлюлоза (Е460), пиколинат цинка, цитрат цинка, дигидрокверцетин, желатин (оболочка капсулы)</t>
  </si>
  <si>
    <t>Цинк (Пиколинат цинка + дигидрокверцетин) 380мг 30капс</t>
  </si>
  <si>
    <t xml:space="preserve">Салаты, уксус </t>
  </si>
  <si>
    <r>
      <t xml:space="preserve">Чипсы нутовые </t>
    </r>
    <r>
      <rPr>
        <b/>
        <sz val="10"/>
        <rFont val="Calibri"/>
        <family val="2"/>
        <scheme val="minor"/>
      </rPr>
      <t>Сыр Чеддер</t>
    </r>
    <r>
      <rPr>
        <sz val="10"/>
        <rFont val="Calibri"/>
        <family val="2"/>
        <scheme val="minor"/>
      </rPr>
      <t xml:space="preserve"> "Нутсы" безглютеновые 50г</t>
    </r>
  </si>
  <si>
    <r>
      <t xml:space="preserve">Чипсы нутовые </t>
    </r>
    <r>
      <rPr>
        <b/>
        <sz val="10"/>
        <rFont val="Calibri"/>
        <family val="2"/>
        <scheme val="minor"/>
      </rPr>
      <t>Томат и Базилик</t>
    </r>
    <r>
      <rPr>
        <sz val="10"/>
        <rFont val="Calibri"/>
        <family val="2"/>
        <scheme val="minor"/>
      </rPr>
      <t xml:space="preserve"> "Нутсы" безглютеновые 50г</t>
    </r>
  </si>
  <si>
    <r>
      <t xml:space="preserve">Кофейный напиток таёжный </t>
    </r>
    <r>
      <rPr>
        <b/>
        <sz val="10"/>
        <rFont val="Calibri"/>
        <family val="2"/>
        <scheme val="minor"/>
      </rPr>
      <t>южный</t>
    </r>
    <r>
      <rPr>
        <sz val="10"/>
        <rFont val="Calibri"/>
        <family val="2"/>
        <scheme val="minor"/>
      </rPr>
      <t xml:space="preserve"> (сливочный) 130г</t>
    </r>
  </si>
  <si>
    <t>Ядро кедрового ореха</t>
  </si>
  <si>
    <t>Чечевица зеленая, полба цельная, морковь сушеная, грибы белые сушеные, перец черный молотый, асафетида, лавровый лист, кориандр, петрушка, укроп.</t>
  </si>
  <si>
    <r>
      <t xml:space="preserve">Шоколад тёмный с </t>
    </r>
    <r>
      <rPr>
        <b/>
        <sz val="10"/>
        <rFont val="Calibri"/>
        <family val="2"/>
        <scheme val="minor"/>
      </rPr>
      <t>Клубникой, чиа, кешью</t>
    </r>
    <r>
      <rPr>
        <sz val="10"/>
        <rFont val="Calibri"/>
        <family val="2"/>
        <scheme val="minor"/>
      </rPr>
      <t xml:space="preserve"> без сахара 30г</t>
    </r>
  </si>
  <si>
    <t>вода, масло оливковое, огурцы маринованные, загуститель кукурузный крахмал, яичный порошок, томатная паста, лук репчатый, соль, подсластитель эритрит, соль, горчичный порошок, уксус натуральный, регулятор кислотности лимонная кислота, стабилизатор камедь рожкового дерева, экстракт монах фрукта, смесь специй, консервант сорбиновая кислота, загуститель ксантановая камедь, натуральный ароматизатор горчицы</t>
  </si>
  <si>
    <t xml:space="preserve">вода, масло оливковое дезодорированное, загуститель крахмал кукурузный, подсластитель эритрит, соль, загуститель ксантановая камедь (природный полисахарид), уксус, регулятор кислотности лимонная кислота, природный консервант сорбиновая кислота, специи
</t>
  </si>
  <si>
    <t>Вода, томатная паста, подсластитель эритрит, пребиотик инулин, перец халапеньо, соль, уксус натуральный, томатный порошок, масло оливковое, смесь специй, загуститель крахмал кукурузный, консервант сорбиновая кислота, регулятор кислотности лимонная кислота, подсластитель растительный экстракт Луо Хан Гуо</t>
  </si>
  <si>
    <r>
      <t>Масло льняное "</t>
    </r>
    <r>
      <rPr>
        <b/>
        <sz val="10"/>
        <rFont val="Calibri"/>
        <family val="2"/>
        <scheme val="minor"/>
      </rPr>
      <t>Сибирское</t>
    </r>
    <r>
      <rPr>
        <sz val="10"/>
        <rFont val="Calibri"/>
        <family val="2"/>
        <scheme val="minor"/>
      </rPr>
      <t>" 200мл</t>
    </r>
  </si>
  <si>
    <r>
      <t xml:space="preserve">Масло льняное </t>
    </r>
    <r>
      <rPr>
        <b/>
        <sz val="10"/>
        <rFont val="Calibri"/>
        <family val="2"/>
        <scheme val="minor"/>
      </rPr>
      <t>"Славянка</t>
    </r>
    <r>
      <rPr>
        <sz val="10"/>
        <rFont val="Calibri"/>
        <family val="2"/>
        <scheme val="minor"/>
      </rPr>
      <t xml:space="preserve"> </t>
    </r>
    <r>
      <rPr>
        <b/>
        <sz val="10"/>
        <rFont val="Calibri"/>
        <family val="2"/>
        <scheme val="minor"/>
      </rPr>
      <t>Арина</t>
    </r>
    <r>
      <rPr>
        <sz val="10"/>
        <rFont val="Calibri"/>
        <family val="2"/>
        <scheme val="minor"/>
      </rPr>
      <t>" 200мл</t>
    </r>
  </si>
  <si>
    <r>
      <t xml:space="preserve">Флайчипсы кукурузно-рисовые </t>
    </r>
    <r>
      <rPr>
        <b/>
        <sz val="10"/>
        <rFont val="Calibri"/>
        <family val="2"/>
        <scheme val="minor"/>
      </rPr>
      <t>3 сыра и томат</t>
    </r>
    <r>
      <rPr>
        <sz val="10"/>
        <rFont val="Calibri"/>
        <family val="2"/>
        <scheme val="minor"/>
      </rPr>
      <t xml:space="preserve"> 40г</t>
    </r>
  </si>
  <si>
    <t>Стиральный порошок гипоаллергенный с пятновыводителем 1кг</t>
  </si>
  <si>
    <r>
      <t>Смесь пряностей "</t>
    </r>
    <r>
      <rPr>
        <b/>
        <sz val="10"/>
        <rFont val="Calibri"/>
        <family val="2"/>
        <charset val="204"/>
        <scheme val="minor"/>
      </rPr>
      <t>Куркума латт</t>
    </r>
    <r>
      <rPr>
        <sz val="10"/>
        <rFont val="Calibri"/>
        <family val="2"/>
        <charset val="204"/>
        <scheme val="minor"/>
      </rPr>
      <t>е" 100г</t>
    </r>
  </si>
  <si>
    <t>листья иван-чая ферментированные, малина лист</t>
  </si>
  <si>
    <t>Вода 50,0%, сахар 22,5%, фруктозный сироп 11,0%, соль 6,2%, Дистиллированный уксус 5,2%, кокосовое желе 2,3%, молочная кислота (E270) 1.2%, чеснок 1.0%, Стабилизатор: ксантановая камедь (E415) 0.3%, красный чили 0.2%, листья кориандра 0.1%</t>
  </si>
  <si>
    <t>кокосовые сливки ( кокосовая мякоть, вода)- 99,8%, консервант Е223 -0,02%</t>
  </si>
  <si>
    <t>вода, конопляное масло, кунжутное масло, экстракт цветков липы, экстракт алтея, экстракт василька, экстракт ромашки, экстракт зверобоя, экстракт календулы, экстракт бессмертника, экстракт солянки, цетеарил глюкозиды пшеничных отрубей, глицерил стеарат, д-пантенол, витамин Е, витамин С, пропандиол, экстракт коры ивы, масло лаванды, масло иланг-иланг, масло сандала.</t>
  </si>
  <si>
    <t>Сушки пшеничные ц/з на фруктозе 250г</t>
  </si>
  <si>
    <t>мука пшеничная хлебопекарная обойная, мука пшеничная хлебопекарная 1 сорт, вода питьевая, масло подсолнечное рафинированное дезодорированное, фруктоза кристаллическая (фруктовый сахар), дрожжи хлебопекарные прессованные, подсластитель натуральный сироп стевии, соль поваренная пищевая, аскорбиновая кислота антиоксидант</t>
  </si>
  <si>
    <t>Здоровцов (Живая еда)</t>
  </si>
  <si>
    <t>Кедрокофе Горячий шоколад шоу-бокс №10*25г</t>
  </si>
  <si>
    <r>
      <t xml:space="preserve">Сироп из </t>
    </r>
    <r>
      <rPr>
        <b/>
        <sz val="10"/>
        <rFont val="Calibri"/>
        <family val="2"/>
        <scheme val="minor"/>
      </rPr>
      <t>сосновой шишки</t>
    </r>
    <r>
      <rPr>
        <sz val="10"/>
        <rFont val="Calibri"/>
        <family val="2"/>
        <scheme val="minor"/>
      </rPr>
      <t xml:space="preserve"> ст. бутылка 240мл</t>
    </r>
  </si>
  <si>
    <r>
      <t>Каша льняная "</t>
    </r>
    <r>
      <rPr>
        <b/>
        <sz val="10"/>
        <rFont val="Calibri"/>
        <family val="2"/>
        <scheme val="minor"/>
      </rPr>
      <t>Худейка</t>
    </r>
    <r>
      <rPr>
        <sz val="10"/>
        <rFont val="Calibri"/>
        <family val="2"/>
        <scheme val="minor"/>
      </rPr>
      <t>" заварная 250г</t>
    </r>
  </si>
  <si>
    <t>Green Злак</t>
  </si>
  <si>
    <t>мука овсянная, мука рисовая, вода питьевая, сироп топинамбура, масло оливковое рафинированное, масло подсолнечное рафинированное, кокосовая стружка, мука амарантовая.</t>
  </si>
  <si>
    <t>мука овсянная, мука рисовая, вода питьевая, сироп топинамбура, масло оливковое рафинированное, масло подсолнечное рафинированное, кунжут очищенный, мука амарантовая</t>
  </si>
  <si>
    <t>мука овсянная, мука рисовая, вода питьевая, сироп топинамбура, масло оливковое рафинированное, масло подсолнечное рафинированное, мак пищевой, мука амарантовая</t>
  </si>
  <si>
    <t>мука овсянная, мука рисовая, вода питьевая, сироп топинамбура, масло оливковое рафинированное, масло подсолнечное рафинированное, арахис дробленный поджаренный, мука амарантовая</t>
  </si>
  <si>
    <t>мука овсянная, мука рисовая, вода питьевая, сироп топинамбура, масло оливковое рафинированное, масло подсолнечное рафинированное, грецкий орех очищенный, мука амарантовая</t>
  </si>
  <si>
    <t>Мука овсянная, мука рисовая, вода питьевая, сироп топинамбура, масло оливковое рафинированное, масло подсолнечное рафинированное, семена льна, мука амарантовая</t>
  </si>
  <si>
    <t>Мука овсянная, мука рисовая, вода питьевая, сироп топинамбура, масло оливковое рафинированное, масло подсолнечное рафинированное, семена чиа, мука амарантовая</t>
  </si>
  <si>
    <r>
      <t xml:space="preserve">Сироп топинамбура </t>
    </r>
    <r>
      <rPr>
        <b/>
        <sz val="10"/>
        <rFont val="Calibri"/>
        <family val="2"/>
        <scheme val="minor"/>
      </rPr>
      <t>мультифруктовый</t>
    </r>
    <r>
      <rPr>
        <sz val="10"/>
        <rFont val="Calibri"/>
        <family val="2"/>
        <scheme val="minor"/>
      </rPr>
      <t xml:space="preserve"> 330г</t>
    </r>
  </si>
  <si>
    <r>
      <t xml:space="preserve">Смесь семян для салата с </t>
    </r>
    <r>
      <rPr>
        <b/>
        <sz val="10"/>
        <rFont val="Calibri"/>
        <family val="2"/>
        <scheme val="minor"/>
      </rPr>
      <t>семенем тыквы</t>
    </r>
    <r>
      <rPr>
        <sz val="10"/>
        <rFont val="Calibri"/>
        <family val="2"/>
        <scheme val="minor"/>
      </rPr>
      <t xml:space="preserve"> 50г</t>
    </r>
  </si>
  <si>
    <r>
      <t xml:space="preserve">Смесь семян для салата с </t>
    </r>
    <r>
      <rPr>
        <b/>
        <sz val="10"/>
        <rFont val="Calibri"/>
        <family val="2"/>
        <scheme val="minor"/>
      </rPr>
      <t>ядром кедрового ореха</t>
    </r>
    <r>
      <rPr>
        <sz val="10"/>
        <rFont val="Calibri"/>
        <family val="2"/>
        <scheme val="minor"/>
      </rPr>
      <t xml:space="preserve"> 50г</t>
    </r>
  </si>
  <si>
    <r>
      <t xml:space="preserve">Зубная паста с </t>
    </r>
    <r>
      <rPr>
        <b/>
        <sz val="10"/>
        <rFont val="Calibri"/>
        <family val="2"/>
        <scheme val="minor"/>
      </rPr>
      <t>облепихой</t>
    </r>
    <r>
      <rPr>
        <sz val="10"/>
        <rFont val="Calibri"/>
        <family val="2"/>
        <scheme val="minor"/>
      </rPr>
      <t xml:space="preserve"> 25г</t>
    </r>
  </si>
  <si>
    <r>
      <t xml:space="preserve">Зубная паста с </t>
    </r>
    <r>
      <rPr>
        <b/>
        <sz val="10"/>
        <rFont val="Calibri"/>
        <family val="2"/>
        <scheme val="minor"/>
      </rPr>
      <t>прополисом</t>
    </r>
    <r>
      <rPr>
        <sz val="10"/>
        <rFont val="Calibri"/>
        <family val="2"/>
        <scheme val="minor"/>
      </rPr>
      <t xml:space="preserve"> 25г</t>
    </r>
  </si>
  <si>
    <r>
      <t xml:space="preserve">Зубная паста с </t>
    </r>
    <r>
      <rPr>
        <b/>
        <sz val="10"/>
        <rFont val="Calibri"/>
        <family val="2"/>
        <scheme val="minor"/>
      </rPr>
      <t>ромашкой</t>
    </r>
    <r>
      <rPr>
        <sz val="10"/>
        <rFont val="Calibri"/>
        <family val="2"/>
        <scheme val="minor"/>
      </rPr>
      <t xml:space="preserve"> 25г</t>
    </r>
  </si>
  <si>
    <r>
      <t xml:space="preserve">Зубная паста с </t>
    </r>
    <r>
      <rPr>
        <b/>
        <sz val="10"/>
        <rFont val="Calibri"/>
        <family val="2"/>
        <scheme val="minor"/>
      </rPr>
      <t>кедровой живицей</t>
    </r>
    <r>
      <rPr>
        <sz val="10"/>
        <rFont val="Calibri"/>
        <family val="2"/>
        <scheme val="minor"/>
      </rPr>
      <t xml:space="preserve"> 25г</t>
    </r>
  </si>
  <si>
    <r>
      <t xml:space="preserve">Зубная паста с </t>
    </r>
    <r>
      <rPr>
        <b/>
        <sz val="10"/>
        <rFont val="Calibri"/>
        <family val="2"/>
        <scheme val="minor"/>
      </rPr>
      <t>мумиё</t>
    </r>
    <r>
      <rPr>
        <sz val="10"/>
        <rFont val="Calibri"/>
        <family val="2"/>
        <scheme val="minor"/>
      </rPr>
      <t xml:space="preserve"> 25г</t>
    </r>
  </si>
  <si>
    <r>
      <t xml:space="preserve">Чайный напиток травяной </t>
    </r>
    <r>
      <rPr>
        <b/>
        <sz val="10"/>
        <rFont val="Calibri"/>
        <family val="2"/>
        <scheme val="minor"/>
      </rPr>
      <t>мята</t>
    </r>
    <r>
      <rPr>
        <sz val="10"/>
        <rFont val="Calibri"/>
        <family val="2"/>
        <scheme val="minor"/>
      </rPr>
      <t xml:space="preserve"> 40г</t>
    </r>
  </si>
  <si>
    <r>
      <t xml:space="preserve">Чайный напиток травяной </t>
    </r>
    <r>
      <rPr>
        <b/>
        <sz val="10"/>
        <rFont val="Calibri"/>
        <family val="2"/>
        <scheme val="minor"/>
      </rPr>
      <t>смородина</t>
    </r>
    <r>
      <rPr>
        <sz val="10"/>
        <rFont val="Calibri"/>
        <family val="2"/>
        <scheme val="minor"/>
      </rPr>
      <t xml:space="preserve"> 40г</t>
    </r>
  </si>
  <si>
    <r>
      <t xml:space="preserve">Карамель твёрдый мёд </t>
    </r>
    <r>
      <rPr>
        <b/>
        <sz val="10"/>
        <rFont val="Calibri"/>
        <family val="2"/>
        <scheme val="minor"/>
      </rPr>
      <t>Прополис и живица</t>
    </r>
    <r>
      <rPr>
        <sz val="10"/>
        <rFont val="Calibri"/>
        <family val="2"/>
        <scheme val="minor"/>
      </rPr>
      <t xml:space="preserve"> 30г</t>
    </r>
  </si>
  <si>
    <t>28seeds</t>
  </si>
  <si>
    <r>
      <t xml:space="preserve">Напиток </t>
    </r>
    <r>
      <rPr>
        <b/>
        <sz val="10"/>
        <color theme="1"/>
        <rFont val="Calibri"/>
        <family val="2"/>
        <charset val="204"/>
        <scheme val="minor"/>
      </rPr>
      <t>куркуминный тоник</t>
    </r>
    <r>
      <rPr>
        <sz val="10"/>
        <color theme="1"/>
        <rFont val="Calibri"/>
        <family val="2"/>
        <scheme val="minor"/>
      </rPr>
      <t xml:space="preserve"> "Turmeric tonic" среднегаз. с соком, ж/б 330мл</t>
    </r>
  </si>
  <si>
    <t>вода, малиновое пюре, клубничное пюре, вишневое пюре, яблочный сок, семена Чиа, сок шиповника, киноа хлопья, овсяные хлопья, натуральные подсластители: эритрит, экстракт стевии, регулятор кислотности – лимонная кислота, витаминный премикс EM28304</t>
  </si>
  <si>
    <t>вода, яблочное пюре, апельсиновый сок, семена чиа, лимонная кислота, бензоат натрия, сорбат калия</t>
  </si>
  <si>
    <t>вода, банановое пюре, апельскиновый сок, семена чиа, лимонная кислота, бензоат натрия, сорбат калия</t>
  </si>
  <si>
    <t>вода, банановое пюре, яблочное пюре, семена чиа, апельсиновый сок, грейпфрутовый сок, овсяные хлопья, лимонная кислота, бензоат натрия, сорбат калия</t>
  </si>
  <si>
    <t>вода, яблочное пюре, банановое пюре, анансовые сок, семена чиа, овсяные хлопья, лимонная кислота, бензоат натрия, сорбат калия</t>
  </si>
  <si>
    <t>вода, сок лайма, корень имбиря, мёд, свежий лимон, зеленый чай, мята, витамин С, перец, душистый горошек, гвоздика</t>
  </si>
  <si>
    <t>вода, апельсиновый сок, мёд, свежий корень имбиря, корень куркумы, свежий лимон, куркума молотая, зеленый чай, мята, витамин С, перец, душистый горошек, гвоздика</t>
  </si>
  <si>
    <t>Каша амарантовая для завтрака 5*40г</t>
  </si>
  <si>
    <t>овсяные хлопья, мука льняная, мука амарантовая, соль пищевая; может содержать следы грецкого ореха и кунжута.</t>
  </si>
  <si>
    <t>Арахис жареный, солод выпаренный при 40С, масло какао, сироп топинамбура, панела, кешью, какао тертое, мука кокосовая, соль розовая гималайская</t>
  </si>
  <si>
    <t>Арахис жареный, солод выпаренный при 40С, масло какао, какао тертое, сироп топинамбура, панела, миндаль, соль розовая гималайская</t>
  </si>
  <si>
    <t>ядра арахиса обжаренные, глюкозно-фруктозный сироп, семена подсолнечника, семена тыквы, корица, семена кунжута, сахар тростниковый, какао масло, какао тертое, мука кокосовая, соль розовая гималайская, эмульгатор лецитин соевый, лимонная кислота</t>
  </si>
  <si>
    <t>вода, грейпфрутовый сок, банановое пюре, чемена чиа,лимонная кислота, бензоат натрия, сорбат калия</t>
  </si>
  <si>
    <t>Арахис жареный, солод выпаренный при 40С, масло какао, панела, чернослив, изюм, грецкий орех, кешью, какао тертое, мука кокосовая, соль розовая гималайская</t>
  </si>
  <si>
    <t>орех кешью жареный, солод выпаренный при 40С, сироп топинамбура, мука из зеленой гречки, мука кокосовая, масло какао, панела, какао тертое, какао порошок, масло апельсиновое, соль гималайская розовая</t>
  </si>
  <si>
    <t>Арахис жареный, солод ячменный, сироп топинамбура, масло какао, какао тертое, орех кешью, мука кокосовая, мука рисовая, масло кокосовое, смесь подсластителей (эритрит и стевия), лецитин соевый, ароматизатор натуральный Ваниль, соль гималайская розовая</t>
  </si>
  <si>
    <t>Арахис жареный, солод ячменный, масло какао, какао тертое, чернослив, изюм, орех грецкий, орех кешью, мука кокосовая, мука рисовая, масло кокосовое, смесь подсластителей (эритрит и стевия), лецитин соевый, ароматизатор натуральный Ваниль, соль гималайская розовая</t>
  </si>
  <si>
    <t>Арахис жареный, солод ячменный, сироп топинамбура, масло какао, какао тертое, орех кешью, мука кокосовая, мука рисовая, масло кокосовое, смесь подсластителей (эритрит и стевия), соль гималайская розовая, лецитин соевый, ароматизатор натуральный Ваниль</t>
  </si>
  <si>
    <t>Финиковая паста, мука зеленой гречки, масло кокосовое, какао тертое, какао масло, яблоко сушеное, подсластитель эритрит, корица молотая, ароматизатор натуральный, эмульгатор лецитин соевый, регулятор кислотности лимонная кислота</t>
  </si>
  <si>
    <t>Финиковая паста, арахисовая паста, какао тертое, какао масло, масло кокосовое, подсластитель эритрит, ароматизатор натуральный, эмульгатор лецитин соевый, регулятор кислотности лимонная кислота</t>
  </si>
  <si>
    <t>Финиковая паста, арахисовая паста, какао тертое, какао масло, фундук, масло кокосовое, подсластитель эритрит, ароматизатор натуральный, эмульгатор лецитин соевый, регулятор кислотности лимонная кислота</t>
  </si>
  <si>
    <t>Финиковая паста, масло кокосовое, какао тертое, какао масло, паста банана, подсластитель эритрит, эмульгатор лецитин соевый, регулятор кислотности лимонная кислота</t>
  </si>
  <si>
    <t>Натуральные составы</t>
  </si>
  <si>
    <t>Без красителей и консервантов</t>
  </si>
  <si>
    <t>KICK</t>
  </si>
  <si>
    <t>Kick</t>
  </si>
  <si>
    <t>Протеиновая основа (изомальтоолигосахарид, молочно-белковый концентрат, пищевые волокна, кокосовая стружка, гидролизованный рыбный коллаген, масло рапсовое, крахмал кукурузный, влагоудерживающий агент – глицерин, соль, эмульгатор – соевый лецитин, натуральный ароматизатор, антиокислитель – концентрат смеси токоферолов (Витамин Е)); глазурь без сахара</t>
  </si>
  <si>
    <t>Протеиновая основа (изомальтоолигосахарид, молочно-белковый концентрат, пищевые волокна, гидролизованный рыбный коллаген, масло рапсовое, крахмал кукурузный, какао-порошок, паста жареного фундука, влагоудерживающий агент – глицерин, эмульгатор – соевый лецитин, натуральные ароматизаторы, антиокислитель – концентрат смеси токоферолов (Витамин Е)); начинка (арахис, подсластитель - мальтитол, масло ши, эмульгатор – соевый лецитин, соль); глазурь без сахара</t>
  </si>
  <si>
    <t>Протеиновая основа (изомальтоолигосахарид, молочно-белковый концентрат, пищевые волокна, гидролизованный рыбный коллаген, масло рапсовое, крахмал кукурузный, ядра фисташки дробленые, влагоудерживающий агент – глицерин, соль, эмульгатор – соевый лецитин, краситель – медные комплексы хлорофиллов, натуральный ароматизатор, антиокислитель – концентрат смеси токоферолов (Витамин Е)); начинка (арахис, подсластитель - мальтитол, масло ши, эмульгатор – соевый лецитин, соль); глазурь без сахара</t>
  </si>
  <si>
    <r>
      <t xml:space="preserve">Сироп топинамбура </t>
    </r>
    <r>
      <rPr>
        <b/>
        <sz val="10"/>
        <rFont val="Calibri"/>
        <family val="2"/>
        <scheme val="minor"/>
      </rPr>
      <t>натуральный</t>
    </r>
    <r>
      <rPr>
        <sz val="10"/>
        <rFont val="Calibri"/>
        <family val="2"/>
        <scheme val="minor"/>
      </rPr>
      <t xml:space="preserve"> пластик 1л - 1250г</t>
    </r>
  </si>
  <si>
    <r>
      <t xml:space="preserve">Завтрак сухой "Хлебцы хрустящие </t>
    </r>
    <r>
      <rPr>
        <b/>
        <sz val="10"/>
        <rFont val="Calibri"/>
        <family val="2"/>
        <scheme val="minor"/>
      </rPr>
      <t>кукурузные МИНИ</t>
    </r>
    <r>
      <rPr>
        <sz val="10"/>
        <rFont val="Calibri"/>
        <family val="2"/>
        <scheme val="minor"/>
      </rPr>
      <t>" 100г</t>
    </r>
  </si>
  <si>
    <r>
      <t xml:space="preserve">Чай "О самом главном" №19 </t>
    </r>
    <r>
      <rPr>
        <b/>
        <sz val="10"/>
        <rFont val="Calibri"/>
        <family val="2"/>
        <scheme val="minor"/>
      </rPr>
      <t>для лёгких и бронхов</t>
    </r>
    <r>
      <rPr>
        <sz val="10"/>
        <rFont val="Calibri"/>
        <family val="2"/>
        <scheme val="minor"/>
      </rPr>
      <t xml:space="preserve"> 30ф/п*2г</t>
    </r>
  </si>
  <si>
    <r>
      <t>Суперконцентрат "</t>
    </r>
    <r>
      <rPr>
        <b/>
        <sz val="10"/>
        <rFont val="Calibri"/>
        <family val="2"/>
        <scheme val="minor"/>
      </rPr>
      <t>Безразличка</t>
    </r>
    <r>
      <rPr>
        <sz val="10"/>
        <rFont val="Calibri"/>
        <family val="2"/>
        <scheme val="minor"/>
      </rPr>
      <t>" против тревоги и стресса 50мл</t>
    </r>
  </si>
  <si>
    <t>минимальный квант 7шт</t>
  </si>
  <si>
    <t>минимальный квант 10шт</t>
  </si>
  <si>
    <r>
      <t xml:space="preserve">Леденцы карамель с </t>
    </r>
    <r>
      <rPr>
        <b/>
        <sz val="10"/>
        <rFont val="Calibri"/>
        <family val="2"/>
        <charset val="204"/>
        <scheme val="minor"/>
      </rPr>
      <t>сибирским экстрактом и чагой</t>
    </r>
    <r>
      <rPr>
        <sz val="10"/>
        <rFont val="Calibri"/>
        <family val="2"/>
        <charset val="204"/>
        <scheme val="minor"/>
      </rPr>
      <t xml:space="preserve"> (блистер) 19г</t>
    </r>
  </si>
  <si>
    <r>
      <t xml:space="preserve">Каша конопляная с </t>
    </r>
    <r>
      <rPr>
        <b/>
        <sz val="10"/>
        <rFont val="Calibri"/>
        <family val="2"/>
        <scheme val="minor"/>
      </rPr>
      <t>яблоком и семенами чиа</t>
    </r>
    <r>
      <rPr>
        <sz val="10"/>
        <rFont val="Calibri"/>
        <family val="2"/>
        <scheme val="minor"/>
      </rPr>
      <t xml:space="preserve"> 200г</t>
    </r>
  </si>
  <si>
    <r>
      <t xml:space="preserve">Каша льняная </t>
    </r>
    <r>
      <rPr>
        <b/>
        <sz val="10"/>
        <rFont val="Calibri"/>
        <family val="2"/>
        <scheme val="minor"/>
      </rPr>
      <t>Для завтрака</t>
    </r>
    <r>
      <rPr>
        <sz val="10"/>
        <rFont val="Calibri"/>
        <family val="2"/>
        <scheme val="minor"/>
      </rPr>
      <t xml:space="preserve"> 5*40г</t>
    </r>
  </si>
  <si>
    <r>
      <t xml:space="preserve">Бальзам Живичный (кедровый) </t>
    </r>
    <r>
      <rPr>
        <b/>
        <sz val="10"/>
        <rFont val="Calibri"/>
        <family val="2"/>
        <scheme val="minor"/>
      </rPr>
      <t>12,5%</t>
    </r>
    <r>
      <rPr>
        <sz val="10"/>
        <rFont val="Calibri"/>
        <family val="2"/>
        <scheme val="minor"/>
      </rPr>
      <t>, 100мл</t>
    </r>
  </si>
  <si>
    <r>
      <t xml:space="preserve">Бальзам Живичный (кедровый) </t>
    </r>
    <r>
      <rPr>
        <b/>
        <sz val="10"/>
        <rFont val="Calibri"/>
        <family val="2"/>
        <scheme val="minor"/>
      </rPr>
      <t>20%</t>
    </r>
    <r>
      <rPr>
        <sz val="10"/>
        <rFont val="Calibri"/>
        <family val="2"/>
        <scheme val="minor"/>
      </rPr>
      <t>, 100мл</t>
    </r>
  </si>
  <si>
    <r>
      <t xml:space="preserve">Бальзам Живичный (кедровый) </t>
    </r>
    <r>
      <rPr>
        <b/>
        <sz val="10"/>
        <rFont val="Calibri"/>
        <family val="2"/>
        <scheme val="minor"/>
      </rPr>
      <t>5%</t>
    </r>
    <r>
      <rPr>
        <sz val="10"/>
        <rFont val="Calibri"/>
        <family val="2"/>
        <scheme val="minor"/>
      </rPr>
      <t xml:space="preserve">, 100мл </t>
    </r>
  </si>
  <si>
    <r>
      <t>Чайный напиток "</t>
    </r>
    <r>
      <rPr>
        <b/>
        <sz val="10"/>
        <rFont val="Calibri"/>
        <family val="2"/>
        <scheme val="minor"/>
      </rPr>
      <t>Мир Духов</t>
    </r>
    <r>
      <rPr>
        <sz val="10"/>
        <rFont val="Calibri"/>
        <family val="2"/>
        <scheme val="minor"/>
      </rPr>
      <t>" успокаивающий пирамидка 15*10г</t>
    </r>
  </si>
  <si>
    <t>банановое пюре, яблоко сушеное, стабилизатор гуммиарабик (камедь аравийской акации)</t>
  </si>
  <si>
    <t>Иван-чай 24 часа холодного заваривания (вода подготовленная, иван-чай листовой), сок "лесные ягоды" (черная смородина, земляника, голубика, ежевика, малина, черника), витамин С. Изготовлен из концентрированных соков.</t>
  </si>
  <si>
    <t>Гибискус чай 24 часа холодного заваривания (вода подготовленная, цветки гибискуса сушеные), сок маракуйи, грейпфрутовый сок, витамин С. Изготовлен из концентрированных соков.</t>
  </si>
  <si>
    <t>Гречишный чай 24 часа холодного заваривания (вода подготовленная, семена татарской гречихи), яблочный сок, экстракт корицы, витамин С. Изготовлен из концентрированных соков.</t>
  </si>
  <si>
    <t>Зеленый чай 24 часа холодного заваривания (вода подготовленная, зеленый листовой чай), гранатовый сок, яблочный сок, витамин С. Изготовлен из концентрированных соков.</t>
  </si>
  <si>
    <t>Зеленый чай 24 часа холодного заваривания (вода подготовленная, зеленый листовой чай), сок гуавы, сок лайма, апельсиновый сок, витамин С. Изготовлен из концентрированных соков.</t>
  </si>
  <si>
    <t>Ромашковый чай 24 часа холодного заваривания (вода подготовленная, цветки ромашки сушеные), яблочный сок, сок шиповника, экстракт мяты, витамин С. Изготовлен из концентрированных соков.</t>
  </si>
  <si>
    <t>Черный чай 24 часа холодного заваривания (вода подготовленная, черный листовой чай), сок манго, сок маракуйи, витамин С. Изготовлен из концентрированных соков.</t>
  </si>
  <si>
    <t>Черный чай 24 часа холодного заваривания (вода подготовленная, черный листовой чай), персиковый сок, яблочный сок, витамин С. Изготовлен из концентрированных соков.</t>
  </si>
  <si>
    <r>
      <t>Иван-чай "</t>
    </r>
    <r>
      <rPr>
        <b/>
        <sz val="10"/>
        <color theme="1"/>
        <rFont val="Calibri"/>
        <family val="2"/>
        <charset val="204"/>
        <scheme val="minor"/>
      </rPr>
      <t>Лесные ягоды</t>
    </r>
    <r>
      <rPr>
        <sz val="10"/>
        <color theme="1"/>
        <rFont val="Calibri"/>
        <family val="2"/>
        <scheme val="minor"/>
      </rPr>
      <t>" Cold Brew ж/б 330мл</t>
    </r>
  </si>
  <si>
    <r>
      <t>Чай Гибискус "</t>
    </r>
    <r>
      <rPr>
        <b/>
        <sz val="10"/>
        <color theme="1"/>
        <rFont val="Calibri"/>
        <family val="2"/>
        <charset val="204"/>
        <scheme val="minor"/>
      </rPr>
      <t>Маракуйя</t>
    </r>
    <r>
      <rPr>
        <sz val="10"/>
        <color theme="1"/>
        <rFont val="Calibri"/>
        <family val="2"/>
        <scheme val="minor"/>
      </rPr>
      <t>" Cold Brew ж/б 330мл</t>
    </r>
  </si>
  <si>
    <r>
      <t>Чай Гречишный "</t>
    </r>
    <r>
      <rPr>
        <b/>
        <sz val="10"/>
        <color theme="1"/>
        <rFont val="Calibri"/>
        <family val="2"/>
        <charset val="204"/>
        <scheme val="minor"/>
      </rPr>
      <t>Яблоко и Корица</t>
    </r>
    <r>
      <rPr>
        <sz val="10"/>
        <color theme="1"/>
        <rFont val="Calibri"/>
        <family val="2"/>
        <scheme val="minor"/>
      </rPr>
      <t>" Cold Brew ж/б 330мл</t>
    </r>
  </si>
  <si>
    <r>
      <t>Чай Зелёный "</t>
    </r>
    <r>
      <rPr>
        <b/>
        <sz val="10"/>
        <color theme="1"/>
        <rFont val="Calibri"/>
        <family val="2"/>
        <charset val="204"/>
        <scheme val="minor"/>
      </rPr>
      <t>Гуава и Лайм</t>
    </r>
    <r>
      <rPr>
        <sz val="10"/>
        <color theme="1"/>
        <rFont val="Calibri"/>
        <family val="2"/>
        <scheme val="minor"/>
      </rPr>
      <t>" Cold Brew ж/б 330мл</t>
    </r>
  </si>
  <si>
    <r>
      <t>Чай Ромашковый "</t>
    </r>
    <r>
      <rPr>
        <b/>
        <sz val="10"/>
        <color theme="1"/>
        <rFont val="Calibri"/>
        <family val="2"/>
        <charset val="204"/>
        <scheme val="minor"/>
      </rPr>
      <t>Шиповник и Мята</t>
    </r>
    <r>
      <rPr>
        <sz val="10"/>
        <color theme="1"/>
        <rFont val="Calibri"/>
        <family val="2"/>
        <scheme val="minor"/>
      </rPr>
      <t>" Cold Brew ж/б 330мл</t>
    </r>
  </si>
  <si>
    <r>
      <t>Чай чёрный "</t>
    </r>
    <r>
      <rPr>
        <b/>
        <sz val="10"/>
        <color theme="1"/>
        <rFont val="Calibri"/>
        <family val="2"/>
        <charset val="204"/>
        <scheme val="minor"/>
      </rPr>
      <t>Манго + Маракуйя</t>
    </r>
    <r>
      <rPr>
        <sz val="10"/>
        <color theme="1"/>
        <rFont val="Calibri"/>
        <family val="2"/>
        <scheme val="minor"/>
      </rPr>
      <t>" Cold Brew ж/б 330 мл</t>
    </r>
  </si>
  <si>
    <r>
      <t>Чай чёрный "</t>
    </r>
    <r>
      <rPr>
        <b/>
        <sz val="10"/>
        <color theme="1"/>
        <rFont val="Calibri"/>
        <family val="2"/>
        <charset val="204"/>
        <scheme val="minor"/>
      </rPr>
      <t>Персик</t>
    </r>
    <r>
      <rPr>
        <sz val="10"/>
        <color theme="1"/>
        <rFont val="Calibri"/>
        <family val="2"/>
        <scheme val="minor"/>
      </rPr>
      <t>" Cold Brew ж/б 330 мл</t>
    </r>
  </si>
  <si>
    <t>Фруктовые пюре, смузи и снеки с ЧИА дой-пак</t>
  </si>
  <si>
    <t>Чаи холодной заварки Cold Brew</t>
  </si>
  <si>
    <t>Пур Пур</t>
  </si>
  <si>
    <t>Шоколад темный (какао тертое, сахар, какао - масло, эмульгатор (подсолнечный лецитин), ваниль натуральная), масло сливочное, коньяк армянский семилетний, масло какао, какао тертое, экстракт мадагаскарской ванили</t>
  </si>
  <si>
    <t>Шоколад тёмный (какао тертое, сахар, какао-масло, эмульгатор (подсолнечный лецитин), ваниль натуральная), шоколад молочный (сахар, какао-масло, сухое молоко, какао тертое, эмульгатор (подсолнечный лецитин), кранч малины сушеный, концентрированный сок мали</t>
  </si>
  <si>
    <t>Шоколад молочный (сахар, какао-масло, сухое молоко, какао тертое, эмульгатор (подсолнечный лецитин), шоколад тёмный (какао тертое, сахар, какао-масло, эмульгатор (подсолнечный лецитин), ваниль натуральная), масло сливочное, масло какао, ром кубинский « Ba</t>
  </si>
  <si>
    <t>Шоколад тёмный (какао тертое, сахар, какао-масло, эмульгатор (подсолнечный лецитин), ваниль натуральная), масло сливочное, масло какао, кайенский перец, морская соль, ваниль натуральная</t>
  </si>
  <si>
    <t>Шоколад тёмный (какао тертое, сахар, какао-масло, эмульгатор (подсолнечный лецитин), ваниль натуральная), масло сливочное, масло какао, ликер «Baileys», ваниль натуральная</t>
  </si>
  <si>
    <t>Шоколад тёмный (какао тертое, сахар, какао - масло, эмульгатор (подсолнечный лецитин), ваниль натуральная, масло сливочное, ягоды клюквы сушеные, ликер десертный «Белуга Хантинг ягодный», какао тертое, экстракт мадагаскарской ванили</t>
  </si>
  <si>
    <t>Шоколад тёмный (какао тёртое, сахар, масло какао, эмульгатор: подсолнечный лецитин, ваниль натуральная), сахар,дроблёный фундук, масло какао, сухое цельное молоко, какао тёртое, сухая молочная сыворотка, молочный жир, жир растительный, какао-порошок, эмул</t>
  </si>
  <si>
    <t>Масло абрикосовое 100мл</t>
  </si>
  <si>
    <t>масло из абрикосовой косточки</t>
  </si>
  <si>
    <t>цикорий порошкообразный, экстракт кедрового ореха, экстракт красного корня, экстракт чаги</t>
  </si>
  <si>
    <t>АлтайФитПром</t>
  </si>
  <si>
    <t>Алтын_бай</t>
  </si>
  <si>
    <t>Иван_Да</t>
  </si>
  <si>
    <t>Компас_Здоровья</t>
  </si>
  <si>
    <t>Образ_жизни</t>
  </si>
  <si>
    <t>Предприятие_Мс</t>
  </si>
  <si>
    <t>Сибирский_кедр</t>
  </si>
  <si>
    <t>Твёрдый_мёд</t>
  </si>
  <si>
    <t>Стевия_Групп</t>
  </si>
  <si>
    <t>Тай Стайл Thai Style</t>
  </si>
  <si>
    <t>Тай_стайл</t>
  </si>
  <si>
    <t>Royal_Forest</t>
  </si>
  <si>
    <t>Изомальтоолигосахарид, начинка (арахис, подсластитель - мальтитол, масло ши, эмульгатор – соевый лецитин, соль), глазурь без сахара , молочно-белковый концентрат, пищевые волокна, гидролизованный рыбный коллаген, арахис дробленый, масло рапсовое, крахмал кукурузный, какао порошок, глицерин, эмульгатор – соевый лецитин, натуральный ароматизатор «Шоколад», антиокислитель – концентрат смеси токоферолов (Витамин Е)</t>
  </si>
  <si>
    <r>
      <t>Эликсир "</t>
    </r>
    <r>
      <rPr>
        <b/>
        <sz val="10"/>
        <rFont val="Calibri"/>
        <family val="2"/>
        <scheme val="minor"/>
      </rPr>
      <t>Стоп диабет</t>
    </r>
    <r>
      <rPr>
        <sz val="10"/>
        <rFont val="Calibri"/>
        <family val="2"/>
        <scheme val="minor"/>
      </rPr>
      <t>" на льняном масле 200мл</t>
    </r>
  </si>
  <si>
    <r>
      <t xml:space="preserve">Эликсир таёжный </t>
    </r>
    <r>
      <rPr>
        <b/>
        <sz val="10"/>
        <rFont val="Calibri"/>
        <family val="2"/>
        <scheme val="minor"/>
      </rPr>
      <t>с стевией,</t>
    </r>
    <r>
      <rPr>
        <sz val="10"/>
        <rFont val="Calibri"/>
        <family val="2"/>
        <scheme val="minor"/>
      </rPr>
      <t xml:space="preserve"> пэт 500мл</t>
    </r>
  </si>
  <si>
    <r>
      <t>Эликсир таёжный с</t>
    </r>
    <r>
      <rPr>
        <b/>
        <sz val="10"/>
        <rFont val="Calibri"/>
        <family val="2"/>
        <scheme val="minor"/>
      </rPr>
      <t xml:space="preserve"> чагой,</t>
    </r>
    <r>
      <rPr>
        <sz val="10"/>
        <rFont val="Calibri"/>
        <family val="2"/>
        <scheme val="minor"/>
      </rPr>
      <t xml:space="preserve"> пэт 1000мл</t>
    </r>
  </si>
  <si>
    <r>
      <t xml:space="preserve">Эликсир таёжный </t>
    </r>
    <r>
      <rPr>
        <b/>
        <sz val="10"/>
        <rFont val="Calibri"/>
        <family val="2"/>
        <scheme val="minor"/>
      </rPr>
      <t>с чагой,</t>
    </r>
    <r>
      <rPr>
        <sz val="10"/>
        <rFont val="Calibri"/>
        <family val="2"/>
        <scheme val="minor"/>
      </rPr>
      <t xml:space="preserve"> пэт 500мл</t>
    </r>
  </si>
  <si>
    <r>
      <t xml:space="preserve">Каша овсяная молочная с </t>
    </r>
    <r>
      <rPr>
        <b/>
        <sz val="10"/>
        <rFont val="Calibri"/>
        <family val="2"/>
        <scheme val="minor"/>
      </rPr>
      <t>шоколадными кусочками</t>
    </r>
    <r>
      <rPr>
        <sz val="10"/>
        <rFont val="Calibri"/>
        <family val="2"/>
        <scheme val="minor"/>
      </rPr>
      <t xml:space="preserve"> ОлЛайт 40г</t>
    </r>
  </si>
  <si>
    <t>Шоколад тёмный,масло сливочное, чернослив сушёный, Армянский коньяк 4- х летний , какао тёртое, экстракт мадагаскарской ванили</t>
  </si>
  <si>
    <t>Трюфели в подарочных коробках</t>
  </si>
  <si>
    <t>молоко сухое обезжиренное, сахар, шоколадная глазурь, ядро миндаля, сорбитовый сироп (подсластитель), патока крахмальная, ядро кешью, жмых ядра кедрового ореха, мякоть кокоса сушеная, ароматизатор натуральный кокос, лецитин подсолнечный (эмульгатор)</t>
  </si>
  <si>
    <t>кэроб, какао-масло, клубника сублимированная, ядро кешью жаренное, семена чиа</t>
  </si>
  <si>
    <t>кэроб, какао-масло, какао-крупка, земляника сублимированная</t>
  </si>
  <si>
    <t>кэроб, какао-масло, ядро тыквенных семечек, экстракт манго</t>
  </si>
  <si>
    <t xml:space="preserve">Кедрокофе Вегетарианский Apic 250г </t>
  </si>
  <si>
    <t>Кедрокофе Тропический Apic 250г</t>
  </si>
  <si>
    <t>Кедрокофе Горячий шоколад Apic 125г</t>
  </si>
  <si>
    <t>Кедрокофе Йоговский с пряностями Apic 125г</t>
  </si>
  <si>
    <t>Патока, вода питьевая, подсластитель - изомальт, желирующий агент - пектин, черная смородина сублимированной сушки, влагоудерживающий агент - лактат натрия, регулятор кислотности кислота лимонная, консервант сорбат калия, подсластитель - стевиозид (стевиолгликозиды).</t>
  </si>
  <si>
    <t>патока, вода питьевая, подсластитель - изомальт, концентрированный апельсиновый сок, желирующий агент - пектин, влагоудерживающий агент - лактат натрия, сублимированные кусочки апельсина, регулятор кислотности кислота лимонная, консервант сорбат калия, подсластитель - стевиозид (стевиолгликозиды)</t>
  </si>
  <si>
    <t>мука рисовая грубого помола, мука амарантовая грубого помола, мука кукурузная тонкого помола, подсластитель изомальт, свекла сушеная, патока крахмальная карамельная, вода питьевая, топинамбур сушеный, соль, экстракт растительный "Экстракт земляники", краситель - кармин, подсластитель - экстракт стевии (стевиолгликозиды), земляника сушеная</t>
  </si>
  <si>
    <t>мука рисовая грубого помола, подсластитель - изомальт, мука амарантовая грубого помола, мука кукурузная крупного помола, патока крахмальная карамельная, вода питьевая, какао-порошок, топинамбур сушеный, соль, подсластитель - экстракт стевии (стевиолгликозиды)</t>
  </si>
  <si>
    <t>начинка кондитерская белая, мука рисовая грубого помола, мука амарантовая грубого помола, мука кукурузная крупного помола, подсластитель - мальтодекстрин, топинамбур сушеный, соль, ароматизатор - ""Клубника со сливками"", краситель - кармин, подсластитель - экстракт стевии (стевиолгликозиды)</t>
  </si>
  <si>
    <t>тюлений жир, антиокислитель (токоферола ацетат), желатинова масса (вода, желатин, влагоудерживающий агент (глицерин), консервант (сорбат калия)</t>
  </si>
  <si>
    <t>подсластитель эритрит (Е968), подсластитель сукралоза (Е955), экстракт стевии, ароматизатор "Кокос"</t>
  </si>
  <si>
    <t>подсластитель эритрит (Е968), подсластитель сукралоза (Е955), экстракт стевии, ароматизатор "Шоколад"</t>
  </si>
  <si>
    <t>подсластитель эритрит (Е968), подсластитель сукралоза (Е955), экстракт стевии, ароматизатор "Лесной орех"</t>
  </si>
  <si>
    <t>подсластитель эритрит (Е968), подсластитель сукралоза (Е955), экстракт стевии, ароматизатор "Карамель"</t>
  </si>
  <si>
    <t>подсластитель эритрит (Е968), подсластитель сукралоза (Е955), экстракт стевии, ароматизатор "Ирландский ликер"</t>
  </si>
  <si>
    <t>подсластитель эритрит (Е968), подсластитель сукралоза (Е955), экстракт стевии, ароматизатор "Амаретто"</t>
  </si>
  <si>
    <t>овсяные отруби</t>
  </si>
  <si>
    <t>добавка пищевая "агар-агар"</t>
  </si>
  <si>
    <t>мука кокосовая</t>
  </si>
  <si>
    <t>Семена кунжута, семена льна, семена тыквенные, ядро подсолнечника.Может содержать грецкие орехи и семена горчицы.</t>
  </si>
  <si>
    <t>Семена кунжута, семена льна, ядро кедрового ореха. Может содержать грецкие орехи и семена горчицы</t>
  </si>
  <si>
    <t>заменитель сухого молочного продукта (кукурузный сироп, кокосовое масло, казеинат натрия, калия фосфаты), мука из ореха грецкого, цикорий, ванилин</t>
  </si>
  <si>
    <t>заменитель сухого молочного продукта (кукурузный сироп, кокосовое масло, казеинат натрия, калия фосфаты), мука из ореха кедрового, цикорий, экстракт пихты (хвои), экстракт чаги</t>
  </si>
  <si>
    <t>мука льняная, крупа ячменная, крупа гречневая, хлопья овсяные, соль</t>
  </si>
  <si>
    <t>Сухари цельнозерновые с изюмом 300г</t>
  </si>
  <si>
    <r>
      <t xml:space="preserve">Шоколад тёмный с </t>
    </r>
    <r>
      <rPr>
        <b/>
        <sz val="10"/>
        <rFont val="Calibri"/>
        <family val="2"/>
        <scheme val="minor"/>
      </rPr>
      <t>Какао, земляникой, кэробом</t>
    </r>
    <r>
      <rPr>
        <sz val="10"/>
        <rFont val="Calibri"/>
        <family val="2"/>
        <scheme val="minor"/>
      </rPr>
      <t xml:space="preserve"> без сахара 25г</t>
    </r>
  </si>
  <si>
    <t>Ядро кедрового ореха, шоколадная глазурь (сахар, какао-масло, какао-порошок, эмульгатор лецитин), сахар, патока, ягоды сублимационной сушки: облепиха, малина,чёрная смородина, экстракты ягодные: малина, чёрная смородина.</t>
  </si>
  <si>
    <r>
      <t>Бальзам "</t>
    </r>
    <r>
      <rPr>
        <b/>
        <sz val="10"/>
        <rFont val="Calibri"/>
        <family val="2"/>
        <scheme val="minor"/>
      </rPr>
      <t>Мозг Актив</t>
    </r>
    <r>
      <rPr>
        <sz val="10"/>
        <rFont val="Calibri"/>
        <family val="2"/>
        <scheme val="minor"/>
      </rPr>
      <t>" (без сахара) 100мл</t>
    </r>
  </si>
  <si>
    <t>Молекола</t>
  </si>
  <si>
    <t>Кик (Kick)</t>
  </si>
  <si>
    <t>Арт_ам</t>
  </si>
  <si>
    <t>Holy_Corn</t>
  </si>
  <si>
    <t>Эко_про</t>
  </si>
  <si>
    <t>Эко_продукт</t>
  </si>
  <si>
    <t>Смоква</t>
  </si>
  <si>
    <t>Леденцы с лимоном и медом 10x3,2г</t>
  </si>
  <si>
    <t>Леденцы с мятой и ментолом 10x3,2г</t>
  </si>
  <si>
    <r>
      <t>Леденцы с мятой и ментолом</t>
    </r>
    <r>
      <rPr>
        <b/>
        <sz val="10"/>
        <rFont val="Calibri"/>
        <family val="2"/>
        <scheme val="minor"/>
      </rPr>
      <t xml:space="preserve"> без сахара</t>
    </r>
    <r>
      <rPr>
        <sz val="10"/>
        <rFont val="Calibri"/>
        <family val="2"/>
        <scheme val="minor"/>
      </rPr>
      <t xml:space="preserve"> 10x3,2г</t>
    </r>
  </si>
  <si>
    <t>Леденцы с шалфеем 10x3,2г</t>
  </si>
  <si>
    <t>Мука кукурузная, мука рисовая, вода</t>
  </si>
  <si>
    <t>Мука кукурузная, вода</t>
  </si>
  <si>
    <t>Отбеливатель кислородный экологичный Суперконцентрат 300г</t>
  </si>
  <si>
    <t>какао</t>
  </si>
  <si>
    <t>семена льна белого масляничного</t>
  </si>
  <si>
    <t>семена льна белого масляничного, виноград сушеный (изюм), тыква сушеная порошок, семена кунжута. Может содержать следы арахиса, орехов</t>
  </si>
  <si>
    <t>семена льна белого масляничного, кэроб порошок (измельченные плоды рожкового дерева), чернослив, семена кунжута. Может содержать следа арахиса, орехов</t>
  </si>
  <si>
    <r>
      <t xml:space="preserve">Напиток ГХИ </t>
    </r>
    <r>
      <rPr>
        <b/>
        <sz val="10"/>
        <rFont val="Calibri"/>
        <family val="2"/>
        <scheme val="minor"/>
      </rPr>
      <t>какао</t>
    </r>
    <r>
      <rPr>
        <sz val="10"/>
        <rFont val="Calibri"/>
        <family val="2"/>
        <scheme val="minor"/>
      </rPr>
      <t xml:space="preserve"> растворимый 170г</t>
    </r>
  </si>
  <si>
    <r>
      <t xml:space="preserve">Напиток ГХИ </t>
    </r>
    <r>
      <rPr>
        <b/>
        <sz val="10"/>
        <rFont val="Calibri"/>
        <family val="2"/>
        <scheme val="minor"/>
      </rPr>
      <t>какао</t>
    </r>
    <r>
      <rPr>
        <sz val="10"/>
        <rFont val="Calibri"/>
        <family val="2"/>
        <scheme val="minor"/>
      </rPr>
      <t xml:space="preserve"> растворимый 250г</t>
    </r>
  </si>
  <si>
    <r>
      <t xml:space="preserve">Напиток ГХИ </t>
    </r>
    <r>
      <rPr>
        <b/>
        <sz val="10"/>
        <rFont val="Calibri"/>
        <family val="2"/>
        <scheme val="minor"/>
      </rPr>
      <t>цикорий</t>
    </r>
    <r>
      <rPr>
        <sz val="10"/>
        <rFont val="Calibri"/>
        <family val="2"/>
        <scheme val="minor"/>
      </rPr>
      <t xml:space="preserve"> растворимый  80г</t>
    </r>
  </si>
  <si>
    <r>
      <t xml:space="preserve">Напиток ГХИ </t>
    </r>
    <r>
      <rPr>
        <b/>
        <sz val="10"/>
        <rFont val="Calibri"/>
        <family val="2"/>
        <scheme val="minor"/>
      </rPr>
      <t>цикорий</t>
    </r>
    <r>
      <rPr>
        <sz val="10"/>
        <rFont val="Calibri"/>
        <family val="2"/>
        <scheme val="minor"/>
      </rPr>
      <t xml:space="preserve"> растворимый 160г</t>
    </r>
  </si>
  <si>
    <r>
      <t xml:space="preserve">Напиток ГХИ </t>
    </r>
    <r>
      <rPr>
        <b/>
        <sz val="10"/>
        <rFont val="Calibri"/>
        <family val="2"/>
        <scheme val="minor"/>
      </rPr>
      <t>ячмень</t>
    </r>
    <r>
      <rPr>
        <sz val="10"/>
        <rFont val="Calibri"/>
        <family val="2"/>
        <scheme val="minor"/>
      </rPr>
      <t xml:space="preserve"> растворимый 90г</t>
    </r>
  </si>
  <si>
    <r>
      <t xml:space="preserve">Напиток ГХИ </t>
    </r>
    <r>
      <rPr>
        <b/>
        <sz val="10"/>
        <rFont val="Calibri"/>
        <family val="2"/>
        <scheme val="minor"/>
      </rPr>
      <t>ячмень</t>
    </r>
    <r>
      <rPr>
        <sz val="10"/>
        <rFont val="Calibri"/>
        <family val="2"/>
        <scheme val="minor"/>
      </rPr>
      <t xml:space="preserve"> растворимый 160г</t>
    </r>
  </si>
  <si>
    <t>соль пищевая каменная молотая, смесь универсальная молотая (базилик (рейган), зелень петрушки, кориандр, куркума, лук, морковь кубики, чеснок, зелень укропа, перец красный)</t>
  </si>
  <si>
    <r>
      <t xml:space="preserve">Печенье "три пользы" </t>
    </r>
    <r>
      <rPr>
        <b/>
        <sz val="10"/>
        <rFont val="Calibri"/>
        <family val="2"/>
        <scheme val="minor"/>
      </rPr>
      <t>гречневое</t>
    </r>
    <r>
      <rPr>
        <sz val="10"/>
        <rFont val="Calibri"/>
        <family val="2"/>
        <scheme val="minor"/>
      </rPr>
      <t xml:space="preserve"> 150г</t>
    </r>
  </si>
  <si>
    <r>
      <t xml:space="preserve">Печенье "три пользы" </t>
    </r>
    <r>
      <rPr>
        <b/>
        <sz val="10"/>
        <rFont val="Calibri"/>
        <family val="2"/>
        <scheme val="minor"/>
      </rPr>
      <t>ржаное с семечкой кунжута</t>
    </r>
    <r>
      <rPr>
        <sz val="10"/>
        <rFont val="Calibri"/>
        <family val="2"/>
        <scheme val="minor"/>
      </rPr>
      <t xml:space="preserve"> 150г</t>
    </r>
  </si>
  <si>
    <r>
      <t xml:space="preserve">Печенье "три пользы" </t>
    </r>
    <r>
      <rPr>
        <b/>
        <sz val="10"/>
        <rFont val="Calibri"/>
        <family val="2"/>
        <scheme val="minor"/>
      </rPr>
      <t>с льном</t>
    </r>
    <r>
      <rPr>
        <sz val="10"/>
        <rFont val="Calibri"/>
        <family val="2"/>
        <scheme val="minor"/>
      </rPr>
      <t xml:space="preserve"> 150г</t>
    </r>
  </si>
  <si>
    <r>
      <t xml:space="preserve">Печенье "три пользы" </t>
    </r>
    <r>
      <rPr>
        <b/>
        <sz val="10"/>
        <rFont val="Calibri"/>
        <family val="2"/>
        <scheme val="minor"/>
      </rPr>
      <t>с перчиком</t>
    </r>
    <r>
      <rPr>
        <sz val="10"/>
        <rFont val="Calibri"/>
        <family val="2"/>
        <scheme val="minor"/>
      </rPr>
      <t xml:space="preserve"> 150г</t>
    </r>
  </si>
  <si>
    <t>Лапша и рис</t>
  </si>
  <si>
    <t>Варенье сосновых шишек стекло 130г</t>
  </si>
  <si>
    <t>сосновая шишка, патока, сахар, концентрированный сок лимона</t>
  </si>
  <si>
    <r>
      <t xml:space="preserve">Иван-чай с </t>
    </r>
    <r>
      <rPr>
        <b/>
        <sz val="10"/>
        <rFont val="Calibri"/>
        <family val="2"/>
        <scheme val="minor"/>
      </rPr>
      <t>малиной</t>
    </r>
    <r>
      <rPr>
        <sz val="10"/>
        <rFont val="Calibri"/>
        <family val="2"/>
        <scheme val="minor"/>
      </rPr>
      <t xml:space="preserve"> ферментированный, пакетик 20*1,5г </t>
    </r>
  </si>
  <si>
    <r>
      <t xml:space="preserve">Иван-чай с </t>
    </r>
    <r>
      <rPr>
        <b/>
        <sz val="10"/>
        <rFont val="Calibri"/>
        <family val="2"/>
        <scheme val="minor"/>
      </rPr>
      <t>чабрецом</t>
    </r>
    <r>
      <rPr>
        <sz val="10"/>
        <rFont val="Calibri"/>
        <family val="2"/>
        <scheme val="minor"/>
      </rPr>
      <t xml:space="preserve"> ферментированный, пакетик 20*1,5г </t>
    </r>
  </si>
  <si>
    <r>
      <t xml:space="preserve">Каша льняная с </t>
    </r>
    <r>
      <rPr>
        <b/>
        <sz val="10"/>
        <rFont val="Calibri"/>
        <family val="2"/>
        <scheme val="minor"/>
      </rPr>
      <t>амарантом</t>
    </r>
    <r>
      <rPr>
        <sz val="10"/>
        <rFont val="Calibri"/>
        <family val="2"/>
        <scheme val="minor"/>
      </rPr>
      <t xml:space="preserve"> дой-пак 300г</t>
    </r>
  </si>
  <si>
    <r>
      <t xml:space="preserve">Каша льняная с </t>
    </r>
    <r>
      <rPr>
        <b/>
        <sz val="10"/>
        <rFont val="Calibri"/>
        <family val="2"/>
        <scheme val="minor"/>
      </rPr>
      <t>зародышами пшеницы</t>
    </r>
    <r>
      <rPr>
        <sz val="10"/>
        <rFont val="Calibri"/>
        <family val="2"/>
        <scheme val="minor"/>
      </rPr>
      <t xml:space="preserve"> дой-пак 300г</t>
    </r>
  </si>
  <si>
    <r>
      <t xml:space="preserve">Каша льняная с </t>
    </r>
    <r>
      <rPr>
        <b/>
        <sz val="10"/>
        <rFont val="Calibri"/>
        <family val="2"/>
        <scheme val="minor"/>
      </rPr>
      <t>кунжутом</t>
    </r>
    <r>
      <rPr>
        <sz val="10"/>
        <rFont val="Calibri"/>
        <family val="2"/>
        <scheme val="minor"/>
      </rPr>
      <t xml:space="preserve"> дой-пак 300г</t>
    </r>
  </si>
  <si>
    <r>
      <t xml:space="preserve">Каша льняная с </t>
    </r>
    <r>
      <rPr>
        <b/>
        <sz val="10"/>
        <rFont val="Calibri"/>
        <family val="2"/>
        <scheme val="minor"/>
      </rPr>
      <t>расторопшей</t>
    </r>
    <r>
      <rPr>
        <sz val="10"/>
        <rFont val="Calibri"/>
        <family val="2"/>
        <scheme val="minor"/>
      </rPr>
      <t xml:space="preserve"> дой-пак 300г</t>
    </r>
  </si>
  <si>
    <t>фундук жареный дробленый, арахис жареный дробленый, топленое масло ГХИ, цельнозерновая мука полбы, какао-порошок, подсластитель мальтит, растительные пшеничные волокна, подсластитель экстракт стевии</t>
  </si>
  <si>
    <t>Кронидов</t>
  </si>
  <si>
    <t xml:space="preserve">Бульон мясной, говядина, свекла столовая свежая, капуста белокачанная свежая, морковь свежая, картофель свежий, лук репчатый сушеный, томат-паста, сахар-песок, уксус, соль поваренная пищевая, чеснок свежий, специи, лавровый лист
</t>
  </si>
  <si>
    <t>Буженина в собственном соку, реторт-пакет 325г</t>
  </si>
  <si>
    <t>Говядина тушеная высший сорт, реторт-пакет 250г</t>
  </si>
  <si>
    <t>Плов с говядиной, реторт-пакет 250г</t>
  </si>
  <si>
    <t>Цыпленок филе в собственном соку, реторт-пакет 250г</t>
  </si>
  <si>
    <t>Цыпленок по-Мексикански, реторт-пакет 325г</t>
  </si>
  <si>
    <t>Свинина (не менее 95%), чеснок свежий, смесь специй (паприка красная, петрушка, перец черный дробленый), соль поваренная пищевая</t>
  </si>
  <si>
    <t>Говядина (не менее 30%), фасоль продовольственная, вода питьевая, лук репчатый сушеный, морковь свежая, паста томатная, соль поваренная пищевая, чеснок сушеный, перец черный молотый</t>
  </si>
  <si>
    <t>Говядина (92% по закладке), лук репчатый сушёный, соль поваренная пищевая, перец черный молотый, лист лавровый</t>
  </si>
  <si>
    <t>Говядина тушеная богатырская высший сорт, реторт-пакет 325г</t>
  </si>
  <si>
    <t>Говядина, крупа гречневая, вода питьевая, масло растительное, лук репчатый сушеный, морковь свежая, соль поваренная пищевая, чеснок сушеный</t>
  </si>
  <si>
    <t>Говядина (~70%), лук репчатый сушёный, соль поваренная пищевая, перец черный молотый, лист лавровый</t>
  </si>
  <si>
    <t>Свинина, крупа гречневая, вода питьевая, масло растительное, лук репчатый сушеный, морковь свежая, соль поваренная пищевая, чеснок сушеный</t>
  </si>
  <si>
    <t>Свинина, говядина, лук репчатый сушеный, текстурат соевый, соль поваренная пищевая, перец черный молотый, крупа гречневая, вода питьевая, масло растительное, лук репчатый сушеный, морковь свежая, соль поваренная пищевая, чеснок сушеный</t>
  </si>
  <si>
    <t>Бульон мясной, свинина, бекон свиной сырокопченый, огурцы соленые, сосиски, морковь свежая, картофель свежий, лук репчатый сушеный, томат-паста, маслины, лимон свежий, соль поваренная пищевая, смесь специй,лавровый лист</t>
  </si>
  <si>
    <t>Бульон куриный, филе цыпленка, морковь свежая, картофель свежий, лук репчатый сушеный, макаронные изделия, масло растительное, укроп сушеный, соль поваренная пищевая, смесь специй</t>
  </si>
  <si>
    <t>Мясо цыпленка (филе), горошек зеленый, кукуруза сладкая, перец сладкий, лук репчатый сушёный, морковь свежая, крупа рисовая, чеснок, соль поваренная пищевая, перец черный молотый</t>
  </si>
  <si>
    <t>Филе цыпленка (не менее 80%), лук репчатый сушеный, соль поваренная пищевая, специи и пряности</t>
  </si>
  <si>
    <r>
      <t xml:space="preserve">Говядина с </t>
    </r>
    <r>
      <rPr>
        <b/>
        <sz val="10"/>
        <color theme="1"/>
        <rFont val="Calibri"/>
        <family val="2"/>
        <charset val="204"/>
        <scheme val="minor"/>
      </rPr>
      <t>макаронами</t>
    </r>
    <r>
      <rPr>
        <sz val="10"/>
        <color theme="1"/>
        <rFont val="Calibri"/>
        <family val="2"/>
        <scheme val="minor"/>
      </rPr>
      <t>, реторт-пакет 250г</t>
    </r>
  </si>
  <si>
    <r>
      <t xml:space="preserve">Говядина с </t>
    </r>
    <r>
      <rPr>
        <b/>
        <sz val="10"/>
        <color theme="1"/>
        <rFont val="Calibri"/>
        <family val="2"/>
        <charset val="204"/>
        <scheme val="minor"/>
      </rPr>
      <t>фасолью</t>
    </r>
    <r>
      <rPr>
        <sz val="10"/>
        <color theme="1"/>
        <rFont val="Calibri"/>
        <family val="2"/>
        <scheme val="minor"/>
      </rPr>
      <t>, реторт-пакет 250г</t>
    </r>
  </si>
  <si>
    <r>
      <t xml:space="preserve">Каша гречневая с </t>
    </r>
    <r>
      <rPr>
        <b/>
        <sz val="10"/>
        <color theme="1"/>
        <rFont val="Calibri"/>
        <family val="2"/>
        <charset val="204"/>
        <scheme val="minor"/>
      </rPr>
      <t>говядиной</t>
    </r>
    <r>
      <rPr>
        <sz val="10"/>
        <color theme="1"/>
        <rFont val="Calibri"/>
        <family val="2"/>
        <scheme val="minor"/>
      </rPr>
      <t>, реторт-пакет 250г</t>
    </r>
  </si>
  <si>
    <r>
      <t xml:space="preserve">Каша гречневая с </t>
    </r>
    <r>
      <rPr>
        <b/>
        <sz val="10"/>
        <color theme="1"/>
        <rFont val="Calibri"/>
        <family val="2"/>
        <charset val="204"/>
        <scheme val="minor"/>
      </rPr>
      <t>котлетой</t>
    </r>
    <r>
      <rPr>
        <sz val="10"/>
        <color theme="1"/>
        <rFont val="Calibri"/>
        <family val="2"/>
        <scheme val="minor"/>
      </rPr>
      <t>, реторт-пакет 250г</t>
    </r>
  </si>
  <si>
    <r>
      <t xml:space="preserve">Каша гречневая со </t>
    </r>
    <r>
      <rPr>
        <b/>
        <sz val="10"/>
        <color theme="1"/>
        <rFont val="Calibri"/>
        <family val="2"/>
        <charset val="204"/>
        <scheme val="minor"/>
      </rPr>
      <t>свининой</t>
    </r>
    <r>
      <rPr>
        <sz val="10"/>
        <color theme="1"/>
        <rFont val="Calibri"/>
        <family val="2"/>
        <scheme val="minor"/>
      </rPr>
      <t>, реторт-пакет 250г</t>
    </r>
  </si>
  <si>
    <r>
      <t xml:space="preserve">Суп </t>
    </r>
    <r>
      <rPr>
        <b/>
        <sz val="10"/>
        <color theme="1"/>
        <rFont val="Calibri"/>
        <family val="2"/>
        <charset val="204"/>
        <scheme val="minor"/>
      </rPr>
      <t>Борщ</t>
    </r>
    <r>
      <rPr>
        <sz val="10"/>
        <color theme="1"/>
        <rFont val="Calibri"/>
        <family val="2"/>
        <scheme val="minor"/>
      </rPr>
      <t>, консервы, реторт-пакет 300г</t>
    </r>
  </si>
  <si>
    <r>
      <t xml:space="preserve">Суп </t>
    </r>
    <r>
      <rPr>
        <b/>
        <sz val="10"/>
        <color theme="1"/>
        <rFont val="Calibri"/>
        <family val="2"/>
        <charset val="204"/>
        <scheme val="minor"/>
      </rPr>
      <t>Куриный</t>
    </r>
    <r>
      <rPr>
        <sz val="10"/>
        <color theme="1"/>
        <rFont val="Calibri"/>
        <family val="2"/>
        <scheme val="minor"/>
      </rPr>
      <t xml:space="preserve"> по-домашнему, реторт-пакет 300г</t>
    </r>
  </si>
  <si>
    <t>Говядина, крупа рисовая, вода питьевая, лук репчатый сушеный, масло растительное, морковь свежая, соль поваренная пищевая, специи, кумин</t>
  </si>
  <si>
    <t>мука из отборного зерна твердой пшеницы (дурум) для макаронных изделий высшего сорта, фильтрованная вода</t>
  </si>
  <si>
    <t>мука из твердой пшеницы, морковь сушеная натуральная, томат сушеный натуральный, фильтрованная вода.</t>
  </si>
  <si>
    <t>мука из твердой пшеницы, шпинат сушеный натуральный, фильтрованная вода.</t>
  </si>
  <si>
    <t>мука из твердой пшеницы, яичный желток стерилизованный, фильтрованная вода.</t>
  </si>
  <si>
    <t>мука из твердой пшеницы, морковь сушеная натуральная, томат сушеный натуральный, шпинат сушеный натуральный, фильтрованная вода.</t>
  </si>
  <si>
    <t>макаронные изделия из твердой пшеницы, сушеные морковь, кабачок, сладкий перец, лук, шпинат, петрушка.</t>
  </si>
  <si>
    <t>макаронные изделия из твердой пшеницы, сушеная тыква, сладкий перец, лук, листья шпината, петрушка</t>
  </si>
  <si>
    <t>макаронные изделия из твердой пшеницы со шпинатом, чечевица, сушеные морковь, кабачок, лук, листья шпината, петрушка</t>
  </si>
  <si>
    <r>
      <t xml:space="preserve">Суп </t>
    </r>
    <r>
      <rPr>
        <b/>
        <sz val="10"/>
        <color theme="1"/>
        <rFont val="Calibri"/>
        <family val="2"/>
        <charset val="204"/>
        <scheme val="minor"/>
      </rPr>
      <t>Фасолевый</t>
    </r>
    <r>
      <rPr>
        <sz val="10"/>
        <color theme="1"/>
        <rFont val="Calibri"/>
        <family val="2"/>
        <scheme val="minor"/>
      </rPr>
      <t xml:space="preserve"> с говядиной, реторт-пакет 300г</t>
    </r>
  </si>
  <si>
    <r>
      <t xml:space="preserve">Суп </t>
    </r>
    <r>
      <rPr>
        <b/>
        <sz val="10"/>
        <color theme="1"/>
        <rFont val="Calibri"/>
        <family val="2"/>
        <charset val="204"/>
        <scheme val="minor"/>
      </rPr>
      <t>Рассольник</t>
    </r>
    <r>
      <rPr>
        <sz val="10"/>
        <color theme="1"/>
        <rFont val="Calibri"/>
        <family val="2"/>
        <scheme val="minor"/>
      </rPr>
      <t>, реторт-пакет 300г</t>
    </r>
  </si>
  <si>
    <t>Бульон мясной, говядина, фасоль продовольственная, морковь свежая, лук репчатый сушеный, томат-паста, соль поваренная пищевая, масло растительное, укроп сушеный, смесь специй</t>
  </si>
  <si>
    <t>Бульон мясной, свинина, огурцы соленые, морковь свежая, картофель свежий, лук репчатый сушеный, крупа перловая, соль поваренная пищевая, чеснок свежий, специи, лавровый лист</t>
  </si>
  <si>
    <t>Печень говяжья, крупа гречневая, вода питьевая, лук репчатый сушёный, морковь свежая, масло растительное, соль поваренная пищевая, чеснок сушеный</t>
  </si>
  <si>
    <t>Говядина (не менее 37%), макаронные изделия(мука из твердой пшеницы высшего сорта, вода), морковь свежая, лук репчатый сушеный, соль поваренная пищевая, масло растительное, специи</t>
  </si>
  <si>
    <t>Индейка со стручковой фасолью, реторт-пакет 300г</t>
  </si>
  <si>
    <t>Фасоль стручковая, индейка, морковь, лук репчатый, масло растительное, соль, сахар, пастернак, кукурузный крахмал, петрушка</t>
  </si>
  <si>
    <t>Протеиновая основа, арахис подсластитель мальтитол, масло ши, соевый лецитин, соль глазурь без сахара, арахис дроблёный,</t>
  </si>
  <si>
    <t>ядро кедрового ореха цельное, шоколадная глазурь (сахар, какао-масло, какао-порошок, лецитин подсолнечный (эмульгатор)), мёд натуральный липовый, патока, какао-масло</t>
  </si>
  <si>
    <t>минимальный квант 24шт</t>
  </si>
  <si>
    <t>минимальный квант 20шт</t>
  </si>
  <si>
    <r>
      <t>Масло капсулированное льняное "</t>
    </r>
    <r>
      <rPr>
        <b/>
        <sz val="10"/>
        <rFont val="Calibri"/>
        <family val="2"/>
        <scheme val="minor"/>
      </rPr>
      <t>Для желудка - Омега 3</t>
    </r>
    <r>
      <rPr>
        <sz val="10"/>
        <rFont val="Calibri"/>
        <family val="2"/>
        <scheme val="minor"/>
      </rPr>
      <t>" 180капс. 54г</t>
    </r>
  </si>
  <si>
    <r>
      <t xml:space="preserve">Хлопья овсяные из голозерного овса </t>
    </r>
    <r>
      <rPr>
        <b/>
        <sz val="10"/>
        <rFont val="Calibri"/>
        <family val="2"/>
        <scheme val="minor"/>
      </rPr>
      <t>Органические</t>
    </r>
    <r>
      <rPr>
        <sz val="10"/>
        <rFont val="Calibri"/>
        <family val="2"/>
        <scheme val="minor"/>
      </rPr>
      <t xml:space="preserve"> без глютена 375г</t>
    </r>
  </si>
  <si>
    <t>Дюк Альмонд (Туррон)</t>
  </si>
  <si>
    <t>Грин Злак</t>
  </si>
  <si>
    <t>Печенье рисовое с гречневой мукой и шоколадом Vitlen 200г</t>
  </si>
  <si>
    <t>Печенье рисовое с кукурузной мукой, тыкв семечками и яблоком Vitlen 200г</t>
  </si>
  <si>
    <t>Мука пшеничная 2с, мука ржаная, сироп топинамбура, мальтит, рафинированное дезодорированное подсолнечное масло, какао-порошок, какао-бобы, семена белого льна, патока крахмальная карамельная(1%), натуральные пряности, стевия, гидрокарбонат натрия, морская соль</t>
  </si>
  <si>
    <t>Мука белого льна , мука рисовая, рафинированное дезодорированное подсолнечное масло, мальтит, мука миндальная патока крахмальная, карамельная, мука кунжутная, семена белого льна, крахмал кукурузный, изолят соевого белка, стевия, гидрокарбонат натрия, морская соль</t>
  </si>
  <si>
    <t>Мука белого льна, мука рисовая, рафинированное дезодорированное подсолнечное масло, мальтит, патока крахмальная карамельная, мука кунжутная, крахмал кукурузный, семена белого льна, черника сушеная, изолят соевого белка, лецитин подсолнечный, стевия, гидрокарбонат натрия, соль морская</t>
  </si>
  <si>
    <t>Vitlen</t>
  </si>
  <si>
    <t>Печенье миндальное со стевией "Золотой Лён" 200г</t>
  </si>
  <si>
    <r>
      <t xml:space="preserve">Печенье льняное с </t>
    </r>
    <r>
      <rPr>
        <b/>
        <sz val="10"/>
        <color theme="1"/>
        <rFont val="Calibri"/>
        <family val="2"/>
        <charset val="204"/>
        <scheme val="minor"/>
      </rPr>
      <t>малиной</t>
    </r>
    <r>
      <rPr>
        <sz val="10"/>
        <color theme="1"/>
        <rFont val="Calibri"/>
        <family val="2"/>
        <scheme val="minor"/>
      </rPr>
      <t xml:space="preserve"> на мальтите и стевии "Золотой Лён" 200г</t>
    </r>
  </si>
  <si>
    <r>
      <t xml:space="preserve">Печенье льняное с </t>
    </r>
    <r>
      <rPr>
        <b/>
        <sz val="10"/>
        <color theme="1"/>
        <rFont val="Calibri"/>
        <family val="2"/>
        <charset val="204"/>
        <scheme val="minor"/>
      </rPr>
      <t>облепихой</t>
    </r>
    <r>
      <rPr>
        <sz val="10"/>
        <color theme="1"/>
        <rFont val="Calibri"/>
        <family val="2"/>
        <scheme val="minor"/>
      </rPr>
      <t xml:space="preserve"> на мальтите и стевии "Золотой Лён" 200г</t>
    </r>
  </si>
  <si>
    <r>
      <t xml:space="preserve">Печенье льняное с </t>
    </r>
    <r>
      <rPr>
        <b/>
        <sz val="10"/>
        <color theme="1"/>
        <rFont val="Calibri"/>
        <family val="2"/>
        <charset val="204"/>
        <scheme val="minor"/>
      </rPr>
      <t>черникой</t>
    </r>
    <r>
      <rPr>
        <sz val="10"/>
        <color theme="1"/>
        <rFont val="Calibri"/>
        <family val="2"/>
        <scheme val="minor"/>
      </rPr>
      <t xml:space="preserve"> на мальтите и стевии "Золотой Лён" 200г</t>
    </r>
  </si>
  <si>
    <r>
      <t xml:space="preserve">Печенье рисовое с </t>
    </r>
    <r>
      <rPr>
        <b/>
        <sz val="10"/>
        <color theme="1"/>
        <rFont val="Calibri"/>
        <family val="2"/>
        <charset val="204"/>
        <scheme val="minor"/>
      </rPr>
      <t>апельсином, лимоном и мятой</t>
    </r>
    <r>
      <rPr>
        <sz val="10"/>
        <color theme="1"/>
        <rFont val="Calibri"/>
        <family val="2"/>
        <scheme val="minor"/>
      </rPr>
      <t xml:space="preserve"> "Золотой Лён" 200г</t>
    </r>
  </si>
  <si>
    <r>
      <t xml:space="preserve">Печенье рисовое с </t>
    </r>
    <r>
      <rPr>
        <b/>
        <sz val="10"/>
        <color theme="1"/>
        <rFont val="Calibri"/>
        <family val="2"/>
        <charset val="204"/>
        <scheme val="minor"/>
      </rPr>
      <t>миндальной мукой и чиа</t>
    </r>
    <r>
      <rPr>
        <sz val="10"/>
        <color theme="1"/>
        <rFont val="Calibri"/>
        <family val="2"/>
        <scheme val="minor"/>
      </rPr>
      <t xml:space="preserve"> "Золотой Лён" 200г</t>
    </r>
  </si>
  <si>
    <t>Take_a_Bite</t>
  </si>
  <si>
    <t>Домашний_Погребок</t>
  </si>
  <si>
    <t>Живая_Каша</t>
  </si>
  <si>
    <t>Емельяновская_Биофабрика</t>
  </si>
  <si>
    <t>Здороведа_и_Вкусное_дело</t>
  </si>
  <si>
    <t>Золотой Лён</t>
  </si>
  <si>
    <r>
      <t xml:space="preserve">Смузи detox </t>
    </r>
    <r>
      <rPr>
        <b/>
        <sz val="10"/>
        <rFont val="Calibri"/>
        <family val="2"/>
        <scheme val="minor"/>
      </rPr>
      <t>мята, клубника, чёрная смородина, яблоко</t>
    </r>
    <r>
      <rPr>
        <sz val="10"/>
        <rFont val="Calibri"/>
        <family val="2"/>
        <scheme val="minor"/>
      </rPr>
      <t xml:space="preserve"> 7*12г</t>
    </r>
  </si>
  <si>
    <t>Солод ржаной Не ферментированный (белый) пакет 500г</t>
  </si>
  <si>
    <r>
      <t xml:space="preserve">Конфеты "Кедровый марципан" </t>
    </r>
    <r>
      <rPr>
        <b/>
        <sz val="10"/>
        <rFont val="Calibri"/>
        <family val="2"/>
        <scheme val="minor"/>
      </rPr>
      <t>шоколадный</t>
    </r>
    <r>
      <rPr>
        <sz val="10"/>
        <rFont val="Calibri"/>
        <family val="2"/>
        <scheme val="minor"/>
      </rPr>
      <t xml:space="preserve"> 40г</t>
    </r>
  </si>
  <si>
    <r>
      <t xml:space="preserve">Конфеты "Кедровый марципан" </t>
    </r>
    <r>
      <rPr>
        <b/>
        <sz val="10"/>
        <rFont val="Calibri"/>
        <family val="2"/>
        <scheme val="minor"/>
      </rPr>
      <t>с кокосом</t>
    </r>
    <r>
      <rPr>
        <sz val="10"/>
        <rFont val="Calibri"/>
        <family val="2"/>
        <scheme val="minor"/>
      </rPr>
      <t xml:space="preserve"> 40г</t>
    </r>
  </si>
  <si>
    <t>Кедрокофе Горячий шоколад Apic 250г</t>
  </si>
  <si>
    <t xml:space="preserve">вода, малина, подсластитель эритрит, загуститель пектин, регулятор кислотности цитрат кальция (источник усваиваемого кальция), регулятор кислотности лимонная кислота, природный консервант сорбиновая кислота, подсластитель экстракт стевии </t>
  </si>
  <si>
    <r>
      <t xml:space="preserve">Джем </t>
    </r>
    <r>
      <rPr>
        <b/>
        <sz val="10"/>
        <rFont val="Calibri"/>
        <family val="2"/>
        <charset val="204"/>
        <scheme val="minor"/>
      </rPr>
      <t>Малина</t>
    </r>
    <r>
      <rPr>
        <sz val="10"/>
        <rFont val="Calibri"/>
        <family val="2"/>
        <scheme val="minor"/>
      </rPr>
      <t xml:space="preserve"> низкокалорийный 270г</t>
    </r>
  </si>
  <si>
    <t>Листья смородины</t>
  </si>
  <si>
    <t>кедровая живица (смола), кедровое масло, прополис, экстракт шалфея и витамин С</t>
  </si>
  <si>
    <t>вода, коко глюкозид, коко бетаин, глицерил олеат, экстракт манго, дегидроацетат натрия, пищевая соль, лимонная кислота, пищевой ароматизатор «Манго»</t>
  </si>
  <si>
    <t>вода,коко глюкозид, коко бетаин, глицерил олеат, экстракт бессмертника, экстракт девясила, дегидроацетат натрия, лимонная кислота, масло льняное, масло пихты, масло кедра, масло шалфея, масло бергамота</t>
  </si>
  <si>
    <t>масляный экстракт солодки, лопуха, облепихи, кипрея, аира, желатиновая масса (вода, желатин, влагоудерживающий агент (глицерин), консервант (сорбат калия))</t>
  </si>
  <si>
    <t>масляный экстракт солодки, вишнёвых почек, золотой розги, лопуха, спорыша, желатиновая масса (вода, желатин, влагоудерживающий агент (глицерин), консервант (сорбат калия))</t>
  </si>
  <si>
    <t>масляный экстракт зверобоя красного, курильского чая, чабреца, лабазника, амаранта, желатиновая масса (вода, желатин, влагоудерживающий агент (глицерин), консервант (сорбат калия)</t>
  </si>
  <si>
    <t>масляный экстракт зверобоя красного, коры крушины, свеклы, солодки, чабреца, желатиновая масса (вода, желатин, влагоудерживающий агент (глицерин), консервант (сорбат калия)</t>
  </si>
  <si>
    <t>масляный экстракт зверобоя красного, клевера, донника, кровохлёбки, желатиновая масса (вода, желатин, влагоудерживающий агент (глицерин), консервант (сорбат калия)</t>
  </si>
  <si>
    <t>подсластитель (изомальт), патока, масло зверобоя, антиокиситель (лимонная кислота), масло шалфея, масло эвкалипта, экстракт монарды, краситель натуральный (кармин)</t>
  </si>
  <si>
    <t>подсластитель (изомальт), патока, масло конопляное, антиокислитель (лимонная кислота), мятное масло, краситель натуральный (медные комплексы хлорофиллов)</t>
  </si>
  <si>
    <t>толокно овсяное, крупа перловая измельченная, банан порошок, мука льняная, натуральный сахарозаменитель (эритрит), семена чиа, сухое соевое молоко, натуральный ароматизатор банан</t>
  </si>
  <si>
    <t>хлопья полбяные измельченные, инжир сушеный измельченный, натуральный подсластитель (эритрит), мука льняная, ягоды асаи сушеные порошок, соль</t>
  </si>
  <si>
    <t>хлопья полбяные измельченные, яблоко сушеное порошок, натуральный подсластитель (эритрит), мука льняная, ягоды асаи сушеные порошок, соль</t>
  </si>
  <si>
    <r>
      <t>Кисель FIT EFFECTUM "</t>
    </r>
    <r>
      <rPr>
        <b/>
        <sz val="10"/>
        <rFont val="Calibri"/>
        <family val="2"/>
        <scheme val="minor"/>
      </rPr>
      <t>Земляника</t>
    </r>
    <r>
      <rPr>
        <sz val="10"/>
        <rFont val="Calibri"/>
        <family val="2"/>
        <scheme val="minor"/>
      </rPr>
      <t>" б/р пакет-саше 30г</t>
    </r>
  </si>
  <si>
    <r>
      <t>Кисель FIT EFFECTUM "</t>
    </r>
    <r>
      <rPr>
        <b/>
        <sz val="10"/>
        <rFont val="Calibri"/>
        <family val="2"/>
        <scheme val="minor"/>
      </rPr>
      <t>Клюква</t>
    </r>
    <r>
      <rPr>
        <sz val="10"/>
        <rFont val="Calibri"/>
        <family val="2"/>
        <scheme val="minor"/>
      </rPr>
      <t>" б/р пакет-саше 30г</t>
    </r>
  </si>
  <si>
    <r>
      <t>Кисель FIT EFFECTUM "</t>
    </r>
    <r>
      <rPr>
        <b/>
        <sz val="10"/>
        <rFont val="Calibri"/>
        <family val="2"/>
        <scheme val="minor"/>
      </rPr>
      <t>Черника</t>
    </r>
    <r>
      <rPr>
        <sz val="10"/>
        <rFont val="Calibri"/>
        <family val="2"/>
        <scheme val="minor"/>
      </rPr>
      <t>" б/р пакет-саше 30г</t>
    </r>
  </si>
  <si>
    <t>Бальзам для суставов Жабий камень с маслом Рыжика 50мл</t>
  </si>
  <si>
    <t>Мякоть кокоса, патока кукурузная, сироп топинамбура, масло какао, панела, кешью, какао тертое, масло кокосовое, мука кокосовая</t>
  </si>
  <si>
    <t>Мякоть кокоса, сироп глюкозно-фруктозный, масло кокосовое, сахар тростниковый, какао тертое, какао масло, клубника сушеная, мука кокосовая, ароматизатор натуральный, эмульгатор лецитин соевый, краситель</t>
  </si>
  <si>
    <t>Мякоть кокоса, патока кукурузная, сироп топинамбура, масло какао, панела, орех кешью, какао тертое, мука кокосовая, масло кокосовое, чай матча зеленая, пептиды коллагена</t>
  </si>
  <si>
    <t>Русквас</t>
  </si>
  <si>
    <t>Комбуча</t>
  </si>
  <si>
    <t>Золотые медали и награды</t>
  </si>
  <si>
    <t>Обладает полезными свойствами</t>
  </si>
  <si>
    <t>Цикорий, экстракт опунции cacti nea clear organicТМ, экстракт кедрового ореха, куркума, экстракт чаги</t>
  </si>
  <si>
    <t>смесь подсластителей (мальтит, экстракт стевии), мальтитный сироп, вода, порошок овсяный ферментированный, масло кокосовое натуральное нерафинированное холодного отжима, инулин , загустители, сорбиновая кислота</t>
  </si>
  <si>
    <t>подсластитель эритрит (Е968), подсластитель сукралоза (Е955), экстракт стевии, ароматизатор "Ваниль"</t>
  </si>
  <si>
    <t>Подсластитель эритрит (Е968), подсластитель сукралоза (Е955), экстракт стевии, ароматизатор "Малина"</t>
  </si>
  <si>
    <t>Овощной бульон, опята быстрозамороженные,  морковь свежая, картофель свежий, лук репчатый сушеный, соль поваренная пищевая, масло растительное, укроп сушеный, смесь специй</t>
  </si>
  <si>
    <t>томаты свежие, нут шлифованный, овощной бульон, сельдерей свежий, лук сушеный, фасоль шлифованная колотая, чечевица красная, томаты сушеные, масло растительное, зира, соль</t>
  </si>
  <si>
    <r>
      <t xml:space="preserve">Суп </t>
    </r>
    <r>
      <rPr>
        <b/>
        <sz val="10"/>
        <color theme="1"/>
        <rFont val="Calibri"/>
        <family val="2"/>
        <charset val="204"/>
        <scheme val="minor"/>
      </rPr>
      <t>Марокканский</t>
    </r>
    <r>
      <rPr>
        <sz val="10"/>
        <color theme="1"/>
        <rFont val="Calibri"/>
        <family val="2"/>
        <scheme val="minor"/>
      </rPr>
      <t xml:space="preserve"> </t>
    </r>
    <r>
      <rPr>
        <u/>
        <sz val="10"/>
        <color theme="1"/>
        <rFont val="Calibri"/>
        <family val="2"/>
        <charset val="204"/>
        <scheme val="minor"/>
      </rPr>
      <t>vegan</t>
    </r>
    <r>
      <rPr>
        <sz val="10"/>
        <color theme="1"/>
        <rFont val="Calibri"/>
        <family val="2"/>
        <scheme val="minor"/>
      </rPr>
      <t>, реторт-пакет 300г</t>
    </r>
  </si>
  <si>
    <t>зерно кукурузы, высокоолеиновое подсолнечное масло, тростниковый сахар, морская соль</t>
  </si>
  <si>
    <t>Зерно кукурузы, кокосовое масло, морская соль, натуральные ароматизаторы «сыр», «чеддер», натуральный эмульгатор лецитин, натуральный краситель бета-каротин, капелька рапсового масла</t>
  </si>
  <si>
    <t>Зерно кукурузы, кокосовое масло, морская соль, натуральный экстракт стевии, капелька рапсового масла, пищевая соль</t>
  </si>
  <si>
    <t>Зерно кукурузы, кокосовое масло, морская соль, капелька рапсового масла</t>
  </si>
  <si>
    <t>Кедрокофе Йоговский с пряностями шоу-бокс №10*25г</t>
  </si>
  <si>
    <t>Мука зелёной гречки 300г</t>
  </si>
  <si>
    <t>Мука льняная 250г</t>
  </si>
  <si>
    <t>Мука пшеничная Алтайская 2 сорт бум.пакет 700г</t>
  </si>
  <si>
    <t>Мука пшеничная 1 сорт мешок 4.1кг</t>
  </si>
  <si>
    <t>Мука пшеничная 2 сорт мешок 4.1кг</t>
  </si>
  <si>
    <t>Солод ржаной ферментированный пакет 500г</t>
  </si>
  <si>
    <t>Мука пшеничная обойная ц/з 4,1кг</t>
  </si>
  <si>
    <t>Мука пшеничная обойная ц/з бум.пакет 1кг</t>
  </si>
  <si>
    <t>Мука ржаная ц/з 1кг</t>
  </si>
  <si>
    <r>
      <t>Леденцы Кедровые с</t>
    </r>
    <r>
      <rPr>
        <b/>
        <sz val="10"/>
        <rFont val="Calibri"/>
        <family val="2"/>
        <scheme val="minor"/>
      </rPr>
      <t xml:space="preserve"> малиной и каркаде</t>
    </r>
    <r>
      <rPr>
        <sz val="10"/>
        <rFont val="Calibri"/>
        <family val="2"/>
        <scheme val="minor"/>
      </rPr>
      <t xml:space="preserve"> Kedrini на изомальте 6*3,2</t>
    </r>
  </si>
  <si>
    <t>минимальный квант 8шт</t>
  </si>
  <si>
    <t>Батончик "KICK energy" кешью с какао и маслом апельсина в карамельном шоколаде 45г</t>
  </si>
  <si>
    <t>Батончик "KICK energy" халва с семенами тыквы, кунжута в темном шоколаде 45г</t>
  </si>
  <si>
    <t>Кокосовая стружка, патока кукурузная, сироп топинамбура, пептиды морского коллагена, ананасовая паста, масло кокосовое дезодорированное, ароматизатор натуральный, краситель куркумин, комплекс витаминов ADEK</t>
  </si>
  <si>
    <t>Кокосовая стружка, патока кукурузная, сироп топинамбура, пептиды морского коллагена, клубника кусочки сублимированной сушки, масло кокосовое дезодорированное, ароматизатор натуральный, краситель кармин, комплекс витаминов ADEK</t>
  </si>
  <si>
    <t>Кокосовая стружка, патока кукурузная, сироп топинамбура, пептиды морского коллагена, масло кокосовое дезодорированное, порошок зеленого чая матча, комплекс витаминов ADEK</t>
  </si>
  <si>
    <t>Вода питьевая, чистая культура чайного гриба , листья гибискуса сушеные, подсластитель натуральный экстракт стевии</t>
  </si>
  <si>
    <t>Вода питьевая, культура чайного гриба , чай черный, подсластитель натуральный экстракт стевии</t>
  </si>
  <si>
    <t>Вода питьевая, культура чайного гриба, красный виноград, экстракт стевии</t>
  </si>
  <si>
    <t>Вода, культура чайного гриба, зеленый чай, экстракт стевии</t>
  </si>
  <si>
    <t>Вода питьевая, культура чайного гриба , мёд натуральный, экстракт имбиря, чай  черный крупнолистовой, натуральный подсластитель экстракт стевии</t>
  </si>
  <si>
    <t>Моющие средства для посуды и посудомоечной машины</t>
  </si>
  <si>
    <t>Гель для стирки и стиральный порошок</t>
  </si>
  <si>
    <t>Кондиционер для белья</t>
  </si>
  <si>
    <t>Отбеливатель и пятновыводители</t>
  </si>
  <si>
    <t>Средства для уборки</t>
  </si>
  <si>
    <r>
      <t xml:space="preserve">Комбуча </t>
    </r>
    <r>
      <rPr>
        <b/>
        <sz val="10"/>
        <color theme="1"/>
        <rFont val="Calibri"/>
        <family val="2"/>
        <charset val="204"/>
        <scheme val="minor"/>
      </rPr>
      <t>Красный виноград</t>
    </r>
    <r>
      <rPr>
        <sz val="10"/>
        <color theme="1"/>
        <rFont val="Calibri"/>
        <family val="2"/>
        <scheme val="minor"/>
      </rPr>
      <t xml:space="preserve"> "interkvass" стекло 330мл</t>
    </r>
  </si>
  <si>
    <r>
      <t xml:space="preserve">Комбуча </t>
    </r>
    <r>
      <rPr>
        <b/>
        <sz val="10"/>
        <color theme="1"/>
        <rFont val="Calibri"/>
        <family val="2"/>
        <charset val="204"/>
        <scheme val="minor"/>
      </rPr>
      <t>на зелёном чае</t>
    </r>
    <r>
      <rPr>
        <sz val="10"/>
        <color theme="1"/>
        <rFont val="Calibri"/>
        <family val="2"/>
        <scheme val="minor"/>
      </rPr>
      <t xml:space="preserve"> "interkvass" стекло 330мл</t>
    </r>
  </si>
  <si>
    <r>
      <t xml:space="preserve">Комбуча </t>
    </r>
    <r>
      <rPr>
        <b/>
        <sz val="10"/>
        <color theme="1"/>
        <rFont val="Calibri"/>
        <family val="2"/>
        <charset val="204"/>
        <scheme val="minor"/>
      </rPr>
      <t>с иван чаем</t>
    </r>
    <r>
      <rPr>
        <sz val="10"/>
        <color theme="1"/>
        <rFont val="Calibri"/>
        <family val="2"/>
        <scheme val="minor"/>
      </rPr>
      <t xml:space="preserve"> "interkvass" стекло 330мл</t>
    </r>
  </si>
  <si>
    <r>
      <t xml:space="preserve">Комбуча </t>
    </r>
    <r>
      <rPr>
        <b/>
        <sz val="10"/>
        <color theme="1"/>
        <rFont val="Calibri"/>
        <family val="2"/>
        <charset val="204"/>
        <scheme val="minor"/>
      </rPr>
      <t>с медом и имбирем</t>
    </r>
    <r>
      <rPr>
        <sz val="10"/>
        <color theme="1"/>
        <rFont val="Calibri"/>
        <family val="2"/>
        <scheme val="minor"/>
      </rPr>
      <t xml:space="preserve"> "interkvass" стекло 330мл</t>
    </r>
  </si>
  <si>
    <r>
      <t xml:space="preserve">Комбуча </t>
    </r>
    <r>
      <rPr>
        <b/>
        <sz val="10"/>
        <color theme="1"/>
        <rFont val="Calibri"/>
        <family val="2"/>
        <charset val="204"/>
        <scheme val="minor"/>
      </rPr>
      <t>Черноплодная рябина</t>
    </r>
    <r>
      <rPr>
        <sz val="10"/>
        <color theme="1"/>
        <rFont val="Calibri"/>
        <family val="2"/>
        <scheme val="minor"/>
      </rPr>
      <t xml:space="preserve"> "interkvass" стекло 330мл</t>
    </r>
  </si>
  <si>
    <r>
      <t xml:space="preserve">Пастила </t>
    </r>
    <r>
      <rPr>
        <b/>
        <sz val="10"/>
        <rFont val="Calibri"/>
        <family val="2"/>
        <scheme val="minor"/>
      </rPr>
      <t>Манго</t>
    </r>
    <r>
      <rPr>
        <sz val="10"/>
        <rFont val="Calibri"/>
        <family val="2"/>
        <scheme val="minor"/>
      </rPr>
      <t xml:space="preserve"> с грецким орехом 50г</t>
    </r>
  </si>
  <si>
    <r>
      <t xml:space="preserve">Пастила </t>
    </r>
    <r>
      <rPr>
        <b/>
        <sz val="10"/>
        <rFont val="Calibri"/>
        <family val="2"/>
        <scheme val="minor"/>
      </rPr>
      <t>Яблочная</t>
    </r>
    <r>
      <rPr>
        <sz val="10"/>
        <rFont val="Calibri"/>
        <family val="2"/>
        <scheme val="minor"/>
      </rPr>
      <t xml:space="preserve"> с грецким орехом 50г</t>
    </r>
  </si>
  <si>
    <r>
      <t xml:space="preserve">Пастилки фруктовые "Котики" </t>
    </r>
    <r>
      <rPr>
        <b/>
        <sz val="10"/>
        <rFont val="Calibri"/>
        <family val="2"/>
        <scheme val="minor"/>
      </rPr>
      <t>Абрико</t>
    </r>
    <r>
      <rPr>
        <sz val="10"/>
        <rFont val="Calibri"/>
        <family val="2"/>
        <scheme val="minor"/>
      </rPr>
      <t>с 40г</t>
    </r>
  </si>
  <si>
    <r>
      <t xml:space="preserve">Пастилки фруктовые "Котики" </t>
    </r>
    <r>
      <rPr>
        <b/>
        <sz val="10"/>
        <rFont val="Calibri"/>
        <family val="2"/>
        <scheme val="minor"/>
      </rPr>
      <t>Яблоко</t>
    </r>
    <r>
      <rPr>
        <sz val="10"/>
        <rFont val="Calibri"/>
        <family val="2"/>
        <scheme val="minor"/>
      </rPr>
      <t xml:space="preserve"> 40г</t>
    </r>
  </si>
  <si>
    <r>
      <t xml:space="preserve">Пастила фруктовая </t>
    </r>
    <r>
      <rPr>
        <b/>
        <sz val="10"/>
        <rFont val="Calibri"/>
        <family val="2"/>
        <scheme val="minor"/>
      </rPr>
      <t>Вишневая</t>
    </r>
    <r>
      <rPr>
        <sz val="10"/>
        <rFont val="Calibri"/>
        <family val="2"/>
        <scheme val="minor"/>
      </rPr>
      <t xml:space="preserve"> б.сахара 80г</t>
    </r>
  </si>
  <si>
    <r>
      <t xml:space="preserve">Пастила фруктовая </t>
    </r>
    <r>
      <rPr>
        <b/>
        <sz val="10"/>
        <rFont val="Calibri"/>
        <family val="2"/>
        <scheme val="minor"/>
      </rPr>
      <t>Абрикосовая</t>
    </r>
    <r>
      <rPr>
        <sz val="10"/>
        <rFont val="Calibri"/>
        <family val="2"/>
        <scheme val="minor"/>
      </rPr>
      <t xml:space="preserve"> б.сахара 80г</t>
    </r>
  </si>
  <si>
    <r>
      <t xml:space="preserve">Пастила фруктовая </t>
    </r>
    <r>
      <rPr>
        <b/>
        <sz val="10"/>
        <rFont val="Calibri"/>
        <family val="2"/>
        <scheme val="minor"/>
      </rPr>
      <t>Манго</t>
    </r>
    <r>
      <rPr>
        <sz val="10"/>
        <rFont val="Calibri"/>
        <family val="2"/>
        <scheme val="minor"/>
      </rPr>
      <t xml:space="preserve"> б.сахара 80г</t>
    </r>
  </si>
  <si>
    <r>
      <t xml:space="preserve">Батончик "Фрутилад" </t>
    </r>
    <r>
      <rPr>
        <b/>
        <sz val="10"/>
        <rFont val="Calibri"/>
        <family val="2"/>
        <scheme val="minor"/>
      </rPr>
      <t>Чернослив в шоколаде</t>
    </r>
    <r>
      <rPr>
        <sz val="10"/>
        <rFont val="Calibri"/>
        <family val="2"/>
        <scheme val="minor"/>
      </rPr>
      <t xml:space="preserve"> 50г</t>
    </r>
  </si>
  <si>
    <r>
      <t xml:space="preserve">Батончик "Фрутилад KIDS" </t>
    </r>
    <r>
      <rPr>
        <b/>
        <sz val="10"/>
        <rFont val="Calibri"/>
        <family val="2"/>
        <scheme val="minor"/>
      </rPr>
      <t>Банан</t>
    </r>
    <r>
      <rPr>
        <sz val="10"/>
        <rFont val="Calibri"/>
        <family val="2"/>
        <scheme val="minor"/>
      </rPr>
      <t xml:space="preserve"> детский 25г</t>
    </r>
  </si>
  <si>
    <r>
      <t xml:space="preserve">Батончик "Фрутилад KIDS" </t>
    </r>
    <r>
      <rPr>
        <b/>
        <sz val="10"/>
        <rFont val="Calibri"/>
        <family val="2"/>
        <scheme val="minor"/>
      </rPr>
      <t>Груша</t>
    </r>
    <r>
      <rPr>
        <sz val="10"/>
        <rFont val="Calibri"/>
        <family val="2"/>
        <scheme val="minor"/>
      </rPr>
      <t>, детский 25г</t>
    </r>
  </si>
  <si>
    <r>
      <t xml:space="preserve">Батончик "Фрутилад KIDS" </t>
    </r>
    <r>
      <rPr>
        <b/>
        <sz val="10"/>
        <rFont val="Calibri"/>
        <family val="2"/>
        <scheme val="minor"/>
      </rPr>
      <t>Яблоко</t>
    </r>
    <r>
      <rPr>
        <sz val="10"/>
        <rFont val="Calibri"/>
        <family val="2"/>
        <scheme val="minor"/>
      </rPr>
      <t>-</t>
    </r>
    <r>
      <rPr>
        <b/>
        <sz val="10"/>
        <rFont val="Calibri"/>
        <family val="2"/>
        <scheme val="minor"/>
      </rPr>
      <t>Черника</t>
    </r>
    <r>
      <rPr>
        <sz val="10"/>
        <rFont val="Calibri"/>
        <family val="2"/>
        <scheme val="minor"/>
      </rPr>
      <t>, детский 25г</t>
    </r>
  </si>
  <si>
    <r>
      <t xml:space="preserve">Шоколад тёмный с </t>
    </r>
    <r>
      <rPr>
        <b/>
        <sz val="10"/>
        <rFont val="Calibri"/>
        <family val="2"/>
        <charset val="204"/>
        <scheme val="minor"/>
      </rPr>
      <t>Коноплей, киви</t>
    </r>
    <r>
      <rPr>
        <sz val="10"/>
        <rFont val="Calibri"/>
        <family val="2"/>
        <scheme val="minor"/>
      </rPr>
      <t xml:space="preserve"> без сахара 30г</t>
    </r>
  </si>
  <si>
    <t>Омыленное масло кокоса, стеариновая кислота, бетаин, глицерин, вода, соль, голубая глина, ароматизатор.</t>
  </si>
  <si>
    <t>Омыленное масло кокоса, стеариновая кислота, бетаин, глицерин, вода, соль, кедровая живица.</t>
  </si>
  <si>
    <t>Омыленное масло кокоса, стеариновая кислота, бетаин, глицерин, вода, соль, липовый мёд.</t>
  </si>
  <si>
    <t>Омыленное масло кокоса, стеариновая кислота, бетаин, глицерин, вода, соль, мумиё, ароматизатор.</t>
  </si>
  <si>
    <r>
      <t xml:space="preserve">Мыло для рук </t>
    </r>
    <r>
      <rPr>
        <b/>
        <sz val="10"/>
        <rFont val="Calibri"/>
        <family val="2"/>
        <scheme val="minor"/>
      </rPr>
      <t>Пихтовая живица</t>
    </r>
    <r>
      <rPr>
        <sz val="10"/>
        <rFont val="Calibri"/>
        <family val="2"/>
        <scheme val="minor"/>
      </rPr>
      <t xml:space="preserve"> 80г</t>
    </r>
  </si>
  <si>
    <t>Омыленное масло кокоса, стеариновая кислота, бетаин, глицерин, вода, соль, натуральное пихтовое масло</t>
  </si>
  <si>
    <t>Омыленное масло кокоса, стеариновая кислота, бетаин, глицерин, вода, соль, можжевеловое масло, ароматизатор.</t>
  </si>
  <si>
    <t>чабрец, зверобой, Иван-чай, бадан, смородина</t>
  </si>
  <si>
    <t>мята, кипрей, чага, земляника, курильский чай</t>
  </si>
  <si>
    <t>зизифора, лабазник, Иван-чай, бадан, смородина</t>
  </si>
  <si>
    <t>Кипрей ферментированный, сага-дайля</t>
  </si>
  <si>
    <t>душица, бадан, смородина, ягода шиповника, тысячелистник</t>
  </si>
  <si>
    <t>хвоя можжевельника, мята, душица, ромашка</t>
  </si>
  <si>
    <t>эвкалипт, чабрец, календула, крапива</t>
  </si>
  <si>
    <t>масло кедрового ореха, пчелиный воск, масло эфирное пихтовое, экстракт корня девясила высокого, экстракт хвоща полевого, экстракт тысячелистника, экстракт мяты, прополис, каменное масло</t>
  </si>
  <si>
    <t>масло кедрового ореха, пчелиный воск, экстракт сабельника, экстракт омика, экстракт корня репейника, мумиё алтайское, масло эфирное пихтовое, масло эфирное кедровое, масло эфирное сосновое</t>
  </si>
  <si>
    <t>смола кедровая (живица), пчелиный воск, масло кедрового ореха</t>
  </si>
  <si>
    <t>смола пихтовая (живица), пчелиный воск, масло кедрового ореха, масло эфирное пихтовое</t>
  </si>
  <si>
    <t>Масло кедрового ореха, масло льняное, смола кедра (живица), пчелиный воск, экстракт корня бадана, экстракт подорожника, экстракт листа берёзы</t>
  </si>
  <si>
    <t>Бальзамы \ крема</t>
  </si>
  <si>
    <r>
      <t>Бальзам "</t>
    </r>
    <r>
      <rPr>
        <b/>
        <sz val="10"/>
        <color theme="1"/>
        <rFont val="Calibri"/>
        <family val="2"/>
        <charset val="204"/>
        <scheme val="minor"/>
      </rPr>
      <t>Живительный Источник</t>
    </r>
    <r>
      <rPr>
        <sz val="10"/>
        <color theme="1"/>
        <rFont val="Calibri"/>
        <family val="2"/>
        <charset val="204"/>
        <scheme val="minor"/>
      </rPr>
      <t>"</t>
    </r>
    <r>
      <rPr>
        <sz val="10"/>
        <color theme="1"/>
        <rFont val="Calibri"/>
        <family val="2"/>
        <scheme val="minor"/>
      </rPr>
      <t xml:space="preserve"> (для здоровых вен) 50г</t>
    </r>
  </si>
  <si>
    <t>мука пшеничная, заменитель масса какао нелауринового типа, финиковый порошок, крахмал кукурузный, натуральный ароматизатор, соль морская пищевая, масло подсолнечное, соевый лецитин, сода пищевая, изомальтоолигосахарид, какао порошок, экстракт ванили</t>
  </si>
  <si>
    <t>соль пищевая гималайская розовая помол № 1 (размер кристалла соли 1,0 – 2,0 мм), чеснок, кориандр, перец черный, укроп, петрушка</t>
  </si>
  <si>
    <t>соль пищевая гималайская розовая помол № 1 (размер кристалла соли 1,0 - 2,0 мм), адыгейские специи: чеснок, перец сладкий красный молотый, кориандр, хмели-сунели.</t>
  </si>
  <si>
    <r>
      <t>Соль Гималайская розовая с адыгейскими специями "</t>
    </r>
    <r>
      <rPr>
        <b/>
        <sz val="10"/>
        <rFont val="Calibri"/>
        <family val="2"/>
        <scheme val="minor"/>
      </rPr>
      <t>Абадзехская</t>
    </r>
    <r>
      <rPr>
        <sz val="10"/>
        <rFont val="Calibri"/>
        <family val="2"/>
        <scheme val="minor"/>
      </rPr>
      <t>" 230г</t>
    </r>
  </si>
  <si>
    <r>
      <t>Соль Гималайская розовая с адыгейскими специями "</t>
    </r>
    <r>
      <rPr>
        <b/>
        <sz val="10"/>
        <rFont val="Calibri"/>
        <family val="2"/>
        <scheme val="minor"/>
      </rPr>
      <t>Бжедугская</t>
    </r>
    <r>
      <rPr>
        <sz val="10"/>
        <rFont val="Calibri"/>
        <family val="2"/>
        <scheme val="minor"/>
      </rPr>
      <t>" 230г</t>
    </r>
  </si>
  <si>
    <t>Пшеница зерно для проращивания пакет 500г</t>
  </si>
  <si>
    <t>экстракт стевии, сукралоза, эритрит, ароматизатор чёрная смородина</t>
  </si>
  <si>
    <r>
      <t xml:space="preserve">Масло сливочное коровье топленое ГХИ </t>
    </r>
    <r>
      <rPr>
        <b/>
        <sz val="10"/>
        <rFont val="Calibri"/>
        <family val="2"/>
        <scheme val="minor"/>
      </rPr>
      <t>200г</t>
    </r>
  </si>
  <si>
    <r>
      <t xml:space="preserve">Масло сливочное коровье топленое ГХИ </t>
    </r>
    <r>
      <rPr>
        <b/>
        <sz val="10"/>
        <rFont val="Calibri"/>
        <family val="2"/>
        <scheme val="minor"/>
      </rPr>
      <t>400г</t>
    </r>
  </si>
  <si>
    <t>Отборное кокосовое масло рафинированное дезодорированное</t>
  </si>
  <si>
    <t>минимальный квант 35шт</t>
  </si>
  <si>
    <r>
      <t xml:space="preserve">Чипсы нутовые </t>
    </r>
    <r>
      <rPr>
        <b/>
        <sz val="10"/>
        <rFont val="Calibri"/>
        <family val="2"/>
        <scheme val="minor"/>
      </rPr>
      <t>Грибы и сметана</t>
    </r>
    <r>
      <rPr>
        <sz val="10"/>
        <rFont val="Calibri"/>
        <family val="2"/>
        <scheme val="minor"/>
      </rPr>
      <t xml:space="preserve"> "Нутсы" безглютеновые 50г</t>
    </r>
  </si>
  <si>
    <r>
      <t xml:space="preserve">Пастила медовая </t>
    </r>
    <r>
      <rPr>
        <b/>
        <sz val="10"/>
        <rFont val="Calibri"/>
        <family val="2"/>
        <scheme val="minor"/>
      </rPr>
      <t>вишневая с арахисом</t>
    </r>
    <r>
      <rPr>
        <sz val="10"/>
        <rFont val="Calibri"/>
        <family val="2"/>
        <scheme val="minor"/>
      </rPr>
      <t xml:space="preserve"> Pastilab 70г</t>
    </r>
  </si>
  <si>
    <r>
      <t xml:space="preserve">Пастила медовая </t>
    </r>
    <r>
      <rPr>
        <b/>
        <sz val="10"/>
        <rFont val="Calibri"/>
        <family val="2"/>
        <scheme val="minor"/>
      </rPr>
      <t>клубничная с кокосом</t>
    </r>
    <r>
      <rPr>
        <sz val="10"/>
        <rFont val="Calibri"/>
        <family val="2"/>
        <scheme val="minor"/>
      </rPr>
      <t xml:space="preserve"> Pastilab 70г</t>
    </r>
  </si>
  <si>
    <r>
      <t xml:space="preserve">Пастила медовая </t>
    </r>
    <r>
      <rPr>
        <b/>
        <sz val="10"/>
        <rFont val="Calibri"/>
        <family val="2"/>
        <scheme val="minor"/>
      </rPr>
      <t>малиновая с семенами льна</t>
    </r>
    <r>
      <rPr>
        <sz val="10"/>
        <rFont val="Calibri"/>
        <family val="2"/>
        <scheme val="minor"/>
      </rPr>
      <t xml:space="preserve"> Pastilab 70г</t>
    </r>
  </si>
  <si>
    <r>
      <t xml:space="preserve">Пастила медовая </t>
    </r>
    <r>
      <rPr>
        <b/>
        <sz val="10"/>
        <rFont val="Calibri"/>
        <family val="2"/>
        <scheme val="minor"/>
      </rPr>
      <t>облепиховая с семенами чиа</t>
    </r>
    <r>
      <rPr>
        <sz val="10"/>
        <rFont val="Calibri"/>
        <family val="2"/>
        <scheme val="minor"/>
      </rPr>
      <t xml:space="preserve"> Pastilab 70г</t>
    </r>
  </si>
  <si>
    <r>
      <t xml:space="preserve">Пастила медовая </t>
    </r>
    <r>
      <rPr>
        <b/>
        <sz val="10"/>
        <rFont val="Calibri"/>
        <family val="2"/>
        <scheme val="minor"/>
      </rPr>
      <t>яблочная с семенами тыквы</t>
    </r>
    <r>
      <rPr>
        <sz val="10"/>
        <rFont val="Calibri"/>
        <family val="2"/>
        <scheme val="minor"/>
      </rPr>
      <t xml:space="preserve"> Pastilab 70г</t>
    </r>
  </si>
  <si>
    <r>
      <t xml:space="preserve">Пастила </t>
    </r>
    <r>
      <rPr>
        <b/>
        <sz val="10"/>
        <rFont val="Calibri"/>
        <family val="2"/>
        <scheme val="minor"/>
      </rPr>
      <t xml:space="preserve">вишневая </t>
    </r>
    <r>
      <rPr>
        <sz val="10"/>
        <rFont val="Calibri"/>
        <family val="2"/>
        <scheme val="minor"/>
      </rPr>
      <t>натуральная Pastilab 50г</t>
    </r>
  </si>
  <si>
    <r>
      <t xml:space="preserve">Пастила </t>
    </r>
    <r>
      <rPr>
        <b/>
        <sz val="10"/>
        <rFont val="Calibri"/>
        <family val="2"/>
        <scheme val="minor"/>
      </rPr>
      <t>клубничная</t>
    </r>
    <r>
      <rPr>
        <sz val="10"/>
        <rFont val="Calibri"/>
        <family val="2"/>
        <scheme val="minor"/>
      </rPr>
      <t xml:space="preserve"> натуральная Pastilab 50г</t>
    </r>
  </si>
  <si>
    <r>
      <t xml:space="preserve">Пастила </t>
    </r>
    <r>
      <rPr>
        <b/>
        <sz val="10"/>
        <rFont val="Calibri"/>
        <family val="2"/>
        <scheme val="minor"/>
      </rPr>
      <t>малиновая</t>
    </r>
    <r>
      <rPr>
        <sz val="10"/>
        <rFont val="Calibri"/>
        <family val="2"/>
        <scheme val="minor"/>
      </rPr>
      <t xml:space="preserve"> натуральная Pastilab 50г</t>
    </r>
  </si>
  <si>
    <r>
      <t xml:space="preserve">Пастила </t>
    </r>
    <r>
      <rPr>
        <b/>
        <sz val="10"/>
        <rFont val="Calibri"/>
        <family val="2"/>
        <scheme val="minor"/>
      </rPr>
      <t>облепиховая</t>
    </r>
    <r>
      <rPr>
        <sz val="10"/>
        <rFont val="Calibri"/>
        <family val="2"/>
        <scheme val="minor"/>
      </rPr>
      <t xml:space="preserve"> натуральная Pastilab 50г</t>
    </r>
  </si>
  <si>
    <r>
      <t xml:space="preserve">Пастила </t>
    </r>
    <r>
      <rPr>
        <b/>
        <sz val="10"/>
        <rFont val="Calibri"/>
        <family val="2"/>
        <scheme val="minor"/>
      </rPr>
      <t>фруктовый микс</t>
    </r>
    <r>
      <rPr>
        <sz val="10"/>
        <rFont val="Calibri"/>
        <family val="2"/>
        <scheme val="minor"/>
      </rPr>
      <t xml:space="preserve"> натуральная Pastilab 50г</t>
    </r>
  </si>
  <si>
    <r>
      <t xml:space="preserve">Пастила </t>
    </r>
    <r>
      <rPr>
        <b/>
        <sz val="10"/>
        <rFont val="Calibri"/>
        <family val="2"/>
        <scheme val="minor"/>
      </rPr>
      <t>черничная</t>
    </r>
    <r>
      <rPr>
        <sz val="10"/>
        <rFont val="Calibri"/>
        <family val="2"/>
        <scheme val="minor"/>
      </rPr>
      <t xml:space="preserve"> натуральная Pastilab 50г</t>
    </r>
  </si>
  <si>
    <r>
      <t xml:space="preserve">Пастила </t>
    </r>
    <r>
      <rPr>
        <b/>
        <sz val="10"/>
        <rFont val="Calibri"/>
        <family val="2"/>
        <scheme val="minor"/>
      </rPr>
      <t>ягодный микс</t>
    </r>
    <r>
      <rPr>
        <sz val="10"/>
        <rFont val="Calibri"/>
        <family val="2"/>
        <scheme val="minor"/>
      </rPr>
      <t xml:space="preserve"> натуральная Pastilab 50г</t>
    </r>
  </si>
  <si>
    <r>
      <t xml:space="preserve">Леденцы кедровые с </t>
    </r>
    <r>
      <rPr>
        <b/>
        <sz val="10"/>
        <rFont val="Calibri"/>
        <family val="2"/>
        <scheme val="minor"/>
      </rPr>
      <t>облепихой и курагой</t>
    </r>
    <r>
      <rPr>
        <sz val="10"/>
        <rFont val="Calibri"/>
        <family val="2"/>
        <scheme val="minor"/>
      </rPr>
      <t xml:space="preserve"> Kedrini 6*3,2</t>
    </r>
  </si>
  <si>
    <t>Multibar</t>
  </si>
  <si>
    <t>Мука пшеничная цельносмолотая 500г</t>
  </si>
  <si>
    <t xml:space="preserve">Мука пшеничная цельносмолотая </t>
  </si>
  <si>
    <t>http://1.c8804.nichost.ru/pics/20135.jpg</t>
  </si>
  <si>
    <t>http://1.c8804.nichost.ru/pics/20132.jpg</t>
  </si>
  <si>
    <t>http://1.c8804.nichost.ru/pics/20139.jpg</t>
  </si>
  <si>
    <t>http://1.c8804.nichost.ru/pics/20134.jpg</t>
  </si>
  <si>
    <t>http://1.c8804.nichost.ru/pics/20133.jpg</t>
  </si>
  <si>
    <t>http://1.c8804.nichost.ru/pics/20136.jpg</t>
  </si>
  <si>
    <t>http://1.c8804.nichost.ru/pics/20138.jpg</t>
  </si>
  <si>
    <t>http://1.c8804.nichost.ru/pics/20097.jpg</t>
  </si>
  <si>
    <t>http://1.c8804.nichost.ru/pics/20096.jpg</t>
  </si>
  <si>
    <t>http://1.c8804.nichost.ru/pics/20101.jpg</t>
  </si>
  <si>
    <t>http://1.c8804.nichost.ru/pics/20098.jpg</t>
  </si>
  <si>
    <t>http://1.c8804.nichost.ru/pics/20099.jpg</t>
  </si>
  <si>
    <t>http://1.c8804.nichost.ru/pics/20102.jpg</t>
  </si>
  <si>
    <t>http://1.c8804.nichost.ru/pics/20095.jpg</t>
  </si>
  <si>
    <t>http://1.c8804.nichost.ru/pics/20094.jpg</t>
  </si>
  <si>
    <t>http://1.c8804.nichost.ru/pics/20067.jpg</t>
  </si>
  <si>
    <t>http://1.c8804.nichost.ru/pics/20066.jpg</t>
  </si>
  <si>
    <t>http://1.c8804.nichost.ru/pics/20073.jpg</t>
  </si>
  <si>
    <t>http://1.c8804.nichost.ru/pics/20074.jpg</t>
  </si>
  <si>
    <t>http://1.c8804.nichost.ru/pics/20069.jpg</t>
  </si>
  <si>
    <t>http://1.c8804.nichost.ru/pics/20064.jpg</t>
  </si>
  <si>
    <t>http://1.c8804.nichost.ru/pics/20086.jpg</t>
  </si>
  <si>
    <t>http://1.c8804.nichost.ru/pics/20065.jpg</t>
  </si>
  <si>
    <t>http://1.c8804.nichost.ru/pics/20063.jpg</t>
  </si>
  <si>
    <t>http://1.c8804.nichost.ru/pics/20076.jpg</t>
  </si>
  <si>
    <t>http://1.c8804.nichost.ru/pics/20129.jpg</t>
  </si>
  <si>
    <t>http://1.c8804.nichost.ru/pics/20078.jpg</t>
  </si>
  <si>
    <t>http://1.c8804.nichost.ru/pics/20130.jpg</t>
  </si>
  <si>
    <t>http://1.c8804.nichost.ru/pics/20092.jpg</t>
  </si>
  <si>
    <t>http://1.c8804.nichost.ru/pics/20077.jpg</t>
  </si>
  <si>
    <t>http://1.c8804.nichost.ru/pics/20093.jpg</t>
  </si>
  <si>
    <t>http://1.c8804.nichost.ru/pics/20072.jpg</t>
  </si>
  <si>
    <t>http://1.c8804.nichost.ru/pics/20091.jpg</t>
  </si>
  <si>
    <t>http://1.c8804.nichost.ru/pics/20075.jpg</t>
  </si>
  <si>
    <t>http://1.c8804.nichost.ru/pics/20062.jpg</t>
  </si>
  <si>
    <t>http://1.c8804.nichost.ru/pics/19896.jpg</t>
  </si>
  <si>
    <t>http://1.c8804.nichost.ru/pics/19897.jpg</t>
  </si>
  <si>
    <t>http://1.c8804.nichost.ru/pics/19955.jpg</t>
  </si>
  <si>
    <t>http://1.c8804.nichost.ru/pics/19950.jpg</t>
  </si>
  <si>
    <t>http://1.c8804.nichost.ru/pics/19952.jpg</t>
  </si>
  <si>
    <t>http://1.c8804.nichost.ru/pics/19953.jpg</t>
  </si>
  <si>
    <t>http://1.c8804.nichost.ru/pics/19954.jpg</t>
  </si>
  <si>
    <t>http://1.c8804.nichost.ru/pics/19951.jpg</t>
  </si>
  <si>
    <t>http://1.c8804.nichost.ru/pics/19956.jpg</t>
  </si>
  <si>
    <t>http://1.c8804.nichost.ru/pics/19957.jpg</t>
  </si>
  <si>
    <t>http://1.c8804.nichost.ru/pics/19909.jpg</t>
  </si>
  <si>
    <t>http://1.c8804.nichost.ru/pics/19905.jpg</t>
  </si>
  <si>
    <t>http://1.c8804.nichost.ru/pics/19906.jpg</t>
  </si>
  <si>
    <t>http://1.c8804.nichost.ru/pics/19901.jpg</t>
  </si>
  <si>
    <t>http://1.c8804.nichost.ru/pics/19903.jpg</t>
  </si>
  <si>
    <t>http://1.c8804.nichost.ru/pics/19904.jpg</t>
  </si>
  <si>
    <t>http://1.c8804.nichost.ru/pics/19925.jpg</t>
  </si>
  <si>
    <t>http://1.c8804.nichost.ru/pics/19927.jpg</t>
  </si>
  <si>
    <t>http://1.c8804.nichost.ru/pics/19928.jpg</t>
  </si>
  <si>
    <t>http://1.c8804.nichost.ru/pics/19926.jpg</t>
  </si>
  <si>
    <t>http://1.c8804.nichost.ru/pics/19929.jpg</t>
  </si>
  <si>
    <t>http://1.c8804.nichost.ru/pics/19933.jpg</t>
  </si>
  <si>
    <t>http://1.c8804.nichost.ru/pics/20122.jpg</t>
  </si>
  <si>
    <t>http://1.c8804.nichost.ru/pics/20125.jpg</t>
  </si>
  <si>
    <t>http://1.c8804.nichost.ru/pics/20123.jpg</t>
  </si>
  <si>
    <t>http://1.c8804.nichost.ru/pics/19934.png</t>
  </si>
  <si>
    <t>http://1.c8804.nichost.ru/pics/19936.png</t>
  </si>
  <si>
    <t>http://1.c8804.nichost.ru/pics/19935.png</t>
  </si>
  <si>
    <t>http://1.c8804.nichost.ru/pics/19937.png</t>
  </si>
  <si>
    <t>http://1.c8804.nichost.ru/pics/20145.jpg</t>
  </si>
  <si>
    <t>http://1.c8804.nichost.ru/pics/20143.jpg</t>
  </si>
  <si>
    <t>http://1.c8804.nichost.ru/pics/20144.jpg</t>
  </si>
  <si>
    <t>http://1.c8804.nichost.ru/pics/19930.jpg</t>
  </si>
  <si>
    <t>http://1.c8804.nichost.ru/pics/19931.jpg</t>
  </si>
  <si>
    <t>http://1.c8804.nichost.ru/pics/19932.jpg</t>
  </si>
  <si>
    <t>http://1.c8804.nichost.ru/pics/19980.jpg</t>
  </si>
  <si>
    <t>http://1.c8804.nichost.ru/pics/18302.jpg</t>
  </si>
  <si>
    <t>http://1.c8804.nichost.ru/pics/18304.jpg</t>
  </si>
  <si>
    <t>http://1.c8804.nichost.ru/pics/18447.jpg</t>
  </si>
  <si>
    <t>http://1.c8804.nichost.ru/pics/18448.jpg</t>
  </si>
  <si>
    <t>http://1.c8804.nichost.ru/pics/18449.jpg</t>
  </si>
  <si>
    <t>http://1.c8804.nichost.ru/pics/15476.jpg</t>
  </si>
  <si>
    <t>http://1.c8804.nichost.ru/pics/18062.jpg</t>
  </si>
  <si>
    <t>http://1.c8804.nichost.ru/pics/17174.jpg</t>
  </si>
  <si>
    <t>http://1.c8804.nichost.ru/pics/18215.jpg</t>
  </si>
  <si>
    <t>http://1.c8804.nichost.ru/pics/18214.jpg</t>
  </si>
  <si>
    <t>http://1.c8804.nichost.ru/pics/18264.jpg</t>
  </si>
  <si>
    <t>http://1.c8804.nichost.ru/pics/18515.jpg</t>
  </si>
  <si>
    <t>http://1.c8804.nichost.ru/pics/18516.jpg</t>
  </si>
  <si>
    <t>http://1.c8804.nichost.ru/pics/19803.jpg</t>
  </si>
  <si>
    <t>http://1.c8804.nichost.ru/pics/19277.jpg</t>
  </si>
  <si>
    <t>http://1.c8804.nichost.ru/pics/19278.jpg</t>
  </si>
  <si>
    <t>http://1.c8804.nichost.ru/pics/19318.jpg</t>
  </si>
  <si>
    <t>http://1.c8804.nichost.ru/pics/19823.jpg</t>
  </si>
  <si>
    <t>http://1.c8804.nichost.ru/pics/16086.jpg</t>
  </si>
  <si>
    <t>http://1.c8804.nichost.ru/pics/20117.jpg</t>
  </si>
  <si>
    <t>http://1.c8804.nichost.ru/pics/18310.jpg</t>
  </si>
  <si>
    <t>http://1.c8804.nichost.ru/pics/18753.jpg</t>
  </si>
  <si>
    <t>http://1.c8804.nichost.ru/pics/19119.jpg</t>
  </si>
  <si>
    <t>http://1.c8804.nichost.ru/pics/18612.jpg</t>
  </si>
  <si>
    <t>http://1.c8804.nichost.ru/pics/19200.jpg</t>
  </si>
  <si>
    <t>http://1.c8804.nichost.ru/pics/20127.jpg</t>
  </si>
  <si>
    <t>http://1.c8804.nichost.ru/pics/20146.jpg</t>
  </si>
  <si>
    <t>http://1.c8804.nichost.ru/pics/17493.jpg</t>
  </si>
  <si>
    <t>http://1.c8804.nichost.ru/pics/18754.jpg</t>
  </si>
  <si>
    <t>http://1.c8804.nichost.ru/pics/16930.jpg</t>
  </si>
  <si>
    <t>http://1.c8804.nichost.ru/pics/17315.jpg</t>
  </si>
  <si>
    <t>http://1.c8804.nichost.ru/pics/20114.jpg</t>
  </si>
  <si>
    <t>http://1.c8804.nichost.ru/pics/17004.jpg</t>
  </si>
  <si>
    <t>http://1.c8804.nichost.ru/pics/17003.jpg</t>
  </si>
  <si>
    <t>http://1.c8804.nichost.ru/pics/19640.jpg</t>
  </si>
  <si>
    <t>http://1.c8804.nichost.ru/pics/19642.jpg</t>
  </si>
  <si>
    <t>http://1.c8804.nichost.ru/pics/19639.jpg</t>
  </si>
  <si>
    <t>http://1.c8804.nichost.ru/pics/19645.jpg</t>
  </si>
  <si>
    <t>http://1.c8804.nichost.ru/pics/19643.jpg</t>
  </si>
  <si>
    <t>http://1.c8804.nichost.ru/pics/19641.jpg</t>
  </si>
  <si>
    <t>http://1.c8804.nichost.ru/pics/19644.jpg</t>
  </si>
  <si>
    <t>http://1.c8804.nichost.ru/pics/19941.jpg</t>
  </si>
  <si>
    <t>http://1.c8804.nichost.ru/pics/19942.jpg</t>
  </si>
  <si>
    <t>http://1.c8804.nichost.ru/pics/17552.jpg</t>
  </si>
  <si>
    <t>http://1.c8804.nichost.ru/pics/17553.jpg</t>
  </si>
  <si>
    <t>http://1.c8804.nichost.ru/pics/19630.jpg</t>
  </si>
  <si>
    <t>http://1.c8804.nichost.ru/pics/19631.jpg</t>
  </si>
  <si>
    <t>http://1.c8804.nichost.ru/pics/15674.jpg</t>
  </si>
  <si>
    <t>http://1.c8804.nichost.ru/pics/13415.jpg</t>
  </si>
  <si>
    <t>http://1.c8804.nichost.ru/pics/15671.jpg</t>
  </si>
  <si>
    <t>http://1.c8804.nichost.ru/pics/17749.jpg</t>
  </si>
  <si>
    <t>http://1.c8804.nichost.ru/pics/17750.jpg</t>
  </si>
  <si>
    <t>http://1.c8804.nichost.ru/pics/13414.jpg</t>
  </si>
  <si>
    <t>http://1.c8804.nichost.ru/pics/15672.jpg</t>
  </si>
  <si>
    <t>http://1.c8804.nichost.ru/pics/15675.jpg</t>
  </si>
  <si>
    <t>http://1.c8804.nichost.ru/pics/13413.jpg</t>
  </si>
  <si>
    <t>http://1.c8804.nichost.ru/pics/15673.jpg</t>
  </si>
  <si>
    <t>http://1.c8804.nichost.ru/pics/19582.jpg</t>
  </si>
  <si>
    <t>http://1.c8804.nichost.ru/pics/19579.jpg</t>
  </si>
  <si>
    <t>http://1.c8804.nichost.ru/pics/19580.jpg</t>
  </si>
  <si>
    <t>http://1.c8804.nichost.ru/pics/19581.jpg</t>
  </si>
  <si>
    <t>http://1.c8804.nichost.ru/pics/19583.jpg</t>
  </si>
  <si>
    <t>http://1.c8804.nichost.ru/pics/17751.jpg</t>
  </si>
  <si>
    <t>http://1.c8804.nichost.ru/pics/19586.jpg</t>
  </si>
  <si>
    <t>http://1.c8804.nichost.ru/pics/20128.jpg</t>
  </si>
  <si>
    <t>http://1.c8804.nichost.ru/pics/19587.jpg</t>
  </si>
  <si>
    <t>http://1.c8804.nichost.ru/pics/17034.jpg</t>
  </si>
  <si>
    <t>http://1.c8804.nichost.ru/pics/18720.jpg</t>
  </si>
  <si>
    <t>http://1.c8804.nichost.ru/pics/18539.jpg</t>
  </si>
  <si>
    <t>http://1.c8804.nichost.ru/pics/17480.jpg</t>
  </si>
  <si>
    <t>http://1.c8804.nichost.ru/pics/17446.jpg</t>
  </si>
  <si>
    <t>http://1.c8804.nichost.ru/pics/17572.jpg</t>
  </si>
  <si>
    <t>http://1.c8804.nichost.ru/pics/18172.jpg</t>
  </si>
  <si>
    <t>http://1.c8804.nichost.ru/pics/19578.jpg</t>
  </si>
  <si>
    <t>http://1.c8804.nichost.ru/pics/19569.jpg</t>
  </si>
  <si>
    <t>http://1.c8804.nichost.ru/pics/19215.jpg</t>
  </si>
  <si>
    <t>http://1.c8804.nichost.ru/pics/15391.jpg</t>
  </si>
  <si>
    <t>http://1.c8804.nichost.ru/pics/14641.jpg</t>
  </si>
  <si>
    <t>http://1.c8804.nichost.ru/pics/16815.jpg</t>
  </si>
  <si>
    <t>http://1.c8804.nichost.ru/pics/19585.jpg</t>
  </si>
  <si>
    <t>http://1.c8804.nichost.ru/pics/19766.jpg</t>
  </si>
  <si>
    <t>http://1.c8804.nichost.ru/pics/19347.jpg</t>
  </si>
  <si>
    <t>http://1.c8804.nichost.ru/pics/17022.jpg</t>
  </si>
  <si>
    <t>http://1.c8804.nichost.ru/pics/19881.jpg</t>
  </si>
  <si>
    <t>http://1.c8804.nichost.ru/pics/19763.jpg</t>
  </si>
  <si>
    <t>http://1.c8804.nichost.ru/pics/19765.jpg</t>
  </si>
  <si>
    <t>http://1.c8804.nichost.ru/pics/19824.jpg</t>
  </si>
  <si>
    <t>http://1.c8804.nichost.ru/pics/19334.jpg</t>
  </si>
  <si>
    <t>http://1.c8804.nichost.ru/pics/17845.jpg</t>
  </si>
  <si>
    <t>http://1.c8804.nichost.ru/pics/18779.jpg</t>
  </si>
  <si>
    <t>http://1.c8804.nichost.ru/pics/19614.jpg</t>
  </si>
  <si>
    <t>http://1.c8804.nichost.ru/pics/18781.jpg</t>
  </si>
  <si>
    <t>http://1.c8804.nichost.ru/pics/19570.jpg</t>
  </si>
  <si>
    <t>http://1.c8804.nichost.ru/pics/16704.jpg</t>
  </si>
  <si>
    <t>http://1.c8804.nichost.ru/pics/19815.jpg</t>
  </si>
  <si>
    <t>http://1.c8804.nichost.ru/pics/19814.jpg</t>
  </si>
  <si>
    <t>http://1.c8804.nichost.ru/pics/19837.jpg</t>
  </si>
  <si>
    <t>http://1.c8804.nichost.ru/pics/19809.jpg</t>
  </si>
  <si>
    <t>http://1.c8804.nichost.ru/pics/17215.jpg</t>
  </si>
  <si>
    <t>http://1.c8804.nichost.ru/pics/17214.jpg</t>
  </si>
  <si>
    <t>http://1.c8804.nichost.ru/pics/19985.jpg</t>
  </si>
  <si>
    <t>http://1.c8804.nichost.ru/pics/19986.jpg</t>
  </si>
  <si>
    <t>http://1.c8804.nichost.ru/pics/19987.jpg</t>
  </si>
  <si>
    <t>http://1.c8804.nichost.ru/pics/18457.jpg</t>
  </si>
  <si>
    <t>http://1.c8804.nichost.ru/pics/19706.jpg</t>
  </si>
  <si>
    <t>http://1.c8804.nichost.ru/pics/17622.jpg</t>
  </si>
  <si>
    <t>http://1.c8804.nichost.ru/pics/17623.jpg</t>
  </si>
  <si>
    <t>http://1.c8804.nichost.ru/pics/17625.jpg</t>
  </si>
  <si>
    <t>http://1.c8804.nichost.ru/pics/19089.jpg</t>
  </si>
  <si>
    <t>http://1.c8804.nichost.ru/pics/19093.jpg</t>
  </si>
  <si>
    <t>http://1.c8804.nichost.ru/pics/19716.jpg</t>
  </si>
  <si>
    <t>http://1.c8804.nichost.ru/pics/19533.jpg</t>
  </si>
  <si>
    <t>http://1.c8804.nichost.ru/pics/19535.jpg</t>
  </si>
  <si>
    <t>http://1.c8804.nichost.ru/pics/19534.jpg</t>
  </si>
  <si>
    <t>http://1.c8804.nichost.ru/pics/19537.jpg</t>
  </si>
  <si>
    <t>http://1.c8804.nichost.ru/pics/19992.jpg</t>
  </si>
  <si>
    <t>http://1.c8804.nichost.ru/pics/19794.jpg</t>
  </si>
  <si>
    <t>http://1.c8804.nichost.ru/pics/20033.jpg</t>
  </si>
  <si>
    <t>http://1.c8804.nichost.ru/pics/19762.jpg</t>
  </si>
  <si>
    <t>http://1.c8804.nichost.ru/pics/20022.jpg</t>
  </si>
  <si>
    <t>http://1.c8804.nichost.ru/pics/19994.jpg</t>
  </si>
  <si>
    <t>http://1.c8804.nichost.ru/pics/18736.jpg</t>
  </si>
  <si>
    <t>http://1.c8804.nichost.ru/pics/19697.jpg</t>
  </si>
  <si>
    <t>http://1.c8804.nichost.ru/pics/17544.jpg</t>
  </si>
  <si>
    <t>http://1.c8804.nichost.ru/pics/19704.jpg</t>
  </si>
  <si>
    <t>http://1.c8804.nichost.ru/pics/19701.jpg</t>
  </si>
  <si>
    <t>http://1.c8804.nichost.ru/pics/19703.jpg</t>
  </si>
  <si>
    <t>http://1.c8804.nichost.ru/pics/17540.jpg</t>
  </si>
  <si>
    <t>http://1.c8804.nichost.ru/pics/17541.jpg</t>
  </si>
  <si>
    <t>http://1.c8804.nichost.ru/pics/17542.jpg</t>
  </si>
  <si>
    <t>http://1.c8804.nichost.ru/pics/17543.jpg</t>
  </si>
  <si>
    <t>http://1.c8804.nichost.ru/pics/19831.jpg</t>
  </si>
  <si>
    <t>http://1.c8804.nichost.ru/pics/19968.jpg</t>
  </si>
  <si>
    <t>http://1.c8804.nichost.ru/pics/19969.jpg</t>
  </si>
  <si>
    <t>http://1.c8804.nichost.ru/pics/19995.jpg</t>
  </si>
  <si>
    <t>http://1.c8804.nichost.ru/pics/19967.jpg</t>
  </si>
  <si>
    <t>http://1.c8804.nichost.ru/pics/19963.jpg</t>
  </si>
  <si>
    <t>http://1.c8804.nichost.ru/pics/19960.jpg</t>
  </si>
  <si>
    <t>http://1.c8804.nichost.ru/pics/19961.jpg</t>
  </si>
  <si>
    <t>http://1.c8804.nichost.ru/pics/19962.jpg</t>
  </si>
  <si>
    <t>http://1.c8804.nichost.ru/pics/19965.jpg</t>
  </si>
  <si>
    <t>http://1.c8804.nichost.ru/pics/19850.jpg</t>
  </si>
  <si>
    <t>http://1.c8804.nichost.ru/pics/19851.jpg</t>
  </si>
  <si>
    <t>http://1.c8804.nichost.ru/pics/19852.jpg</t>
  </si>
  <si>
    <t>http://1.c8804.nichost.ru/pics/17569.jpg</t>
  </si>
  <si>
    <t>http://1.c8804.nichost.ru/pics/17568.jpg</t>
  </si>
  <si>
    <t>http://1.c8804.nichost.ru/pics/17953.jpg</t>
  </si>
  <si>
    <t>http://1.c8804.nichost.ru/pics/19677.jpg</t>
  </si>
  <si>
    <t>http://1.c8804.nichost.ru/pics/18657.jpg</t>
  </si>
  <si>
    <t>http://1.c8804.nichost.ru/pics/20055.jpg</t>
  </si>
  <si>
    <t>http://1.c8804.nichost.ru/pics/20054.jpg</t>
  </si>
  <si>
    <t>http://1.c8804.nichost.ru/pics/19364.jpg</t>
  </si>
  <si>
    <t>http://1.c8804.nichost.ru/pics/19433.jpg</t>
  </si>
  <si>
    <t>http://1.c8804.nichost.ru/pics/19432.jpg</t>
  </si>
  <si>
    <t>http://1.c8804.nichost.ru/pics/19434.jpg</t>
  </si>
  <si>
    <t>http://1.c8804.nichost.ru/pics/19436.jpg</t>
  </si>
  <si>
    <t>http://1.c8804.nichost.ru/pics/19811.jpg</t>
  </si>
  <si>
    <t>http://1.c8804.nichost.ru/pics/18973.jpg</t>
  </si>
  <si>
    <t>http://1.c8804.nichost.ru/pics/18974.jpg</t>
  </si>
  <si>
    <t>http://1.c8804.nichost.ru/pics/19680.jpg</t>
  </si>
  <si>
    <t>http://1.c8804.nichost.ru/pics/19681.jpg</t>
  </si>
  <si>
    <t>http://1.c8804.nichost.ru/pics/19421.jpg</t>
  </si>
  <si>
    <t>http://1.c8804.nichost.ru/pics/20017.jpg</t>
  </si>
  <si>
    <t>http://1.c8804.nichost.ru/pics/20019.jpg</t>
  </si>
  <si>
    <t>http://1.c8804.nichost.ru/pics/20018.jpg</t>
  </si>
  <si>
    <t>http://1.c8804.nichost.ru/pics/18975.jpg</t>
  </si>
  <si>
    <t>http://1.c8804.nichost.ru/pics/18976.jpg</t>
  </si>
  <si>
    <t>http://1.c8804.nichost.ru/pics/19305.jpg</t>
  </si>
  <si>
    <t>http://1.c8804.nichost.ru/pics/19262.jpg</t>
  </si>
  <si>
    <t>http://1.c8804.nichost.ru/pics/18126.jpg</t>
  </si>
  <si>
    <t>http://1.c8804.nichost.ru/pics/18127.jpg</t>
  </si>
  <si>
    <t>http://1.c8804.nichost.ru/pics/19504.jpg</t>
  </si>
  <si>
    <t>http://1.c8804.nichost.ru/pics/17311.jpg</t>
  </si>
  <si>
    <t>http://1.c8804.nichost.ru/pics/17314.jpg</t>
  </si>
  <si>
    <t>http://1.c8804.nichost.ru/pics/19551.jpg</t>
  </si>
  <si>
    <t>http://1.c8804.nichost.ru/pics/19807.jpg</t>
  </si>
  <si>
    <t>http://1.c8804.nichost.ru/pics/19806.jpg</t>
  </si>
  <si>
    <t>http://1.c8804.nichost.ru/pics/19019.jpg</t>
  </si>
  <si>
    <t>http://1.c8804.nichost.ru/pics/19020.jpg</t>
  </si>
  <si>
    <t>http://1.c8804.nichost.ru/pics/19658.jpg</t>
  </si>
  <si>
    <t>http://1.c8804.nichost.ru/pics/19659.jpg</t>
  </si>
  <si>
    <t>http://1.c8804.nichost.ru/pics/20084.jpg</t>
  </si>
  <si>
    <t>http://1.c8804.nichost.ru/pics/19892.jpg</t>
  </si>
  <si>
    <t>http://1.c8804.nichost.ru/pics/19893.jpg</t>
  </si>
  <si>
    <t>http://1.c8804.nichost.ru/pics/19891.jpg</t>
  </si>
  <si>
    <t>http://1.c8804.nichost.ru/pics/19657.jpg</t>
  </si>
  <si>
    <t>http://1.c8804.nichost.ru/pics/20172.jpg</t>
  </si>
  <si>
    <t>http://1.c8804.nichost.ru/pics/19528.jpg</t>
  </si>
  <si>
    <t>http://1.c8804.nichost.ru/pics/19529.jpg</t>
  </si>
  <si>
    <t>http://1.c8804.nichost.ru/pics/19530.jpg</t>
  </si>
  <si>
    <t>http://1.c8804.nichost.ru/pics/19792.jpg</t>
  </si>
  <si>
    <t>http://1.c8804.nichost.ru/pics/19791.jpg</t>
  </si>
  <si>
    <t>http://1.c8804.nichost.ru/pics/19790.jpg</t>
  </si>
  <si>
    <t>http://1.c8804.nichost.ru/pics/19789.jpg</t>
  </si>
  <si>
    <t>http://1.c8804.nichost.ru/pics/19788.jpg</t>
  </si>
  <si>
    <t>http://1.c8804.nichost.ru/pics/17605.jpg</t>
  </si>
  <si>
    <t>http://1.c8804.nichost.ru/pics/18734.jpg</t>
  </si>
  <si>
    <t>http://1.c8804.nichost.ru/pics/18228.jpg</t>
  </si>
  <si>
    <t>http://1.c8804.nichost.ru/pics/16345.jpg</t>
  </si>
  <si>
    <t>http://1.c8804.nichost.ru/pics/16793.jpg</t>
  </si>
  <si>
    <t>http://1.c8804.nichost.ru/pics/17505.jpg</t>
  </si>
  <si>
    <t>http://1.c8804.nichost.ru/pics/19480.jpg</t>
  </si>
  <si>
    <t>http://1.c8804.nichost.ru/pics/19481.jpg</t>
  </si>
  <si>
    <t>http://1.c8804.nichost.ru/pics/19482.jpg</t>
  </si>
  <si>
    <t>http://1.c8804.nichost.ru/pics/19483.jpg</t>
  </si>
  <si>
    <t>http://1.c8804.nichost.ru/pics/19484.jpg</t>
  </si>
  <si>
    <t>http://1.c8804.nichost.ru/pics/18274.jpg</t>
  </si>
  <si>
    <t>http://1.c8804.nichost.ru/pics/18276.jpg</t>
  </si>
  <si>
    <t>http://1.c8804.nichost.ru/pics/18277.jpg</t>
  </si>
  <si>
    <t>http://1.c8804.nichost.ru/pics/18275.jpg</t>
  </si>
  <si>
    <t>http://1.c8804.nichost.ru/pics/19866.jpg</t>
  </si>
  <si>
    <t>http://1.c8804.nichost.ru/pics/19867.jpg</t>
  </si>
  <si>
    <t>http://1.c8804.nichost.ru/pics/13315.jpg</t>
  </si>
  <si>
    <t>http://1.c8804.nichost.ru/pics/13795.jpg</t>
  </si>
  <si>
    <t>http://1.c8804.nichost.ru/pics/13316.jpg</t>
  </si>
  <si>
    <t>http://1.c8804.nichost.ru/pics/14993.jpg</t>
  </si>
  <si>
    <t>http://1.c8804.nichost.ru/pics/13793.jpg</t>
  </si>
  <si>
    <t>http://1.c8804.nichost.ru/pics/17842.jpg</t>
  </si>
  <si>
    <t>http://1.c8804.nichost.ru/pics/13794.jpg</t>
  </si>
  <si>
    <t>http://1.c8804.nichost.ru/pics/13796.jpg</t>
  </si>
  <si>
    <t>http://1.c8804.nichost.ru/pics/19380.jpg</t>
  </si>
  <si>
    <t>http://1.c8804.nichost.ru/pics/19383.jpg</t>
  </si>
  <si>
    <t>http://1.c8804.nichost.ru/pics/19382.jpg</t>
  </si>
  <si>
    <t>http://1.c8804.nichost.ru/pics/19384.jpg</t>
  </si>
  <si>
    <t>http://1.c8804.nichost.ru/pics/19386.jpg</t>
  </si>
  <si>
    <t>http://1.c8804.nichost.ru/pics/19385.jpg</t>
  </si>
  <si>
    <t>http://1.c8804.nichost.ru/pics/19751.jpg</t>
  </si>
  <si>
    <t>http://1.c8804.nichost.ru/pics/19752.jpg</t>
  </si>
  <si>
    <t>http://1.c8804.nichost.ru/pics/19753.jpg</t>
  </si>
  <si>
    <t>http://1.c8804.nichost.ru/pics/19749.jpg</t>
  </si>
  <si>
    <t>http://1.c8804.nichost.ru/pics/19750.jpg</t>
  </si>
  <si>
    <t>http://1.c8804.nichost.ru/pics/20168.jpg</t>
  </si>
  <si>
    <t>http://1.c8804.nichost.ru/pics/20169.jpg</t>
  </si>
  <si>
    <t>http://1.c8804.nichost.ru/pics/20170.jpg</t>
  </si>
  <si>
    <t>http://1.c8804.nichost.ru/pics/17510.jpg</t>
  </si>
  <si>
    <t>http://1.c8804.nichost.ru/pics/17511.jpg</t>
  </si>
  <si>
    <t>http://1.c8804.nichost.ru/pics/17512.jpg</t>
  </si>
  <si>
    <t>http://1.c8804.nichost.ru/pics/17513.jpg</t>
  </si>
  <si>
    <t>http://1.c8804.nichost.ru/pics/17514.jpg</t>
  </si>
  <si>
    <t>http://1.c8804.nichost.ru/pics/17515.jpg</t>
  </si>
  <si>
    <t>http://1.c8804.nichost.ru/pics/16902.jpg</t>
  </si>
  <si>
    <t>http://1.c8804.nichost.ru/pics/18511.jpg</t>
  </si>
  <si>
    <t>http://1.c8804.nichost.ru/pics/18512.jpg</t>
  </si>
  <si>
    <t>http://1.c8804.nichost.ru/pics/18510.jpg</t>
  </si>
  <si>
    <t>http://1.c8804.nichost.ru/pics/18513.jpg</t>
  </si>
  <si>
    <t>http://1.c8804.nichost.ru/pics/18534.jpg</t>
  </si>
  <si>
    <t>http://1.c8804.nichost.ru/pics/19793.jpg</t>
  </si>
  <si>
    <t>http://1.c8804.nichost.ru/pics/19829.jpg</t>
  </si>
  <si>
    <t>http://1.c8804.nichost.ru/pics/19830.jpg</t>
  </si>
  <si>
    <t>http://1.c8804.nichost.ru/pics/18911.jpg</t>
  </si>
  <si>
    <t>http://1.c8804.nichost.ru/pics/19593.jpg</t>
  </si>
  <si>
    <t>http://1.c8804.nichost.ru/pics/18908.jpg</t>
  </si>
  <si>
    <t>http://1.c8804.nichost.ru/pics/18910.jpg</t>
  </si>
  <si>
    <t>http://1.c8804.nichost.ru/pics/20030.jpg</t>
  </si>
  <si>
    <t>http://1.c8804.nichost.ru/pics/17771.jpg</t>
  </si>
  <si>
    <t>http://1.c8804.nichost.ru/pics/19292.jpg</t>
  </si>
  <si>
    <t>http://1.c8804.nichost.ru/pics/19290.jpg</t>
  </si>
  <si>
    <t>http://1.c8804.nichost.ru/pics/19291.jpg</t>
  </si>
  <si>
    <t>http://1.c8804.nichost.ru/pics/19289.jpg</t>
  </si>
  <si>
    <t>http://1.c8804.nichost.ru/pics/19720.jpg</t>
  </si>
  <si>
    <t>http://1.c8804.nichost.ru/pics/19717.jpg</t>
  </si>
  <si>
    <t>http://1.c8804.nichost.ru/pics/19718.jpg</t>
  </si>
  <si>
    <t>http://1.c8804.nichost.ru/pics/19719.jpg</t>
  </si>
  <si>
    <t>http://1.c8804.nichost.ru/pics/19721.jpg</t>
  </si>
  <si>
    <t>http://1.c8804.nichost.ru/pics/17874.jpg</t>
  </si>
  <si>
    <t>http://1.c8804.nichost.ru/pics/18420.jpg</t>
  </si>
  <si>
    <t>http://1.c8804.nichost.ru/pics/18421.jpg</t>
  </si>
  <si>
    <t>http://1.c8804.nichost.ru/pics/18422.jpg</t>
  </si>
  <si>
    <t>http://1.c8804.nichost.ru/pics/20079.jpg</t>
  </si>
  <si>
    <t>http://1.c8804.nichost.ru/pics/19619.jpg</t>
  </si>
  <si>
    <t>http://1.c8804.nichost.ru/pics/19883.jpg</t>
  </si>
  <si>
    <t>http://1.c8804.nichost.ru/pics/19871.jpg</t>
  </si>
  <si>
    <t>http://1.c8804.nichost.ru/pics/19841.jpg</t>
  </si>
  <si>
    <t>http://1.c8804.nichost.ru/pics/20044.jpg</t>
  </si>
  <si>
    <t>http://1.c8804.nichost.ru/pics/19577.jpg</t>
  </si>
  <si>
    <t>http://1.c8804.nichost.ru/pics/17728.jpg</t>
  </si>
  <si>
    <t>http://1.c8804.nichost.ru/pics/17729.jpg</t>
  </si>
  <si>
    <t>http://1.c8804.nichost.ru/pics/17734.jpg</t>
  </si>
  <si>
    <t>http://1.c8804.nichost.ru/pics/17730.jpg</t>
  </si>
  <si>
    <t>http://1.c8804.nichost.ru/pics/17731.jpg</t>
  </si>
  <si>
    <t>http://1.c8804.nichost.ru/pics/17735.jpg</t>
  </si>
  <si>
    <t>http://1.c8804.nichost.ru/pics/19958.jpg</t>
  </si>
  <si>
    <t>http://1.c8804.nichost.ru/pics/17742.jpg</t>
  </si>
  <si>
    <t>http://1.c8804.nichost.ru/pics/17743.jpg</t>
  </si>
  <si>
    <t>http://1.c8804.nichost.ru/pics/18163.jpg</t>
  </si>
  <si>
    <t>http://1.c8804.nichost.ru/pics/17765.jpg</t>
  </si>
  <si>
    <t>http://1.c8804.nichost.ru/pics/17763.jpg</t>
  </si>
  <si>
    <t>http://1.c8804.nichost.ru/pics/17766.jpg</t>
  </si>
  <si>
    <t>http://1.c8804.nichost.ru/pics/17764.jpg</t>
  </si>
  <si>
    <t>http://1.c8804.nichost.ru/pics/17762.jpg</t>
  </si>
  <si>
    <t>http://1.c8804.nichost.ru/pics/18755.jpg</t>
  </si>
  <si>
    <t>http://1.c8804.nichost.ru/pics/19063.jpg</t>
  </si>
  <si>
    <t>http://1.c8804.nichost.ru/pics/20036.jpg</t>
  </si>
  <si>
    <t>http://1.c8804.nichost.ru/pics/20038.jpg</t>
  </si>
  <si>
    <t>http://1.c8804.nichost.ru/pics/20039.jpg</t>
  </si>
  <si>
    <t>http://1.c8804.nichost.ru/pics/19668.jpg</t>
  </si>
  <si>
    <t>http://1.c8804.nichost.ru/pics/19669.jpg</t>
  </si>
  <si>
    <t>http://1.c8804.nichost.ru/pics/16816.jpg</t>
  </si>
  <si>
    <t>http://1.c8804.nichost.ru/pics/17329.jpg</t>
  </si>
  <si>
    <t>http://1.c8804.nichost.ru/pics/13037.jpg</t>
  </si>
  <si>
    <t>http://1.c8804.nichost.ru/pics/13038.jpg</t>
  </si>
  <si>
    <t>http://1.c8804.nichost.ru/pics/12036.jpg</t>
  </si>
  <si>
    <t>http://1.c8804.nichost.ru/pics/8860.jpg</t>
  </si>
  <si>
    <t>http://1.c8804.nichost.ru/pics/11665.jpg</t>
  </si>
  <si>
    <t>http://1.c8804.nichost.ru/pics/8862.jpg</t>
  </si>
  <si>
    <t>http://1.c8804.nichost.ru/pics/7487.jpg</t>
  </si>
  <si>
    <t>http://1.c8804.nichost.ru/pics/7722.jpg</t>
  </si>
  <si>
    <t>http://1.c8804.nichost.ru/pics/10312.jpg</t>
  </si>
  <si>
    <t>http://1.c8804.nichost.ru/pics/6833.jpg</t>
  </si>
  <si>
    <t>http://1.c8804.nichost.ru/pics/11983.jpg</t>
  </si>
  <si>
    <t>http://1.c8804.nichost.ru/pics/15450.jpg</t>
  </si>
  <si>
    <t>http://1.c8804.nichost.ru/pics/15449.jpg</t>
  </si>
  <si>
    <t>http://1.c8804.nichost.ru/pics/15448.jpg</t>
  </si>
  <si>
    <t>http://1.c8804.nichost.ru/pics/5303.jpg</t>
  </si>
  <si>
    <t>http://1.c8804.nichost.ru/pics/5304.jpg</t>
  </si>
  <si>
    <t>http://1.c8804.nichost.ru/pics/6301.jpg</t>
  </si>
  <si>
    <t>http://1.c8804.nichost.ru/pics/16504.jpg</t>
  </si>
  <si>
    <t>http://1.c8804.nichost.ru/pics/15451.jpg</t>
  </si>
  <si>
    <t>http://1.c8804.nichost.ru/pics/15452.jpg</t>
  </si>
  <si>
    <t>http://1.c8804.nichost.ru/pics/12587.jpg</t>
  </si>
  <si>
    <t>http://1.c8804.nichost.ru/pics/9952.jpg</t>
  </si>
  <si>
    <t>http://1.c8804.nichost.ru/pics/1916.jpg</t>
  </si>
  <si>
    <t>http://1.c8804.nichost.ru/pics/12521.jpg</t>
  </si>
  <si>
    <t>http://1.c8804.nichost.ru/pics/6897.jpg</t>
  </si>
  <si>
    <t>http://1.c8804.nichost.ru/pics/56.jpg</t>
  </si>
  <si>
    <t>http://1.c8804.nichost.ru/pics/84.jpg</t>
  </si>
  <si>
    <t>http://1.c8804.nichost.ru/pics/8401.jpg</t>
  </si>
  <si>
    <t>http://1.c8804.nichost.ru/pics/8412.jpg</t>
  </si>
  <si>
    <t>http://1.c8804.nichost.ru/pics/8423.jpg</t>
  </si>
  <si>
    <t>http://1.c8804.nichost.ru/pics/8434.jpg</t>
  </si>
  <si>
    <t>http://1.c8804.nichost.ru/pics/8436.jpg</t>
  </si>
  <si>
    <t>http://1.c8804.nichost.ru/pics/8437.jpg</t>
  </si>
  <si>
    <t>http://1.c8804.nichost.ru/pics/8438.jpg</t>
  </si>
  <si>
    <t>http://1.c8804.nichost.ru/pics/8439.jpg</t>
  </si>
  <si>
    <t>http://1.c8804.nichost.ru/pics/8440.jpg</t>
  </si>
  <si>
    <t>http://1.c8804.nichost.ru/pics/8402.jpg</t>
  </si>
  <si>
    <t>http://1.c8804.nichost.ru/pics/8403.jpg</t>
  </si>
  <si>
    <t>http://1.c8804.nichost.ru/pics/8404.jpg</t>
  </si>
  <si>
    <t>http://1.c8804.nichost.ru/pics/8405.jpg</t>
  </si>
  <si>
    <t>http://1.c8804.nichost.ru/pics/8406.jpg</t>
  </si>
  <si>
    <t>http://1.c8804.nichost.ru/pics/8407.jpg</t>
  </si>
  <si>
    <t>http://1.c8804.nichost.ru/pics/8408.jpg</t>
  </si>
  <si>
    <t>http://1.c8804.nichost.ru/pics/8409.jpg</t>
  </si>
  <si>
    <t>http://1.c8804.nichost.ru/pics/8410.jpg</t>
  </si>
  <si>
    <t>http://1.c8804.nichost.ru/pics/8411.jpg</t>
  </si>
  <si>
    <t>http://1.c8804.nichost.ru/pics/8413.jpg</t>
  </si>
  <si>
    <t>http://1.c8804.nichost.ru/pics/8414.jpg</t>
  </si>
  <si>
    <t>http://1.c8804.nichost.ru/pics/8415.jpg</t>
  </si>
  <si>
    <t>http://1.c8804.nichost.ru/pics/8416.jpg</t>
  </si>
  <si>
    <t>http://1.c8804.nichost.ru/pics/8417.jpg</t>
  </si>
  <si>
    <t>http://1.c8804.nichost.ru/pics/8418.jpg</t>
  </si>
  <si>
    <t>http://1.c8804.nichost.ru/pics/8419.jpg</t>
  </si>
  <si>
    <t>http://1.c8804.nichost.ru/pics/8420.jpg</t>
  </si>
  <si>
    <t>http://1.c8804.nichost.ru/pics/8421.jpg</t>
  </si>
  <si>
    <t>http://1.c8804.nichost.ru/pics/8422.jpg</t>
  </si>
  <si>
    <t>http://1.c8804.nichost.ru/pics/8424.jpg</t>
  </si>
  <si>
    <t>http://1.c8804.nichost.ru/pics/8425.jpg</t>
  </si>
  <si>
    <t>http://1.c8804.nichost.ru/pics/8426.jpg</t>
  </si>
  <si>
    <t>http://1.c8804.nichost.ru/pics/8427.jpg</t>
  </si>
  <si>
    <t>http://1.c8804.nichost.ru/pics/8428.jpg</t>
  </si>
  <si>
    <t>http://1.c8804.nichost.ru/pics/8429.jpg</t>
  </si>
  <si>
    <t>http://1.c8804.nichost.ru/pics/8430.jpg</t>
  </si>
  <si>
    <t>http://1.c8804.nichost.ru/pics/8431.jpg</t>
  </si>
  <si>
    <t>http://1.c8804.nichost.ru/pics/8432.jpg</t>
  </si>
  <si>
    <t>http://1.c8804.nichost.ru/pics/8433.jpg</t>
  </si>
  <si>
    <t>http://1.c8804.nichost.ru/pics/8435.jpg</t>
  </si>
  <si>
    <t>http://1.c8804.nichost.ru/pics/8959.jpg</t>
  </si>
  <si>
    <t>http://1.c8804.nichost.ru/pics/9058.jpg</t>
  </si>
  <si>
    <t>http://1.c8804.nichost.ru/pics/13511.jpg</t>
  </si>
  <si>
    <t>http://1.c8804.nichost.ru/pics/8960.jpg</t>
  </si>
  <si>
    <t>http://1.c8804.nichost.ru/pics/9997.jpg</t>
  </si>
  <si>
    <t>http://1.c8804.nichost.ru/pics/8961.jpg</t>
  </si>
  <si>
    <t>http://1.c8804.nichost.ru/pics/8964.jpg</t>
  </si>
  <si>
    <t>http://1.c8804.nichost.ru/pics/13513.jpg</t>
  </si>
  <si>
    <t>http://1.c8804.nichost.ru/pics/9059.jpg</t>
  </si>
  <si>
    <t>http://1.c8804.nichost.ru/pics/13514.jpg</t>
  </si>
  <si>
    <t>http://1.c8804.nichost.ru/pics/13515.jpg</t>
  </si>
  <si>
    <t>http://1.c8804.nichost.ru/pics/13516.jpg</t>
  </si>
  <si>
    <t>http://1.c8804.nichost.ru/pics/13517.jpg</t>
  </si>
  <si>
    <t>http://1.c8804.nichost.ru/pics/13223.jpg</t>
  </si>
  <si>
    <t>http://1.c8804.nichost.ru/pics/8963.jpg</t>
  </si>
  <si>
    <t>http://1.c8804.nichost.ru/pics/13520.jpg</t>
  </si>
  <si>
    <t>http://1.c8804.nichost.ru/pics/9090.jpg</t>
  </si>
  <si>
    <t>http://1.c8804.nichost.ru/pics/7493.jpg</t>
  </si>
  <si>
    <t>http://1.c8804.nichost.ru/pics/7494.jpg</t>
  </si>
  <si>
    <t>http://1.c8804.nichost.ru/pics/7614.jpg</t>
  </si>
  <si>
    <t>http://1.c8804.nichost.ru/pics/7600.jpg</t>
  </si>
  <si>
    <t>http://1.c8804.nichost.ru/pics/7720.jpg</t>
  </si>
  <si>
    <t>http://1.c8804.nichost.ru/pics/7559.jpg</t>
  </si>
  <si>
    <t>http://1.c8804.nichost.ru/pics/7768.jpg</t>
  </si>
  <si>
    <t>http://1.c8804.nichost.ru/pics/7414.jpg</t>
  </si>
  <si>
    <t>http://1.c8804.nichost.ru/pics/7718.jpg</t>
  </si>
  <si>
    <t>http://1.c8804.nichost.ru/pics/13766.jpg</t>
  </si>
  <si>
    <t>http://1.c8804.nichost.ru/pics/8150.jpg</t>
  </si>
  <si>
    <t>http://1.c8804.nichost.ru/pics/8023.jpg</t>
  </si>
  <si>
    <t>http://1.c8804.nichost.ru/pics/7488.jpg</t>
  </si>
  <si>
    <t>http://1.c8804.nichost.ru/pics/7415.jpg</t>
  </si>
  <si>
    <t>http://1.c8804.nichost.ru/pics/7495.jpg</t>
  </si>
  <si>
    <t>http://1.c8804.nichost.ru/pics/13803.jpg</t>
  </si>
  <si>
    <t>http://1.c8804.nichost.ru/pics/9649.jpg</t>
  </si>
  <si>
    <t>http://1.c8804.nichost.ru/pics/7602.jpg</t>
  </si>
  <si>
    <t>http://1.c8804.nichost.ru/pics/7492.jpg</t>
  </si>
  <si>
    <t>http://1.c8804.nichost.ru/pics/7557.jpg</t>
  </si>
  <si>
    <t>http://1.c8804.nichost.ru/pics/7719.jpg</t>
  </si>
  <si>
    <t>http://1.c8804.nichost.ru/pics/7603.jpg</t>
  </si>
  <si>
    <t>http://1.c8804.nichost.ru/pics/12765.jpg</t>
  </si>
  <si>
    <t>http://1.c8804.nichost.ru/pics/7739.jpg</t>
  </si>
  <si>
    <t>http://1.c8804.nichost.ru/pics/8116.jpg</t>
  </si>
  <si>
    <t>http://1.c8804.nichost.ru/pics/7766.jpg</t>
  </si>
  <si>
    <t>http://1.c8804.nichost.ru/pics/7425.jpg</t>
  </si>
  <si>
    <t>http://1.c8804.nichost.ru/pics/7489.jpg</t>
  </si>
  <si>
    <t>http://1.c8804.nichost.ru/pics/7558.jpg</t>
  </si>
  <si>
    <t>http://1.c8804.nichost.ru/pics/7490.jpg</t>
  </si>
  <si>
    <t>Живая каша Vita</t>
  </si>
  <si>
    <t>Топинамбур, фруктоза, ароматизатор пищевой яблоко</t>
  </si>
  <si>
    <r>
      <t>Масло льняное "</t>
    </r>
    <r>
      <rPr>
        <b/>
        <sz val="10"/>
        <rFont val="Calibri"/>
        <family val="2"/>
        <scheme val="minor"/>
      </rPr>
      <t>Чесночное</t>
    </r>
    <r>
      <rPr>
        <sz val="10"/>
        <rFont val="Calibri"/>
        <family val="2"/>
        <scheme val="minor"/>
      </rPr>
      <t>" 200мл</t>
    </r>
  </si>
  <si>
    <r>
      <t>Масло капсулированное льняное "</t>
    </r>
    <r>
      <rPr>
        <b/>
        <sz val="10"/>
        <rFont val="Calibri"/>
        <family val="2"/>
        <scheme val="minor"/>
      </rPr>
      <t>Худейка</t>
    </r>
    <r>
      <rPr>
        <sz val="10"/>
        <rFont val="Calibri"/>
        <family val="2"/>
        <scheme val="minor"/>
      </rPr>
      <t>" 180капс. 54г</t>
    </r>
  </si>
  <si>
    <r>
      <t xml:space="preserve">Напиток </t>
    </r>
    <r>
      <rPr>
        <b/>
        <sz val="10"/>
        <color theme="1"/>
        <rFont val="Calibri"/>
        <family val="2"/>
        <charset val="204"/>
        <scheme val="minor"/>
      </rPr>
      <t>имбирный эль</t>
    </r>
    <r>
      <rPr>
        <sz val="10"/>
        <color theme="1"/>
        <rFont val="Calibri"/>
        <family val="2"/>
        <scheme val="minor"/>
      </rPr>
      <t xml:space="preserve"> "Ginger ale" среднегаз. с соком, ж/б 330мл</t>
    </r>
  </si>
  <si>
    <r>
      <t>Чай Зелёный "</t>
    </r>
    <r>
      <rPr>
        <b/>
        <sz val="10"/>
        <color theme="1"/>
        <rFont val="Calibri"/>
        <family val="2"/>
        <charset val="204"/>
        <scheme val="minor"/>
      </rPr>
      <t>Гранат</t>
    </r>
    <r>
      <rPr>
        <sz val="10"/>
        <color theme="1"/>
        <rFont val="Calibri"/>
        <family val="2"/>
        <scheme val="minor"/>
      </rPr>
      <t>" Cold Brew ж/б 330мл</t>
    </r>
  </si>
  <si>
    <t>http://1.c8804.nichost.ru/pics/20223.jpg</t>
  </si>
  <si>
    <t>http://1.c8804.nichost.ru/pics/20222.jpg</t>
  </si>
  <si>
    <t>Мёд натуральный: ива, лабазник, клевер горный, разоцветные и др</t>
  </si>
  <si>
    <t>Мёд натуральный: василёк луговой, подсолнечник, одуванчик и др</t>
  </si>
  <si>
    <t>+15…21</t>
  </si>
  <si>
    <t>+14…21</t>
  </si>
  <si>
    <t>+4…21</t>
  </si>
  <si>
    <t>+5…22</t>
  </si>
  <si>
    <t>+13…23</t>
  </si>
  <si>
    <t>+10…21</t>
  </si>
  <si>
    <t>Кедрокофе Вегетарианский шоу-бокс №10*25г</t>
  </si>
  <si>
    <t>минимальный квант 25шт</t>
  </si>
  <si>
    <t>мука рисовая грубого помола, мука кукурузная крупного помола, мука амарантовая, сахар, патока, вода питьевая, краситель - бета-каротин, экстракт растительный "Экстракт Апельсина"</t>
  </si>
  <si>
    <t>мука рисовая грубого помола, мука кукурузная крупного помола, мука амарантовая, сахар, патока, вода питьевая, краситель - бета-каротин, экстракт растительный "Экстракт земляники"</t>
  </si>
  <si>
    <t>мука рисовая грубого помола, мука кукурузная крупного помола, мука амарантовая, сахар, патока, вода питьевая, краситель - бета-каротин, какао-порошок</t>
  </si>
  <si>
    <t>мука рисовая, мука кукурузная, мука амарантовая, вода, какао-порошок, соль, топинамбур сушеный, начинка ванильная, сахар, рапсовое и подсолнечное масло, крахмал кукурузный, сыворотка сухая, молоко сухое, лецитин соевый, ароматизатор "ваниль"</t>
  </si>
  <si>
    <t>мука рисовая, мука кукурузная, мука амарантовая, вода, соль, топинамбур сушеный, начинка клубничная, сахар, рапсовое и подсолнечное масло, крахмал кукурузный, сыворотка сухая, молоко сухое, клубника сушеная, кармин, лецитин соевый, ароматизатор "ваниль", "клубника"</t>
  </si>
  <si>
    <t>мука рисовая, мука кукурузная, мука амарантовая, вода, соль, топинамбур сушеный, начинка ванильная, сахар-песок, масла растительные (рапсовое, подсолнечное), крахмал кукурузный, сыворотка сухая, молоко сухое, лецитин соевый, ваниль</t>
  </si>
  <si>
    <t>http://1.c8804.nichost.ru/pics/20237.jpg</t>
  </si>
  <si>
    <t>http://1.c8804.nichost.ru/pics/20236.jpg</t>
  </si>
  <si>
    <t>http://1.c8804.nichost.ru/pics/20235.jpg</t>
  </si>
  <si>
    <t>http://1.c8804.nichost.ru/pics/20233.jpg</t>
  </si>
  <si>
    <t>http://1.c8804.nichost.ru/pics/20232.jpg</t>
  </si>
  <si>
    <t>http://1.c8804.nichost.ru/pics/20234.jpg</t>
  </si>
  <si>
    <t>Мёд натуральный: гречиха, розовоцветные, крестоцветные, подсолнечник и др</t>
  </si>
  <si>
    <t>Мёд натуральный: липа, василёк русский, клевер, подсолнечник и др</t>
  </si>
  <si>
    <t>http://1.c8804.nichost.ru/pics/20229.jpg</t>
  </si>
  <si>
    <t>http://1.c8804.nichost.ru/pics/20228.jpg</t>
  </si>
  <si>
    <t>Цикорий натуральный растворимый chikoroff дой-пак 100г</t>
  </si>
  <si>
    <t>Сироп сосновый с ядром кедрового ореха 170г</t>
  </si>
  <si>
    <t>Мука ржаная цельносмолотая 500г</t>
  </si>
  <si>
    <t>мука ржаная</t>
  </si>
  <si>
    <r>
      <t xml:space="preserve">Смузи detox спорт </t>
    </r>
    <r>
      <rPr>
        <b/>
        <sz val="10"/>
        <rFont val="Calibri"/>
        <family val="2"/>
        <scheme val="minor"/>
      </rPr>
      <t>c малиной и чёрной смородиной</t>
    </r>
    <r>
      <rPr>
        <sz val="10"/>
        <rFont val="Calibri"/>
        <family val="2"/>
        <scheme val="minor"/>
      </rPr>
      <t xml:space="preserve"> 7*12г</t>
    </r>
  </si>
  <si>
    <t>новая упаковка</t>
  </si>
  <si>
    <t>Dr. Amaranth - новая линейка продукции, начинка содержит сахар</t>
  </si>
  <si>
    <r>
      <t xml:space="preserve">Масло капсулированное </t>
    </r>
    <r>
      <rPr>
        <b/>
        <sz val="10"/>
        <color theme="1"/>
        <rFont val="Calibri"/>
        <family val="2"/>
        <charset val="204"/>
        <scheme val="minor"/>
      </rPr>
      <t xml:space="preserve">льняное </t>
    </r>
    <r>
      <rPr>
        <sz val="10"/>
        <color theme="1"/>
        <rFont val="Calibri"/>
        <family val="2"/>
        <charset val="204"/>
        <scheme val="minor"/>
      </rPr>
      <t>250мг</t>
    </r>
    <r>
      <rPr>
        <sz val="10"/>
        <color theme="1"/>
        <rFont val="Calibri"/>
        <family val="2"/>
        <scheme val="minor"/>
      </rPr>
      <t xml:space="preserve"> №120</t>
    </r>
  </si>
  <si>
    <t>http://1.c8804.nichost.ru/pics/20248.jpg</t>
  </si>
  <si>
    <t>http://1.c8804.nichost.ru/pics/20247.jpg</t>
  </si>
  <si>
    <t>воздушная крупа полбы цельной, имбирь натуральный, шиповник сушеный, фруктоза, патока, масло подсолнечное рафинированное дезодорированное, эмульгатор лецитин соевый, соль морская</t>
  </si>
  <si>
    <t>воздушная крупа полбы цельной, какао-порошок натуральный, фруктоза, патока, масло подсолнечное рафинированное дезодорированное, эмульгатор лецитин соевый, соль морская</t>
  </si>
  <si>
    <t>Гречка пророщенная зеленая хрустящая "Eleo" 100г</t>
  </si>
  <si>
    <t>Зерна гречки пророщенные сушеные.</t>
  </si>
  <si>
    <t>http://1.c8804.nichost.ru/pics/20252.jpg</t>
  </si>
  <si>
    <t>Philosophia de Natura</t>
  </si>
  <si>
    <t>Только натуральные компоненты</t>
  </si>
  <si>
    <t>Большое кол-во фруктов и ягод</t>
  </si>
  <si>
    <t>Малое кол-во сахара</t>
  </si>
  <si>
    <t>Много витаминов и клетчатки</t>
  </si>
  <si>
    <t>Философия де Натура (Philosophia)</t>
  </si>
  <si>
    <t>Без сахарной обсыпки</t>
  </si>
  <si>
    <t>Витамин D3 2000МЕ 120капс 36г</t>
  </si>
  <si>
    <t>масло подсолнечное рафинированное дезодорированное, витамин D3 (холекальциферол), желатиновая масса (вода, желатин, влагоудерживающий агент (глицерин), консервант (метилпарабен))</t>
  </si>
  <si>
    <t>http://1.c8804.nichost.ru/pics/20265.jpg</t>
  </si>
  <si>
    <t xml:space="preserve">Альфа-липоевая кислота и глутатион 90капс </t>
  </si>
  <si>
    <t>L-глутатион, оболочка капсулы (желатин), альфалипоевая кислота, носитель (микрокристаллическая целлюлоза), агент антислёживающий (диоксид кремния аморфный), стабилизатор (магниевая соль стеариновой кислоты)</t>
  </si>
  <si>
    <t>http://1.c8804.nichost.ru/pics/20266.jpg</t>
  </si>
  <si>
    <r>
      <t>Хлебцы пшеничные+овёс из</t>
    </r>
    <r>
      <rPr>
        <b/>
        <sz val="10"/>
        <rFont val="Calibri"/>
        <family val="2"/>
        <scheme val="minor"/>
      </rPr>
      <t xml:space="preserve"> пророщенных зерен</t>
    </r>
    <r>
      <rPr>
        <sz val="10"/>
        <rFont val="Calibri"/>
        <family val="2"/>
        <scheme val="minor"/>
      </rPr>
      <t xml:space="preserve"> 120г</t>
    </r>
  </si>
  <si>
    <r>
      <t>Масло льняное "</t>
    </r>
    <r>
      <rPr>
        <b/>
        <sz val="10"/>
        <rFont val="Calibri"/>
        <family val="2"/>
        <scheme val="minor"/>
      </rPr>
      <t>Морковное</t>
    </r>
    <r>
      <rPr>
        <sz val="10"/>
        <rFont val="Calibri"/>
        <family val="2"/>
        <scheme val="minor"/>
      </rPr>
      <t>" 200мл</t>
    </r>
  </si>
  <si>
    <r>
      <t>Шампунь "</t>
    </r>
    <r>
      <rPr>
        <b/>
        <sz val="10"/>
        <color theme="1"/>
        <rFont val="Calibri"/>
        <family val="2"/>
        <scheme val="minor"/>
      </rPr>
      <t>Освежающий</t>
    </r>
    <r>
      <rPr>
        <sz val="10"/>
        <color theme="1"/>
        <rFont val="Calibri"/>
        <family val="2"/>
        <scheme val="minor"/>
      </rPr>
      <t xml:space="preserve">" для нормальных волос 250мл </t>
    </r>
  </si>
  <si>
    <r>
      <t xml:space="preserve">Кисель льняной с </t>
    </r>
    <r>
      <rPr>
        <b/>
        <sz val="10"/>
        <rFont val="Calibri"/>
        <family val="2"/>
        <scheme val="minor"/>
      </rPr>
      <t>клубникой</t>
    </r>
    <r>
      <rPr>
        <sz val="10"/>
        <rFont val="Calibri"/>
        <family val="2"/>
        <scheme val="minor"/>
      </rPr>
      <t xml:space="preserve"> 150г</t>
    </r>
  </si>
  <si>
    <r>
      <t xml:space="preserve">Кисель льняной </t>
    </r>
    <r>
      <rPr>
        <b/>
        <sz val="10"/>
        <rFont val="Calibri"/>
        <family val="2"/>
        <scheme val="minor"/>
      </rPr>
      <t>с облепихой</t>
    </r>
    <r>
      <rPr>
        <sz val="10"/>
        <rFont val="Calibri"/>
        <family val="2"/>
        <scheme val="minor"/>
      </rPr>
      <t xml:space="preserve"> 150г</t>
    </r>
  </si>
  <si>
    <r>
      <t xml:space="preserve">Кисель льняной </t>
    </r>
    <r>
      <rPr>
        <b/>
        <sz val="10"/>
        <rFont val="Calibri"/>
        <family val="2"/>
        <scheme val="minor"/>
      </rPr>
      <t>с черной смородиной</t>
    </r>
    <r>
      <rPr>
        <sz val="10"/>
        <rFont val="Calibri"/>
        <family val="2"/>
        <scheme val="minor"/>
      </rPr>
      <t xml:space="preserve"> 150г</t>
    </r>
  </si>
  <si>
    <r>
      <t xml:space="preserve">Кисель льняной </t>
    </r>
    <r>
      <rPr>
        <b/>
        <sz val="10"/>
        <rFont val="Calibri"/>
        <family val="2"/>
        <scheme val="minor"/>
      </rPr>
      <t>с яблоком и корицей</t>
    </r>
    <r>
      <rPr>
        <sz val="10"/>
        <rFont val="Calibri"/>
        <family val="2"/>
        <scheme val="minor"/>
      </rPr>
      <t xml:space="preserve"> 150г</t>
    </r>
  </si>
  <si>
    <t>Без</t>
  </si>
  <si>
    <t>Сахара</t>
  </si>
  <si>
    <t>сахар кокосовый</t>
  </si>
  <si>
    <t>°С</t>
  </si>
  <si>
    <t>Темп</t>
  </si>
  <si>
    <t>Философия де Натура</t>
  </si>
  <si>
    <t>Фило</t>
  </si>
  <si>
    <t>Кедрокофе Антиоксидантный шоу-бокс №10*25г</t>
  </si>
  <si>
    <t>Кедрокофе Тропический шоу-бокс №10*25г</t>
  </si>
  <si>
    <r>
      <t xml:space="preserve">Флайчипсы зерновые с </t>
    </r>
    <r>
      <rPr>
        <b/>
        <sz val="10"/>
        <rFont val="Calibri"/>
        <family val="2"/>
        <scheme val="minor"/>
      </rPr>
      <t>томатом острые</t>
    </r>
    <r>
      <rPr>
        <sz val="10"/>
        <rFont val="Calibri"/>
        <family val="2"/>
        <scheme val="minor"/>
      </rPr>
      <t xml:space="preserve"> 40г</t>
    </r>
  </si>
  <si>
    <t>Злаково-фруктовая основа, изомальтоолигосахарид, шоколад молочный без сахара</t>
  </si>
  <si>
    <t>http://1.c8804.nichost.ru/pics/20284.jpg</t>
  </si>
  <si>
    <t>http://1.c8804.nichost.ru/pics/20285.jpg</t>
  </si>
  <si>
    <t>http://1.c8804.nichost.ru/pics/20286.jpg</t>
  </si>
  <si>
    <t>http://1.c8804.nichost.ru/pics/20287.jpg</t>
  </si>
  <si>
    <t>Детская Линейка Bitey</t>
  </si>
  <si>
    <t>Печенье Bite</t>
  </si>
  <si>
    <t>Растительное молоко Bite</t>
  </si>
  <si>
    <t>Крекеры и хлебцы Bite</t>
  </si>
  <si>
    <t>Батончики и вафли Bite</t>
  </si>
  <si>
    <t>Вода, соевые бобы (13,5%), соль морская пищевая.</t>
  </si>
  <si>
    <t>Вода, рис длиннозерный, фундук, масло подсолнечное высокоолеиновое холодного отжима, витаминно-минеральный премик, натуральный ароматизатор, соль морская, стабилизатор: каррагинан из водорослей</t>
  </si>
  <si>
    <t>Вода, рис длиннозерный, кешью, масло подсолнечное высокоолеиновое холодного отжима, витаминно-минеральный премикс, натуральный ароматизатор, соль морская, стабилизатор: каррагинан из водорослей, паста макадамии</t>
  </si>
  <si>
    <t>http://1.c8804.nichost.ru/pics/20121.jpg</t>
  </si>
  <si>
    <t>http://1.c8804.nichost.ru/pics/20119.jpg</t>
  </si>
  <si>
    <t>http://1.c8804.nichost.ru/pics/20268.jpg</t>
  </si>
  <si>
    <t>Живица (смола), растительные экстракты имбиря, эхинацеи, левзеи, облепихи</t>
  </si>
  <si>
    <t>Живица (смола), растительные экстракты зверобоя, мелиссы, мяты, пиона</t>
  </si>
  <si>
    <t>http://1.c8804.nichost.ru/pics/20290.jpg</t>
  </si>
  <si>
    <t>http://1.c8804.nichost.ru/pics/20291.jpg</t>
  </si>
  <si>
    <t>финик, арахис обжаренный, какао масло</t>
  </si>
  <si>
    <t>http://1.c8804.nichost.ru/pics/12293.jpg</t>
  </si>
  <si>
    <t>http://1.c8804.nichost.ru/pics/17202.jpg</t>
  </si>
  <si>
    <t>http://1.c8804.nichost.ru/pics/17200.jpg</t>
  </si>
  <si>
    <t>http://1.c8804.nichost.ru/pics/17201.jpg</t>
  </si>
  <si>
    <t>абрикос сушеный (абрикос сушеный, антиокислитель диоксид серы), яблоко сушеное, брусника свежемороженая, изюм, яблочное пюре натуральное, апельсиновый концентрат, стабилизатор гуммиарабик, эфирное масло апельсина</t>
  </si>
  <si>
    <t>http://1.c8804.nichost.ru/pics/13261.jpg</t>
  </si>
  <si>
    <t>абрикос сушеный (абрикос сушеный, антиокислитель диоксид серы), яблоко сушеное, малина свежемороженая, изюм, яблочное пюре натуральное, клюква свежемороженая, фруктоза, стабилизатор гуммиарабик</t>
  </si>
  <si>
    <t>http://1.c8804.nichost.ru/pics/10766.jpg</t>
  </si>
  <si>
    <t>абрикос сушеный (абрикос сушеный, антиокислитель диоксид серы), яблочное пюре натуральное, яблоко сушеное, сок облепихи свежемороженой, фруктоза, стабилизатор гуммиарабик</t>
  </si>
  <si>
    <t>http://1.c8804.nichost.ru/pics/10768.jpg</t>
  </si>
  <si>
    <t>чернослив, яблочное пюре натуральное, изюм, яблоко сушеное, стабилизатор гуммиарабик, консервант сорбат калия</t>
  </si>
  <si>
    <t>http://1.c8804.nichost.ru/pics/10769.jpg</t>
  </si>
  <si>
    <t>http://1.c8804.nichost.ru/pics/10772.jpg</t>
  </si>
  <si>
    <t>http://1.c8804.nichost.ru/pics/10770.jpg</t>
  </si>
  <si>
    <t>http://1.c8804.nichost.ru/pics/19075.jpg</t>
  </si>
  <si>
    <t>http://1.c8804.nichost.ru/pics/19076.jpg</t>
  </si>
  <si>
    <r>
      <t xml:space="preserve">Батончик "Фрутилад" финиковый Finix </t>
    </r>
    <r>
      <rPr>
        <b/>
        <sz val="10"/>
        <color theme="1"/>
        <rFont val="Calibri"/>
        <family val="2"/>
        <charset val="204"/>
        <scheme val="minor"/>
      </rPr>
      <t>апельсин с арахисом</t>
    </r>
    <r>
      <rPr>
        <sz val="10"/>
        <color theme="1"/>
        <rFont val="Calibri"/>
        <family val="2"/>
        <scheme val="minor"/>
      </rPr>
      <t xml:space="preserve"> 30г</t>
    </r>
  </si>
  <si>
    <r>
      <t xml:space="preserve">Батончик "Фрутилад" </t>
    </r>
    <r>
      <rPr>
        <sz val="10"/>
        <color theme="1"/>
        <rFont val="Calibri"/>
        <family val="2"/>
        <charset val="204"/>
        <scheme val="minor"/>
      </rPr>
      <t xml:space="preserve">финиковый Finix </t>
    </r>
    <r>
      <rPr>
        <b/>
        <sz val="10"/>
        <color theme="1"/>
        <rFont val="Calibri"/>
        <family val="2"/>
        <charset val="204"/>
        <scheme val="minor"/>
      </rPr>
      <t>грейпфрут и семена чиа</t>
    </r>
    <r>
      <rPr>
        <sz val="10"/>
        <color theme="1"/>
        <rFont val="Calibri"/>
        <family val="2"/>
        <scheme val="minor"/>
      </rPr>
      <t xml:space="preserve"> 30г</t>
    </r>
  </si>
  <si>
    <r>
      <t xml:space="preserve">Батончик "Фрутилад" финиковый Finix </t>
    </r>
    <r>
      <rPr>
        <b/>
        <sz val="10"/>
        <color theme="1"/>
        <rFont val="Calibri"/>
        <family val="2"/>
        <charset val="204"/>
        <scheme val="minor"/>
      </rPr>
      <t>кокос и мята</t>
    </r>
    <r>
      <rPr>
        <sz val="10"/>
        <color theme="1"/>
        <rFont val="Calibri"/>
        <family val="2"/>
        <scheme val="minor"/>
      </rPr>
      <t xml:space="preserve"> 30г</t>
    </r>
  </si>
  <si>
    <t>финик, арахис, яблочное пюре сгущенное, яблоко сушеное, апельсиновый концентрат, какао — масло, эфирное масло апельсина</t>
  </si>
  <si>
    <t>финик, кокосовая стружка, яблочное пюре сгущенное, экстракт мяты перечной, дигидрокверцетин (антиокислитель)</t>
  </si>
  <si>
    <t>финик, яблочное пюре сгущенное, концентрированный сок грейпфрута, яблоко сушеное, семена чиа, какао-масло, эфирное масло грейпфрута</t>
  </si>
  <si>
    <t>http://1.c8804.nichost.ru/pics/18292.jpg</t>
  </si>
  <si>
    <t>http://1.c8804.nichost.ru/pics/18810.jpg</t>
  </si>
  <si>
    <t>http://1.c8804.nichost.ru/pics/18293.jpg</t>
  </si>
  <si>
    <t>финик, арахис обжаренный, смесь растительных белков (соевый белок, гороховый белок), концентрированный яблочный сок, какао-порошок, какао-масло</t>
  </si>
  <si>
    <t>финик, арахис обжаренный, яблоко сушеное, смесь растительных белков (соевый белок, гороховый белок), концентрированный яблочный сок, какао-масло, корица молотая</t>
  </si>
  <si>
    <t>банановое пюре сгущенное, миндаль, финик, смесь растительных белков (соевый белок, гороховый белок), концентрированный яблочный сок, инулин, какао-масло</t>
  </si>
  <si>
    <t>http://1.c8804.nichost.ru/pics/20281.jpg</t>
  </si>
  <si>
    <t>http://1.c8804.nichost.ru/pics/20282.jpg</t>
  </si>
  <si>
    <t>http://1.c8804.nichost.ru/pics/20280.jpg</t>
  </si>
  <si>
    <r>
      <t>Смесь ореховая "</t>
    </r>
    <r>
      <rPr>
        <b/>
        <sz val="10"/>
        <rFont val="Calibri"/>
        <family val="2"/>
        <scheme val="minor"/>
      </rPr>
      <t>Трио</t>
    </r>
    <r>
      <rPr>
        <sz val="10"/>
        <rFont val="Calibri"/>
        <family val="2"/>
        <scheme val="minor"/>
      </rPr>
      <t>" (фундук, кешью, миндаля) 45г</t>
    </r>
  </si>
  <si>
    <t>миндаль сушеный, кешью сушеный, ядро фундука сушеное</t>
  </si>
  <si>
    <t>арахис (арахис очищенный обжаренный, фруктоза, гуммиарабик), цукаты клюквы (клюква, сахар, регулятор кислотности лимонная кислота, подсолнечное масло)</t>
  </si>
  <si>
    <t>цукаты вишни (вишня, сахар, регулятор кислотности лимонная кислота, краситель Е120), кешью сушеный</t>
  </si>
  <si>
    <t>миндаль сушеный, изюм, цукаты ананаса (ананас, сахар), кешью сушеный</t>
  </si>
  <si>
    <t>http://1.c8804.nichost.ru/pics/10791.jpg</t>
  </si>
  <si>
    <t>http://1.c8804.nichost.ru/pics/16803.jpg</t>
  </si>
  <si>
    <t>http://1.c8804.nichost.ru/pics/13621.jpg</t>
  </si>
  <si>
    <t>http://1.c8804.nichost.ru/pics/10764.jpg</t>
  </si>
  <si>
    <t>хлопья из пророщенных зерен пшеницы, яблочный сок, хлопья из прощенных зерен ржи, хлопья гречневые, хлопья ячменные, семена тыквы, семена льна</t>
  </si>
  <si>
    <t>http://1.c8804.nichost.ru/pics/16210.jpg</t>
  </si>
  <si>
    <t>http://1.c8804.nichost.ru/pics/15542.jpg</t>
  </si>
  <si>
    <t>http://1.c8804.nichost.ru/pics/14442.jpg</t>
  </si>
  <si>
    <t>http://1.c8804.nichost.ru/pics/14441.jpg</t>
  </si>
  <si>
    <t>Кедрокофе Латте decaf 150г</t>
  </si>
  <si>
    <t>Кедрокофе Латте 150г</t>
  </si>
  <si>
    <t>заменитель сливок на растительной основе, жмых кедровый обезжиренный, кофе натуральный жареный молотый декофеинизированный, экстракт растительный сухой сосны (скорлупы ореха), витамин В3, витамин В9, стевиозид</t>
  </si>
  <si>
    <t>заменитель сливок на растительной основе, жмых кедровый обезжиренный, пищевое волокно камедь акации Фибрегам В, порошок овсяный ферментированный, чаги гриба экстракт, витамин В3, витамин В9, стевиозид</t>
  </si>
  <si>
    <t>http://1.c8804.nichost.ru/pics/20269.jpg</t>
  </si>
  <si>
    <t>http://1.c8804.nichost.ru/pics/20270.jpg</t>
  </si>
  <si>
    <t>кедровый орех дробленый, заменитель сливок (кукурузная патока, кокосовое масло, молочный белок), экстракт корня цикория (натуральный)</t>
  </si>
  <si>
    <t>http://1.c8804.nichost.ru/pics/20035.jpg</t>
  </si>
  <si>
    <t xml:space="preserve">Кедрокофе Цикорий, крепкий Apic 250г </t>
  </si>
  <si>
    <t>http://1.c8804.nichost.ru/pics/20221.jpg</t>
  </si>
  <si>
    <t>http://1.c8804.nichost.ru/pics/19705.jpg</t>
  </si>
  <si>
    <t>http://1.c8804.nichost.ru/pics/20046.jpg</t>
  </si>
  <si>
    <t>http://1.c8804.nichost.ru/pics/20271.jpg</t>
  </si>
  <si>
    <t>http://1.c8804.nichost.ru/pics/18469.jpg</t>
  </si>
  <si>
    <t>http://1.c8804.nichost.ru/pics/17035.jpg</t>
  </si>
  <si>
    <t>http://1.c8804.nichost.ru/pics/16838.jpg</t>
  </si>
  <si>
    <t>http://1.c8804.nichost.ru/pics/17007.jpg</t>
  </si>
  <si>
    <t>http://1.c8804.nichost.ru/pics/13484.jpg</t>
  </si>
  <si>
    <t>http://1.c8804.nichost.ru/pics/12201.jpg</t>
  </si>
  <si>
    <t>http://1.c8804.nichost.ru/pics/20278.jpg</t>
  </si>
  <si>
    <t>Вода питьевая (83,7%), орех макадамия (11%), семена подсолнечника (5%), кальций (0,3%), микс витаминов и минералов (0,013%)</t>
  </si>
  <si>
    <t>http://1.c8804.nichost.ru/pics/20147.jpg</t>
  </si>
  <si>
    <t>вода, сахар, патока, шишка сосновая, ядро кедрового ореха, кислота лимонная (регулятор кислотности)</t>
  </si>
  <si>
    <t>http://1.c8804.nichost.ru/pics/14436.jpg</t>
  </si>
  <si>
    <t>http://1.c8804.nichost.ru/pics/16714.jpg</t>
  </si>
  <si>
    <t>http://1.c8804.nichost.ru/pics/16715.jpg</t>
  </si>
  <si>
    <t>http://1.c8804.nichost.ru/pics/12511.jpg</t>
  </si>
  <si>
    <t>http://1.c8804.nichost.ru/pics/12551.jpg</t>
  </si>
  <si>
    <t>http://1.c8804.nichost.ru/pics/12578.jpg</t>
  </si>
  <si>
    <t>http://1.c8804.nichost.ru/pics/12455.jpg</t>
  </si>
  <si>
    <t>http://1.c8804.nichost.ru/pics/12588.jpg</t>
  </si>
  <si>
    <t>http://1.c8804.nichost.ru/pics/12552.jpg</t>
  </si>
  <si>
    <t>http://1.c8804.nichost.ru/pics/12627.jpg</t>
  </si>
  <si>
    <t>http://1.c8804.nichost.ru/pics/12628.jpg</t>
  </si>
  <si>
    <t>http://1.c8804.nichost.ru/pics/13774.jpg</t>
  </si>
  <si>
    <t>http://1.c8804.nichost.ru/pics/12456.jpg</t>
  </si>
  <si>
    <t>http://1.c8804.nichost.ru/pics/12457.jpg</t>
  </si>
  <si>
    <t>http://1.c8804.nichost.ru/pics/15036.jpg</t>
  </si>
  <si>
    <t>http://1.c8804.nichost.ru/pics/12458.jpg</t>
  </si>
  <si>
    <t>http://1.c8804.nichost.ru/pics/12550.jpg</t>
  </si>
  <si>
    <t>http://1.c8804.nichost.ru/pics/13385.jpg</t>
  </si>
  <si>
    <t>http://1.c8804.nichost.ru/pics/12509.jpg</t>
  </si>
  <si>
    <t>http://1.c8804.nichost.ru/pics/12510.jpg</t>
  </si>
  <si>
    <t>http://1.c8804.nichost.ru/pics/13065.jpg</t>
  </si>
  <si>
    <t>http://1.c8804.nichost.ru/pics/13066.jpg</t>
  </si>
  <si>
    <t>Семена кунжута измельченные, частично обезжиренные</t>
  </si>
  <si>
    <t>Семена черного тмина измельченные, частично обезжиренные</t>
  </si>
  <si>
    <t>Семена тыквы измельченные, частично обезжиренные.</t>
  </si>
  <si>
    <t>Семена расторопши измельченные, частично обезжиренные</t>
  </si>
  <si>
    <t>Семена амаранта измельченные, частично обезжиренные</t>
  </si>
  <si>
    <t>Семена льна измельченные, частично обезжиренные.</t>
  </si>
  <si>
    <t>http://1.c8804.nichost.ru/pics/18631.jpg</t>
  </si>
  <si>
    <t>http://1.c8804.nichost.ru/pics/18632.jpg</t>
  </si>
  <si>
    <t>http://1.c8804.nichost.ru/pics/18633.jpg</t>
  </si>
  <si>
    <t>http://1.c8804.nichost.ru/pics/18618.jpg</t>
  </si>
  <si>
    <t>http://1.c8804.nichost.ru/pics/18634.jpg</t>
  </si>
  <si>
    <t>http://1.c8804.nichost.ru/pics/18630.jpg</t>
  </si>
  <si>
    <t>http://1.c8804.nichost.ru/pics/19849.jpg</t>
  </si>
  <si>
    <t>http://1.c8804.nichost.ru/pics/19848.jpg</t>
  </si>
  <si>
    <t>http://1.c8804.nichost.ru/pics/19847.jpg</t>
  </si>
  <si>
    <t>Воздушное зерно полбы, шоколад молочный без сахара. Содержит подсластители.</t>
  </si>
  <si>
    <t>Воздушное зерно полбы,шоколад горький без сахара. Содержит подсластители</t>
  </si>
  <si>
    <t>Абрикос сушеный, шоколад молочный без сахара, мука полбы цельнозерновая, патока крахмальная, масло соевое рафинированное дезодорированное, лецитин соевый, растительные пшеничные волокна, сода пищевая, соль морская</t>
  </si>
  <si>
    <t>Абрикос сушеный, Шоколад горький без сахара, мука полбы цельнозерновая, патока крахмальная, масло соевое рафинированное дезодорированное, лецитин соевый, растительные пшеничные волокна, сода пищевая, соль морская</t>
  </si>
  <si>
    <t>Шоколад молочный без сахара, мука полбы цельнозерновая, кокосовое масло, мальтитол, какао- порошок, растительные пшеничные волокна, масло соевое, лецитин соевый, сода пищевая, соль морская, подсластитель экстракт стевии Ребаудиозид А</t>
  </si>
  <si>
    <t>Шоколад молочный без сахара, мука полбы цельнозерновая, кокосовое масло, мальтитол, экстракт кофе, масло соевое рафинированное дезодорированное, соевый лецитин, растительные пшеничные волокна, сода пищевая, соль морская, подсластитель экстракт стевии Ребаудиозид А</t>
  </si>
  <si>
    <t>Шоколад молочный без сахара, мука полбы цельнозерновая, кокосовое масло, мальтитол, экстракт кофе, масло соевое, соевый лецитин, растительные пшеничные волокна, сода пищевая, соль морская, подсластитель экстракт стевии Ребаудиозид А</t>
  </si>
  <si>
    <t>http://1.c8804.nichost.ru/pics/19609.jpg</t>
  </si>
  <si>
    <t>http://1.c8804.nichost.ru/pics/19610.jpg</t>
  </si>
  <si>
    <t>http://1.c8804.nichost.ru/pics/19612.jpg</t>
  </si>
  <si>
    <t>Финиковая паста, шоколад молочный без сахара, мука полбы цельнозерновая, патока крахмальная, натуральный апельсиновый сок концентрированный, масло соевое рафинированное дезодорированное, лецитин соевый, растительные пшеничные волокна, натуральное апельсиновое масло, сода пищевая, соль морская</t>
  </si>
  <si>
    <t>Шоколад горький без сахара, мука полбы, мальтитол, кокосовое масло , арахис обжаренный, ядра фундука обжаренные, растительные пшеничные волокна, масло соевое, лецитин соевый, сода пищевая, соль морская, подсластитель экстракт стевии Ребаудиозид А</t>
  </si>
  <si>
    <t>Шоколад горький без сахара, мука полбы цельнозерновая, кокосовое масло, мальтитол, , какао- порошок, растительные пшеничные волокна, масло соевое, лецитин соевый, сода пищевая, соль морская, подсластитель экстракт стевии Ребаудиозид А</t>
  </si>
  <si>
    <t>цикорий растворимый, топлёное масло ГХИ</t>
  </si>
  <si>
    <t>напиток злаковый ячменный, топлёное масло ГХИ</t>
  </si>
  <si>
    <t>какао- порошок, подсластитель мальтит, топлёное масло ГХИ. Содержит подсластитель</t>
  </si>
  <si>
    <t>Горох, морковь, корень сельдерея, молоко цельное сухое, перец черный молотый, горчица цельная, асафетида, имбирь молотый, кумин цельный, паприка копченая молотая, смесь карри, кориандр, кинза</t>
  </si>
  <si>
    <t>http://1.c8804.nichost.ru/pics/19121.jpg</t>
  </si>
  <si>
    <t>Чечевица красная, рис средний, томаты сушеные, морковь сушеная, перец черный молотый, перец красный острый молотый, асафетида, кумин цельный, паприка копченая молотая, кориандр, базилик, тимьян</t>
  </si>
  <si>
    <t>http://1.c8804.nichost.ru/pics/19124.jpg</t>
  </si>
  <si>
    <t>Чечевица красная, киноа, рис длиннозёрный, крупа кукурузная, томаты сушёные, корень сельдерея, морковь сушёная, перец чёрный молотый, перец красный острый молотый, перец чили кусочками, асафетида, кумин цельный, паприка копчёная молотая, кориандр, кинза, орегано</t>
  </si>
  <si>
    <t>http://1.c8804.nichost.ru/pics/19122.jpg</t>
  </si>
  <si>
    <t>Чечевица красная, молоко кокосовое сухое, томаты сушёные, морковь сушёная, молоко сухое цельное, кокосовая стружка, перец чили дроблёный, асафетида, кумин цельный, имбирь молотый, смесь карри, базилик, лимонграсс, перец красный острый молотый</t>
  </si>
  <si>
    <t>http://1.c8804.nichost.ru/pics/18686.jpg</t>
  </si>
  <si>
    <t>Хлопья картофельные, морковь сушёная, грибы белые молотые, молоко сухое цельное, перец чёрный молотый, асафетида, кориандр, укроп</t>
  </si>
  <si>
    <t>http://1.c8804.nichost.ru/pics/19123.jpg</t>
  </si>
  <si>
    <t>Булгур, чечевица зеленая, морковь сушеная, паприка сушеная, перец черный молотый, асафетида, кумин цельный, кориандр, кинза.</t>
  </si>
  <si>
    <t>http://1.c8804.nichost.ru/pics/19125.jpg</t>
  </si>
  <si>
    <t>Кус кус, баклажан сушеный, паприка сушеная, морковь сушеная, перец черный молотый, асафетида, пажитник молотый, базилик, чабер, тимьян, розмарин, майоран</t>
  </si>
  <si>
    <t>Крупа из твердых сортов пшеницы</t>
  </si>
  <si>
    <t>Макароны птитим, морковь сушёная, паприка сушёная, баклажан сушёный, томаты сушёные, перец чёрный молотый, асафетида, базилик, тимьян, орегано, розмарин</t>
  </si>
  <si>
    <t>http://1.c8804.nichost.ru/pics/19128.jpg</t>
  </si>
  <si>
    <t>http://1.c8804.nichost.ru/pics/19126.jpg</t>
  </si>
  <si>
    <t>http://1.c8804.nichost.ru/pics/19127.jpg</t>
  </si>
  <si>
    <t>Паста из твердых сортов пшеницы</t>
  </si>
  <si>
    <t>http://1.c8804.nichost.ru/pics/19129.jpg</t>
  </si>
  <si>
    <t>Рис бурый резаный, морковь сушеная , паприка красная, лук сушеный зеленый, чеснок молотый</t>
  </si>
  <si>
    <t>Полба резаная, киноа, морковь сушеная, лук зеленый сушеный</t>
  </si>
  <si>
    <t>Чечевица зеленая, полба целая , морковь сушеная, паприка красная сладкая сушеная</t>
  </si>
  <si>
    <t>крупа гречневая ядрица в/c , семена льна темного, семена тыквы, паприка красная сушеная, лук зеленый сушеный, чеснок сушеный</t>
  </si>
  <si>
    <t>http://1.c8804.nichost.ru/pics/19564.jpg</t>
  </si>
  <si>
    <t>http://1.c8804.nichost.ru/pics/19565.jpg</t>
  </si>
  <si>
    <t>http://1.c8804.nichost.ru/pics/19567.jpg</t>
  </si>
  <si>
    <t>http://1.c8804.nichost.ru/pics/19566.jpg</t>
  </si>
  <si>
    <r>
      <t xml:space="preserve">Отруби амарантовые с </t>
    </r>
    <r>
      <rPr>
        <b/>
        <sz val="10"/>
        <rFont val="Calibri"/>
        <family val="2"/>
        <scheme val="minor"/>
      </rPr>
      <t>гречей</t>
    </r>
    <r>
      <rPr>
        <sz val="10"/>
        <rFont val="Calibri"/>
        <family val="2"/>
        <scheme val="minor"/>
      </rPr>
      <t xml:space="preserve"> 250г</t>
    </r>
  </si>
  <si>
    <r>
      <t>Масло льняное "</t>
    </r>
    <r>
      <rPr>
        <b/>
        <sz val="10"/>
        <rFont val="Calibri"/>
        <family val="2"/>
        <scheme val="minor"/>
      </rPr>
      <t>Облепиховое</t>
    </r>
    <r>
      <rPr>
        <sz val="10"/>
        <rFont val="Calibri"/>
        <family val="2"/>
        <scheme val="minor"/>
      </rPr>
      <t>" 200мл</t>
    </r>
  </si>
  <si>
    <r>
      <t>Макароны пшеничные "</t>
    </r>
    <r>
      <rPr>
        <b/>
        <sz val="10"/>
        <rFont val="Calibri"/>
        <family val="2"/>
        <scheme val="minor"/>
      </rPr>
      <t>Ракушки</t>
    </r>
    <r>
      <rPr>
        <sz val="10"/>
        <rFont val="Calibri"/>
        <family val="2"/>
        <scheme val="minor"/>
      </rPr>
      <t>" ц/з цветные с ламинарией 300г</t>
    </r>
  </si>
  <si>
    <t>Сибиреко</t>
  </si>
  <si>
    <t>Сокровища Сезама</t>
  </si>
  <si>
    <t>Изомальто</t>
  </si>
  <si>
    <t>Кик (Kick) батончики</t>
  </si>
  <si>
    <r>
      <t xml:space="preserve">Пастила "Pastilla" медовая </t>
    </r>
    <r>
      <rPr>
        <b/>
        <sz val="10"/>
        <rFont val="Calibri"/>
        <family val="2"/>
        <scheme val="minor"/>
      </rPr>
      <t>таежные ягоды</t>
    </r>
    <r>
      <rPr>
        <sz val="10"/>
        <rFont val="Calibri"/>
        <family val="2"/>
        <scheme val="minor"/>
      </rPr>
      <t xml:space="preserve"> 190г</t>
    </r>
  </si>
  <si>
    <t>вода, яблочный сок, сок черной смородины, семена чиа, сок лайма, регулятор кислотности – лимонная кислота</t>
  </si>
  <si>
    <t>http://1.c8804.nichost.ru/pics/19902.jpg</t>
  </si>
  <si>
    <t>http://1.c8804.nichost.ru/pics/20306.jpg</t>
  </si>
  <si>
    <t>http://1.c8804.nichost.ru/pics/20307.jpg</t>
  </si>
  <si>
    <t>Миндаль, манго сушеное,  мед, сахар, вафля тонкая (крахмал картофельный, подсолнечное масло), яичный белок  молочный шоколад</t>
  </si>
  <si>
    <t>Миндаль, фундук,  мед, сахар, вафля тонкая (крахмал картофельный, подсолнечное масло), яичный белок молочный шоколад</t>
  </si>
  <si>
    <t>артишоки маринованные, перец маринованный, оливки халкидики, масло подсолнечное, пряности сушеные, сахар, молочная кислота, масло семян чиа</t>
  </si>
  <si>
    <t>перец запеченный маринованный, перец маринованный, пюре манго, пряности сушеные, масло чиа</t>
  </si>
  <si>
    <t>томаты вяленые, масло подсолнечное, пряности сушеные, белый винный уксус, масло чиа</t>
  </si>
  <si>
    <r>
      <t xml:space="preserve">Джем </t>
    </r>
    <r>
      <rPr>
        <b/>
        <sz val="10"/>
        <rFont val="Calibri"/>
        <family val="2"/>
        <scheme val="minor"/>
      </rPr>
      <t>Брусника</t>
    </r>
    <r>
      <rPr>
        <sz val="10"/>
        <rFont val="Calibri"/>
        <family val="2"/>
        <scheme val="minor"/>
      </rPr>
      <t xml:space="preserve"> классический 220г</t>
    </r>
  </si>
  <si>
    <r>
      <t xml:space="preserve">Джем </t>
    </r>
    <r>
      <rPr>
        <b/>
        <sz val="10"/>
        <rFont val="Calibri"/>
        <family val="2"/>
        <scheme val="minor"/>
      </rPr>
      <t>Клубника</t>
    </r>
    <r>
      <rPr>
        <sz val="10"/>
        <rFont val="Calibri"/>
        <family val="2"/>
        <scheme val="minor"/>
      </rPr>
      <t xml:space="preserve"> классический 220г</t>
    </r>
  </si>
  <si>
    <r>
      <t xml:space="preserve">Джем </t>
    </r>
    <r>
      <rPr>
        <b/>
        <sz val="10"/>
        <rFont val="Calibri"/>
        <family val="2"/>
        <scheme val="minor"/>
      </rPr>
      <t>Клюква-черника</t>
    </r>
    <r>
      <rPr>
        <sz val="10"/>
        <rFont val="Calibri"/>
        <family val="2"/>
        <scheme val="minor"/>
      </rPr>
      <t xml:space="preserve"> классический 220г</t>
    </r>
  </si>
  <si>
    <r>
      <t xml:space="preserve">Джем </t>
    </r>
    <r>
      <rPr>
        <b/>
        <sz val="10"/>
        <rFont val="Calibri"/>
        <family val="2"/>
        <scheme val="minor"/>
      </rPr>
      <t>Черника</t>
    </r>
    <r>
      <rPr>
        <sz val="10"/>
        <rFont val="Calibri"/>
        <family val="2"/>
        <scheme val="minor"/>
      </rPr>
      <t xml:space="preserve"> классический 220г</t>
    </r>
  </si>
  <si>
    <t>оливики каламата без косточки солёные, перец маринованный, масло подсолнечное, томаты вяленые, пряности сушеные, красные винные уксус, масло чиа, сахар</t>
  </si>
  <si>
    <t>перец маринованный, томаты вяленые, оливки Халкидики, масло подсолнечное, пряности сушеные, масло чиа, сахар</t>
  </si>
  <si>
    <t>оливки Халкидики, перец маринованный, пюре манго, масло подсолнечное, бутоны каперсов, пряности сушеные, масло чиа, молочная кислота, сахар</t>
  </si>
  <si>
    <t>http://1.c8804.nichost.ru/pics/20299.jpg</t>
  </si>
  <si>
    <t>http://1.c8804.nichost.ru/pics/20302.jpg</t>
  </si>
  <si>
    <t>http://1.c8804.nichost.ru/pics/20303.jpg</t>
  </si>
  <si>
    <t>http://1.c8804.nichost.ru/pics/20300.jpg</t>
  </si>
  <si>
    <t>http://1.c8804.nichost.ru/pics/20301.jpg</t>
  </si>
  <si>
    <t>http://1.c8804.nichost.ru/pics/20298.jpg</t>
  </si>
  <si>
    <r>
      <t xml:space="preserve">Соус </t>
    </r>
    <r>
      <rPr>
        <b/>
        <sz val="10"/>
        <rFont val="Calibri"/>
        <family val="2"/>
        <scheme val="minor"/>
      </rPr>
      <t>Терияки</t>
    </r>
    <r>
      <rPr>
        <sz val="10"/>
        <rFont val="Calibri"/>
        <family val="2"/>
        <scheme val="minor"/>
      </rPr>
      <t xml:space="preserve"> низкокалорийный 330г</t>
    </r>
  </si>
  <si>
    <r>
      <t xml:space="preserve">Соус </t>
    </r>
    <r>
      <rPr>
        <b/>
        <sz val="10"/>
        <rFont val="Calibri"/>
        <family val="2"/>
        <scheme val="minor"/>
      </rPr>
      <t>Тысяча островов</t>
    </r>
    <r>
      <rPr>
        <sz val="10"/>
        <rFont val="Calibri"/>
        <family val="2"/>
        <scheme val="minor"/>
      </rPr>
      <t xml:space="preserve"> низкокалорийный 330г</t>
    </r>
  </si>
  <si>
    <r>
      <t xml:space="preserve">Соус </t>
    </r>
    <r>
      <rPr>
        <b/>
        <sz val="10"/>
        <rFont val="Calibri"/>
        <family val="2"/>
        <scheme val="minor"/>
      </rPr>
      <t>Чили</t>
    </r>
    <r>
      <rPr>
        <sz val="10"/>
        <rFont val="Calibri"/>
        <family val="2"/>
        <scheme val="minor"/>
      </rPr>
      <t xml:space="preserve"> низкокалорийный 330г</t>
    </r>
  </si>
  <si>
    <t>Вода, масло соевое, груша заморозка, горчица дижонская, загустители, уксус яблочный, мед, имбирь свежий, ароматизаторы, горчица зернистая, лук репчатый, желток яичный сухой, уксусная кислота, соль, подсластитель эритритол, экстракт монах фрукта, бадьян, краситель бета-каротин, консервант сорбиновая кислота, экстракт дрожжей, экстракт чеснока, экстракт черного перца</t>
  </si>
  <si>
    <t>http://1.c8804.nichost.ru/pics/20304.jpg</t>
  </si>
  <si>
    <t>Вода, масло соевое, загустители, соль, соус соевый, шампиньоны сухие, ароматизаторы, горчица дижонская, лук репчатый, желток яичный сухой, уксусная кислота, подсластитель эритритол, экстракт монах фрукта, смесь специй, консервант сорбиновая кислота, экстракт дрожжей, экстракт чеснока, экстракт черного перца</t>
  </si>
  <si>
    <t>Вода, масло соевое, загустители, кунжут семя, соус соевый, масло кунжутное, уксус рисовый, соль, ароматизаторы, шампиньоны сухие, горчица дижонская, лук репчатый, желток яичный сухой, уксусная кислота, подсластитель эритритол, экстракт монах фрукта, смесь специй, консервант сорбиновая кислота, экстракт дрожжей, экстракт чеснока, экстракт черного перца</t>
  </si>
  <si>
    <t>http://1.c8804.nichost.ru/pics/20305.jpg</t>
  </si>
  <si>
    <t>Вода, масло соевое, манго замороженный, загустители, уксус яблочный, ароматизаторы, горчица дижонская, лук репчатый, желток яичный сухой, уксусная кислота, соль, подсластитель эритритол, экстракт монах фрукта, краситель бета-каротин, смесь специй карри, имбирь свежий, чили перец, консервант сорбиновая кислота, экстракт дрожжей, экстракт чеснока, экстракт черного перца</t>
  </si>
  <si>
    <t>http://1.c8804.nichost.ru/pics/20308.jpg</t>
  </si>
  <si>
    <t>http://1.c8804.nichost.ru/pics/20080.jpg</t>
  </si>
  <si>
    <t>гороховая мука и фильтрованная вода</t>
  </si>
  <si>
    <t>нутовая мука и фильтрованная вода</t>
  </si>
  <si>
    <t>круглая чечевица сорта футбол, вода</t>
  </si>
  <si>
    <t>http://1.c8804.nichost.ru/pics/20292.jpg</t>
  </si>
  <si>
    <t>http://1.c8804.nichost.ru/pics/20293.jpg</t>
  </si>
  <si>
    <t>http://1.c8804.nichost.ru/pics/20294.jpg</t>
  </si>
  <si>
    <r>
      <t xml:space="preserve">Воздушная Полба в </t>
    </r>
    <r>
      <rPr>
        <b/>
        <sz val="10"/>
        <rFont val="Calibri"/>
        <family val="2"/>
        <scheme val="minor"/>
      </rPr>
      <t>горьком</t>
    </r>
    <r>
      <rPr>
        <sz val="10"/>
        <rFont val="Calibri"/>
        <family val="2"/>
        <scheme val="minor"/>
      </rPr>
      <t xml:space="preserve"> шоколаде, без сахара, веган 21г</t>
    </r>
  </si>
  <si>
    <r>
      <t xml:space="preserve">Воздушная Полба в </t>
    </r>
    <r>
      <rPr>
        <b/>
        <sz val="10"/>
        <rFont val="Calibri"/>
        <family val="2"/>
        <scheme val="minor"/>
      </rPr>
      <t>молочном</t>
    </r>
    <r>
      <rPr>
        <sz val="10"/>
        <rFont val="Calibri"/>
        <family val="2"/>
        <scheme val="minor"/>
      </rPr>
      <t xml:space="preserve"> шоколаде, без сахара, веган 21г</t>
    </r>
  </si>
  <si>
    <r>
      <t>Леденцы живичные "</t>
    </r>
    <r>
      <rPr>
        <b/>
        <sz val="10"/>
        <rFont val="Calibri"/>
        <family val="2"/>
        <scheme val="minor"/>
      </rPr>
      <t>Ассорти</t>
    </r>
    <r>
      <rPr>
        <sz val="10"/>
        <rFont val="Calibri"/>
        <family val="2"/>
        <scheme val="minor"/>
      </rPr>
      <t>" (лимон,мята,облепиха,шалфей) ш\б 256г</t>
    </r>
  </si>
  <si>
    <r>
      <t>Леденцы живичные "</t>
    </r>
    <r>
      <rPr>
        <b/>
        <sz val="10"/>
        <rFont val="Calibri"/>
        <family val="2"/>
        <scheme val="minor"/>
      </rPr>
      <t>Ассорти</t>
    </r>
    <r>
      <rPr>
        <sz val="10"/>
        <rFont val="Calibri"/>
        <family val="2"/>
        <scheme val="minor"/>
      </rPr>
      <t xml:space="preserve">" </t>
    </r>
    <r>
      <rPr>
        <b/>
        <sz val="10"/>
        <rFont val="Calibri"/>
        <family val="2"/>
        <scheme val="minor"/>
      </rPr>
      <t xml:space="preserve">без сахара </t>
    </r>
    <r>
      <rPr>
        <sz val="10"/>
        <rFont val="Calibri"/>
        <family val="2"/>
        <scheme val="minor"/>
      </rPr>
      <t>(изомальт) ш\б 192г</t>
    </r>
  </si>
  <si>
    <r>
      <t xml:space="preserve">Макароны из кукурузы </t>
    </r>
    <r>
      <rPr>
        <b/>
        <sz val="10"/>
        <rFont val="Calibri"/>
        <family val="2"/>
        <scheme val="minor"/>
      </rPr>
      <t>Спиральки</t>
    </r>
    <r>
      <rPr>
        <sz val="10"/>
        <rFont val="Calibri"/>
        <family val="2"/>
        <scheme val="minor"/>
      </rPr>
      <t xml:space="preserve"> без глютена 300г</t>
    </r>
  </si>
  <si>
    <r>
      <t xml:space="preserve">Паста из кукурузы и риса </t>
    </r>
    <r>
      <rPr>
        <b/>
        <sz val="10"/>
        <rFont val="Calibri"/>
        <family val="2"/>
        <scheme val="minor"/>
      </rPr>
      <t>Ditalini</t>
    </r>
    <r>
      <rPr>
        <sz val="10"/>
        <rFont val="Calibri"/>
        <family val="2"/>
        <scheme val="minor"/>
      </rPr>
      <t xml:space="preserve"> без глютена 300г</t>
    </r>
  </si>
  <si>
    <r>
      <t xml:space="preserve">Паста из кукурузы и риса </t>
    </r>
    <r>
      <rPr>
        <b/>
        <sz val="10"/>
        <rFont val="Calibri"/>
        <family val="2"/>
        <scheme val="minor"/>
      </rPr>
      <t>Capellini</t>
    </r>
    <r>
      <rPr>
        <sz val="10"/>
        <rFont val="Calibri"/>
        <family val="2"/>
        <scheme val="minor"/>
      </rPr>
      <t xml:space="preserve"> без глютена 300г</t>
    </r>
  </si>
  <si>
    <t>сахар, пюре яблочное, патока, плодовый наполнитель клубника с земляникой, плодовый наполнитель банан, мед натуральный, агар-агар, белок яичный сухой, лимонная кислота, пищевые волокна</t>
  </si>
  <si>
    <t>ассорти:лимон,мята,облепиха,шалфей</t>
  </si>
  <si>
    <t>При закупке от 100.000 рублей продукции "Специалист" действует дополнительная скидка, уточняйте у менеджера</t>
  </si>
  <si>
    <t xml:space="preserve">Масло грецкого ореха </t>
  </si>
  <si>
    <t>Масло конопляное</t>
  </si>
  <si>
    <t>Масло кунжутное</t>
  </si>
  <si>
    <t>Масло облепиховое</t>
  </si>
  <si>
    <t>Масло пажитниковое</t>
  </si>
  <si>
    <t>Масло тыквенное</t>
  </si>
  <si>
    <t>Масло чёрного тмина</t>
  </si>
  <si>
    <t>Брускетта</t>
  </si>
  <si>
    <t>шоколад, тростниковый сахар, плодовый наполнитель смородина белая-грейпфрут-алоэ вера, мёд натуральный, патока, масло сливочное, молоко цельное сгущённое с сахаром, агар-агар, белок яичный сухой, лимонная кислота , стевия</t>
  </si>
  <si>
    <t>Шоколад, тростниковый сахар, плодовый наполнитель манго-питахайя, плодовый наполнитель лесная клубника, мёд натуральный, патока, масло сливочное, молоко цельное сгущённое с сахаром, агар-агар, белок яичный сухой, лимонная кислота, стевия</t>
  </si>
  <si>
    <t>шоколад, финики, апельсиновая мармеладная масса, миндаль жареный дробленый, мёд</t>
  </si>
  <si>
    <t>Шоколад, сахар, в т.ч. тростниковый, пюре яблочное, плодовый наполнитель маракуйя, плодовый наполнитель манго, патока, белок яичный сухой, мед натуральный, агар-агар, лимонная кислота, экстракт зеленого чая, стевия</t>
  </si>
  <si>
    <t xml:space="preserve">сахар, плодовый наполнитель облепиха, пюре яблочное, патока крахмальная, мед натуральный, агар-агар, белок яичный сухой, лимонная кислота, пищевые волокна пшеничные </t>
  </si>
  <si>
    <t>сахар, пюре яблочное, плодовый наполнитель малина, патока, мед натуральный, агар-агар, белок яичный сухой, ягоды черники, лимонная кислота, пищевые волокна яблочные</t>
  </si>
  <si>
    <t>Какао масло Премиум натуральное 100г</t>
  </si>
  <si>
    <t>Русквас - Interkvass</t>
  </si>
  <si>
    <t>шоколад, сахар, фундук жареный дробленый, цукаты морковные, мёд натуральный, экстракт розмарина</t>
  </si>
  <si>
    <t>шоколад, сахар, арахис жареный дроблёный, мёд натуральный, экстракт розмарина, соль.</t>
  </si>
  <si>
    <t>Глазурь кондитерская темная, сахар, курага, цукаты апельсиновые, мед натуральный, миндаль жареный дробленый, цукаты морковные</t>
  </si>
  <si>
    <t>28olives - оливки, маслины и томаты</t>
  </si>
  <si>
    <t xml:space="preserve">Маслины Халкидики в пряном маринаде, с косточкой 150г </t>
  </si>
  <si>
    <t>Оливки Коктейль №1 в пряном маринаде, б\косточки 150г</t>
  </si>
  <si>
    <t>оливики с миндалём, апельсином, лимоном, в прямо маринаде с розмариной и мятой</t>
  </si>
  <si>
    <t>оливки гриль с каперсами, томатом, огурчиком, джалапена (халапеньо), чесночком, в пикантном маринаде с горчицей, укропом и кориандром</t>
  </si>
  <si>
    <t>оливки халкидики гриль в маринаде с кориандром, паприкой, чесноком и петрушкой</t>
  </si>
  <si>
    <t>Оливки Халкидики Гриль в пряном маринаде, б\косточки 150г</t>
  </si>
  <si>
    <t>оливки халкидики с косточкой в пряном маринаде с кориандром, паприкой, чесноком и петрушкой</t>
  </si>
  <si>
    <t>маслиный халкидики с косточкой в прямо маринаде с прованскими травами</t>
  </si>
  <si>
    <t>Оливки Халкидики в пряном маринаде, с косточкой 150г</t>
  </si>
  <si>
    <t>Оливки Коктейль Гриль №2 в пикантном маринаде, б\косточки 150г</t>
  </si>
  <si>
    <t>вяленые томаты с прованскими травами в пряном масле</t>
  </si>
  <si>
    <t>Вяленые томаты с прованскими травами в пряном масле 130г</t>
  </si>
  <si>
    <t>http://1.c8804.nichost.ru/pics/20341.jpg</t>
  </si>
  <si>
    <t>http://1.c8804.nichost.ru/pics/20343.jpg</t>
  </si>
  <si>
    <t>http://1.c8804.nichost.ru/pics/20346.jpg</t>
  </si>
  <si>
    <t>http://1.c8804.nichost.ru/pics/20344.jpg</t>
  </si>
  <si>
    <t>http://1.c8804.nichost.ru/pics/20345.jpg</t>
  </si>
  <si>
    <t>http://1.c8804.nichost.ru/pics/20342.jpg</t>
  </si>
  <si>
    <t>0…+25</t>
  </si>
  <si>
    <t>мыленное масло кокоса, стеариновая кислота, бетаин, глицерин, вода, соль, натуральное сосновое масло</t>
  </si>
  <si>
    <t>http://1.c8804.nichost.ru/pics/20326.jpg</t>
  </si>
  <si>
    <r>
      <t xml:space="preserve">Мочалка </t>
    </r>
    <r>
      <rPr>
        <b/>
        <sz val="10"/>
        <color theme="1"/>
        <rFont val="Calibri"/>
        <family val="2"/>
        <charset val="204"/>
        <scheme val="minor"/>
      </rPr>
      <t>Пихтовая</t>
    </r>
    <r>
      <rPr>
        <sz val="10"/>
        <color theme="1"/>
        <rFont val="Calibri"/>
        <family val="2"/>
        <scheme val="minor"/>
      </rPr>
      <t>, с органическим мылом 130г</t>
    </r>
  </si>
  <si>
    <r>
      <t xml:space="preserve">Мочалка </t>
    </r>
    <r>
      <rPr>
        <b/>
        <sz val="10"/>
        <color theme="1"/>
        <rFont val="Calibri"/>
        <family val="2"/>
        <charset val="204"/>
        <scheme val="minor"/>
      </rPr>
      <t>Облепиховая</t>
    </r>
    <r>
      <rPr>
        <sz val="10"/>
        <color theme="1"/>
        <rFont val="Calibri"/>
        <family val="2"/>
        <scheme val="minor"/>
      </rPr>
      <t>, с органическим мылом 130г</t>
    </r>
  </si>
  <si>
    <r>
      <t xml:space="preserve">Мочалка </t>
    </r>
    <r>
      <rPr>
        <b/>
        <sz val="10"/>
        <color theme="1"/>
        <rFont val="Calibri"/>
        <family val="2"/>
        <charset val="204"/>
        <scheme val="minor"/>
      </rPr>
      <t>Мумиё</t>
    </r>
    <r>
      <rPr>
        <sz val="10"/>
        <color theme="1"/>
        <rFont val="Calibri"/>
        <family val="2"/>
        <scheme val="minor"/>
      </rPr>
      <t>, с органическим мылом 130г</t>
    </r>
  </si>
  <si>
    <r>
      <t xml:space="preserve">Мочалка </t>
    </r>
    <r>
      <rPr>
        <b/>
        <sz val="10"/>
        <color theme="1"/>
        <rFont val="Calibri"/>
        <family val="2"/>
        <charset val="204"/>
        <scheme val="minor"/>
      </rPr>
      <t>Можжевеловая</t>
    </r>
    <r>
      <rPr>
        <sz val="10"/>
        <color theme="1"/>
        <rFont val="Calibri"/>
        <family val="2"/>
        <scheme val="minor"/>
      </rPr>
      <t>, с органическим мылом 130г</t>
    </r>
  </si>
  <si>
    <r>
      <t xml:space="preserve">Мочалка </t>
    </r>
    <r>
      <rPr>
        <b/>
        <sz val="10"/>
        <color theme="1"/>
        <rFont val="Calibri"/>
        <family val="2"/>
        <charset val="204"/>
        <scheme val="minor"/>
      </rPr>
      <t>Медовая</t>
    </r>
    <r>
      <rPr>
        <sz val="10"/>
        <color theme="1"/>
        <rFont val="Calibri"/>
        <family val="2"/>
        <scheme val="minor"/>
      </rPr>
      <t>, с органическим мылом 130г</t>
    </r>
  </si>
  <si>
    <r>
      <t xml:space="preserve">Мочалка </t>
    </r>
    <r>
      <rPr>
        <b/>
        <sz val="10"/>
        <color theme="1"/>
        <rFont val="Calibri"/>
        <family val="2"/>
        <charset val="204"/>
        <scheme val="minor"/>
      </rPr>
      <t>Кедровая</t>
    </r>
    <r>
      <rPr>
        <sz val="10"/>
        <color theme="1"/>
        <rFont val="Calibri"/>
        <family val="2"/>
        <scheme val="minor"/>
      </rPr>
      <t>, с органическим мылом 130г</t>
    </r>
  </si>
  <si>
    <r>
      <t xml:space="preserve">Мочалка </t>
    </r>
    <r>
      <rPr>
        <b/>
        <sz val="10"/>
        <color theme="1"/>
        <rFont val="Calibri"/>
        <family val="2"/>
        <charset val="204"/>
        <scheme val="minor"/>
      </rPr>
      <t>Голубая глина</t>
    </r>
    <r>
      <rPr>
        <sz val="10"/>
        <color theme="1"/>
        <rFont val="Calibri"/>
        <family val="2"/>
        <scheme val="minor"/>
      </rPr>
      <t>, с органическим мылом 130г</t>
    </r>
  </si>
  <si>
    <t>Омыленное масло кокоса, стеариновая кислота, бетаин, глицерин, вода, соль, деготь</t>
  </si>
  <si>
    <t>http://1.c8804.nichost.ru/pics/20327.jpg</t>
  </si>
  <si>
    <t>мука рисовая, рафинированное дезодорированное подсолнечное масло, сироп топинамбура, крахмал кукурузный, зугуститель мальтодекстрин, семена белого льна, томатный порошок, яблоко сушеное, изолят соевого белка, соль, разрыхлитель гидрокарбонат натрия (сода), базили ксушеный, паприка красная молотая, орегано сушеный, подстластитель стевия</t>
  </si>
  <si>
    <r>
      <t xml:space="preserve">Печенье рисовое с </t>
    </r>
    <r>
      <rPr>
        <b/>
        <sz val="10"/>
        <color theme="1"/>
        <rFont val="Calibri"/>
        <family val="2"/>
        <charset val="204"/>
        <scheme val="minor"/>
      </rPr>
      <t>томатом и базиликом</t>
    </r>
    <r>
      <rPr>
        <sz val="10"/>
        <color theme="1"/>
        <rFont val="Calibri"/>
        <family val="2"/>
        <scheme val="minor"/>
      </rPr>
      <t xml:space="preserve"> "Золотой Лён" 200г</t>
    </r>
  </si>
  <si>
    <t>http://1.c8804.nichost.ru/pics/20322.jpg</t>
  </si>
  <si>
    <r>
      <t>Конфеты "Кедровые палочки"</t>
    </r>
    <r>
      <rPr>
        <b/>
        <sz val="10"/>
        <rFont val="Calibri"/>
        <family val="2"/>
        <charset val="204"/>
        <scheme val="minor"/>
      </rPr>
      <t xml:space="preserve"> облепиха, малина, смородина </t>
    </r>
    <r>
      <rPr>
        <sz val="10"/>
        <rFont val="Calibri"/>
        <family val="2"/>
        <charset val="204"/>
        <scheme val="minor"/>
      </rPr>
      <t xml:space="preserve">ш\б </t>
    </r>
    <r>
      <rPr>
        <sz val="10"/>
        <rFont val="Calibri"/>
        <family val="2"/>
        <scheme val="minor"/>
      </rPr>
      <t>640г</t>
    </r>
  </si>
  <si>
    <r>
      <t>Конфеты набор "</t>
    </r>
    <r>
      <rPr>
        <b/>
        <sz val="10"/>
        <rFont val="Calibri"/>
        <family val="2"/>
        <charset val="204"/>
        <scheme val="minor"/>
      </rPr>
      <t>Кедровая фантазия</t>
    </r>
    <r>
      <rPr>
        <sz val="10"/>
        <rFont val="Calibri"/>
        <family val="2"/>
        <scheme val="minor"/>
      </rPr>
      <t>" кор 210г</t>
    </r>
  </si>
  <si>
    <r>
      <t>Конфеты "</t>
    </r>
    <r>
      <rPr>
        <sz val="10"/>
        <rFont val="Calibri"/>
        <family val="2"/>
        <charset val="204"/>
        <scheme val="minor"/>
      </rPr>
      <t>Кедровая</t>
    </r>
    <r>
      <rPr>
        <b/>
        <sz val="10"/>
        <rFont val="Calibri"/>
        <family val="2"/>
        <charset val="204"/>
        <scheme val="minor"/>
      </rPr>
      <t xml:space="preserve"> комета</t>
    </r>
    <r>
      <rPr>
        <sz val="10"/>
        <rFont val="Calibri"/>
        <family val="2"/>
        <scheme val="minor"/>
      </rPr>
      <t xml:space="preserve">" </t>
    </r>
    <r>
      <rPr>
        <b/>
        <sz val="10"/>
        <rFont val="Calibri"/>
        <family val="2"/>
        <scheme val="minor"/>
      </rPr>
      <t>с земляникой</t>
    </r>
    <r>
      <rPr>
        <sz val="10"/>
        <rFont val="Calibri"/>
        <family val="2"/>
        <scheme val="minor"/>
      </rPr>
      <t xml:space="preserve"> 120г</t>
    </r>
  </si>
  <si>
    <r>
      <t xml:space="preserve">Конфеты "Кедровая </t>
    </r>
    <r>
      <rPr>
        <b/>
        <sz val="10"/>
        <rFont val="Calibri"/>
        <family val="2"/>
        <charset val="204"/>
        <scheme val="minor"/>
      </rPr>
      <t>комета</t>
    </r>
    <r>
      <rPr>
        <sz val="10"/>
        <rFont val="Calibri"/>
        <family val="2"/>
        <scheme val="minor"/>
      </rPr>
      <t>"</t>
    </r>
    <r>
      <rPr>
        <b/>
        <sz val="10"/>
        <rFont val="Calibri"/>
        <family val="2"/>
        <scheme val="minor"/>
      </rPr>
      <t xml:space="preserve"> классическая</t>
    </r>
    <r>
      <rPr>
        <sz val="10"/>
        <rFont val="Calibri"/>
        <family val="2"/>
        <scheme val="minor"/>
      </rPr>
      <t xml:space="preserve"> 120г</t>
    </r>
  </si>
  <si>
    <t>http://1.c8804.nichost.ru/pics/20321.jpg</t>
  </si>
  <si>
    <t>30 видов конфет производства Сибирский Кедр</t>
  </si>
  <si>
    <t>ядро кедрового ореха, шоколадная глазурь, ядро кешью, ядро фундука, мед натуральный, патока, земляника сублимированная дробленая, рис воздушный, экстракт земляники</t>
  </si>
  <si>
    <t>ядро кедрового ореха, шоколадная глазурь, ядро кешью, ядро фундука, мед натуральный, патока, земляника сублимированная дробленая, рис воздушный</t>
  </si>
  <si>
    <t>Сахар, патока, растворимое глюкозное кукурузное волокно, ягоды: вишни, брусники, пектин, лимонная кислота, гвоздика молотая, орех мускатный молотый, корица молотая, кардамон молотый, глянцеватель, экстракт апельсина растительный</t>
  </si>
  <si>
    <t>http://1.c8804.nichost.ru/pics/19541.jpg</t>
  </si>
  <si>
    <t>Дюк Альмонд</t>
  </si>
  <si>
    <t>Туррон_Duke_Almond</t>
  </si>
  <si>
    <t>Масляный_король</t>
  </si>
  <si>
    <t>Пур_Пур</t>
  </si>
  <si>
    <t>http://1.c8804.nichost.ru/pics/18489.jpg</t>
  </si>
  <si>
    <t>http://1.c8804.nichost.ru/pics/18475.jpg</t>
  </si>
  <si>
    <t>http://1.c8804.nichost.ru/pics/18488.jpg</t>
  </si>
  <si>
    <t>http://1.c8804.nichost.ru/pics/18474.jpg</t>
  </si>
  <si>
    <t>http://1.c8804.nichost.ru/pics/18472.jpg</t>
  </si>
  <si>
    <t>http://1.c8804.nichost.ru/pics/18473.jpg</t>
  </si>
  <si>
    <r>
      <t xml:space="preserve">Пастила "Pastilla" медовая </t>
    </r>
    <r>
      <rPr>
        <b/>
        <sz val="10"/>
        <rFont val="Calibri"/>
        <family val="2"/>
        <scheme val="minor"/>
      </rPr>
      <t>облепиха</t>
    </r>
    <r>
      <rPr>
        <sz val="10"/>
        <rFont val="Calibri"/>
        <family val="2"/>
        <scheme val="minor"/>
      </rPr>
      <t xml:space="preserve"> 190г</t>
    </r>
  </si>
  <si>
    <t>до 5 тыс</t>
  </si>
  <si>
    <t>сахар, пюре яблочное, патока, плодовый наполнитель черешня, мёд натуральный, агар-агар, белок яичный сухой, лимонная кислота</t>
  </si>
  <si>
    <t>сахар, пюре яблочное, патока, плодовый наполнитель манго, мёд натуральный, агар-агар, белок яичный сухой, лимонная кислота</t>
  </si>
  <si>
    <t>http://1.c8804.nichost.ru/pics/15502.png</t>
  </si>
  <si>
    <t>http://1.c8804.nichost.ru/pics/18617.png</t>
  </si>
  <si>
    <t>http://1.c8804.nichost.ru/pics/15503.png</t>
  </si>
  <si>
    <t>http://1.c8804.nichost.ru/pics/19836.png</t>
  </si>
  <si>
    <t>Тмин чёрный семена 150г</t>
  </si>
  <si>
    <t>http://1.c8804.nichost.ru/pics/15474.jpg</t>
  </si>
  <si>
    <t>http://1.c8804.nichost.ru/pics/15405.jpg</t>
  </si>
  <si>
    <t>http://1.c8804.nichost.ru/pics/15407.jpg</t>
  </si>
  <si>
    <t>http://1.c8804.nichost.ru/pics/15403.jpg</t>
  </si>
  <si>
    <t>http://1.c8804.nichost.ru/pics/15409.jpg</t>
  </si>
  <si>
    <t>http://1.c8804.nichost.ru/pics/16359.jpg</t>
  </si>
  <si>
    <t>http://1.c8804.nichost.ru/pics/15411.jpg</t>
  </si>
  <si>
    <r>
      <t>Смесь семян "</t>
    </r>
    <r>
      <rPr>
        <b/>
        <sz val="10"/>
        <rFont val="Calibri"/>
        <family val="2"/>
        <charset val="204"/>
        <scheme val="minor"/>
      </rPr>
      <t>В йогурт или выпечку</t>
    </r>
    <r>
      <rPr>
        <sz val="10"/>
        <rFont val="Calibri"/>
        <family val="2"/>
        <scheme val="minor"/>
      </rPr>
      <t>" 200г</t>
    </r>
  </si>
  <si>
    <t>http://1.c8804.nichost.ru/pics/16185.jpg</t>
  </si>
  <si>
    <t>http://1.c8804.nichost.ru/pics/16186.jpg</t>
  </si>
  <si>
    <t>http://1.c8804.nichost.ru/pics/16187.jpg</t>
  </si>
  <si>
    <t>http://1.c8804.nichost.ru/pics/17952.jpg</t>
  </si>
  <si>
    <t>ядро кедрового ореха, шоколадная глазурь, ядро кешью, мёд натуральный, клюква вяленая, пастила облепиховая пастила черничная</t>
  </si>
  <si>
    <t>ядро кедрового ореха, сахар, шоколадная глазурь, молоко сухое цельное, молоко сухое обезжиренное, ядро миндаля, ядро кешью, патока, пастила малиновая, сорбитовый сироп, лецитин подсолнечный, экстракт ванили натуральный</t>
  </si>
  <si>
    <t>http://1.c8804.nichost.ru/pics/20319.jpg</t>
  </si>
  <si>
    <t>ядро кедрового ореха, сахар, шоколадная глазурь, молоко сухое цельное, молоко сухое обезжиренное, ядро миндаля, ядро кешью, патока, пастила смородиновая, сорбитовый сироп, лецитин подсолнечный, экстракт ванили натуральный</t>
  </si>
  <si>
    <t>http://1.c8804.nichost.ru/pics/20320.jpg</t>
  </si>
  <si>
    <t>http://1.c8804.nichost.ru/pics/19539.jpg</t>
  </si>
  <si>
    <t>ядро кедрового ореха, сахар, шоколадная глазурь, молоко сухое цельное, молоко сухое обезжиренное, ядро миндаля, ядро кешью, патока, пастила облепиховая, лецитин подсолнечный, сорбитовый сироп, экстракт ванили натуральный, аскорбиновая кислота</t>
  </si>
  <si>
    <t>ядро кедрового ореха, сахар, шоколадная глазурь, молоко сухое цельное, молоко сухое обезжиренное, ядро миндаля, ядро кешью, патока, пастила клюквенная, сорбитовый сироп, лецитин подсолнечный, экстракт ванили натуральный, аскорбиновая кислота</t>
  </si>
  <si>
    <t>ядро кедрового ореха, сахар, шоколадная глазурь, молоко сухое цельное, молоко сухое обезжиренное, ядро миндаля, ядро кешью, патока, сорбитовый сироп, лецитин подсолнечный, экстракт ванили натуральный, аскорбиновая кислота</t>
  </si>
  <si>
    <t>http://1.c8804.nichost.ru/pics/19540.jpg</t>
  </si>
  <si>
    <t>Ядро кедрового ореха, сахар, шоколадная глазурь, молоко сухое цельное, патока, ядро миндаля, молоко сухое обезжиренное, клюква вяленая, пастила облепиховая,малина сублимационной сушки, лецитин, ванилин</t>
  </si>
  <si>
    <t>сахар, какао тёртое, какао-масло, кокосовое масло, ядро кешью, ядро миндаля, какао порошок, какао порошок алкализованный, малина сушёная, кофе молотый, водка, вишня сублимированная, экстракт апельсина, лецитин подсолнечный, корица молотая, гвоздика молотая, мускатный орех молотый, имбирь сушёный молотый, кардамон молотый</t>
  </si>
  <si>
    <t>Ядро кедрового ореха, сахар, шоколадная глазурь, молоко сухое цельное, молоко сухое обезжиренное, ядро миндаля, патока, лецитин, экстракт ванили натуральный</t>
  </si>
  <si>
    <t>шоколадная масса (какао-масло, какао тёртое, тростниковый сахар, эмульгатор лецитин, ваниль натуральная), ядро кедрового ореха цельное, масло кокосовое, какао-порошок</t>
  </si>
  <si>
    <t>белый шоколад (сахар, какао-масло, молоко сухое цельное, лецитин соевый, ароматизатор натуральный ваниль), шишка сосновая, сахар, брусника сублимированная, гуммиарабик, лимонная кислота, глянцеватель, экстракт базилика</t>
  </si>
  <si>
    <t>тёмный шоколад, шишка сосновая, сахар, гуммиарабик, глянцеватель, экстракт лимона</t>
  </si>
  <si>
    <t>тёмный шоколад, шишка сосновая, сахар, какао-порошок натуральный, гуммиарабик, корица молотая, глянцеватель, экстракты: мёд, имбирь</t>
  </si>
  <si>
    <t>http://1.c8804.nichost.ru/pics/15054.jpg</t>
  </si>
  <si>
    <t>Ядро кедрового ореха, глазурь шоколадная, сахар, чернослив, ядро кешью, мед натуральный,малина быстрозамороженная, патока, молоко сухое цельное, шишка сосновая, пастила облепиховая, молоко сгущенное, ядро миндаля, сыворотка молочная сухая, какао-порошок, пектин, кэроб, масло кокосовое, лецитин, кислота лимонная, ванилин, ром (ароматизатор)</t>
  </si>
  <si>
    <r>
      <t>Конфеты набор "</t>
    </r>
    <r>
      <rPr>
        <b/>
        <sz val="10"/>
        <rFont val="Calibri"/>
        <family val="2"/>
        <charset val="204"/>
        <scheme val="minor"/>
      </rPr>
      <t>Кедровое ассорти</t>
    </r>
    <r>
      <rPr>
        <sz val="10"/>
        <rFont val="Calibri"/>
        <family val="2"/>
        <scheme val="minor"/>
      </rPr>
      <t>" кор 200г</t>
    </r>
  </si>
  <si>
    <t>белый шоколад (сахар, какао масло, молоко сухое цельное, лецитин соевый, ароматизатор натуральный ваниль), ядро кедрового ореха, сахар, гуммиарабик, клубника сублимированная, глянцеватель</t>
  </si>
  <si>
    <t>тёмный шоколад (какао масса, сахар, какао-масло, лецитин соевый (эмульгатор), ароматизатор натуральный ваниль), ядро кедрового ореха, сахар, гуммиарабик, какао-порошок натуральный, глянцеватель</t>
  </si>
  <si>
    <t>http://1.c8804.nichost.ru/pics/16518.jpg</t>
  </si>
  <si>
    <t>http://1.c8804.nichost.ru/pics/19474.jpg</t>
  </si>
  <si>
    <t>http://1.c8804.nichost.ru/pics/14849.jpg</t>
  </si>
  <si>
    <t>Фруктоза, шоколадная глазурь (сахар, какао-масло, какао-порошок, эмульгатор лецитин), патока, пюре яблочное, экстракты (облепихи, брусники, черноплодной рябины), пектин, лимонная кислота</t>
  </si>
  <si>
    <t>Сахар, глазурь шоколадная, патока, сироп из сосновой шишки (сахар, вода, патока, шишка сосновая), ягоды малины быстрозамороженные, пюре черной смородины, пюре черничное, пюре яблочное, пектин, лимонная кислота</t>
  </si>
  <si>
    <t>http://1.c8804.nichost.ru/pics/14977.jpg</t>
  </si>
  <si>
    <t>http://1.c8804.nichost.ru/pics/15683.jpg</t>
  </si>
  <si>
    <t>http://1.c8804.nichost.ru/pics/15684.jpg</t>
  </si>
  <si>
    <t>http://1.c8804.nichost.ru/pics/14978.jpg</t>
  </si>
  <si>
    <t>http://1.c8804.nichost.ru/pics/15228.jpg</t>
  </si>
  <si>
    <t>http://1.c8804.nichost.ru/pics/14980.jpg</t>
  </si>
  <si>
    <t>http://1.c8804.nichost.ru/pics/14979.jpg</t>
  </si>
  <si>
    <t>http://1.c8804.nichost.ru/pics/14578.jpg</t>
  </si>
  <si>
    <t>кэроб, какао-масло, киви сушеное, семена конопли</t>
  </si>
  <si>
    <t>иван-чай крупнолистовой ферментированный, ягоды брусники, лист брусники, экстракт клюквы</t>
  </si>
  <si>
    <t>иван-чай крупнолистовой ферментированный, лист перечной мяты, экстракт мяты</t>
  </si>
  <si>
    <t>http://1.c8804.nichost.ru/pics/14851.jpg</t>
  </si>
  <si>
    <t>http://1.c8804.nichost.ru/pics/14853.jpg</t>
  </si>
  <si>
    <t>http://1.c8804.nichost.ru/pics/14854.jpg</t>
  </si>
  <si>
    <t>http://1.c8804.nichost.ru/pics/14648.jpg</t>
  </si>
  <si>
    <t>http://1.c8804.nichost.ru/pics/14643.jpg</t>
  </si>
  <si>
    <t>сахар, плодовый наполнитель черная смородина (черная смородина, сок черной смородины, сахар,овсяная клетчатка), пюре яблочное,  патока, мед натуральный, агар-агар, белок яичный сухой, лимонная кислота , пищевые волокна пшеничные</t>
  </si>
  <si>
    <t>кедровый орех дробленый, сухое молоко</t>
  </si>
  <si>
    <t>Кедрокофе Классический с молочными сливками Apic 250г</t>
  </si>
  <si>
    <t>кедровый орех дроблёный, заменитель сливок (кукурузная патока, кокосовое масло, молочный белок)</t>
  </si>
  <si>
    <t>Кедрокофе Вегетарианский 125г</t>
  </si>
  <si>
    <t>Кедрокофе Антиоксидантный Apic 250г</t>
  </si>
  <si>
    <t>Чагочай антиоксидантный гранулированный ш/б (24шт*2г) 48г</t>
  </si>
  <si>
    <t>Чагочай антиоксидантный (без добавок) 100г</t>
  </si>
  <si>
    <t xml:space="preserve">чага(гриб березовый) гранулированная </t>
  </si>
  <si>
    <t>золотой корень</t>
  </si>
  <si>
    <t>саган-дайля (трава)</t>
  </si>
  <si>
    <t>Шоколад темный(какао тертое, сахар, какао - масло, эмульгатор подсолнечный лецитин, ваниль натуральная), масло сливочное, экстракт колумбийского кофе (Cafe de Colombia), экстракт мадагаскарской ванили</t>
  </si>
  <si>
    <t>http://1.c8804.nichost.ru/pics/12773.jpg</t>
  </si>
  <si>
    <t>http://1.c8804.nichost.ru/pics/11471.jpg</t>
  </si>
  <si>
    <t>http://1.c8804.nichost.ru/pics/9949.jpg</t>
  </si>
  <si>
    <t>http://1.c8804.nichost.ru/pics/14480.jpg</t>
  </si>
  <si>
    <t>http://1.c8804.nichost.ru/pics/8875.jpg</t>
  </si>
  <si>
    <t>http://1.c8804.nichost.ru/pics/9433.jpg</t>
  </si>
  <si>
    <t>http://1.c8804.nichost.ru/pics/8876.jpg</t>
  </si>
  <si>
    <t>http://1.c8804.nichost.ru/pics/15800.jpg</t>
  </si>
  <si>
    <t>http://1.c8804.nichost.ru/pics/16115.jpg</t>
  </si>
  <si>
    <t>http://1.c8804.nichost.ru/pics/15801.jpg</t>
  </si>
  <si>
    <t>http://1.c8804.nichost.ru/pics/16116.jpg</t>
  </si>
  <si>
    <t>http://1.c8804.nichost.ru/pics/16117.jpg</t>
  </si>
  <si>
    <t>http://1.c8804.nichost.ru/pics/12527.jpg</t>
  </si>
  <si>
    <t>http://1.c8804.nichost.ru/pics/11783.jpg</t>
  </si>
  <si>
    <t>http://1.c8804.nichost.ru/pics/11826.jpg</t>
  </si>
  <si>
    <t>http://1.c8804.nichost.ru/pics/17080.jpg</t>
  </si>
  <si>
    <t>http://1.c8804.nichost.ru/pics/17737.jpg</t>
  </si>
  <si>
    <t>http://1.c8804.nichost.ru/pics/17736.jpg</t>
  </si>
  <si>
    <t>http://1.c8804.nichost.ru/pics/11582.jpg</t>
  </si>
  <si>
    <t>http://1.c8804.nichost.ru/pics/11583.jpg</t>
  </si>
  <si>
    <t>http://1.c8804.nichost.ru/pics/12224.jpg</t>
  </si>
  <si>
    <t>http://1.c8804.nichost.ru/pics/15831.jpg</t>
  </si>
  <si>
    <t>http://1.c8804.nichost.ru/pics/19886.jpg</t>
  </si>
  <si>
    <t>http://1.c8804.nichost.ru/pics/19887.jpg</t>
  </si>
  <si>
    <t>http://1.c8804.nichost.ru/pics/15835.jpg</t>
  </si>
  <si>
    <t>вода, фосфолипиды, масло конопляное, экстракт грецкого ореха, глицерин, дегидроацетат натрия, глицерин, витамин В3, витамин В5, витамин Е, витамин С</t>
  </si>
  <si>
    <t>http://1.c8804.nichost.ru/pics/15553.jpg</t>
  </si>
  <si>
    <t>http://1.c8804.nichost.ru/pics/14156.jpg</t>
  </si>
  <si>
    <t>http://1.c8804.nichost.ru/pics/14186.jpg</t>
  </si>
  <si>
    <t>http://1.c8804.nichost.ru/pics/14187.jpg</t>
  </si>
  <si>
    <t>http://1.c8804.nichost.ru/pics/14188.jpg</t>
  </si>
  <si>
    <t>http://1.c8804.nichost.ru/pics/12452.jpg</t>
  </si>
  <si>
    <r>
      <t xml:space="preserve">Крем для лица </t>
    </r>
    <r>
      <rPr>
        <b/>
        <sz val="10"/>
        <rFont val="Calibri"/>
        <family val="2"/>
        <scheme val="minor"/>
      </rPr>
      <t>"Увлажняющий</t>
    </r>
    <r>
      <rPr>
        <sz val="10"/>
        <rFont val="Calibri"/>
        <family val="2"/>
        <scheme val="minor"/>
      </rPr>
      <t>" зародыши пшеницы, туба 50мл</t>
    </r>
  </si>
  <si>
    <t>вода очищенная, масло льняное, масло зародышей пшеницы, масло виноградной косточки, экстракт алоэ, экстракт эхинацеи, экстракт яблока, экстракт василька, Д-пантенол, глюкозиды пшеницы, натуральный загуститель из кокосового масла, натуральный эмульгатор из оливкового масла, морские альгинаты, натуральный консервант, бисаболол, витамин Е</t>
  </si>
  <si>
    <t>http://1.c8804.nichost.ru/pics/18317.jpg</t>
  </si>
  <si>
    <t>http://1.c8804.nichost.ru/pics/13304.jpg</t>
  </si>
  <si>
    <t>http://1.c8804.nichost.ru/pics/13303.jpg</t>
  </si>
  <si>
    <t>http://1.c8804.nichost.ru/pics/13300.jpg</t>
  </si>
  <si>
    <t>http://1.c8804.nichost.ru/pics/13302.jpg</t>
  </si>
  <si>
    <t>http://1.c8804.nichost.ru/pics/13301.jpg</t>
  </si>
  <si>
    <r>
      <t>Бальзам для губ "</t>
    </r>
    <r>
      <rPr>
        <b/>
        <sz val="10"/>
        <color theme="1"/>
        <rFont val="Calibri"/>
        <family val="2"/>
        <charset val="204"/>
        <scheme val="minor"/>
      </rPr>
      <t xml:space="preserve">Брусника </t>
    </r>
    <r>
      <rPr>
        <sz val="10"/>
        <color theme="1"/>
        <rFont val="Calibri"/>
        <family val="2"/>
        <charset val="204"/>
        <scheme val="minor"/>
      </rPr>
      <t>+ витамин Е</t>
    </r>
    <r>
      <rPr>
        <sz val="10"/>
        <color theme="1"/>
        <rFont val="Calibri"/>
        <family val="2"/>
        <scheme val="minor"/>
      </rPr>
      <t>" 5мл</t>
    </r>
  </si>
  <si>
    <r>
      <t>Бальзам для губ "</t>
    </r>
    <r>
      <rPr>
        <b/>
        <sz val="10"/>
        <color theme="1"/>
        <rFont val="Calibri"/>
        <family val="2"/>
        <charset val="204"/>
        <scheme val="minor"/>
      </rPr>
      <t xml:space="preserve">Облепиха </t>
    </r>
    <r>
      <rPr>
        <sz val="10"/>
        <color theme="1"/>
        <rFont val="Calibri"/>
        <family val="2"/>
        <charset val="204"/>
        <scheme val="minor"/>
      </rPr>
      <t>+ витамин Е</t>
    </r>
    <r>
      <rPr>
        <sz val="10"/>
        <color theme="1"/>
        <rFont val="Calibri"/>
        <family val="2"/>
        <scheme val="minor"/>
      </rPr>
      <t>" 5мл</t>
    </r>
  </si>
  <si>
    <r>
      <t>Бальзам для губ "</t>
    </r>
    <r>
      <rPr>
        <b/>
        <sz val="10"/>
        <color theme="1"/>
        <rFont val="Calibri"/>
        <family val="2"/>
        <charset val="204"/>
        <scheme val="minor"/>
      </rPr>
      <t>Ромашка</t>
    </r>
    <r>
      <rPr>
        <sz val="10"/>
        <color theme="1"/>
        <rFont val="Calibri"/>
        <family val="2"/>
        <charset val="204"/>
        <scheme val="minor"/>
      </rPr>
      <t xml:space="preserve"> + витамин Е</t>
    </r>
    <r>
      <rPr>
        <sz val="10"/>
        <color theme="1"/>
        <rFont val="Calibri"/>
        <family val="2"/>
        <scheme val="minor"/>
      </rPr>
      <t>" 5мл</t>
    </r>
  </si>
  <si>
    <t>http://1.c8804.nichost.ru/pics/13027.jpg</t>
  </si>
  <si>
    <t>http://1.c8804.nichost.ru/pics/13030.jpg</t>
  </si>
  <si>
    <t>http://1.c8804.nichost.ru/pics/13085.jpg</t>
  </si>
  <si>
    <t>Водный экстракт прополиса, водный экстракт живицы кедровой, пропиленгликоль, глицерин</t>
  </si>
  <si>
    <t>http://1.c8804.nichost.ru/pics/20377.jpg</t>
  </si>
  <si>
    <t>Орехи, семена, крупа, мука</t>
  </si>
  <si>
    <t>подсластитель изомальт, кондитерская глазурь, патока мальтозная, пюре яблочное, белок яичный, желеобразователь пектин, регулятор кислотности кислота молочная, влагоудерживающий агент лактат натрия, подсластитель стевиозид, идентичный натуральному ароматизатор «ваниль», ванилин.</t>
  </si>
  <si>
    <t>http://1.c8804.nichost.ru/pics/20371.jpg</t>
  </si>
  <si>
    <t>http://1.c8804.nichost.ru/pics/20373.jpg</t>
  </si>
  <si>
    <t>патока, вода питьевая, подсластитель изомальт, желирующий агент - пектин, регулятир кислотности- кислота лимонная, влагоудерживающий агент-лактат натрия, краситель кармин, ароматизатор ""Вишня"", консервант - сорбат калия, подсластитель экстракт стевии( стевиозид)</t>
  </si>
  <si>
    <t>http://1.c8804.nichost.ru/pics/20376.jpg</t>
  </si>
  <si>
    <t xml:space="preserve">иван-чай листовой ферментированный (кипрей узколистный), трава зверобоя, ягоды облепихи сушёные </t>
  </si>
  <si>
    <t>Молоко кокосовое Chaokoh 17-19% жирности ж\б 160мл</t>
  </si>
  <si>
    <r>
      <t>Масло льняное "</t>
    </r>
    <r>
      <rPr>
        <b/>
        <sz val="10"/>
        <rFont val="Calibri"/>
        <family val="2"/>
        <scheme val="minor"/>
      </rPr>
      <t>Амарантовое</t>
    </r>
    <r>
      <rPr>
        <sz val="10"/>
        <rFont val="Calibri"/>
        <family val="2"/>
        <scheme val="minor"/>
      </rPr>
      <t>" 200мл</t>
    </r>
  </si>
  <si>
    <t>Мёд "Бортников"</t>
  </si>
  <si>
    <t>http://1.c8804.nichost.ru/pics/17949.jpg</t>
  </si>
  <si>
    <t>инулин</t>
  </si>
  <si>
    <t>http://1.c8804.nichost.ru/pics/19074.jpg</t>
  </si>
  <si>
    <t>http://1.c8804.nichost.ru/pics/18689.jpg</t>
  </si>
  <si>
    <r>
      <t xml:space="preserve">ФитПарад №  8 - </t>
    </r>
    <r>
      <rPr>
        <b/>
        <sz val="10"/>
        <color theme="1"/>
        <rFont val="Calibri"/>
        <family val="2"/>
        <charset val="204"/>
        <scheme val="minor"/>
      </rPr>
      <t>180г</t>
    </r>
    <r>
      <rPr>
        <sz val="10"/>
        <color theme="1"/>
        <rFont val="Calibri"/>
        <family val="2"/>
        <scheme val="minor"/>
      </rPr>
      <t xml:space="preserve"> эритритол, стевиозид БАНКА</t>
    </r>
  </si>
  <si>
    <t>http://1.c8804.nichost.ru/pics/16877.jpg</t>
  </si>
  <si>
    <r>
      <t xml:space="preserve">ФитПарад №  7 - </t>
    </r>
    <r>
      <rPr>
        <b/>
        <sz val="10"/>
        <color theme="1"/>
        <rFont val="Calibri"/>
        <family val="2"/>
        <charset val="204"/>
        <scheme val="minor"/>
      </rPr>
      <t>180г</t>
    </r>
    <r>
      <rPr>
        <sz val="10"/>
        <color theme="1"/>
        <rFont val="Calibri"/>
        <family val="2"/>
        <scheme val="minor"/>
      </rPr>
      <t xml:space="preserve"> эритритол БАНКА</t>
    </r>
  </si>
  <si>
    <r>
      <t xml:space="preserve">ФитПарад №  7 - </t>
    </r>
    <r>
      <rPr>
        <b/>
        <sz val="10"/>
        <color theme="1"/>
        <rFont val="Calibri"/>
        <family val="2"/>
        <charset val="204"/>
        <scheme val="minor"/>
      </rPr>
      <t>250г</t>
    </r>
    <r>
      <rPr>
        <sz val="10"/>
        <color theme="1"/>
        <rFont val="Calibri"/>
        <family val="2"/>
        <scheme val="minor"/>
      </rPr>
      <t xml:space="preserve"> эритритол ДОЙ-ПАК</t>
    </r>
  </si>
  <si>
    <r>
      <t xml:space="preserve">ФитПарад №  7 - </t>
    </r>
    <r>
      <rPr>
        <b/>
        <sz val="10"/>
        <color theme="1"/>
        <rFont val="Calibri"/>
        <family val="2"/>
        <charset val="204"/>
        <scheme val="minor"/>
      </rPr>
      <t xml:space="preserve">500г </t>
    </r>
    <r>
      <rPr>
        <sz val="10"/>
        <color theme="1"/>
        <rFont val="Calibri"/>
        <family val="2"/>
        <charset val="204"/>
        <scheme val="minor"/>
      </rPr>
      <t>эритритол ДОЙ-ПАК</t>
    </r>
  </si>
  <si>
    <r>
      <t xml:space="preserve">ФитПарад №  6 - </t>
    </r>
    <r>
      <rPr>
        <b/>
        <sz val="10"/>
        <color theme="1"/>
        <rFont val="Calibri"/>
        <family val="2"/>
        <charset val="204"/>
        <scheme val="minor"/>
      </rPr>
      <t>250г</t>
    </r>
    <r>
      <rPr>
        <sz val="10"/>
        <color theme="1"/>
        <rFont val="Calibri"/>
        <family val="2"/>
        <scheme val="minor"/>
      </rPr>
      <t xml:space="preserve"> эритрит, инулин, сукралоза ДОЙ-ПАК</t>
    </r>
  </si>
  <si>
    <r>
      <t xml:space="preserve">ФитПарад №  7  - </t>
    </r>
    <r>
      <rPr>
        <b/>
        <sz val="10"/>
        <color theme="1"/>
        <rFont val="Calibri"/>
        <family val="2"/>
        <charset val="204"/>
        <scheme val="minor"/>
      </rPr>
      <t>60г</t>
    </r>
    <r>
      <rPr>
        <sz val="10"/>
        <color theme="1"/>
        <rFont val="Calibri"/>
        <family val="2"/>
        <scheme val="minor"/>
      </rPr>
      <t xml:space="preserve"> эритритол 60шт САШЕ</t>
    </r>
  </si>
  <si>
    <r>
      <t xml:space="preserve">ФитПарад №  6 - </t>
    </r>
    <r>
      <rPr>
        <b/>
        <sz val="10"/>
        <rFont val="Calibri"/>
        <family val="2"/>
        <scheme val="minor"/>
      </rPr>
      <t>60г</t>
    </r>
    <r>
      <rPr>
        <sz val="10"/>
        <rFont val="Calibri"/>
        <family val="2"/>
        <scheme val="minor"/>
      </rPr>
      <t xml:space="preserve"> эритрит, инулин, сукралоза 60шт САШЕ</t>
    </r>
  </si>
  <si>
    <r>
      <t xml:space="preserve">ФитПарад №  8 - </t>
    </r>
    <r>
      <rPr>
        <b/>
        <sz val="10"/>
        <color theme="1"/>
        <rFont val="Calibri"/>
        <family val="2"/>
        <charset val="204"/>
        <scheme val="minor"/>
      </rPr>
      <t>60г</t>
    </r>
    <r>
      <rPr>
        <sz val="10"/>
        <color theme="1"/>
        <rFont val="Calibri"/>
        <family val="2"/>
        <scheme val="minor"/>
      </rPr>
      <t xml:space="preserve"> эритритол, стевиозид 60шт САШЕ</t>
    </r>
  </si>
  <si>
    <t>http://1.c8804.nichost.ru/pics/16135.jpg</t>
  </si>
  <si>
    <r>
      <t xml:space="preserve">ФитПарад № 10 - </t>
    </r>
    <r>
      <rPr>
        <b/>
        <sz val="10"/>
        <color theme="1"/>
        <rFont val="Calibri"/>
        <family val="2"/>
        <charset val="204"/>
        <scheme val="minor"/>
      </rPr>
      <t>150г</t>
    </r>
    <r>
      <rPr>
        <sz val="10"/>
        <color theme="1"/>
        <rFont val="Calibri"/>
        <family val="2"/>
        <scheme val="minor"/>
      </rPr>
      <t xml:space="preserve"> эритрит, сукралоза, стевиозид ДОЙ-ПАК</t>
    </r>
  </si>
  <si>
    <r>
      <t xml:space="preserve">ФитПарад № 14 - </t>
    </r>
    <r>
      <rPr>
        <b/>
        <sz val="10"/>
        <color theme="1"/>
        <rFont val="Calibri"/>
        <family val="2"/>
        <charset val="204"/>
        <scheme val="minor"/>
      </rPr>
      <t xml:space="preserve">100г </t>
    </r>
    <r>
      <rPr>
        <sz val="10"/>
        <color theme="1"/>
        <rFont val="Calibri"/>
        <family val="2"/>
        <charset val="204"/>
        <scheme val="minor"/>
      </rPr>
      <t>эритритол, стевиозид</t>
    </r>
    <r>
      <rPr>
        <b/>
        <sz val="10"/>
        <color theme="1"/>
        <rFont val="Calibri"/>
        <family val="2"/>
        <charset val="204"/>
        <scheme val="minor"/>
      </rPr>
      <t xml:space="preserve"> </t>
    </r>
    <r>
      <rPr>
        <sz val="10"/>
        <color theme="1"/>
        <rFont val="Calibri"/>
        <family val="2"/>
        <scheme val="minor"/>
      </rPr>
      <t>100шт САШЕ</t>
    </r>
  </si>
  <si>
    <r>
      <t xml:space="preserve">ФитПарад № 14 - </t>
    </r>
    <r>
      <rPr>
        <b/>
        <sz val="10"/>
        <color theme="1"/>
        <rFont val="Calibri"/>
        <family val="2"/>
        <charset val="204"/>
        <scheme val="minor"/>
      </rPr>
      <t>150г</t>
    </r>
    <r>
      <rPr>
        <sz val="10"/>
        <color theme="1"/>
        <rFont val="Calibri"/>
        <family val="2"/>
        <scheme val="minor"/>
      </rPr>
      <t xml:space="preserve"> эритритол, стевиозид ДОЙ-ПАК</t>
    </r>
  </si>
  <si>
    <t>http://1.c8804.nichost.ru/pics/18611.jpg</t>
  </si>
  <si>
    <r>
      <t xml:space="preserve">ФитПарад № 17 </t>
    </r>
    <r>
      <rPr>
        <b/>
        <sz val="10"/>
        <color theme="1"/>
        <rFont val="Calibri"/>
        <family val="2"/>
        <charset val="204"/>
        <scheme val="minor"/>
      </rPr>
      <t>карамель</t>
    </r>
    <r>
      <rPr>
        <sz val="10"/>
        <color theme="1"/>
        <rFont val="Calibri"/>
        <family val="2"/>
        <scheme val="minor"/>
      </rPr>
      <t xml:space="preserve"> (стики 100шт) 50г</t>
    </r>
  </si>
  <si>
    <r>
      <t xml:space="preserve">ФитПарад № 18 </t>
    </r>
    <r>
      <rPr>
        <b/>
        <sz val="10"/>
        <color theme="1"/>
        <rFont val="Calibri"/>
        <family val="2"/>
        <charset val="204"/>
        <scheme val="minor"/>
      </rPr>
      <t>Лесной орех</t>
    </r>
    <r>
      <rPr>
        <sz val="10"/>
        <color theme="1"/>
        <rFont val="Calibri"/>
        <family val="2"/>
        <scheme val="minor"/>
      </rPr>
      <t xml:space="preserve"> (стики 100шт) 50г</t>
    </r>
  </si>
  <si>
    <r>
      <t xml:space="preserve">ФитПарад № 19 </t>
    </r>
    <r>
      <rPr>
        <b/>
        <sz val="10"/>
        <color theme="1"/>
        <rFont val="Calibri"/>
        <family val="2"/>
        <charset val="204"/>
        <scheme val="minor"/>
      </rPr>
      <t>Шоколад</t>
    </r>
    <r>
      <rPr>
        <sz val="10"/>
        <color theme="1"/>
        <rFont val="Calibri"/>
        <family val="2"/>
        <scheme val="minor"/>
      </rPr>
      <t xml:space="preserve"> (стики 100шт) 50г</t>
    </r>
  </si>
  <si>
    <r>
      <t xml:space="preserve">ФитПарад № 20 </t>
    </r>
    <r>
      <rPr>
        <b/>
        <sz val="10"/>
        <rFont val="Calibri"/>
        <family val="2"/>
        <scheme val="minor"/>
      </rPr>
      <t>Кокос</t>
    </r>
    <r>
      <rPr>
        <sz val="10"/>
        <rFont val="Calibri"/>
        <family val="2"/>
        <scheme val="minor"/>
      </rPr>
      <t xml:space="preserve"> (стики 100шт) 50г</t>
    </r>
  </si>
  <si>
    <r>
      <t xml:space="preserve">ФитПарад № 21 </t>
    </r>
    <r>
      <rPr>
        <b/>
        <sz val="10"/>
        <color theme="1"/>
        <rFont val="Calibri"/>
        <family val="2"/>
        <charset val="204"/>
        <scheme val="minor"/>
      </rPr>
      <t>Ирландский ликер</t>
    </r>
    <r>
      <rPr>
        <sz val="10"/>
        <color theme="1"/>
        <rFont val="Calibri"/>
        <family val="2"/>
        <scheme val="minor"/>
      </rPr>
      <t xml:space="preserve"> (стики 100шт) 50г</t>
    </r>
  </si>
  <si>
    <r>
      <t xml:space="preserve">ФитПарад № 22 </t>
    </r>
    <r>
      <rPr>
        <b/>
        <sz val="10"/>
        <color theme="1"/>
        <rFont val="Calibri"/>
        <family val="2"/>
        <charset val="204"/>
        <scheme val="minor"/>
      </rPr>
      <t>Ваниль</t>
    </r>
    <r>
      <rPr>
        <sz val="10"/>
        <color theme="1"/>
        <rFont val="Calibri"/>
        <family val="2"/>
        <scheme val="minor"/>
      </rPr>
      <t xml:space="preserve"> (стики 100шт) 50г</t>
    </r>
  </si>
  <si>
    <t>подсластитель эритрит, смесь подсластителей (стевиозид, сукралоза), инулин (пищевые волокна с пребиотическими свойствами)</t>
  </si>
  <si>
    <r>
      <t xml:space="preserve">Смесь подсластителей </t>
    </r>
    <r>
      <rPr>
        <b/>
        <sz val="10"/>
        <rFont val="Calibri"/>
        <family val="2"/>
        <scheme val="minor"/>
      </rPr>
      <t>№ 2</t>
    </r>
    <r>
      <rPr>
        <sz val="10"/>
        <rFont val="Calibri"/>
        <family val="2"/>
        <scheme val="minor"/>
      </rPr>
      <t xml:space="preserve"> - </t>
    </r>
    <r>
      <rPr>
        <b/>
        <sz val="10"/>
        <rFont val="Calibri"/>
        <family val="2"/>
        <charset val="204"/>
        <scheme val="minor"/>
      </rPr>
      <t>45г</t>
    </r>
    <r>
      <rPr>
        <sz val="10"/>
        <rFont val="Calibri"/>
        <family val="2"/>
        <scheme val="minor"/>
      </rPr>
      <t xml:space="preserve"> Master Shape </t>
    </r>
    <r>
      <rPr>
        <sz val="10"/>
        <rFont val="Calibri"/>
        <family val="2"/>
        <charset val="204"/>
        <scheme val="minor"/>
      </rPr>
      <t>САШЕ</t>
    </r>
  </si>
  <si>
    <r>
      <t xml:space="preserve">Смесь подсластителей </t>
    </r>
    <r>
      <rPr>
        <b/>
        <sz val="10"/>
        <rFont val="Calibri"/>
        <family val="2"/>
        <scheme val="minor"/>
      </rPr>
      <t>№ 3</t>
    </r>
    <r>
      <rPr>
        <sz val="10"/>
        <rFont val="Calibri"/>
        <family val="2"/>
        <scheme val="minor"/>
      </rPr>
      <t xml:space="preserve"> - </t>
    </r>
    <r>
      <rPr>
        <b/>
        <sz val="10"/>
        <rFont val="Calibri"/>
        <family val="2"/>
        <charset val="204"/>
        <scheme val="minor"/>
      </rPr>
      <t>250г</t>
    </r>
    <r>
      <rPr>
        <sz val="10"/>
        <rFont val="Calibri"/>
        <family val="2"/>
        <scheme val="minor"/>
      </rPr>
      <t xml:space="preserve"> Master Shape БАНКА</t>
    </r>
  </si>
  <si>
    <t>Эритрит дой-пак 400г</t>
  </si>
  <si>
    <t>http://1.c8804.nichost.ru/pics/16925.jpg</t>
  </si>
  <si>
    <t>http://1.c8804.nichost.ru/pics/16926.jpg</t>
  </si>
  <si>
    <t>семена чиа цельные</t>
  </si>
  <si>
    <r>
      <t xml:space="preserve">Крем-десерт </t>
    </r>
    <r>
      <rPr>
        <b/>
        <sz val="10"/>
        <color theme="1"/>
        <rFont val="Calibri"/>
        <family val="2"/>
        <charset val="204"/>
        <scheme val="minor"/>
      </rPr>
      <t>Варёное сгущенное молоко</t>
    </r>
    <r>
      <rPr>
        <sz val="10"/>
        <color theme="1"/>
        <rFont val="Calibri"/>
        <family val="2"/>
        <scheme val="minor"/>
      </rPr>
      <t xml:space="preserve"> Fitelle 100г</t>
    </r>
  </si>
  <si>
    <r>
      <t>Крем-десерт</t>
    </r>
    <r>
      <rPr>
        <b/>
        <sz val="10"/>
        <color theme="1"/>
        <rFont val="Calibri"/>
        <family val="2"/>
        <charset val="204"/>
        <scheme val="minor"/>
      </rPr>
      <t xml:space="preserve"> Сгущенное молоко</t>
    </r>
    <r>
      <rPr>
        <sz val="10"/>
        <color theme="1"/>
        <rFont val="Calibri"/>
        <family val="2"/>
        <scheme val="minor"/>
      </rPr>
      <t xml:space="preserve"> Fitelle 100г</t>
    </r>
  </si>
  <si>
    <r>
      <t xml:space="preserve">Крем-десерт </t>
    </r>
    <r>
      <rPr>
        <b/>
        <sz val="10"/>
        <color theme="1"/>
        <rFont val="Calibri"/>
        <family val="2"/>
        <charset val="204"/>
        <scheme val="minor"/>
      </rPr>
      <t>Сгущённое молоко со вкусом Карамели</t>
    </r>
    <r>
      <rPr>
        <sz val="10"/>
        <color theme="1"/>
        <rFont val="Calibri"/>
        <family val="2"/>
        <scheme val="minor"/>
      </rPr>
      <t xml:space="preserve"> Fitelle 100г</t>
    </r>
  </si>
  <si>
    <t>http://1.c8804.nichost.ru/pics/18206.jpg</t>
  </si>
  <si>
    <t>http://1.c8804.nichost.ru/pics/16161.jpg</t>
  </si>
  <si>
    <t>пищевые волокна цикория, экстракт лоу ан гоу, экстракт годжи, экстракт коктинеи, экстракт ананаса (бромелайн 300МЕ).</t>
  </si>
  <si>
    <t>http://1.c8804.nichost.ru/pics/17098.jpg</t>
  </si>
  <si>
    <t>http://1.c8804.nichost.ru/pics/16716.jpg</t>
  </si>
  <si>
    <t>http://1.c8804.nichost.ru/pics/16717.jpg</t>
  </si>
  <si>
    <t>мука из семян льна, сахар, порошок клубники сублимированной, смесь камеди акации и ксантановой камеди, лимонная кислота</t>
  </si>
  <si>
    <t>мука из семян льна, сахар, мякоть тыквы, протеин подсолнечника, смесь камеди акации и ксантановой камеди, лимонная кислота</t>
  </si>
  <si>
    <r>
      <t xml:space="preserve">Кисель льняной </t>
    </r>
    <r>
      <rPr>
        <b/>
        <sz val="10"/>
        <rFont val="Calibri"/>
        <family val="2"/>
        <scheme val="minor"/>
      </rPr>
      <t>с тыквой и протеином</t>
    </r>
    <r>
      <rPr>
        <sz val="10"/>
        <rFont val="Calibri"/>
        <family val="2"/>
        <scheme val="minor"/>
      </rPr>
      <t xml:space="preserve"> 150г</t>
    </r>
  </si>
  <si>
    <t>http://1.c8804.nichost.ru/pics/19070.jpg</t>
  </si>
  <si>
    <t>http://1.c8804.nichost.ru/pics/19014.jpg</t>
  </si>
  <si>
    <t>http://1.c8804.nichost.ru/pics/16913.jpg</t>
  </si>
  <si>
    <t>http://1.c8804.nichost.ru/pics/16914.jpg</t>
  </si>
  <si>
    <t>http://1.c8804.nichost.ru/pics/16911.jpg</t>
  </si>
  <si>
    <t>заменитель сухого молочного продукта (кукурузный сироп, кокосовое масло, казеинат натрия, калия фосфаты), сахар тростниковый, экстракт кедрового ореха, цикорий, экстракт красного корня, экстракт чаги.</t>
  </si>
  <si>
    <t>http://1.c8804.nichost.ru/pics/17871.jpg</t>
  </si>
  <si>
    <t>http://1.c8804.nichost.ru/pics/15124.jpg</t>
  </si>
  <si>
    <t>Мука пшеничная высшего сорта</t>
  </si>
  <si>
    <t>http://1.c8804.nichost.ru/pics/18759.jpg</t>
  </si>
  <si>
    <t>http://1.c8804.nichost.ru/pics/17557.jpg</t>
  </si>
  <si>
    <t>http://1.c8804.nichost.ru/pics/17548.jpg</t>
  </si>
  <si>
    <t>http://1.c8804.nichost.ru/pics/11881.jpg</t>
  </si>
  <si>
    <t>http://1.c8804.nichost.ru/pics/17458.jpg</t>
  </si>
  <si>
    <t>http://1.c8804.nichost.ru/pics/17296.jpg</t>
  </si>
  <si>
    <t>http://1.c8804.nichost.ru/pics/13682.jpg</t>
  </si>
  <si>
    <t>http://1.c8804.nichost.ru/pics/11883.jpg</t>
  </si>
  <si>
    <t>http://1.c8804.nichost.ru/pics/12619.jpg</t>
  </si>
  <si>
    <t>http://1.c8804.nichost.ru/pics/19442.jpg</t>
  </si>
  <si>
    <t>http://1.c8804.nichost.ru/pics/19443.jpg</t>
  </si>
  <si>
    <t>хлопья овсяные, мука пшеничная обойная, отруби овсяные, фруктоза, масло подсолнечное, семя льна, изюм, порошок черники, сухое молоко, яичный порошок, вода, соль пищевая поваренная, корица, ванилин, сода пищевая (разрыхлитель), лимонная кислота</t>
  </si>
  <si>
    <t>Мука пшеничная обойная, вода питьевая изюм, масло рапсовое,  стевия, закваска (мука ржаная, вода),  соль пищевая  поваренная</t>
  </si>
  <si>
    <t>крошка сухарная хлебная, солод ржаной сухой ферментированный, облепиха сушеная, калина сушеная</t>
  </si>
  <si>
    <t>крошка сухарная хлебная, солод ржаной сухой ферментированный, солод ячменный, клюква сушеная, черника сушеная</t>
  </si>
  <si>
    <t>http://1.c8804.nichost.ru/pics/13069.jpg</t>
  </si>
  <si>
    <t>http://1.c8804.nichost.ru/pics/13070.jpg</t>
  </si>
  <si>
    <t>мука пшеничная цельнозерновая (обойная), вода</t>
  </si>
  <si>
    <t>http://1.c8804.nichost.ru/pics/15489.jpg</t>
  </si>
  <si>
    <t>http://1.c8804.nichost.ru/pics/16272.jpg</t>
  </si>
  <si>
    <t>http://1.c8804.nichost.ru/pics/12383.jpg</t>
  </si>
  <si>
    <t>http://1.c8804.nichost.ru/pics/16083.jpg</t>
  </si>
  <si>
    <t>http://1.c8804.nichost.ru/pics/19461.jpg</t>
  </si>
  <si>
    <t>Мука пшеничная хлебопекарная 1 сорта</t>
  </si>
  <si>
    <t>Мука пшеничная хлебопекарная 2 сорта</t>
  </si>
  <si>
    <t>Мука пшеничная цельнозерновая</t>
  </si>
  <si>
    <t>Мука ржаная цельнозерновая</t>
  </si>
  <si>
    <t>Мука гречневая цельнозерновая из зеленой гречихи</t>
  </si>
  <si>
    <t>Мука гречневая цельнозерновая</t>
  </si>
  <si>
    <t>Мука кукурузная цельнозерновая</t>
  </si>
  <si>
    <t>Мука нутовая цельнозерновая</t>
  </si>
  <si>
    <t>Мука полбяная цельнозерновая</t>
  </si>
  <si>
    <t>Мука рисовая цельнозерновая</t>
  </si>
  <si>
    <t>http://1.c8804.nichost.ru/pics/19458.jpg</t>
  </si>
  <si>
    <t>http://1.c8804.nichost.ru/pics/19452.jpg</t>
  </si>
  <si>
    <t>http://1.c8804.nichost.ru/pics/19459.jpg</t>
  </si>
  <si>
    <t>http://1.c8804.nichost.ru/pics/19460.jpg</t>
  </si>
  <si>
    <t>http://1.c8804.nichost.ru/pics/19462.jpg</t>
  </si>
  <si>
    <t>http://1.c8804.nichost.ru/pics/19454.jpg</t>
  </si>
  <si>
    <t>http://1.c8804.nichost.ru/pics/19457.jpg</t>
  </si>
  <si>
    <t>http://1.c8804.nichost.ru/pics/19453.jpg</t>
  </si>
  <si>
    <t>http://1.c8804.nichost.ru/pics/19455.jpg</t>
  </si>
  <si>
    <t>http://1.c8804.nichost.ru/pics/19456.jpg</t>
  </si>
  <si>
    <t>http://1.c8804.nichost.ru/pics/19451.jpg</t>
  </si>
  <si>
    <t>Зёрна овса, пшеницы, ячменя, ржи пророщенные, плющенные</t>
  </si>
  <si>
    <t>http://1.c8804.nichost.ru/pics/15087.jpg</t>
  </si>
  <si>
    <t>http://1.c8804.nichost.ru/pics/15088.jpg</t>
  </si>
  <si>
    <t>http://1.c8804.nichost.ru/pics/13487.jpg</t>
  </si>
  <si>
    <t>Хлопья полбы</t>
  </si>
  <si>
    <t>http://1.c8804.nichost.ru/pics/13486.jpg</t>
  </si>
  <si>
    <t>Цельнозерновая мука полбы, вода</t>
  </si>
  <si>
    <t>http://1.c8804.nichost.ru/pics/13602.jpg</t>
  </si>
  <si>
    <t>http://1.c8804.nichost.ru/pics/13601.jpg</t>
  </si>
  <si>
    <t>Цельнозерновая мука полбы 40%, какао-порошок натуральный, мука пшеничная, солод пшеничный, сахар тростниковый, крахмал пшеничный, соль</t>
  </si>
  <si>
    <t>http://1.c8804.nichost.ru/pics/14557.jpg</t>
  </si>
  <si>
    <t>мука полбы цельнозерновая, абрикос сушеный, патока, вода, масло соевое рафинированное дезодорированное, лецитин соевый, растительные пшеничные волокна, сода пищевая, соль морская.</t>
  </si>
  <si>
    <t>мука полбы цельнозерновая, масло кокосовое рафинированное дезодорированное, подсластитель мальтит, малина сублимированная, молоко кокосовое, масло соевое рафинированное дезодорированное, растительные пшеничные волокна, соевый лецитин, сода пищевая, соль морская</t>
  </si>
  <si>
    <t>Финиковая паста, Шоколад горький без сахара, мука полбы цельнозерновая, патока крахмальная, натуральный апельсиновый сок концентрированный, масло соевое рафинированное дезодорированное, лецитин соевый, растительные пшеничные волокна, натуральное апельсиновое масло, сода пищевая, соль морская, натуральные подсластители мальтит и экстракт стевии</t>
  </si>
  <si>
    <t>шоколад молочный без сахара, мука полбы цельнозерновая, кокосовое масло рафинированное дезодорированное, сухое обезжиренное молоко, растительные пшеничные волокна, лецитин соевый, сода пищевая, соль морская, натуральные подсластители мальтит и экстракт стевии</t>
  </si>
  <si>
    <t>http://1.c8804.nichost.ru/pics/19922.jpg</t>
  </si>
  <si>
    <t>начинка какаосодержащая, изомальт, какао-порошок, сыворотка сухая молочная деминирализованная, мальтодекстрин, порошок плодоврожкового дерева, молоко сухое обезжиринное, эмульгатор лецитин соевый, подсластитель стевиозид, ароматизатор ванилин, мука рисовая грубого помола, мука амарантовая грубого помола, мука кукурузная тонкого помола , вода питьевая, какао-порошок, топинамбур сушеный,соль, смесь витаминно-минеральная ""Колос-форте"</t>
  </si>
  <si>
    <t>начинка кондитерская без сахара белая,  изомальт, какао-порошок, сыворотка сухая молочная деминирализованная, мальтодекстрин, порошок плодоврожкового дерева, молоко сухое обезжиринное, эмульгатор лецитин соевый, подсластитель стевиозид, ароматизатор ванилин, мука рисовая грубого помола, мука амарантовая грубого помола, мука кукурузная тонкого помола , вода питьевая, какао-порошок, топинамбур сушеный,соль, смесь витаминно-минеральная ""Колос-форте"</t>
  </si>
  <si>
    <t>подсластитель - изомальт, патока пюре яблочное, белок яичный, желирующий агент - пектин, регулятор кислотности - кислота молочная, влагоудерживающий агент - лактат натрия, ароматизатор - ""Яблоко"", краситель натуральный - хлорофилл, подсластитель - экстракт стевии(стевиозид)</t>
  </si>
  <si>
    <t>патока, вода питьевая, подсластитель изомальт, пектин, лактат натрия, регулятор кислотности кислота лимонная, краситель - кармин, ароматизатор ""Вишня"", консервант - сорбат калия, подсластитель экстракт стевии</t>
  </si>
  <si>
    <t>патока, изомальт, загуститель-пектин, регулятор кислотности-кислота лимонная, влагоудерживающий агент-лактат натрия, ароматизатор «Лимон», краситель пищевой, подсластитель-стевия</t>
  </si>
  <si>
    <t>http://1.c8804.nichost.ru/pics/15943.jpg</t>
  </si>
  <si>
    <t>начинка кондитерская без сахара белая , подсластитель изомальт, мальтодекстрин, сыворотка сухая молочная деминерализованная, сухое молоко обезжиренное, сливки сухие молочные, эмульгатор лецитин соевый, подсластитель экстракт стевии (стевиолгликозиды), ароматизатор: сливки, ваниль, мука рисовая грубого помола, мука кукурузная тонкого помола , мука амарантовая грубого помола, вода питьевая. какао - порошок, топинамбур сушеный, соль, смесь витаминно-минеральная ""Колос-форте</t>
  </si>
  <si>
    <t>начинка какаосодержащая, подсластитель изомальт, какао-порошок сыворотка сухая молочная деминерализованная, мальтодекстрин, порошок плодов рожкового дерева, сухое молоко обезжиренное, эмульгатор лецитин соевый, подсластитель экстракт стевии, ароматизатор ваниль, мука рисовая грубого помола, мука кукурузная тонкого помола , мука амарантовая грубого помола, вода питьевая. какао - порошок, топинамбур сушеный, соль, смесь витаминно-минеральная ""Колос-форте""</t>
  </si>
  <si>
    <t>мука кукурузная крупного помола, подсластитель изомальт, мука рисовая грубого помола, маргарин, вода, эмульгаторы, соль, консерванты (сорбиновая кислота, бензонат натрия, ароматизатор, краситель - каротин, регулятор кислотности - лимонная кислота), крахмал кукурузный, вода питьевая, мука амарантовая грубого помола, порошок яичный, топинамбур сушеный молотый, соль, разрыхлитель гидрокарбонат натрия, ароматизатор ванилин, ксантановая камедь, подсластитель экстракт стевии (стевиолгликозиды)</t>
  </si>
  <si>
    <t>мука кукурузная крупного помола, маргарин, подсластитель изомальт, вода питьевая, крахмал кукурузный, мука амарантовая грубого помола, волокна пищевые цитрусовые, яичный порошок, топинамбур сушеный, ароматизатор ванилин, соль, загуститель ксантовая камедь, эмульгатор гуровая камедь, подсластитель экстракт стевии(стевиолгликозиды) джем клубничный, вода питьевая, глицерин, загуститель крахмал кукурузный модифицированный, ароматизатор ""клубника"", краситель кармин, консервант сорбат калия</t>
  </si>
  <si>
    <t>кукурузная мука тонкого помола, апиоковый крахмал нативный, кукурузный крахмал высшего сорта , амарантовая мука грубого помола, топинамбур сушеный , эмульгатор моно- и диглицериды жирных кислот</t>
  </si>
  <si>
    <t>Мука рисовая (бурый рис) цельносмолотая 500гр</t>
  </si>
  <si>
    <t>виноград сушеный без косточки, мука овсяная, масло рапсовое, сок черносмородиновый концентрированный, сок яблочный концентрированный, малина сушеная (порошок), антиокислители (аскорбиновая кислота, смесь токоферолов), натуральный ароматизатор</t>
  </si>
  <si>
    <t>http://1.c8804.nichost.ru/pics/20283.jpg</t>
  </si>
  <si>
    <t>100% масло рисовых отрубей</t>
  </si>
  <si>
    <t>Сахар, патока крахмальная, кедровое масло, кедровая живица, облепиховое масло, растительный экстракт календулы, регулятор кислотности: лимонная кислота, аскорбиновая кислота; растительный экстракт абрикоса</t>
  </si>
  <si>
    <t>Сахар, патока крахмальная, кедровое масло, кедровая живица, прополис, экстракт шалфея, регулятор кислотности: лимонная кислота, аскорбиновая кислота, растительный экстракт брусники, растительный экстракт розмарина, ароматизатор натуральный: масло шалфея</t>
  </si>
  <si>
    <t>Подсластитель изомальт, патока крахмальная, мёд натуральный, кедровое масло, кедровая живица, регулятор кислотности: лимонная кислота, аскорбиновая кислота; сухой экстракт липы, растительный экстракт грейпфрута</t>
  </si>
  <si>
    <t>Подсластитель изомальт, патока крахмальная, растительный экстракт эхинацеи, кедровое масло, кедровая живица, регулятор кислотности: лимонная кислота, аскорбиновая кислота; растительный экстракт гибискуса (каркаде), растительный экстракт малины</t>
  </si>
  <si>
    <t>Подсластитель изомальт, патока крахмальная, растительный экстракт эхинацеи, кедровое масло, кедровая живица, регулятор кислотности: лимонная кислота, аскорбиновая кислота; ароматизатор пищевой: мятное масло, ментол; растительный экстракт лимона и лайма, краситель натуральный: хлорофилл</t>
  </si>
  <si>
    <t>мёд, кедровое масло, Живица (смола) кедра, натуральный экстракт масла лимона, натуральный экстракт имбиря</t>
  </si>
  <si>
    <t>мёд, кедровое масло, Живица (смола) кедра, натуральный экстракт липы</t>
  </si>
  <si>
    <t>мёд, кедровое масло, Живица (смола) кедра, натуральный аромитазтор ананас, ароматизатор лимон-лайм</t>
  </si>
  <si>
    <t>мёд, кедровое масло, Живица (смола) кедра, натуральный экстракт ромашки, натуральный экстракт мелиссы</t>
  </si>
  <si>
    <t>живица кедра, кедровое масло, прополис, облепиховое масло, витамин С.</t>
  </si>
  <si>
    <t>Живица, Кедровое масло, Прополис , Мед, Изомальт</t>
  </si>
  <si>
    <t>Леденцы с облепихой и мёдом 10x3,2г</t>
  </si>
  <si>
    <t xml:space="preserve">омыленное масло кокоса, стеариновая кислота, бетаин, глицерин, пропиленгликоль, вода, соль, экстракт зверобоя, каменное масло, эфирное масло лаванды. </t>
  </si>
  <si>
    <t xml:space="preserve">омыленное масло кокоса, стеариновая кислота, бетаин, глицерин, пропиленгликоль, вода, соль, телецкая красная глина, эфирное масло чайного дерева. </t>
  </si>
  <si>
    <t>органическая мыльная основа, липовый мёд.</t>
  </si>
  <si>
    <t>вода, подсластитель эритрит, мальтодекстрин,загуститель ксантановая камедь (природный полисахарид), природный консервант сорбиновая кислота, регулятор кислотности лимонная кислота,ванильный экстракт, подсластитель экстракт стевии</t>
  </si>
  <si>
    <t>Вода, ананас, подсластитель эритрит, перец красный сладкий, уксус натуральный, чеснок, загуститель ксантановая камедь, соль, масло оливковое, имбирь свежий, перец чили, регулятор кислотности лимонная кислота, консервант сорбиновая кислота, смесь специй, растительный экстракт Луо Хан Гуо</t>
  </si>
  <si>
    <t>http://1.c8804.nichost.ru/pics/20309.jpg</t>
  </si>
  <si>
    <t>Меланж, протеиновый комплекс (концентрат молочного белка, белок яичный), наполнитель полидекстроза, вода питьевая, миндальная мука, изюм, масло сливочное, влагоудерживающий агент глицерин, какао-порошок, инулин, овсяная мука, сухое молоко ,начинка шоколадная, эмульгатор лецитин, разрыхлитель сода пищевая, регулятор кислотности лимонная кислота, ароматизаторы натуральные (шоколад, ваниль)</t>
  </si>
  <si>
    <t>Меланж, протеиновый комплекс (концентрат молочного белка, белок яичный), мак, наполнитель полидекстроза, вода питьевая, миндальная мука, масло сливочное, влагоудерживающий агент глицерин, натуральный пребиотик инулин, овсяная мука, сухое молоко, начинка маковая, разрыхлитель сода пищевая, экстракт Монах фрукта, соль, консервант сорбат калия, регулятор кислотности лимонная кислота, ароматизатор натуральный ваниль</t>
  </si>
  <si>
    <t>Меланж, морковь, протеиновый комплекс (концентрат молочного белка, белок яичный), наполнитель полидекстроза, вода питьевая, миндальная мука, кешью, масло сливочное, инулин, овсяная мука, влагоудерживающий агент глицерин, сухое молоко , начинка сливочная, экстракт Монах фрукта, соль, консервант сорбат калия, регулятор кислотности лимонная кислота, ароматизаторы натуральные (морковь, ваниль)</t>
  </si>
  <si>
    <t>Овсяные хлопья, медовые гранулы гречишные</t>
  </si>
  <si>
    <t>Овсяные хлопья без глютена</t>
  </si>
  <si>
    <t>Овсяные хлопья без глютена органические</t>
  </si>
  <si>
    <t>Овсяные хлопья, сублимированная клубника</t>
  </si>
  <si>
    <t>Овсяные хлопья, сублимированная малина</t>
  </si>
  <si>
    <t>Овсяные хлопья, сублимированная вишня</t>
  </si>
  <si>
    <t>Овсяные хлопья, шоколад</t>
  </si>
  <si>
    <t>Овсяные хлопья, сублимированное яблоко</t>
  </si>
  <si>
    <t>солод ржаной</t>
  </si>
  <si>
    <t>овёс голозёрный</t>
  </si>
  <si>
    <t>Пшеница</t>
  </si>
  <si>
    <t>Финики сушеные,изюм, инжир сушеный, семена тыквы, семена подсолнечника, арахис жареный</t>
  </si>
  <si>
    <t>Финики сушеные, абрикосы сушеные, изюм, семена тыквы, семена подсолнечника, бразильский орех</t>
  </si>
  <si>
    <t>Финики сушеные, клюква сушеная, изюм, семена тыквы, семена подсолнечника, бразильский орех</t>
  </si>
  <si>
    <t>Финики сушеные, изюм, семена тыквы, семена подсолнечника, кешью, клубника сушеная, ароматизатор натуральный</t>
  </si>
  <si>
    <t>запеченные хрустящие мюсли (цельнозерновые овсяные хлопья, растительные пищевые волокна, овсяные и пшеничные отруби, пшеничная и рисовая мука, подсолнечное масло, подсластитель натуральный эритрит - из растительного сырья, ячменный солод, соль), сушеные ягоды: земляника, черника</t>
  </si>
  <si>
    <t>запеченные хрустящие мюсли (цельнозерновые овсяные хлопья, растительные пищевые волокна, овсяные и пшеничные отруби, пшеничная и рисовая мука, подсолнечное масло, подсластитель натуральный эритрит - из растительного сырья, ячменный солод, соль), кокосовая стружка (или чипсы), семена тыквы, орехи: фундук, миндаль</t>
  </si>
  <si>
    <t>запеченные хрустящие мюсли (цельнозерновые овсяные хлопья, растительные пищевые волокна, овсяные и пшеничные отруби, пшеничная и рисовая мука, подсолнечное масло, подсластитель натуральный эритрит - из растительного сырья, ячменный солод, соль), семена тыквы, сушеные яблоки и брусника, корица</t>
  </si>
  <si>
    <t>запеченные хрустящие мюсли (цельнозерновые овсяные хлопья, тростниковый сахар, подсолнечное масло, какао-порошок, рисовая и пшеничная мука, ячменный солод, цельнозерновые пшеничные хлопья, кокос сушеный, мед, соль), бельгийский темный шоколад (какао тертое, тростниковый сахар, какао масло, эмульгатор натуральный соевый лецитин, ваниль натуральная)</t>
  </si>
  <si>
    <t>запеченные хрустящие мюсли (цельнозерновые овсяные хлопья, растительные пищевые волокна, овсяные и пшеничные отруби, пшеничная и рисовая мука, подсолнечное масло, подсластитель натуральный эритрит - из растительного сырья, ячменный солод, соль), кусочки ананаса и банана сублимационной сушки, кокос сушеный резаный</t>
  </si>
  <si>
    <t>запеченные хрустящие мюсли (цельнозерновые овсяные хлопья, тростниковый сахар, подсолнечное масло, какао-порошок, рисовая и пшеничная мука, ячменный солод, цельнозерновые пшеничные хлопья, кокос сушеный, мед, соль), бельгийский темный шоколад (какао тертое, тростниковый сахар, какао масло, эмульгатор натуральный соевый лецитин, ваниль натуральная), кусочки банана и клубники сублимационной сушки</t>
  </si>
  <si>
    <t>запеченные хрустящие мюсли (хлопья овсяные, растительные пищевые волокна, овсяные и пшеничные отруби, пшеничная и рисовая мука, подсолнечное масло, подсластитель сукралоза - из растительного сырья, ячменный солод, соль), миндальный орех, вишня сушеная</t>
  </si>
  <si>
    <t>хлопья овсяные, овсяный белок PrOatein® (Швеция), отруби овсяные, нектар органической агавы порошкообразный, пищевое волокно из цикория - инулин Fibruline® (Бельгия), темный шоколад (Бельгия), какао-порошок, соль</t>
  </si>
  <si>
    <t>хлопья овсяные, молочный белок, отруби овсяные, нектар агавы порошкообразный,  пищевое волокно из цикория - инулин Fibruline® (Бельгия), ягоды клубники сублимационной сушки, соль, натуральный ароматизатор</t>
  </si>
  <si>
    <t>хлопья овсяные, молочный белок, отруби овсяные, нектар агавы порошкообразный,  пищевое волокно из цикория - инулин Fibruline® (Бельгия), ягоды черники сублимационной сушки, соль, натуральный ароматизатор</t>
  </si>
  <si>
    <t>хлопья овсяные, концентрат молочного белка (Швейцария), отруби овсяные, нектар органической агавы порошкообразный, пищевое волокно из цикория - инулин Fibruline® (Бельгия), яблоки сушеные, соль, натуральный ароматизатор, корица</t>
  </si>
  <si>
    <t>хлопья гречневые, концентрат молочного белка (Швейцария), нектар органической агавы порошкообразный, пищевое волокно из цикория - инулин Fibruline® (Бельгия), соль</t>
  </si>
  <si>
    <t>толокно овсяное, нектар агавы порошкообразный, высокоочищенный изолят горохового белка Pisane® (Бельгия), пищевое волокно из цикория - инулин Fibruline® (Бельгия), бельгийский темный шоколад, банан сушеный измельченный, какао-порошок, натуральный загуститель - ксантановая камедь, ароматизатор</t>
  </si>
  <si>
    <t>толокно овсяное, нектар агавы порошкообразный, высокоочищенный изолят горохового белка Pisane® (Бельгия), пищевое волокно из цикория - инулин Fibruline® (Бельгия), гранулы сока малины, натуральный загуститель - ксантановая камедь, свекла сушеная измельченная, натуральный ароматизатор</t>
  </si>
  <si>
    <t>толокно овсяное, нектар агавы порошкообразный, высокоочищенный изолят горохового белка Pisane® (Бельгия), пищевое волокно из цикория - инулин Fibruline® (Бельгия), какао-порошок, бельгийский темный шоколад, натуральный загуститель - ксантановая камедь, ароматизатор</t>
  </si>
  <si>
    <t>толокно овсяное, нектар агавы порошкообразный, высокоочищенный изолят горохового белка Pisane® (Бельгия), пищевое волокно из цикория - инулин Fibruline® (Бельгия), клубника сушеная измельченная, натуральный загуститель - ксантановая камедь, свекла сушеная измельченная, ароматизатор</t>
  </si>
  <si>
    <t>толокно овсяное, нектар агавы порошкообразный, высокоочищенный изолят горохового белка Pisane® (Бельгия), пищевое волокно из цикория - инулин Fibruline® (Бельгия), гранулы сока черники, натуральный загуститель - ксантановая камедь, свекла сушеная измельченная, ароматизатор</t>
  </si>
  <si>
    <t>хлопья и крахмал картофельные, молочный белок, лесные грибы сушеные, соль, нектар агавы порошкообразный, овощи, лук жареный, сыр натуральный сушеный, шампиньоны сушеные, дрожжевой экстракт, пряности, ароматизатор</t>
  </si>
  <si>
    <t>хлопья и крахмал картофельные, молочный белок, соль, нектар органической агавы порошкообразный, сыр натуральный сушеный, овощи, лук жареный, дрожжевой экстракт, пряности, ароматизатор</t>
  </si>
  <si>
    <t>хлопья и крахмал картофельные, молочный белок, шпинат сушеный, соль, нектар органической агавы порошкообразный, сыр натуральный сушеный, соцветия брокколи сушеные, овощи, лук жареный, пряности, ароматизатор</t>
  </si>
  <si>
    <t>томат сушеный, хлопья и крахмал картофельные, высокоочищенный гороховый белок Pisane® (Бельгия), соль, нектар агавы порошкообразный, свекла сушеная, овощи, базилик сушеный, лук жареный, дрожжевой экстракт, пряности, ароматизатор</t>
  </si>
  <si>
    <t>цикорий натуральный растворимый, цикорий жареный молотый</t>
  </si>
  <si>
    <t>цикорий натуральный растворимый, цикорий жареный молотый, экстракт ягод черники</t>
  </si>
  <si>
    <t>запеченные хрустящие мюсли (цельнозерновые овсяные и пшеничные хлопья, сахар, рисовая и пшеничная мука, солод ячменный, масло растительное, глюкозный сироп, мед натуральный, корица, сахар карамелизованный, соль), виноград сушеный, кокосовые чипсы (кокосовая стружка), яблоки сушеные, фундук</t>
  </si>
  <si>
    <t>запеченные хрустящие мюсли (овсяные и пшеничные хлопья, сахар, рисовая и пшеничная мука, солодовый экстракт, масло растительное, глюкозный сироп, мед натуральный, краситель - сахарный колер I простой, соль), ягоды сушеные: виноград, вишня, клюква</t>
  </si>
  <si>
    <t>запеченные хрустящие мюсли (цельнозерновые овсяные и пшеничные хлопья, сахар, масло растительное, кокосовая стружка, рисовая и пшеничная мука, глюкозный сироп, какао-порошок, ячмень, ячменный солод, мед натуральный, соль), бельгийский темный шоколад (сахар, какао тертое, какао-масло, эмульгатор соевый лецитин, натуральный ароматизатор), кешью</t>
  </si>
  <si>
    <t>запеченные хрустящие мюсли (цельнозерновые овсяные и пшеничные хлопья, сахар, рисовая и пшеничная мука, солодовый экстракт, масло растительное, глюкозный сироп, мед натуральный, краситель - сахарный колер I простой, соль), банановые чипсы, фрукты сушеные: ананас, папайя, манго</t>
  </si>
  <si>
    <t>хлопья овсяные, нектар органической агавы порошкообразный, молоко сухое обезжиренное, инулин Fibruline® (Бельгия), кусочки темного бельгийского шоколада (какао тертое, сахар, декстроза, эмульгатор соевый лецитин), отруби овсяные, соль, ароматизатор</t>
  </si>
  <si>
    <t>хлопья овсяные, нектар органической агавы порошкообразный, молоко сухое обезжиренное, инулин Fibruline® (Бельгия), отруби овсяные, клубника сублимационной сушки, соль, ароматизатор</t>
  </si>
  <si>
    <t>хлопья овсяные, нектар органической агавы порошкообразный, молоко сухое обезжиренное, инулин Fibruline® (Бельгия), отруби овсяные, малина сублимационной сушки, соль, ароматизатор</t>
  </si>
  <si>
    <t>хлопья овсяные, изюм, молоко сухое обезжиренное, инулин Fibruline® (Бельгия), нектар органической агавы порошкообразный, инжир сушеный, отруби овсяные, соль, ароматизатор</t>
  </si>
  <si>
    <t>подсластитель натриевая соль цикламовой кислоты, рызрыхлитель гидрокарбонат натрия (сода пищевая), подсластитель сахарин (натриевая соль), лактоза, регулятор кислотности винная кислота</t>
  </si>
  <si>
    <t>подсластители - эритрит, экстракт листьев стевии</t>
  </si>
  <si>
    <t>цикорий растворимый</t>
  </si>
  <si>
    <t>цикорий натуральный растворимый порошкообразный, цикорий натуральный жареный молотый, пряности</t>
  </si>
  <si>
    <t>фруктоза, цикорий натуральный растворимый порошкообразный, сухой кукурузный сироп, ристительное масло, какао-порошок, ароматизатор, молочный белок</t>
  </si>
  <si>
    <t>http://1.c8804.nichost.ru/pics/18476.jpg</t>
  </si>
  <si>
    <t>http://1.c8804.nichost.ru/pics/18667.jpg</t>
  </si>
  <si>
    <t>http://1.c8804.nichost.ru/pics/17797.jpg</t>
  </si>
  <si>
    <t>Фруктоза, цикорий натуральный растворимый, какао-порошок, шоколад</t>
  </si>
  <si>
    <t>Нутовая мука, кукурузная мука, масло подсолнечное высокоолеиновое рафинированное дезодорированное, ароматизатор натуральный "Грибы и сметана", Соль пищевая морская</t>
  </si>
  <si>
    <t>http://1.c8804.nichost.ru/pics/18898.jpg</t>
  </si>
  <si>
    <t>http://1.c8804.nichost.ru/pics/18900.jpg</t>
  </si>
  <si>
    <t>http://1.c8804.nichost.ru/pics/18895.jpg</t>
  </si>
  <si>
    <t>http://1.c8804.nichost.ru/pics/18901.jpg</t>
  </si>
  <si>
    <t>http://1.c8804.nichost.ru/pics/18899.jpg</t>
  </si>
  <si>
    <t>http://1.c8804.nichost.ru/pics/18896.jpg</t>
  </si>
  <si>
    <t>http://1.c8804.nichost.ru/pics/18897.jpg</t>
  </si>
  <si>
    <t>зеленый чай, отруби (пшеничные), боярышник (плоды и цветки), валериана (корневища), хмель (шишки), мята перечная (листья), липа (цветки), чабрец (трава)</t>
  </si>
  <si>
    <t>мука из отборного зерна твердой пшеницы (дурум) для макаронных изделий высшего сорта, специально подготовленный томат, базилик, вкусоароматическая добавка из натуральных компонентов, фильтрованная вода</t>
  </si>
  <si>
    <t>водная вытяжка из растительного сырья (можжевельника плоды, медуницы лекарственной трава, подорожника большого лист, крапивы двудомной лист, смородины чёрной лист, шиповника плоды, малины обыкновенной лист и плоды), фруктоза, сорбат калия (консервант)</t>
  </si>
  <si>
    <t>водная вытяжка растительного сырья (малины лист и ягода, душицы трава, мяты перечной лист, смородины черной лист и побеги, можжевельника плоды, рябины красной плоды, зверобоя трава, клевера лугового трава), фруктоза, сорбат калия (консервант)</t>
  </si>
  <si>
    <t>водная вытяжка растительного сырья (хмеля обыкновенного соплодия, пустырника трава, душицы обыкновенной трава, боярышника кроваво-красного плоды, зверобоя трава, мяты перечной лист, калины обыкновенной плоды), фруктоза, сорбат калия (консервант)</t>
  </si>
  <si>
    <t>водная вытяжка растительного сырья (хмеля обыкновенного соплодия, шиповника плоды, пустырника трава, душицы обыкновенной трава, зверобоя трава, смородины черной лист и побеги, володушки золотистой трава), фруктоза, сорбат калия (консервант)</t>
  </si>
  <si>
    <t>водная вытяжка растительного сырья (брусники лист, сабельника болотного корневища, лопуха корень, смородины черной лист и ягода, ивы белой кора, одуванчика лекарственного корень), фруктоза, сорбат калия (консервант)</t>
  </si>
  <si>
    <t>мумиё очищенное цельное</t>
  </si>
  <si>
    <t>комплексный экстракт из растительного сырья (эспарцет, дамиана, кора йохимбе, эврикома (Тонгкат Али), горянка), целлюлоза микрокристаллическая, желатин пищевой, аскорбиновая кислота, цитрат цинка, порошок пантов марала, стеарат кальция, холекальциферол</t>
  </si>
  <si>
    <r>
      <t>Смолка жевательная Taiga Gum "</t>
    </r>
    <r>
      <rPr>
        <b/>
        <sz val="10"/>
        <rFont val="Calibri"/>
        <family val="2"/>
        <scheme val="minor"/>
      </rPr>
      <t>Immuno</t>
    </r>
    <r>
      <rPr>
        <sz val="10"/>
        <rFont val="Calibri"/>
        <family val="2"/>
        <scheme val="minor"/>
      </rPr>
      <t xml:space="preserve">" для иммунитета </t>
    </r>
    <r>
      <rPr>
        <b/>
        <sz val="10"/>
        <rFont val="Calibri"/>
        <family val="2"/>
        <scheme val="minor"/>
      </rPr>
      <t>№5*8г</t>
    </r>
  </si>
  <si>
    <r>
      <t>Смолка жевательная Taiga Gum "</t>
    </r>
    <r>
      <rPr>
        <b/>
        <sz val="10"/>
        <rFont val="Calibri"/>
        <family val="2"/>
        <scheme val="minor"/>
      </rPr>
      <t>Relax</t>
    </r>
    <r>
      <rPr>
        <sz val="10"/>
        <rFont val="Calibri"/>
        <family val="2"/>
        <scheme val="minor"/>
      </rPr>
      <t xml:space="preserve">" антистресс, релакс </t>
    </r>
    <r>
      <rPr>
        <b/>
        <sz val="10"/>
        <rFont val="Calibri"/>
        <family val="2"/>
        <scheme val="minor"/>
      </rPr>
      <t>№5*8г</t>
    </r>
  </si>
  <si>
    <t>водный экстракт сосновых шишек, фундук, патока, сахар, концентрированный сок лимона</t>
  </si>
  <si>
    <t>водный экстракт сосновых шишек, грецкий орех, патока, сахар, концентрированный сок лимона</t>
  </si>
  <si>
    <t>водный экстракт сосновых шишек, кедровый орех, патока, сахар, концентрированный сок лимона</t>
  </si>
  <si>
    <t>водный экстракт сосновых шишек, миндаль, патока, сахар, концентрированный сок лимона</t>
  </si>
  <si>
    <t>листья иван-чая ферментированные, чабрец</t>
  </si>
  <si>
    <r>
      <t xml:space="preserve">Иван-чай с </t>
    </r>
    <r>
      <rPr>
        <b/>
        <sz val="10"/>
        <color theme="1"/>
        <rFont val="Calibri"/>
        <family val="2"/>
        <charset val="204"/>
        <scheme val="minor"/>
      </rPr>
      <t>брусникой</t>
    </r>
    <r>
      <rPr>
        <sz val="10"/>
        <color theme="1"/>
        <rFont val="Calibri"/>
        <family val="2"/>
        <scheme val="minor"/>
      </rPr>
      <t xml:space="preserve"> ферментированный, пачка 50г</t>
    </r>
  </si>
  <si>
    <t>Иван-чай ферменитированный, пачка 50г</t>
  </si>
  <si>
    <r>
      <t xml:space="preserve">Иван-чай с </t>
    </r>
    <r>
      <rPr>
        <b/>
        <sz val="10"/>
        <color theme="1"/>
        <rFont val="Calibri"/>
        <family val="2"/>
        <charset val="204"/>
        <scheme val="minor"/>
      </rPr>
      <t>клюквой</t>
    </r>
    <r>
      <rPr>
        <sz val="10"/>
        <color theme="1"/>
        <rFont val="Calibri"/>
        <family val="2"/>
        <scheme val="minor"/>
      </rPr>
      <t xml:space="preserve"> ферментированный, пачка 50г</t>
    </r>
  </si>
  <si>
    <r>
      <t xml:space="preserve">Иван-чай с </t>
    </r>
    <r>
      <rPr>
        <b/>
        <sz val="10"/>
        <color theme="1"/>
        <rFont val="Calibri"/>
        <family val="2"/>
        <charset val="204"/>
        <scheme val="minor"/>
      </rPr>
      <t>липовым цветом</t>
    </r>
    <r>
      <rPr>
        <sz val="10"/>
        <color theme="1"/>
        <rFont val="Calibri"/>
        <family val="2"/>
        <scheme val="minor"/>
      </rPr>
      <t xml:space="preserve"> ферментированный, пачка 50г</t>
    </r>
  </si>
  <si>
    <r>
      <t xml:space="preserve">Иван-чай с </t>
    </r>
    <r>
      <rPr>
        <b/>
        <sz val="10"/>
        <color theme="1"/>
        <rFont val="Calibri"/>
        <family val="2"/>
        <charset val="204"/>
        <scheme val="minor"/>
      </rPr>
      <t>малиной</t>
    </r>
    <r>
      <rPr>
        <sz val="10"/>
        <color theme="1"/>
        <rFont val="Calibri"/>
        <family val="2"/>
        <scheme val="minor"/>
      </rPr>
      <t xml:space="preserve"> ферментированный, пачка 50г</t>
    </r>
  </si>
  <si>
    <r>
      <t xml:space="preserve">Иван-чай с </t>
    </r>
    <r>
      <rPr>
        <b/>
        <sz val="10"/>
        <color theme="1"/>
        <rFont val="Calibri"/>
        <family val="2"/>
        <charset val="204"/>
        <scheme val="minor"/>
      </rPr>
      <t>облепихой</t>
    </r>
    <r>
      <rPr>
        <sz val="10"/>
        <color theme="1"/>
        <rFont val="Calibri"/>
        <family val="2"/>
        <scheme val="minor"/>
      </rPr>
      <t xml:space="preserve"> ферментированный, пачка 50г</t>
    </r>
  </si>
  <si>
    <r>
      <t>Иван-чай со</t>
    </r>
    <r>
      <rPr>
        <b/>
        <sz val="10"/>
        <color theme="1"/>
        <rFont val="Calibri"/>
        <family val="2"/>
        <charset val="204"/>
        <scheme val="minor"/>
      </rPr>
      <t xml:space="preserve"> смородиной</t>
    </r>
    <r>
      <rPr>
        <sz val="10"/>
        <color theme="1"/>
        <rFont val="Calibri"/>
        <family val="2"/>
        <scheme val="minor"/>
      </rPr>
      <t xml:space="preserve"> ферментированный, пачка 50г</t>
    </r>
  </si>
  <si>
    <r>
      <t xml:space="preserve">Иван-чай с </t>
    </r>
    <r>
      <rPr>
        <b/>
        <sz val="10"/>
        <color theme="1"/>
        <rFont val="Calibri"/>
        <family val="2"/>
        <charset val="204"/>
        <scheme val="minor"/>
      </rPr>
      <t>чабрецом</t>
    </r>
    <r>
      <rPr>
        <sz val="10"/>
        <color theme="1"/>
        <rFont val="Calibri"/>
        <family val="2"/>
        <scheme val="minor"/>
      </rPr>
      <t xml:space="preserve"> ферментированный, пачка 50г</t>
    </r>
  </si>
  <si>
    <t>листья мяты перечной</t>
  </si>
  <si>
    <t>цветки ромашки аптечной</t>
  </si>
  <si>
    <t>зеленый чай, эхинацея (трава), мелисса (трава), шиповник (плоды), зверобой (трава), черная смородина (лист), отруби (пшеничные)</t>
  </si>
  <si>
    <t>зеленый чай, рябина (плоды), черника (лист), шиповник (плоды), мята (лист), крапива (лист), отруби (пшеничные)</t>
  </si>
  <si>
    <t>зеленый чай, шиповник (плоды), одуванчик (корень), фенхель (семена), кукурузные рыльца, ортосифон тычиночный, стевия (трава), отруби (пшеничные)</t>
  </si>
  <si>
    <t>зеленый чай, створки фасоли, репешок (трава), одуванчик (корень), толокнянка (лист), стевия (трава), черника (лист), отруби (пшеничные)</t>
  </si>
  <si>
    <t>листья иван-чая (кипрей узколистный, Epilobium angustifolium L.) ферментированные</t>
  </si>
  <si>
    <t>хлопья  из овса пророщенного плющенного, хлопья из пшеницы пророщенной плющенной, семя льна пророщенное</t>
  </si>
  <si>
    <t>хлопья цельнозерновые с проростками из пшеницы, хлопья цельнозерновые с проростками из ржи, хлопья цельнозерновые с проростками из овса, хлопья цельнозерновые с проростками из ячменя, хлопья пшеничные, хлопья гречишные, хлопья рисовые</t>
  </si>
  <si>
    <t>хлопья цельнозерновые с проростками из пшеницы, хлопья цельнозерновые с проростками из ржи, семена льна пророщенные, хлопья цельнозерновые с проростками из овса, хлопья цельнозерновые с проростками из ячменя, семена кунжута черного, семена чиа.</t>
  </si>
  <si>
    <t>Пророщенная зеленая гречка</t>
  </si>
  <si>
    <t>хлопья цельнозерновые с проростками из пшеницы, банан сушеный резаный в рисовой обсыпке (банан сушеный, мука рисовая), клубника сушеная резаная в рисовой обсыпке (клубника сушеная, мука рисовая)</t>
  </si>
  <si>
    <t>хлопья цельнозерновые с проростками из пшеницы, тыква сушеная резаная без кожуры, чернослив сушеный резаный в рисовой обсыпке (чернослив сушеный, мука рисовая)</t>
  </si>
  <si>
    <r>
      <t xml:space="preserve">Каша овсяная "Vita" ц/з овёс </t>
    </r>
    <r>
      <rPr>
        <b/>
        <sz val="10"/>
        <color theme="1"/>
        <rFont val="Calibri"/>
        <family val="2"/>
        <charset val="204"/>
        <scheme val="minor"/>
      </rPr>
      <t>яблоко с корицей</t>
    </r>
    <r>
      <rPr>
        <sz val="10"/>
        <color theme="1"/>
        <rFont val="Calibri"/>
        <family val="2"/>
        <scheme val="minor"/>
      </rPr>
      <t xml:space="preserve"> 210г</t>
    </r>
  </si>
  <si>
    <r>
      <t xml:space="preserve">Каша овсяная "Vita" </t>
    </r>
    <r>
      <rPr>
        <b/>
        <sz val="10"/>
        <color theme="1"/>
        <rFont val="Calibri"/>
        <family val="2"/>
        <charset val="204"/>
        <scheme val="minor"/>
      </rPr>
      <t>овёс</t>
    </r>
    <r>
      <rPr>
        <sz val="10"/>
        <color theme="1"/>
        <rFont val="Calibri"/>
        <family val="2"/>
        <scheme val="minor"/>
      </rPr>
      <t xml:space="preserve"> пророщенное зерно 300г</t>
    </r>
  </si>
  <si>
    <r>
      <t>Каша живая "Vita" "</t>
    </r>
    <r>
      <rPr>
        <b/>
        <sz val="10"/>
        <rFont val="Calibri"/>
        <family val="2"/>
        <charset val="204"/>
        <scheme val="minor"/>
      </rPr>
      <t>3 злака</t>
    </r>
    <r>
      <rPr>
        <sz val="10"/>
        <rFont val="Calibri"/>
        <family val="2"/>
        <charset val="204"/>
        <scheme val="minor"/>
      </rPr>
      <t>" хлопья овёс, пшеница, лён 300г</t>
    </r>
  </si>
  <si>
    <r>
      <t>Каша живая "Vita" "</t>
    </r>
    <r>
      <rPr>
        <b/>
        <sz val="10"/>
        <color theme="1"/>
        <rFont val="Calibri"/>
        <family val="2"/>
        <charset val="204"/>
        <scheme val="minor"/>
      </rPr>
      <t>3 злака</t>
    </r>
    <r>
      <rPr>
        <sz val="10"/>
        <color theme="1"/>
        <rFont val="Calibri"/>
        <family val="2"/>
        <scheme val="minor"/>
      </rPr>
      <t>" пророщенное зерно 300г</t>
    </r>
  </si>
  <si>
    <r>
      <t>Каша живая "Vita" "</t>
    </r>
    <r>
      <rPr>
        <b/>
        <sz val="10"/>
        <color theme="1"/>
        <rFont val="Calibri"/>
        <family val="2"/>
        <charset val="204"/>
        <scheme val="minor"/>
      </rPr>
      <t>4 злака</t>
    </r>
    <r>
      <rPr>
        <sz val="10"/>
        <color theme="1"/>
        <rFont val="Calibri"/>
        <family val="2"/>
        <scheme val="minor"/>
      </rPr>
      <t>" пророщенное зерно 300г</t>
    </r>
  </si>
  <si>
    <r>
      <t>Каша живая "Vita" "</t>
    </r>
    <r>
      <rPr>
        <b/>
        <sz val="10"/>
        <color theme="1"/>
        <rFont val="Calibri"/>
        <family val="2"/>
        <charset val="204"/>
        <scheme val="minor"/>
      </rPr>
      <t>4 злака</t>
    </r>
    <r>
      <rPr>
        <sz val="10"/>
        <color theme="1"/>
        <rFont val="Calibri"/>
        <family val="2"/>
        <scheme val="minor"/>
      </rPr>
      <t>" с абрикосом 210г</t>
    </r>
  </si>
  <si>
    <r>
      <t>Каша живая "Vita" "</t>
    </r>
    <r>
      <rPr>
        <b/>
        <sz val="10"/>
        <color theme="1"/>
        <rFont val="Calibri"/>
        <family val="2"/>
        <charset val="204"/>
        <scheme val="minor"/>
      </rPr>
      <t>5 злаков</t>
    </r>
    <r>
      <rPr>
        <sz val="10"/>
        <color theme="1"/>
        <rFont val="Calibri"/>
        <family val="2"/>
        <scheme val="minor"/>
      </rPr>
      <t>" МИКС пророщенное зерно+хлопья 300г</t>
    </r>
  </si>
  <si>
    <r>
      <t>Каша живая "Vita" "</t>
    </r>
    <r>
      <rPr>
        <b/>
        <sz val="10"/>
        <color theme="1"/>
        <rFont val="Calibri"/>
        <family val="2"/>
        <charset val="204"/>
        <scheme val="minor"/>
      </rPr>
      <t>5 злаков</t>
    </r>
    <r>
      <rPr>
        <sz val="10"/>
        <color theme="1"/>
        <rFont val="Calibri"/>
        <family val="2"/>
        <scheme val="minor"/>
      </rPr>
      <t>" с изюмом и орехами 210г</t>
    </r>
  </si>
  <si>
    <r>
      <t>Каша живая "Vita" "</t>
    </r>
    <r>
      <rPr>
        <b/>
        <sz val="10"/>
        <color theme="1"/>
        <rFont val="Calibri"/>
        <family val="2"/>
        <charset val="204"/>
        <scheme val="minor"/>
      </rPr>
      <t>6 злаков</t>
    </r>
    <r>
      <rPr>
        <sz val="10"/>
        <color theme="1"/>
        <rFont val="Calibri"/>
        <family val="2"/>
        <scheme val="minor"/>
      </rPr>
      <t>" МИКС пророщенное зерно+хлопья 300г</t>
    </r>
  </si>
  <si>
    <r>
      <t>Каша живая "Vita" "</t>
    </r>
    <r>
      <rPr>
        <b/>
        <sz val="10"/>
        <color theme="1"/>
        <rFont val="Calibri"/>
        <family val="2"/>
        <charset val="204"/>
        <scheme val="minor"/>
      </rPr>
      <t>7 злаков</t>
    </r>
    <r>
      <rPr>
        <sz val="10"/>
        <color theme="1"/>
        <rFont val="Calibri"/>
        <family val="2"/>
        <scheme val="minor"/>
      </rPr>
      <t>" МИКС цельнозерновые с проростками 300г</t>
    </r>
  </si>
  <si>
    <r>
      <t>Каша живая "Vita" "</t>
    </r>
    <r>
      <rPr>
        <b/>
        <sz val="10"/>
        <color theme="1"/>
        <rFont val="Calibri"/>
        <family val="2"/>
        <charset val="204"/>
        <scheme val="minor"/>
      </rPr>
      <t>7 злаков</t>
    </r>
    <r>
      <rPr>
        <sz val="10"/>
        <color theme="1"/>
        <rFont val="Calibri"/>
        <family val="2"/>
        <scheme val="minor"/>
      </rPr>
      <t>" пр зерно+хлопья+чиа+кунжут 300г</t>
    </r>
  </si>
  <si>
    <r>
      <rPr>
        <b/>
        <sz val="10"/>
        <color theme="1"/>
        <rFont val="Calibri"/>
        <family val="2"/>
        <charset val="204"/>
        <scheme val="minor"/>
      </rPr>
      <t xml:space="preserve">Зеленая гречка </t>
    </r>
    <r>
      <rPr>
        <sz val="10"/>
        <color theme="1"/>
        <rFont val="Calibri"/>
        <family val="2"/>
        <scheme val="minor"/>
      </rPr>
      <t>"Vita"пророщенная, без глютена 180г</t>
    </r>
  </si>
  <si>
    <r>
      <t xml:space="preserve">Каша пшеничная "Vita" </t>
    </r>
    <r>
      <rPr>
        <b/>
        <sz val="10"/>
        <color theme="1"/>
        <rFont val="Calibri"/>
        <family val="2"/>
        <charset val="204"/>
        <scheme val="minor"/>
      </rPr>
      <t>пшеница</t>
    </r>
    <r>
      <rPr>
        <sz val="10"/>
        <color theme="1"/>
        <rFont val="Calibri"/>
        <family val="2"/>
        <scheme val="minor"/>
      </rPr>
      <t xml:space="preserve"> пророщенное зерно 300г</t>
    </r>
  </si>
  <si>
    <r>
      <t xml:space="preserve">Каша ржаная "Vita" </t>
    </r>
    <r>
      <rPr>
        <b/>
        <sz val="10"/>
        <color theme="1"/>
        <rFont val="Calibri"/>
        <family val="2"/>
        <charset val="204"/>
        <scheme val="minor"/>
      </rPr>
      <t>рожь</t>
    </r>
    <r>
      <rPr>
        <sz val="10"/>
        <color theme="1"/>
        <rFont val="Calibri"/>
        <family val="2"/>
        <scheme val="minor"/>
      </rPr>
      <t xml:space="preserve"> пророщенное зерно 300г</t>
    </r>
  </si>
  <si>
    <r>
      <t xml:space="preserve">Каша ячменная "Vita" </t>
    </r>
    <r>
      <rPr>
        <b/>
        <sz val="10"/>
        <color theme="1"/>
        <rFont val="Calibri"/>
        <family val="2"/>
        <charset val="204"/>
        <scheme val="minor"/>
      </rPr>
      <t>ячмень</t>
    </r>
    <r>
      <rPr>
        <sz val="10"/>
        <color theme="1"/>
        <rFont val="Calibri"/>
        <family val="2"/>
        <scheme val="minor"/>
      </rPr>
      <t xml:space="preserve"> пророщенное зерно 300г</t>
    </r>
  </si>
  <si>
    <r>
      <t xml:space="preserve">Каша пшеничная "Vita" ц/з пшеница </t>
    </r>
    <r>
      <rPr>
        <b/>
        <sz val="10"/>
        <color theme="1"/>
        <rFont val="Calibri"/>
        <family val="2"/>
        <charset val="204"/>
        <scheme val="minor"/>
      </rPr>
      <t>банан, клубника</t>
    </r>
    <r>
      <rPr>
        <sz val="10"/>
        <color theme="1"/>
        <rFont val="Calibri"/>
        <family val="2"/>
        <scheme val="minor"/>
      </rPr>
      <t xml:space="preserve"> 210г</t>
    </r>
  </si>
  <si>
    <r>
      <t xml:space="preserve">Каша пшеничная "Vita" ц/з пшеница </t>
    </r>
    <r>
      <rPr>
        <b/>
        <sz val="10"/>
        <color theme="1"/>
        <rFont val="Calibri"/>
        <family val="2"/>
        <charset val="204"/>
        <scheme val="minor"/>
      </rPr>
      <t>тыква, чернослив</t>
    </r>
    <r>
      <rPr>
        <sz val="10"/>
        <color theme="1"/>
        <rFont val="Calibri"/>
        <family val="2"/>
        <scheme val="minor"/>
      </rPr>
      <t xml:space="preserve"> 210г</t>
    </r>
  </si>
  <si>
    <r>
      <t xml:space="preserve">Каша овсяная "Vita" ц/з овёс </t>
    </r>
    <r>
      <rPr>
        <b/>
        <sz val="10"/>
        <color theme="1"/>
        <rFont val="Calibri"/>
        <family val="2"/>
        <charset val="204"/>
        <scheme val="minor"/>
      </rPr>
      <t>отруби с клюквой</t>
    </r>
    <r>
      <rPr>
        <sz val="10"/>
        <color theme="1"/>
        <rFont val="Calibri"/>
        <family val="2"/>
        <scheme val="minor"/>
      </rPr>
      <t xml:space="preserve"> 6порций, 210г</t>
    </r>
  </si>
  <si>
    <r>
      <t xml:space="preserve">Каша овсяная "Vita" ц/з овёс </t>
    </r>
    <r>
      <rPr>
        <b/>
        <sz val="10"/>
        <color theme="1"/>
        <rFont val="Calibri"/>
        <family val="2"/>
        <charset val="204"/>
        <scheme val="minor"/>
      </rPr>
      <t>клубника со сливками</t>
    </r>
    <r>
      <rPr>
        <sz val="10"/>
        <color theme="1"/>
        <rFont val="Calibri"/>
        <family val="2"/>
        <scheme val="minor"/>
      </rPr>
      <t xml:space="preserve"> 6порций, 210г</t>
    </r>
  </si>
  <si>
    <t>зерно пшеницы пророщенное, зерно овса пророщенное</t>
  </si>
  <si>
    <t>Вода подготовленная, кешью, масло кокосовое рафинированное дезодорированное, масло подсолнечное рафиниорованное дезодорированное, соль пищевая, экстракт дрожжей, лук сушеный, укроп сушеный, загуститель: гуаровая камедь, регулятор кислотности: молочная кислота (растительного происхождения), закваска мезофильная</t>
  </si>
  <si>
    <t>карбонат натрия &gt; 30%, хлорид натрия 15-30%, перкарбонат натрия 5-15%, энзимы &lt;5%, НПАВ &lt;5%, поликарбоксилаты &lt;5%, горчица натуральная &lt;5%</t>
  </si>
  <si>
    <t>хлорид натрия 15-30%, карбонат натрия 20-35%, НПАВ 5-15%, перкарбонат натрия 5-15%, активатор кислородного отбеливателя менее 5%, энзимы 1%, ингибитор переноса красителя</t>
  </si>
  <si>
    <t>Сода кальцинированная 15-30%, соль пищевая поваренная 15-30%, НПАВ 5-15%, перкарбонат натрия 5-15%, мыло менее 5%, экстракт хлопка, лимонная кислота менее 5%, активатор кислородного отбеливателя менее 5%, поликарбоксилаты менее 5%</t>
  </si>
  <si>
    <t>http://1.c8804.nichost.ru/pics/16378.jpg</t>
  </si>
  <si>
    <t>http://1.c8804.nichost.ru/pics/16377.jpg</t>
  </si>
  <si>
    <t>Перкарбонат натрия более 30%, хлорид натрия (пищевая соль) 15-30%, бикарбонат натрия 15-30%.</t>
  </si>
  <si>
    <t>вода очищенная, гидроксид калия, алкилполиглюкозиды, комплекс активаторов, краситель</t>
  </si>
  <si>
    <t>очищенная вода, кокосульфат натрия, хлорид натрия, кокоамидопропил-бетаин, лимонная кислота, глицерин, глицерилстеарат, глицерилолеат, ароматизатор, d-пантенол, феноксиэтанол</t>
  </si>
  <si>
    <t>оболочка кукурузного зерна, яблоко плоды сушеные, семена Чиа, мята сушеная, куркума сушеная, стабилизатор альгинат натрия (экстракт морских водорослей)</t>
  </si>
  <si>
    <r>
      <t xml:space="preserve">Клетчатка кукурузная </t>
    </r>
    <r>
      <rPr>
        <b/>
        <sz val="10"/>
        <color theme="1"/>
        <rFont val="Calibri"/>
        <family val="2"/>
        <charset val="204"/>
        <scheme val="minor"/>
      </rPr>
      <t>Детокс,</t>
    </r>
    <r>
      <rPr>
        <sz val="10"/>
        <color theme="1"/>
        <rFont val="Calibri"/>
        <family val="2"/>
        <scheme val="minor"/>
      </rPr>
      <t xml:space="preserve"> без глютена 200г</t>
    </r>
  </si>
  <si>
    <t>Миндаль орех</t>
  </si>
  <si>
    <t>Миндальная мука</t>
  </si>
  <si>
    <t>http://1.c8804.nichost.ru/pics/17843.jpg</t>
  </si>
  <si>
    <t>http://1.c8804.nichost.ru/pics/19120.jpg</t>
  </si>
  <si>
    <t>http://1.c8804.nichost.ru/pics/18801.jpg</t>
  </si>
  <si>
    <t>Изолят соевого белка</t>
  </si>
  <si>
    <t>http://1.c8804.nichost.ru/pics/18836.jpg</t>
  </si>
  <si>
    <t>гранулированные зерна татарской гречихи</t>
  </si>
  <si>
    <t>мука пшеничная цельнозерновая, мука пшеничная 1 сорт, масло растительное кукурузное, масло растительное подсолнечника, паприка красная, горчица, лук, тмин, петрушка, соль, сода пищевая, кислота лимонная, перец красный молотый</t>
  </si>
  <si>
    <t>мука пшеничная цельнозерновая, закваска пшеничная (мука 1 сорт), масло кукурузное, чеснок сушеный, соль морская</t>
  </si>
  <si>
    <t>сушёное обжаренное яблоко, плоды рябины обыкновенной, лист толокнянки, цвет гибискуса, плоды боярышника</t>
  </si>
  <si>
    <t>сушёное обжаренное яблоко, плоды рябины обыкновенной, лист толокнянки, цвет гибискуса, плоды облепихи</t>
  </si>
  <si>
    <t>Семена кунжута измельченные, сахар-песок, патока крахмальная, ванилин, пенообразователь – экстракт мыльного корня, лимонная кислота, порошок из натуральных какао-бобов</t>
  </si>
  <si>
    <t>овсяные хлопья (безглютеновые), сироп топинамбура (клубни топинамбура, вода питьевая), масло кокосовое рафинированное, семена тыквы, разрыхлитель - гидрокарбонат натрия (сода пищевая), соль морская пищевая, эмкльгатор - лецитин подсолнечный</t>
  </si>
  <si>
    <t>овсяные хлопья (безглютеновые), сироп топинамбура (клубни топинамбура, вода питьевая), масло кокосовое рафинированное, ядра миндаля дробленые, разрыхлитель – гидрокарбонат натрия (сода пищевая), соль морская пищевая, эмульгатор - лецитин подсолнечный</t>
  </si>
  <si>
    <t>овсяные хлопья (безглютеновые), сироп топинамбура (клубни топинамбура, вода питьевая), масло кокосовое рафинированное, шоколад , сода пищевая, соль морская пищевая, лецитин подсолнечный</t>
  </si>
  <si>
    <t>овсяные хлопья (безглютеновые), сироп топинамбура (клубни топинамбура, вода питьевая), масло кокосовое рафинированное, разрыхлитель – гидрокарбонат натрия (сода пищевая), соль морская пищевая, эмульгатор – лецитин подсолнечный</t>
  </si>
  <si>
    <t>мука рисовая, сироп топинамбура (клубни топинамбура, вода питьевая), масло кокосовое рафинированное, миндаль, соль морская пищзевая. Возможны следы арахиса, кунжута, орехов и семян</t>
  </si>
  <si>
    <t>мука рисовая, сироп топинамбура (клубни топинамбура, вода), масло кокосовое рафинированное, стружка кокосовая, соль морская пищевая</t>
  </si>
  <si>
    <t>Мука рисовая, масло кокосовое рафинированное, сироп топинамбура (клубни топинамбура, вода), мука кукурузная, молоко кокосовое (переработанная мякоть кокоса, вода), семена белого кунжута, разрыхлитель гидрокарбонат натрия (сода пищевая), соль пищевая</t>
  </si>
  <si>
    <t>Мука рисовая, кокосовое масло рафинированное, сироп Топинамбура (клубни топинамбура, вода), мука кукурузная, молоко кокосовое (переработанная мякоть кокоса, вода), обезжиренный какао-порошок, арахис, разрыхлитель гидрокарбонат натрия (сода пищевая), соль пищевая</t>
  </si>
  <si>
    <t>Мука рисовая, масло кокосовое рафинированное, сироп топинамбура (клубни топинамбура, вода), мука кукурузная, молоко кокосовое (переработанная мякоть кокоса, вода), разрыхлитель гидрокарбонат натрия (сода пищевая), соль пищевая</t>
  </si>
  <si>
    <t>мука гречневая, мука рисовая, сироп топинамбура, масло кокосовое, молоко кокосовое, пребиотик - инулин, разрыхлитель - гидрокарбонат натрия (сода пищевая), эмульгатор - лецитин подсолнечный, соль морская пищевая</t>
  </si>
  <si>
    <t>ядра жареного арахиса, изомальт, масло кокосовое, соль морская пищевая</t>
  </si>
  <si>
    <t>ядра жареного арахиса, изомальт, какао-порошок натуральный, масло кокосовое, соль морская пищевая</t>
  </si>
  <si>
    <t>кокоса масло, ядро арахиса жареное.</t>
  </si>
  <si>
    <t>Ядра жареного арахиса, масло кокосовое, соль морская пищевая</t>
  </si>
  <si>
    <t>http://1.c8804.nichost.ru/pics/18328.jpg</t>
  </si>
  <si>
    <t>Семена белого кунжута</t>
  </si>
  <si>
    <t>мука льняная, мука рисовая, сироп топинамбура, масло кокосовое, семена льна, молоко кокосовое, пребиотик – инулин, разрыхлитель – гидрокарбонат натрия</t>
  </si>
  <si>
    <t>http://1.c8804.nichost.ru/pics/19350.jpg</t>
  </si>
  <si>
    <t>масло кокосовое рафинированное, подсластитель - изомальт, мука кукурузная, мука рисовая, мука овсяная, мука амарантовая, подсластитель - эритрит, сукралоза, экстракт стевии,
соль морская пищевая</t>
  </si>
  <si>
    <t>Мякоть кокоса</t>
  </si>
  <si>
    <t>http://1.c8804.nichost.ru/pics/18332.jpg</t>
  </si>
  <si>
    <t>http://1.c8804.nichost.ru/pics/18329.jpg</t>
  </si>
  <si>
    <t>Очищенная абрикосовая косточка</t>
  </si>
  <si>
    <t>Ядра орехов кешью.</t>
  </si>
  <si>
    <t>http://1.c8804.nichost.ru/pics/18331.jpg</t>
  </si>
  <si>
    <t>Ядра орехов миндаля.</t>
  </si>
  <si>
    <t>http://1.c8804.nichost.ru/pics/18333.jpg</t>
  </si>
  <si>
    <t>Очищенные семена тыквы</t>
  </si>
  <si>
    <t>http://1.c8804.nichost.ru/pics/18334.jpg</t>
  </si>
  <si>
    <t>http://1.c8804.nichost.ru/pics/18536.jpg</t>
  </si>
  <si>
    <t>Семена чиа</t>
  </si>
  <si>
    <t>http://1.c8804.nichost.ru/pics/18327.jpg</t>
  </si>
  <si>
    <t>соль морская пищевая, арахис</t>
  </si>
  <si>
    <t>http://1.c8804.nichost.ru/pics/20311.jpg</t>
  </si>
  <si>
    <t>какао-масло</t>
  </si>
  <si>
    <t>какао-порошок</t>
  </si>
  <si>
    <r>
      <t xml:space="preserve">Сироп топинамбура </t>
    </r>
    <r>
      <rPr>
        <b/>
        <sz val="10"/>
        <color theme="1"/>
        <rFont val="Calibri"/>
        <family val="2"/>
        <charset val="204"/>
        <scheme val="minor"/>
      </rPr>
      <t xml:space="preserve">с красной смородиной </t>
    </r>
    <r>
      <rPr>
        <sz val="10"/>
        <color theme="1"/>
        <rFont val="Calibri"/>
        <family val="2"/>
        <scheme val="minor"/>
      </rPr>
      <t>330г</t>
    </r>
  </si>
  <si>
    <t>Топинамбур, вода, вишня</t>
  </si>
  <si>
    <t>Топинамбур, вода, красная смородина</t>
  </si>
  <si>
    <t>Топинамбур, вода, лимон</t>
  </si>
  <si>
    <t>Топинамбур, вода, черника</t>
  </si>
  <si>
    <t>Топинамбур, вода, чёрная смородина</t>
  </si>
  <si>
    <t>Топинамбур, вода, мультифрукт</t>
  </si>
  <si>
    <t>Топинамбур, вода, брусника</t>
  </si>
  <si>
    <t>Топинамбур, вода, клубника</t>
  </si>
  <si>
    <t>http://1.c8804.nichost.ru/pics/18756.jpg</t>
  </si>
  <si>
    <t>Зеленая гречка, соль</t>
  </si>
  <si>
    <t>крупа кукурузная,  соль</t>
  </si>
  <si>
    <t>Вода, культура чайного гриба, иван-чай, экстракт стевии</t>
  </si>
  <si>
    <t>Вода, культура чайного гриба, черноплодная рябина, экстракт стевии</t>
  </si>
  <si>
    <t>http://1.c8804.nichost.ru/pics/18320.jpg</t>
  </si>
  <si>
    <t>Вода, манго, подсластитель натуральный( эритрит) загустители натуральные( пектин, КМЦ) лимонная кислота, подсластитель натуральный( экстракт стевии) сорбиновая кислота</t>
  </si>
  <si>
    <t>крупа кукурузная, крупа рисовая, масло подсолнечное рафинированное дезодорированное высокоолеиновое, вода питьевая, соль морская, перец черный молотый</t>
  </si>
  <si>
    <t>крупа кукурузная, крупа рисовая, масло подсолнечное рафинированное дезодорированное высокоолеиновое, ламинария, вода питьевая, соль морская, перец черный молотый</t>
  </si>
  <si>
    <t>http://1.c8804.nichost.ru/pics/17162.jpg</t>
  </si>
  <si>
    <t>Крупа кукурузная, крупа рисовая, масло подсолнечное рафинированное дезодорированное высокоолеиновое, сыр сухой «Пармезан», сыр сухой «Российский», томат сушеный молотый, лук репчатый сушеный молотый, укроп сушеный молотый, соль йодированная (соль пищевая, йодат калия), сыр сухой «Белый ароматный», куркума сушеная молотая</t>
  </si>
  <si>
    <t>Крупа кукурузная, крупа рисовая, масло подсолнечное рафинированное дезодорированное высокоолеиновое, вода питьевая, сыр сухой «Пармезан» , лук зеленый сушеный молотый, сыр сухой «Российский», сыр сухой «Белый ароматный», соль йодированная, лук репчатый сушеный молотый, мальтодекстрин, перец черный сушеный молотый</t>
  </si>
  <si>
    <t>крупа рисовая, масло подсолнечное рафинированное дезодорированное высокоолеиновое, крупа гречневая, крупа кукурузная, крупа пшеничная, томат сушеный молотый, вода питьевая, соль пищевая йодированная, базилик сушеный молотый, лук сушеный молотый, орегано сушеное молотое, чеснок сушеный молотый, шалфей сушеный молотый</t>
  </si>
  <si>
    <t>Мёд, сок малины, экстракт плодов малины, экстракт ромашки, воск пчелинный</t>
  </si>
  <si>
    <t>http://1.c8804.nichost.ru/pics/16327.jpg</t>
  </si>
  <si>
    <t>мед, экстракт прополиса, живица кедровая, кедровое масло, ментол натуральный, воск пчелиный</t>
  </si>
  <si>
    <t>http://1.c8804.nichost.ru/pics/19663.jpg</t>
  </si>
  <si>
    <t>вода подготовленная, монопропиленгликоль, экстракт индийского лука, экстракт коры ивы, ПЭГ-40 гидрогенизированное касторовое масло, карбомер, триэтаноламин, экстракт перца красного жгучего, горчичный порошок, эфирное масло базилика, глюкозамин сульфат, хондроитин сульфат, микрокер IT, краситель карамель</t>
  </si>
  <si>
    <t>http://1.c8804.nichost.ru/pics/10796.jpg</t>
  </si>
  <si>
    <t>http://1.c8804.nichost.ru/pics/14899.jpg</t>
  </si>
  <si>
    <t>http://1.c8804.nichost.ru/pics/20395.jpg</t>
  </si>
  <si>
    <t>Шоколад, сахар в т.ч тростниковый, пюре яблочное, плодовый наполнитель дыня манго - лайм, патока, белок яичный сухой, мёд натуральный, агар-агар (натуральный стабилизатор), лимонная кислота, стевия</t>
  </si>
  <si>
    <t>вода деминерализованная густой экстракт прополиса пропиленгликоль глицерин прополис экстракт глицерин пропиленгликоль вода деминерализованная</t>
  </si>
  <si>
    <t>http://1.c8804.nichost.ru/pics/20394.jpg</t>
  </si>
  <si>
    <t>Вафельная основа без сахара, глазурь без сахара (изомальтоолигосахарид, заменитель масла какао нелауринового типа, какао порошок, эмульгатор – соевый лецитин, экстракт ванили).</t>
  </si>
  <si>
    <t>Мука рисовая, глазурь, крахмал кукурузный, финиковый сироп, кукурузное масло, порошок яблочный, сода пищевая, порошок свекольный, соль, карбонат кальция, соевый лецитин, сок черной смородины концентрированный, малина сушеная (порошок), ароматизатор натуральный «Лесные ягоды»,  загуститель – ксантановая камедь.</t>
  </si>
  <si>
    <t>Мука рисовая, глазурь, крахмал кукурузный, финиковый сироп, кукурузное масло, порошок яблочный, какао порошок, сода пищевая, соль, карбонат кальция, ароматизаторы натуральные - «Шоколад», «Сливки»; эмульгатор – соевый лецитин, загуститель – ксантановая камедь.</t>
  </si>
  <si>
    <t>Мука рисовая, глазурь, кукурузный крахмал, финиковый сироп, кукурузное масло, порошок яблочный, порошок банана, сода пищевая, соль, карбонат кальция, эмульгатор – соевый лецитин, сок яблочный концентрированный, ароматизатор натуральный «Банан», загуститель – ксантановая камедь.</t>
  </si>
  <si>
    <t>да</t>
  </si>
  <si>
    <t>+1…25</t>
  </si>
  <si>
    <t>мука овсяная, мука рисовая,вода питьевая, сироп топинамбура, масло оливковое, масло подсолнечное, кокосовая стружка, мука амарантовая</t>
  </si>
  <si>
    <r>
      <t>Соус майонезный "</t>
    </r>
    <r>
      <rPr>
        <b/>
        <sz val="10"/>
        <rFont val="Calibri"/>
        <family val="2"/>
        <scheme val="minor"/>
      </rPr>
      <t>Медово-горчичный</t>
    </r>
    <r>
      <rPr>
        <sz val="10"/>
        <rFont val="Calibri"/>
        <family val="2"/>
        <scheme val="minor"/>
      </rPr>
      <t>" 270г</t>
    </r>
  </si>
  <si>
    <r>
      <t>Соус майонезный "</t>
    </r>
    <r>
      <rPr>
        <b/>
        <sz val="10"/>
        <rFont val="Calibri"/>
        <family val="2"/>
        <scheme val="minor"/>
      </rPr>
      <t>С оливками</t>
    </r>
    <r>
      <rPr>
        <sz val="10"/>
        <rFont val="Calibri"/>
        <family val="2"/>
        <scheme val="minor"/>
      </rPr>
      <t>" 270г</t>
    </r>
  </si>
  <si>
    <r>
      <t>Соус майонезный "</t>
    </r>
    <r>
      <rPr>
        <b/>
        <sz val="10"/>
        <rFont val="Calibri"/>
        <family val="2"/>
        <scheme val="minor"/>
      </rPr>
      <t>Том ям</t>
    </r>
    <r>
      <rPr>
        <sz val="10"/>
        <rFont val="Calibri"/>
        <family val="2"/>
        <scheme val="minor"/>
      </rPr>
      <t>" 270г</t>
    </r>
  </si>
  <si>
    <t>мука овсяная, мука кукурузная, вода питевая, сироп топинамбура, масло оливковое, масло подсолнечное, облепиха сушеная дикая</t>
  </si>
  <si>
    <t>мука овсяная, мука кукурузная, вода питевая, сироп топинамбура, масло оливковое, масло подсолнечное, курага</t>
  </si>
  <si>
    <t>мука овсяная, мука кукурузная, вода питевая, сироп топинамбура, масло оливковое, масло подсолнечное</t>
  </si>
  <si>
    <r>
      <t xml:space="preserve">ФитПарад № 23 </t>
    </r>
    <r>
      <rPr>
        <b/>
        <sz val="10"/>
        <rFont val="Calibri"/>
        <family val="2"/>
        <scheme val="minor"/>
      </rPr>
      <t>Малина</t>
    </r>
    <r>
      <rPr>
        <sz val="10"/>
        <rFont val="Calibri"/>
        <family val="2"/>
        <scheme val="minor"/>
      </rPr>
      <t xml:space="preserve"> (стики 100шт) 50г</t>
    </r>
  </si>
  <si>
    <r>
      <t xml:space="preserve">ФитПарад № 27 </t>
    </r>
    <r>
      <rPr>
        <b/>
        <sz val="10"/>
        <rFont val="Calibri"/>
        <family val="2"/>
        <scheme val="minor"/>
      </rPr>
      <t>Чёрная смородина</t>
    </r>
    <r>
      <rPr>
        <sz val="10"/>
        <rFont val="Calibri"/>
        <family val="2"/>
        <scheme val="minor"/>
      </rPr>
      <t xml:space="preserve"> (стики 100шт) 50г</t>
    </r>
  </si>
  <si>
    <r>
      <t xml:space="preserve">Крем-десерт </t>
    </r>
    <r>
      <rPr>
        <b/>
        <sz val="10"/>
        <rFont val="Calibri"/>
        <family val="2"/>
        <scheme val="minor"/>
      </rPr>
      <t>Овсяная сгущенка</t>
    </r>
    <r>
      <rPr>
        <sz val="10"/>
        <rFont val="Calibri"/>
        <family val="2"/>
        <scheme val="minor"/>
      </rPr>
      <t xml:space="preserve"> Fitelle 100г</t>
    </r>
  </si>
  <si>
    <r>
      <t xml:space="preserve">Напиток кедровый </t>
    </r>
    <r>
      <rPr>
        <b/>
        <sz val="10"/>
        <rFont val="Calibri"/>
        <family val="2"/>
        <scheme val="minor"/>
      </rPr>
      <t>Кофе "Slim"</t>
    </r>
    <r>
      <rPr>
        <sz val="10"/>
        <rFont val="Calibri"/>
        <family val="2"/>
        <scheme val="minor"/>
      </rPr>
      <t xml:space="preserve"> снижение веса 130г</t>
    </r>
  </si>
  <si>
    <r>
      <t xml:space="preserve">Мыло для рук </t>
    </r>
    <r>
      <rPr>
        <b/>
        <sz val="10"/>
        <rFont val="Calibri"/>
        <family val="2"/>
        <scheme val="minor"/>
      </rPr>
      <t>Голубая глина</t>
    </r>
    <r>
      <rPr>
        <sz val="10"/>
        <rFont val="Calibri"/>
        <family val="2"/>
        <scheme val="minor"/>
      </rPr>
      <t xml:space="preserve"> 80г</t>
    </r>
  </si>
  <si>
    <r>
      <t xml:space="preserve">Мыло для рук </t>
    </r>
    <r>
      <rPr>
        <b/>
        <sz val="10"/>
        <rFont val="Calibri"/>
        <family val="2"/>
        <scheme val="minor"/>
      </rPr>
      <t>Липовый мёд</t>
    </r>
    <r>
      <rPr>
        <sz val="10"/>
        <rFont val="Calibri"/>
        <family val="2"/>
        <scheme val="minor"/>
      </rPr>
      <t xml:space="preserve"> 80г</t>
    </r>
  </si>
  <si>
    <r>
      <t xml:space="preserve">Мыло для рук </t>
    </r>
    <r>
      <rPr>
        <b/>
        <sz val="10"/>
        <rFont val="Calibri"/>
        <family val="2"/>
        <scheme val="minor"/>
      </rPr>
      <t>Мумиё</t>
    </r>
    <r>
      <rPr>
        <sz val="10"/>
        <rFont val="Calibri"/>
        <family val="2"/>
        <scheme val="minor"/>
      </rPr>
      <t xml:space="preserve"> 80г</t>
    </r>
  </si>
  <si>
    <t>http://1.c8804.nichost.ru/pics/19195.jpg</t>
  </si>
  <si>
    <t>http://1.c8804.nichost.ru/pics/19194.jpg</t>
  </si>
  <si>
    <t>http://1.c8804.nichost.ru/pics/19193.jpg</t>
  </si>
  <si>
    <t>http://1.c8804.nichost.ru/pics/19196.jpg</t>
  </si>
  <si>
    <t>http://1.c8804.nichost.ru/pics/19133.jpg</t>
  </si>
  <si>
    <t>http://1.c8804.nichost.ru/pics/19134.jpg</t>
  </si>
  <si>
    <t>http://1.c8804.nichost.ru/pics/18905.jpg</t>
  </si>
  <si>
    <t>http://1.c8804.nichost.ru/pics/15999.jpg</t>
  </si>
  <si>
    <t>http://1.c8804.nichost.ru/pics/15751.jpg</t>
  </si>
  <si>
    <t>http://1.c8804.nichost.ru/pics/16917.jpg</t>
  </si>
  <si>
    <t>http://1.c8804.nichost.ru/pics/18076.jpg</t>
  </si>
  <si>
    <t>http://1.c8804.nichost.ru/pics/7206.jpg</t>
  </si>
  <si>
    <t>http://1.c8804.nichost.ru/pics/19913.jpg</t>
  </si>
  <si>
    <t>http://1.c8804.nichost.ru/pics/18879.jpg</t>
  </si>
  <si>
    <t>http://1.c8804.nichost.ru/pics/18878.jpg</t>
  </si>
  <si>
    <t>http://1.c8804.nichost.ru/pics/18880.jpg</t>
  </si>
  <si>
    <t>http://1.c8804.nichost.ru/pics/17097.jpg</t>
  </si>
  <si>
    <r>
      <t xml:space="preserve">Нуга Туррон батончик с </t>
    </r>
    <r>
      <rPr>
        <b/>
        <sz val="10"/>
        <rFont val="Calibri"/>
        <family val="2"/>
        <scheme val="minor"/>
      </rPr>
      <t>арахисом</t>
    </r>
    <r>
      <rPr>
        <sz val="10"/>
        <rFont val="Calibri"/>
        <family val="2"/>
        <scheme val="minor"/>
      </rPr>
      <t xml:space="preserve"> 50г</t>
    </r>
  </si>
  <si>
    <r>
      <t xml:space="preserve">Нуга Туррон с </t>
    </r>
    <r>
      <rPr>
        <b/>
        <sz val="10"/>
        <rFont val="Calibri"/>
        <family val="2"/>
        <scheme val="minor"/>
      </rPr>
      <t xml:space="preserve">арахисом </t>
    </r>
    <r>
      <rPr>
        <sz val="10"/>
        <rFont val="Calibri"/>
        <family val="2"/>
        <scheme val="minor"/>
      </rPr>
      <t>100г</t>
    </r>
  </si>
  <si>
    <t>минимальный квант 15шт</t>
  </si>
  <si>
    <t>минимальный квант 16шт</t>
  </si>
  <si>
    <r>
      <t xml:space="preserve">Пастила "Маленькие радости" </t>
    </r>
    <r>
      <rPr>
        <b/>
        <sz val="10"/>
        <rFont val="Calibri"/>
        <family val="2"/>
        <scheme val="minor"/>
      </rPr>
      <t>Клубника, банан и мёд</t>
    </r>
    <r>
      <rPr>
        <sz val="10"/>
        <rFont val="Calibri"/>
        <family val="2"/>
        <scheme val="minor"/>
      </rPr>
      <t xml:space="preserve"> 95г</t>
    </r>
  </si>
  <si>
    <r>
      <t xml:space="preserve">Мармелад "Ягодень" ассорти: </t>
    </r>
    <r>
      <rPr>
        <b/>
        <sz val="10"/>
        <rFont val="Calibri"/>
        <family val="2"/>
        <scheme val="minor"/>
      </rPr>
      <t>Клубничный с семенами чиа</t>
    </r>
    <r>
      <rPr>
        <sz val="10"/>
        <rFont val="Calibri"/>
        <family val="2"/>
        <scheme val="minor"/>
      </rPr>
      <t xml:space="preserve"> 140г</t>
    </r>
  </si>
  <si>
    <r>
      <t xml:space="preserve">Конфеты "Кедровый грильяж" ассорти </t>
    </r>
    <r>
      <rPr>
        <b/>
        <sz val="10"/>
        <rFont val="Calibri"/>
        <family val="2"/>
        <scheme val="minor"/>
      </rPr>
      <t>яблоко, шишка, черёмуха</t>
    </r>
    <r>
      <rPr>
        <sz val="10"/>
        <rFont val="Calibri"/>
        <family val="2"/>
        <scheme val="minor"/>
      </rPr>
      <t xml:space="preserve"> 120г</t>
    </r>
  </si>
  <si>
    <r>
      <t xml:space="preserve">Экосоль сибирская </t>
    </r>
    <r>
      <rPr>
        <b/>
        <sz val="10"/>
        <rFont val="Calibri"/>
        <family val="2"/>
        <scheme val="minor"/>
      </rPr>
      <t>Таёжная с Ягодами и травами</t>
    </r>
    <r>
      <rPr>
        <sz val="10"/>
        <rFont val="Calibri"/>
        <family val="2"/>
        <scheme val="minor"/>
      </rPr>
      <t xml:space="preserve"> банка 180г</t>
    </r>
  </si>
  <si>
    <r>
      <t xml:space="preserve">Экосоль сибирская с </t>
    </r>
    <r>
      <rPr>
        <b/>
        <sz val="10"/>
        <rFont val="Calibri"/>
        <family val="2"/>
        <scheme val="minor"/>
      </rPr>
      <t>Тайскими специями</t>
    </r>
    <r>
      <rPr>
        <sz val="10"/>
        <rFont val="Calibri"/>
        <family val="2"/>
        <scheme val="minor"/>
      </rPr>
      <t xml:space="preserve"> банка 180г</t>
    </r>
  </si>
  <si>
    <r>
      <t xml:space="preserve">Экосоль сибирская с </t>
    </r>
    <r>
      <rPr>
        <b/>
        <sz val="10"/>
        <rFont val="Calibri"/>
        <family val="2"/>
        <scheme val="minor"/>
      </rPr>
      <t>Индийскими пряностями</t>
    </r>
    <r>
      <rPr>
        <sz val="10"/>
        <rFont val="Calibri"/>
        <family val="2"/>
        <scheme val="minor"/>
      </rPr>
      <t xml:space="preserve"> банка 180г</t>
    </r>
  </si>
  <si>
    <t>соль пищевая каменная молотая</t>
  </si>
  <si>
    <t>http://1.c8804.nichost.ru/pics/20402.jpg</t>
  </si>
  <si>
    <t>http://1.c8804.nichost.ru/pics/20404.jpg</t>
  </si>
  <si>
    <t>http://1.c8804.nichost.ru/pics/20405.jpg</t>
  </si>
  <si>
    <t>http://1.c8804.nichost.ru/pics/20364.jpg</t>
  </si>
  <si>
    <r>
      <t xml:space="preserve">Экосоль сибирская молотая </t>
    </r>
    <r>
      <rPr>
        <b/>
        <sz val="10"/>
        <rFont val="Calibri"/>
        <family val="2"/>
        <charset val="204"/>
        <scheme val="minor"/>
      </rPr>
      <t>(Селен+йод)</t>
    </r>
    <r>
      <rPr>
        <sz val="10"/>
        <rFont val="Calibri"/>
        <family val="2"/>
        <scheme val="minor"/>
      </rPr>
      <t xml:space="preserve"> банка 200г</t>
    </r>
  </si>
  <si>
    <t>Козинаки из полбы на фруктозе 20г</t>
  </si>
  <si>
    <t>http://1.c8804.nichost.ru/pics/20416.jpg</t>
  </si>
  <si>
    <t>Воздушная крупа полбы дробленой, фруктоза, патока, масло подсолнечное рафинированное дезодорированное, эмульгатор лецитин соевый, соль морская</t>
  </si>
  <si>
    <t>http://1.c8804.nichost.ru/pics/20380.jpg</t>
  </si>
  <si>
    <t>http://1.c8804.nichost.ru/pics/20379.jpg</t>
  </si>
  <si>
    <t>Кедрокофе Классический с молочными сливками Apic 125г</t>
  </si>
  <si>
    <t>http://1.c8804.nichost.ru/pics/20367.jpg</t>
  </si>
  <si>
    <t>шоколадная глазурь (сахар, масло какао, какао-порошок, лецитин соевый (эмульгатор)), сахар, молоко сухое цельное, ядро кедрового ореха, масло кокосовое, какао-масло</t>
  </si>
  <si>
    <t>http://1.c8804.nichost.ru/pics/18053.jpg</t>
  </si>
  <si>
    <r>
      <t xml:space="preserve">Конфеты "Кедровая </t>
    </r>
    <r>
      <rPr>
        <b/>
        <sz val="10"/>
        <rFont val="Calibri"/>
        <family val="2"/>
        <charset val="204"/>
        <scheme val="minor"/>
      </rPr>
      <t>метелица</t>
    </r>
    <r>
      <rPr>
        <sz val="10"/>
        <rFont val="Calibri"/>
        <family val="2"/>
        <scheme val="minor"/>
      </rPr>
      <t>" ассорти 150г</t>
    </r>
  </si>
  <si>
    <t>Аллюлоза сахарозаменитель 70% дой-пак 200г</t>
  </si>
  <si>
    <t>аллюлоза</t>
  </si>
  <si>
    <t>http://1.c8804.nichost.ru/pics/20415.jpg</t>
  </si>
  <si>
    <t>Печень говяжья 250г</t>
  </si>
  <si>
    <t>http://1.c8804.nichost.ru/pics/20417.jpg</t>
  </si>
  <si>
    <t>Печень говяжья, лук сушеный, томат-паста, соль поваренная пищевая, перец чёрный молотый</t>
  </si>
  <si>
    <t>Зерно кукурузы, высокоолеиновое подсолнечное масло, морская соль, тростниковый сахар, молотая корица, ванильный сахар, ароматизатор ваниль, мадагаскарская ваниль</t>
  </si>
  <si>
    <t>http://1.c8804.nichost.ru/pics/20418.jpg</t>
  </si>
  <si>
    <t>глюкозно-фруктозный сироп, инжир свежемороженый, вода питьевая, сахар, загуститель-пектин, горчичный порошок, эфирное масло горчицы, инжир, лимонная кислота, перец черный молотый, комплексная пищевая добавка «Униконс Эко» (носитель Е466, экстракт рябины красной (водный), соль йодированная, вода)</t>
  </si>
  <si>
    <t>глюкозно-фруктозный сироп, груша свежемороженая, мед натуральный, сахар, загуститель-пектин, горчичный порошок, лимонная кислота, эфирное масло горчицы, корица молотая, растительный экстракт груши, комплексная пищевая добавка «Униконс Эко» (носитель Е466, экстракт рябины красной (водный), соль йодированная, вода)</t>
  </si>
  <si>
    <t>апельсины свежие, глюкозно-фруктозный сироп, мед натуральный, концентрированный сок апельсина, сахар, горчичный порошок, пектин, лимонная кислота, имбирь молотый, эфирное масло горчицы, соль пищевая, комплексная пищевая добавка «Униконс Эко» (носитель Е466, экстракт рябины красной (водный), соль йодированная, вода)</t>
  </si>
  <si>
    <t>вишня свежемороженая, вода питьевая, сахар, мед натуральный, глюкозно-фруктозный сироп, загуститель-пектин, горчичный порошок, лимонная кислота, специи: перец черный молотый, ягоды можжевельника молотые, перец белый молотый; экстракт чабреца, комплексная пищевая добавка «Униконс Эко"(носитель Е466, экстракт рябины красной (водный), соль йодированная, вода)</t>
  </si>
  <si>
    <t>http://1.c8804.nichost.ru/pics/20422.jpg</t>
  </si>
  <si>
    <t>http://1.c8804.nichost.ru/pics/20423.jpg</t>
  </si>
  <si>
    <t>http://1.c8804.nichost.ru/pics/20424.jpg</t>
  </si>
  <si>
    <t>http://1.c8804.nichost.ru/pics/20425.jpg</t>
  </si>
  <si>
    <t>Трюфели конфеты</t>
  </si>
  <si>
    <t>Бальзамы и чай</t>
  </si>
  <si>
    <t>https://naturevector.ru/zakaz/</t>
  </si>
  <si>
    <r>
      <t xml:space="preserve">Варенье из </t>
    </r>
    <r>
      <rPr>
        <b/>
        <sz val="10"/>
        <rFont val="Calibri"/>
        <family val="2"/>
        <scheme val="minor"/>
      </rPr>
      <t>сосновой</t>
    </r>
    <r>
      <rPr>
        <sz val="10"/>
        <rFont val="Calibri"/>
        <family val="2"/>
        <scheme val="minor"/>
      </rPr>
      <t xml:space="preserve"> шишки 230г</t>
    </r>
  </si>
  <si>
    <r>
      <t xml:space="preserve">Козинаки из полбы на фруктозе с </t>
    </r>
    <r>
      <rPr>
        <b/>
        <sz val="10"/>
        <rFont val="Calibri"/>
        <family val="2"/>
        <scheme val="minor"/>
      </rPr>
      <t>имбирем и шиповником</t>
    </r>
    <r>
      <rPr>
        <sz val="10"/>
        <rFont val="Calibri"/>
        <family val="2"/>
        <scheme val="minor"/>
      </rPr>
      <t xml:space="preserve"> 20г</t>
    </r>
  </si>
  <si>
    <r>
      <t>Цикорий растворимый "</t>
    </r>
    <r>
      <rPr>
        <b/>
        <sz val="10"/>
        <rFont val="Calibri"/>
        <family val="2"/>
        <scheme val="minor"/>
      </rPr>
      <t>Капучино с фруктозой</t>
    </r>
    <r>
      <rPr>
        <sz val="10"/>
        <rFont val="Calibri"/>
        <family val="2"/>
        <scheme val="minor"/>
      </rPr>
      <t>" chikoroff дой-пак 100г</t>
    </r>
  </si>
  <si>
    <r>
      <t>Цикорий растворимый "</t>
    </r>
    <r>
      <rPr>
        <b/>
        <sz val="10"/>
        <rFont val="Calibri"/>
        <family val="2"/>
        <scheme val="minor"/>
      </rPr>
      <t>По-восточному</t>
    </r>
    <r>
      <rPr>
        <sz val="10"/>
        <rFont val="Calibri"/>
        <family val="2"/>
        <scheme val="minor"/>
      </rPr>
      <t>" chikoroff 100г</t>
    </r>
  </si>
  <si>
    <r>
      <t>Цикорий растворимый "</t>
    </r>
    <r>
      <rPr>
        <b/>
        <sz val="10"/>
        <rFont val="Calibri"/>
        <family val="2"/>
        <scheme val="minor"/>
      </rPr>
      <t>Шоколадный</t>
    </r>
    <r>
      <rPr>
        <sz val="10"/>
        <rFont val="Calibri"/>
        <family val="2"/>
        <scheme val="minor"/>
      </rPr>
      <t>" chikoroff 100г</t>
    </r>
  </si>
  <si>
    <t>минимальный квант 9шт</t>
  </si>
  <si>
    <r>
      <t xml:space="preserve">Батончик "Фрутилад" </t>
    </r>
    <r>
      <rPr>
        <u/>
        <sz val="10"/>
        <rFont val="Calibri"/>
        <family val="2"/>
        <charset val="204"/>
        <scheme val="minor"/>
      </rPr>
      <t>протеиновый</t>
    </r>
    <r>
      <rPr>
        <sz val="10"/>
        <rFont val="Calibri"/>
        <family val="2"/>
        <charset val="204"/>
        <scheme val="minor"/>
      </rPr>
      <t xml:space="preserve"> Finix </t>
    </r>
    <r>
      <rPr>
        <b/>
        <sz val="10"/>
        <rFont val="Calibri"/>
        <family val="2"/>
        <charset val="204"/>
        <scheme val="minor"/>
      </rPr>
      <t>Apple pie</t>
    </r>
    <r>
      <rPr>
        <sz val="10"/>
        <rFont val="Calibri"/>
        <family val="2"/>
        <charset val="204"/>
        <scheme val="minor"/>
      </rPr>
      <t xml:space="preserve"> арахис и яблоко 30г</t>
    </r>
  </si>
  <si>
    <r>
      <t xml:space="preserve">Батончик "Фрутилад" </t>
    </r>
    <r>
      <rPr>
        <u/>
        <sz val="10"/>
        <rFont val="Calibri"/>
        <family val="2"/>
        <charset val="204"/>
        <scheme val="minor"/>
      </rPr>
      <t>протеиновый</t>
    </r>
    <r>
      <rPr>
        <sz val="10"/>
        <rFont val="Calibri"/>
        <family val="2"/>
        <charset val="204"/>
        <scheme val="minor"/>
      </rPr>
      <t xml:space="preserve"> Finix </t>
    </r>
    <r>
      <rPr>
        <b/>
        <sz val="10"/>
        <rFont val="Calibri"/>
        <family val="2"/>
        <charset val="204"/>
        <scheme val="minor"/>
      </rPr>
      <t>Banana cake</t>
    </r>
    <r>
      <rPr>
        <sz val="10"/>
        <rFont val="Calibri"/>
        <family val="2"/>
        <charset val="204"/>
        <scheme val="minor"/>
      </rPr>
      <t xml:space="preserve"> миндаль и банан 30г</t>
    </r>
  </si>
  <si>
    <r>
      <t xml:space="preserve">Батончик "Фрутилад" </t>
    </r>
    <r>
      <rPr>
        <u/>
        <sz val="10"/>
        <rFont val="Calibri"/>
        <family val="2"/>
        <charset val="204"/>
        <scheme val="minor"/>
      </rPr>
      <t>протеиновый</t>
    </r>
    <r>
      <rPr>
        <sz val="10"/>
        <rFont val="Calibri"/>
        <family val="2"/>
        <charset val="204"/>
        <scheme val="minor"/>
      </rPr>
      <t xml:space="preserve"> Finix </t>
    </r>
    <r>
      <rPr>
        <b/>
        <sz val="10"/>
        <rFont val="Calibri"/>
        <family val="2"/>
        <charset val="204"/>
        <scheme val="minor"/>
      </rPr>
      <t>Brownie</t>
    </r>
    <r>
      <rPr>
        <sz val="10"/>
        <rFont val="Calibri"/>
        <family val="2"/>
        <charset val="204"/>
        <scheme val="minor"/>
      </rPr>
      <t xml:space="preserve"> арахис и какао 30г</t>
    </r>
  </si>
  <si>
    <t>мука льняная, мука рисовая, подсолнечное масло, подсластитель мальтит, патока крахмальная карамельная, мука кунжутная, крахмал кукурузный, семена белого льна, малина сушеная, изолят соевого белка, эмульгатор лецитин подсолнечный, натуральный подсластитель стевия, разрыхлитель гидрокарбонат натрия, соль морская</t>
  </si>
  <si>
    <t>мука льняная (из семян белого льна), мука рисовая, подсолнечное масло, подсластитель мальтит, патока крахмальная карамельная, мука кунжутная, крахмал кукурузный, семена белого льна, облепиха сушеная, изолят соевого белка, эмульгатор лецитин подсолнечный, натуральный подсластитель стевия, разрыхлитель гидрокарбонат натрия, соль морская</t>
  </si>
  <si>
    <t>мука рисовая, мука кукурузная, подсолнечное масло, Сироп Топинамбура, патока крахмальная, семена белого льна, крахмал кукурузный, мука миндальная, изолят соевого белка, цедра лимона сушеная, цедра апельсина сушеная, гидрокарбонат натрия, соль, комплексная пищевая добавка «Мята», подсластитель стевия</t>
  </si>
  <si>
    <t>мука рисовая, мука миндальная, подсолнечное масло, мука кунжутная, сироп топинамбура, семена белого льна, изолят соевого белка, миндаль дробленный, протеин миндальный, семена чиа, гидрокарбонат натрия, соль, подсластитель стевия</t>
  </si>
  <si>
    <t>мука рисовая, мука гречневая, подсолнечное масло в натуральном и модифицированном виде, мальтит, патока крахмальная, семена льна, глазурь кондитерская (заменитель какао-масла лауринового типа , какао-порошок, эмульгатор лецитин, ванилин), льняное масло, крахмал кукурузный, мука соевая, гидрокарбонат натрия, гидрпокарбонат аммония; соль, натуральный подсластитель стевия</t>
  </si>
  <si>
    <t>мука рисовая, мука кукурузная, маргарин (рафинированное дезодорированное подсолнечное масло в натуральном и модифицированном виде , вода, соль поваренная пищевая, регулятор кислотности лимонная кислота), подсластитель - мальтит, патока крахмальная, семена льна, льняное масло, крахмал кукурузный, семена тыквы, яблоко сушеное, мука соевая, гидрокарбонат натрия, гидрпокарбонат аммония; соль, натуральный подсластитель стевия</t>
  </si>
  <si>
    <t>Вкусное дело</t>
  </si>
  <si>
    <r>
      <t xml:space="preserve">Экосоль сибирская молотая со </t>
    </r>
    <r>
      <rPr>
        <b/>
        <sz val="10"/>
        <rFont val="Calibri"/>
        <family val="2"/>
        <scheme val="minor"/>
      </rPr>
      <t>специями (Селен+йод)</t>
    </r>
    <r>
      <rPr>
        <sz val="10"/>
        <rFont val="Calibri"/>
        <family val="2"/>
        <scheme val="minor"/>
      </rPr>
      <t>, ст банка 200г</t>
    </r>
  </si>
  <si>
    <t>Крахмал кукурузный высший сорт 400г</t>
  </si>
  <si>
    <t>Крахмал кукурузный высший сорт</t>
  </si>
  <si>
    <t>http://1.c8804.nichost.ru/pics/20455.jpg</t>
  </si>
  <si>
    <t>Мука пшеничная цельнозерновая из твёрдых сортов пшеницы</t>
  </si>
  <si>
    <t>http://1.c8804.nichost.ru/pics/20456.jpg</t>
  </si>
  <si>
    <t xml:space="preserve">Мука из семян льна, морковь, яблоко, псиллиум, смесь камеди акации и ксантановой камеди, лимонная кислота </t>
  </si>
  <si>
    <t>http://1.c8804.nichost.ru/pics/20460.jpg</t>
  </si>
  <si>
    <t>http://1.c8804.nichost.ru/pics/20459.jpg</t>
  </si>
  <si>
    <t>Мука из семян льна, мякоть тыквы, псиллиум, смесь камеди акации и ксантановой камеди, лимонная кислота</t>
  </si>
  <si>
    <t>соль пищевая каменная молотая, базилик (молотый), розмарин (молотый), орегано (молотый)</t>
  </si>
  <si>
    <t>http://1.c8804.nichost.ru/pics/19627.jpg</t>
  </si>
  <si>
    <r>
      <t xml:space="preserve">Экосоль сибирская с </t>
    </r>
    <r>
      <rPr>
        <b/>
        <sz val="10"/>
        <rFont val="Calibri"/>
        <family val="2"/>
        <charset val="204"/>
        <scheme val="minor"/>
      </rPr>
      <t>Итальянскими травами</t>
    </r>
    <r>
      <rPr>
        <sz val="10"/>
        <rFont val="Calibri"/>
        <family val="2"/>
        <scheme val="minor"/>
      </rPr>
      <t xml:space="preserve"> банка 180г</t>
    </r>
  </si>
  <si>
    <t>кэроб, какао-масло, изюм, миндальные лепестки</t>
  </si>
  <si>
    <r>
      <t xml:space="preserve">Шоколад тёмный с </t>
    </r>
    <r>
      <rPr>
        <b/>
        <sz val="10"/>
        <color theme="1"/>
        <rFont val="Calibri"/>
        <family val="2"/>
        <charset val="204"/>
        <scheme val="minor"/>
      </rPr>
      <t>Миндалем, изюмом, кэробом</t>
    </r>
    <r>
      <rPr>
        <sz val="10"/>
        <color theme="1"/>
        <rFont val="Calibri"/>
        <family val="2"/>
        <scheme val="minor"/>
      </rPr>
      <t xml:space="preserve"> без сахара 30г</t>
    </r>
  </si>
  <si>
    <t>http://1.c8804.nichost.ru/pics/18783.jpg</t>
  </si>
  <si>
    <t>мука пшеничная, масло кокосовое, подсластитель изомальт, изолят горохового белка, мука нутовая, крахмал кукурузный, какао-порошок, паста фундука, масло подсолнечное, лецитин соевый, натуральные ароматизаторы, соль, краситель куркумин, гидрокарбонат натрия, антиокислитель – концентрат смеси токоферолов</t>
  </si>
  <si>
    <t>http://1.c8804.nichost.ru/pics/20457.jpg</t>
  </si>
  <si>
    <t>http://1.c8804.nichost.ru/pics/20461.jpg</t>
  </si>
  <si>
    <t>мука пшеничная, масло кокосовое, подсластитель изомальт, изолят горохового белка, мука нутовая, паста ядер арахиса, крахмал кукурузный, масло подсолнечное, лецитин соевый, натуральные ароматизаторы, куркума молотая, соль,  раситель куркумин, гидрокарбонат натрия, антиокислитель – концентрат смеси токоферолов</t>
  </si>
  <si>
    <r>
      <t xml:space="preserve">Взвар плодово-ягодный с </t>
    </r>
    <r>
      <rPr>
        <b/>
        <sz val="10"/>
        <color theme="1"/>
        <rFont val="Calibri"/>
        <family val="2"/>
        <charset val="204"/>
        <scheme val="minor"/>
      </rPr>
      <t>боярышником</t>
    </r>
    <r>
      <rPr>
        <sz val="10"/>
        <color theme="1"/>
        <rFont val="Calibri"/>
        <family val="2"/>
        <scheme val="minor"/>
      </rPr>
      <t xml:space="preserve"> 96г</t>
    </r>
  </si>
  <si>
    <r>
      <t xml:space="preserve">Взвар плодово-ягодный с </t>
    </r>
    <r>
      <rPr>
        <b/>
        <sz val="10"/>
        <color theme="1"/>
        <rFont val="Calibri"/>
        <family val="2"/>
        <charset val="204"/>
        <scheme val="minor"/>
      </rPr>
      <t xml:space="preserve">вишней </t>
    </r>
    <r>
      <rPr>
        <sz val="10"/>
        <color theme="1"/>
        <rFont val="Calibri"/>
        <family val="2"/>
        <scheme val="minor"/>
      </rPr>
      <t>96г</t>
    </r>
  </si>
  <si>
    <r>
      <t xml:space="preserve">Взвар плодово-ягодный с </t>
    </r>
    <r>
      <rPr>
        <b/>
        <sz val="10"/>
        <color theme="1"/>
        <rFont val="Calibri"/>
        <family val="2"/>
        <charset val="204"/>
        <scheme val="minor"/>
      </rPr>
      <t>облепихой</t>
    </r>
    <r>
      <rPr>
        <sz val="10"/>
        <color theme="1"/>
        <rFont val="Calibri"/>
        <family val="2"/>
        <scheme val="minor"/>
      </rPr>
      <t xml:space="preserve"> 96г</t>
    </r>
  </si>
  <si>
    <r>
      <t xml:space="preserve">Взвар плодово-ягодный с </t>
    </r>
    <r>
      <rPr>
        <b/>
        <sz val="10"/>
        <color theme="1"/>
        <rFont val="Calibri"/>
        <family val="2"/>
        <charset val="204"/>
        <scheme val="minor"/>
      </rPr>
      <t>шиповником</t>
    </r>
    <r>
      <rPr>
        <sz val="10"/>
        <color theme="1"/>
        <rFont val="Calibri"/>
        <family val="2"/>
        <scheme val="minor"/>
      </rPr>
      <t xml:space="preserve"> 96г</t>
    </r>
  </si>
  <si>
    <t>ягоды жимолости, сушёное обжаренное сибирское яблочко, плоды рябины обыкновенной, лист толокнянки, цвет гибискуса</t>
  </si>
  <si>
    <t>сушёное обжаренное сибирское яблочко, плоды рябины обыкновенной, лист толокнянки, цвет гибискуса, ягоды смородины</t>
  </si>
  <si>
    <t>Масло авокадо "Finkola" нерафинированное ст. бутылка 250мл</t>
  </si>
  <si>
    <t>100% масло авокадо</t>
  </si>
  <si>
    <t>http://1.c8804.nichost.ru/pics/20486.jpg</t>
  </si>
  <si>
    <t>Гречка зеленая и коричневая с цукини 300г</t>
  </si>
  <si>
    <t>Ячмень с грибами и вялеными томатами 300г</t>
  </si>
  <si>
    <t>гречка зеленая, гречка коричневая, цукини сушеные, морковь сушеная, паприка сушеная, лук зеленый сушеный, чеснок сушеный</t>
  </si>
  <si>
    <t>ячмень резаный, морковь сушеная, шампиньоны сушеные, вяленые томаты, чеснок сушеный, лук зеленый сушеный</t>
  </si>
  <si>
    <t>http://1.c8804.nichost.ru/pics/20487.jpg</t>
  </si>
  <si>
    <t>http://1.c8804.nichost.ru/pics/20488.jpg</t>
  </si>
  <si>
    <t>Правильные супы</t>
  </si>
  <si>
    <t>Суп с гречкой зеленой и коричневой 180г</t>
  </si>
  <si>
    <t>ячмень резаный, морковь сушеная, томаты вяленые, лук зеленый сушеный, чеснок сушеный, укроп сушеный, петрушка сушеная</t>
  </si>
  <si>
    <t>Суп ячменный с томатами и зеленью 180г</t>
  </si>
  <si>
    <t>крупа гречневая ядрица, крупа гречневая ядрица быстроразваривающаяся, морковь сушеная, томаты вяленые, лук зеленый сушеный, чеснок сушеный, укроп сушеный, петрушка сушеная</t>
  </si>
  <si>
    <t>полба резаная, киноа семена, морковь сушеная, лук зеленый сушеный. Продукт может содержать следы глютена, кунжута</t>
  </si>
  <si>
    <t>http://1.c8804.nichost.ru/pics/20490.jpg</t>
  </si>
  <si>
    <t>http://1.c8804.nichost.ru/pics/20492.jpg</t>
  </si>
  <si>
    <t>http://1.c8804.nichost.ru/pics/20493.jpg</t>
  </si>
  <si>
    <t>http://1.c8804.nichost.ru/pics/20462.jpg</t>
  </si>
  <si>
    <t>Вода питьевая, культура чайного гриба, черный кофе,  одсластитель-стевиолгликозид</t>
  </si>
  <si>
    <t>молочный шоколад без сахара, ядро миндаля, малина сушёная порошок</t>
  </si>
  <si>
    <t>http://1.c8804.nichost.ru/pics/20470.jpg</t>
  </si>
  <si>
    <t>Овсяные хлопья 80%, белый шоколад 15,5%, черника сублимированная 4,5%</t>
  </si>
  <si>
    <t>Овсяные хлопья 80%, Медовые гранулы гречишные 15,5%, Сублимированное яблоко 4,5%</t>
  </si>
  <si>
    <t>Овсяные хлопья 86%, соленая карамель 14%</t>
  </si>
  <si>
    <t>Овсяные хлопья 80%, Белый шоколад 15,5%, Малина сублимированная 4,5%</t>
  </si>
  <si>
    <t>http://1.c8804.nichost.ru/pics/20473.jpg</t>
  </si>
  <si>
    <t>http://1.c8804.nichost.ru/pics/20476.jpg</t>
  </si>
  <si>
    <t>http://1.c8804.nichost.ru/pics/20474.jpg</t>
  </si>
  <si>
    <t>http://1.c8804.nichost.ru/pics/20475.jpg</t>
  </si>
  <si>
    <t>Будущие Изменения цен</t>
  </si>
  <si>
    <r>
      <t>Эликсир "</t>
    </r>
    <r>
      <rPr>
        <b/>
        <sz val="10"/>
        <rFont val="Calibri"/>
        <family val="2"/>
        <scheme val="minor"/>
      </rPr>
      <t>Для Печени - Омега 3</t>
    </r>
    <r>
      <rPr>
        <sz val="10"/>
        <rFont val="Calibri"/>
        <family val="2"/>
        <scheme val="minor"/>
      </rPr>
      <t>" на льняном масле 200мл</t>
    </r>
  </si>
  <si>
    <t>http://1.c8804.nichost.ru/pics/20478.jpg</t>
  </si>
  <si>
    <r>
      <t xml:space="preserve">Смесь подсластителей </t>
    </r>
    <r>
      <rPr>
        <b/>
        <sz val="10"/>
        <rFont val="Calibri"/>
        <family val="2"/>
        <scheme val="minor"/>
      </rPr>
      <t>№ 2</t>
    </r>
    <r>
      <rPr>
        <sz val="10"/>
        <rFont val="Calibri"/>
        <family val="2"/>
        <scheme val="minor"/>
      </rPr>
      <t xml:space="preserve"> - </t>
    </r>
    <r>
      <rPr>
        <b/>
        <sz val="10"/>
        <rFont val="Calibri"/>
        <family val="2"/>
        <scheme val="minor"/>
      </rPr>
      <t>250г</t>
    </r>
    <r>
      <rPr>
        <sz val="10"/>
        <rFont val="Calibri"/>
        <family val="2"/>
        <scheme val="minor"/>
      </rPr>
      <t xml:space="preserve"> Master Shape БАНКА</t>
    </r>
  </si>
  <si>
    <r>
      <t xml:space="preserve">Мармелад "Ягодень" ассорти: </t>
    </r>
    <r>
      <rPr>
        <b/>
        <sz val="10"/>
        <rFont val="Calibri"/>
        <family val="2"/>
        <scheme val="minor"/>
      </rPr>
      <t>Облепиха,брусника, арония</t>
    </r>
    <r>
      <rPr>
        <sz val="10"/>
        <rFont val="Calibri"/>
        <family val="2"/>
        <scheme val="minor"/>
      </rPr>
      <t xml:space="preserve"> 165г</t>
    </r>
  </si>
  <si>
    <r>
      <t xml:space="preserve">Мармелад "Ягодень" ассорти: </t>
    </r>
    <r>
      <rPr>
        <b/>
        <sz val="10"/>
        <rFont val="Calibri"/>
        <family val="2"/>
        <scheme val="minor"/>
      </rPr>
      <t>Черника, смородина, малина</t>
    </r>
    <r>
      <rPr>
        <sz val="10"/>
        <rFont val="Calibri"/>
        <family val="2"/>
        <scheme val="minor"/>
      </rPr>
      <t xml:space="preserve"> 165г</t>
    </r>
  </si>
  <si>
    <r>
      <t xml:space="preserve">Нуга Туррон с </t>
    </r>
    <r>
      <rPr>
        <b/>
        <sz val="10"/>
        <rFont val="Calibri"/>
        <family val="2"/>
        <scheme val="minor"/>
      </rPr>
      <t>миндалем</t>
    </r>
    <r>
      <rPr>
        <sz val="10"/>
        <rFont val="Calibri"/>
        <family val="2"/>
        <scheme val="minor"/>
      </rPr>
      <t xml:space="preserve"> 100г</t>
    </r>
  </si>
  <si>
    <r>
      <t xml:space="preserve">Нуга Туррон с </t>
    </r>
    <r>
      <rPr>
        <b/>
        <sz val="10"/>
        <rFont val="Calibri"/>
        <family val="2"/>
        <scheme val="minor"/>
      </rPr>
      <t>миндалем и фундуком</t>
    </r>
    <r>
      <rPr>
        <sz val="10"/>
        <rFont val="Calibri"/>
        <family val="2"/>
        <scheme val="minor"/>
      </rPr>
      <t xml:space="preserve"> 100г</t>
    </r>
  </si>
  <si>
    <t>шт/
кор</t>
  </si>
  <si>
    <t>Нут, вода питьевая, масло подсолнечное рафинированное дезодорированное, тахини (кунжутная паста), перец халапеньо маринованный (перец халапеньо, вода питьевая, соль пищевая, уксус винный), экстракт дрожжевой, соль морская пищевая, чеснок сушеный, загуститель (камедь гуаровая), кумин, кинза сушёная, перец красный острый сушёный.</t>
  </si>
  <si>
    <t>Нут, вода питьевая, масло подсолнечное рафинированное дезодорированное, тахини (кунжутная паста), экстракт дрожжевой, соль морская пищевая, чеснок сушёный, загуститель (камедь гуаровая), кумин, перец красный острый сушёный, куркума.</t>
  </si>
  <si>
    <t>Вафли Bite</t>
  </si>
  <si>
    <t>Натуральное ЗОЖ печенье</t>
  </si>
  <si>
    <t>http://1.c8804.nichost.ru/pics/20514.jpg</t>
  </si>
  <si>
    <t>мука рисовая, масло кокосовое, изомальт, фундук, како-порошок, мука льняная, сода пищевая, инулин, соль морская пищевая.</t>
  </si>
  <si>
    <t>http://1.c8804.nichost.ru/pics/20506.jpg</t>
  </si>
  <si>
    <t>Печенье Мюсли ореховое Missis Pickez 100г</t>
  </si>
  <si>
    <t>мука рисовая, масло кокосовое, хлопья овсяные, изомальт, фундук, мука льняная, сода пищевая, соль морская пищевая, куркума</t>
  </si>
  <si>
    <t>мука рисовая, сироп топинамбура, масло кокосовое, мак пищевой, сода пищевая, соль морская пищевая</t>
  </si>
  <si>
    <t>http://1.c8804.nichost.ru/pics/20511.jpg</t>
  </si>
  <si>
    <t>http://1.c8804.nichost.ru/pics/20512.jpg</t>
  </si>
  <si>
    <t>мука рисовая, сироп топинамбура, масло кокосовое рафинированное, шоколад горький 68% без добавления сахара, мак пищевой, сода пищевая, соль морская пищевая</t>
  </si>
  <si>
    <t>http://1.c8804.nichost.ru/pics/20519.jpg</t>
  </si>
  <si>
    <t>мука рисовая, сироп топинамбура, масло кокосовое, масло подсолнечное, соль пищевая, сода пищевая, мука льняная, корица, сахарный колер, ароматизатор пищевой натуральный «Имбирный пряник», сукралоза</t>
  </si>
  <si>
    <t>мука рисовая, мука кукурузная, сироп топинамбура, масло кокосовое, зерно кукурузы, масло подсолнечное, мука льняная, соль пищевая, куркума, ароматизатор пищевой натуральный «Ваниль», сукралоза</t>
  </si>
  <si>
    <t>http://1.c8804.nichost.ru/pics/20516.jpg</t>
  </si>
  <si>
    <t>http://1.c8804.nichost.ru/pics/20517.jpg</t>
  </si>
  <si>
    <t>мука рисовая, сироп топинамбура, масло кокосовое, масло подсолнечное, соль пищевая, сода пищевая, мука льняная, сахарный колер, ароматизатор пищевой натуральный «Карамель», сукралоза</t>
  </si>
  <si>
    <t>Печенье Хурабие Missis Pickez 100г</t>
  </si>
  <si>
    <t>Missis Pickez</t>
  </si>
  <si>
    <t>Не содержит глютен, сахар, лактозу</t>
  </si>
  <si>
    <t xml:space="preserve">Подходит для вегетарианцев </t>
  </si>
  <si>
    <t>Золотой лён Vitlen</t>
  </si>
  <si>
    <r>
      <t>Эликсир "</t>
    </r>
    <r>
      <rPr>
        <b/>
        <sz val="10"/>
        <rFont val="Calibri"/>
        <family val="2"/>
        <scheme val="minor"/>
      </rPr>
      <t>Для Сердца - Омега 3</t>
    </r>
    <r>
      <rPr>
        <sz val="10"/>
        <rFont val="Calibri"/>
        <family val="2"/>
        <scheme val="minor"/>
      </rPr>
      <t>" на льняном масле 200мл</t>
    </r>
  </si>
  <si>
    <r>
      <t>Масло капсулированное льняное "</t>
    </r>
    <r>
      <rPr>
        <b/>
        <sz val="10"/>
        <rFont val="Calibri"/>
        <family val="2"/>
        <scheme val="minor"/>
      </rPr>
      <t>Амарантовое"</t>
    </r>
    <r>
      <rPr>
        <sz val="10"/>
        <rFont val="Calibri"/>
        <family val="2"/>
        <scheme val="minor"/>
      </rPr>
      <t xml:space="preserve"> 180капс 54г</t>
    </r>
  </si>
  <si>
    <t>http://1.c8804.nichost.ru/pics/20501.jpg</t>
  </si>
  <si>
    <t>вода, зерно овса очищенное, яблочный концентрат, какао порошок, изолят соевого белка, масло подсолнечное, карбонат кальция, соль, натуральный ароматизатор «Шоколад», лецитин подсолнечный; геллановая камедь, гуаровая камедь</t>
  </si>
  <si>
    <t>Мука кокосовая zip 250г</t>
  </si>
  <si>
    <t>http://1.c8804.nichost.ru/pics/20525.jpg</t>
  </si>
  <si>
    <t>Вода, сок банана концентрированный, подсластитель эритрит, банан, загуститель ксантановая камедь, лимонная кислота, консервант сорбиновая кислота, ваниль, подсластитель растительный экстракт Луо Хан Гуо</t>
  </si>
  <si>
    <t>http://1.c8804.nichost.ru/pics/20496.jpg</t>
  </si>
  <si>
    <t>Вода, подсластитель эритрит, подсластитель мальтит, стабилизатор полидекстроза, какао алкализованный, какао масло, загуститель ксантановая камедь, молочная кислота, лимонная кислота, растительный экстракт Луо Хан Гуо, соль, консервант сорбиновая кислота, натуральный ароматизатор шоколад</t>
  </si>
  <si>
    <t>http://1.c8804.nichost.ru/pics/20495.jpg</t>
  </si>
  <si>
    <t>Косметика Nativica Baby</t>
  </si>
  <si>
    <t>Вода, масло авокадо, коко-каприлат/капрат, каприлик/каприк триглицериды, д-пантенол, воск авокадо, глицерил олеат цитрат, ксантановая камедь, дегидроацетат натрия, витамин Е, бисаболол, масло ванили</t>
  </si>
  <si>
    <t>http://1.c8804.nichost.ru/pics/20499.jpg</t>
  </si>
  <si>
    <t>Вода, кокоил глуматат натрия, коко сульфат натрия, коко глюкозид, глицерил олеат, оливковое масло, д-пантенол, экстракт ромашки, экстракт календулы, глицерин, молочная кислота, дегидроацетат натрия, масло ванили</t>
  </si>
  <si>
    <t>http://1.c8804.nichost.ru/pics/20498.jpg</t>
  </si>
  <si>
    <r>
      <t xml:space="preserve">Паста крем-чиз соевый с </t>
    </r>
    <r>
      <rPr>
        <b/>
        <sz val="10"/>
        <rFont val="Calibri"/>
        <family val="2"/>
        <charset val="204"/>
        <scheme val="minor"/>
      </rPr>
      <t>зеленью</t>
    </r>
    <r>
      <rPr>
        <sz val="10"/>
        <rFont val="Calibri"/>
        <family val="2"/>
        <scheme val="minor"/>
      </rPr>
      <t xml:space="preserve"> стекло 90г</t>
    </r>
  </si>
  <si>
    <r>
      <t>Хумус "</t>
    </r>
    <r>
      <rPr>
        <b/>
        <sz val="10"/>
        <rFont val="Calibri"/>
        <family val="2"/>
        <charset val="204"/>
        <scheme val="minor"/>
      </rPr>
      <t>Свекольный</t>
    </r>
    <r>
      <rPr>
        <sz val="10"/>
        <rFont val="Calibri"/>
        <family val="2"/>
        <scheme val="minor"/>
      </rPr>
      <t>" стекло 90г</t>
    </r>
  </si>
  <si>
    <r>
      <t xml:space="preserve">Хумус </t>
    </r>
    <r>
      <rPr>
        <b/>
        <sz val="10"/>
        <rFont val="Calibri"/>
        <family val="2"/>
        <scheme val="minor"/>
      </rPr>
      <t>"Классический"</t>
    </r>
    <r>
      <rPr>
        <sz val="10"/>
        <rFont val="Calibri"/>
        <family val="2"/>
        <scheme val="minor"/>
      </rPr>
      <t xml:space="preserve"> стекло 90г</t>
    </r>
  </si>
  <si>
    <r>
      <t>Хумус "</t>
    </r>
    <r>
      <rPr>
        <b/>
        <sz val="10"/>
        <rFont val="Calibri"/>
        <family val="2"/>
        <scheme val="minor"/>
      </rPr>
      <t>С</t>
    </r>
    <r>
      <rPr>
        <sz val="10"/>
        <rFont val="Calibri"/>
        <family val="2"/>
        <scheme val="minor"/>
      </rPr>
      <t xml:space="preserve"> </t>
    </r>
    <r>
      <rPr>
        <b/>
        <sz val="10"/>
        <rFont val="Calibri"/>
        <family val="2"/>
        <scheme val="minor"/>
      </rPr>
      <t>перчиком Халапеньо</t>
    </r>
    <r>
      <rPr>
        <sz val="10"/>
        <rFont val="Calibri"/>
        <family val="2"/>
        <scheme val="minor"/>
      </rPr>
      <t>" стекло 90г</t>
    </r>
  </si>
  <si>
    <t>вода питьевая, масло подсолнечное рафинированное дезодорированное, свекла пюре, нут, свекла сушеная, кунжутная паста, сок лимона, соль морская пищевая, базилик сушеный, кориандр молотый, чеснок сушеный, перец черный молотый, кумин молотый</t>
  </si>
  <si>
    <r>
      <t xml:space="preserve">Халва кунжутная с </t>
    </r>
    <r>
      <rPr>
        <b/>
        <sz val="10"/>
        <rFont val="Calibri"/>
        <family val="2"/>
        <scheme val="minor"/>
      </rPr>
      <t>какао</t>
    </r>
    <r>
      <rPr>
        <sz val="10"/>
        <rFont val="Calibri"/>
        <family val="2"/>
        <scheme val="minor"/>
      </rPr>
      <t xml:space="preserve"> 290г</t>
    </r>
  </si>
  <si>
    <t>масло кунжутное, холодный отжим</t>
  </si>
  <si>
    <t>http://1.c8804.nichost.ru/pics/20541.jpg</t>
  </si>
  <si>
    <t>Продукция из кунжута</t>
  </si>
  <si>
    <t>Натуральная продукция из кунжута</t>
  </si>
  <si>
    <t>Высокая качество и доступная цена</t>
  </si>
  <si>
    <t>Замедляет старение, укрепляет сосуды</t>
  </si>
  <si>
    <t xml:space="preserve">Повышает иммунитет </t>
  </si>
  <si>
    <r>
      <t xml:space="preserve">Завтрак сухой "Хлебцы </t>
    </r>
    <r>
      <rPr>
        <b/>
        <sz val="10"/>
        <rFont val="Calibri"/>
        <family val="2"/>
        <scheme val="minor"/>
      </rPr>
      <t>зеленой гречки</t>
    </r>
    <r>
      <rPr>
        <sz val="10"/>
        <rFont val="Calibri"/>
        <family val="2"/>
        <scheme val="minor"/>
      </rPr>
      <t xml:space="preserve"> МИНИ" 100г</t>
    </r>
  </si>
  <si>
    <t>Клюква вяленая в тёмном шоколаде крафт 60г</t>
  </si>
  <si>
    <t>http://1.c8804.nichost.ru/pics/20542.jpg</t>
  </si>
  <si>
    <t>Грецкий орех, изюм, печенье песочное, масло сливочное, яйцо куриное, какао, сахар, молоко цельное</t>
  </si>
  <si>
    <t>тёмный шоколад (какао-масса, сахар, какао-масло, лецитин соевый (эмульгатор), ароматизатор натуральный ваниль), клюква вяленая (сахар, растительное масло), какао-порошок натуральный</t>
  </si>
  <si>
    <t>Щербет с арахисом 50г</t>
  </si>
  <si>
    <t>http://1.c8804.nichost.ru/pics/20544.jpg</t>
  </si>
  <si>
    <t>Крыжовник в белом шоколаде с клубникой крафт 60г</t>
  </si>
  <si>
    <t>шоколад белый (сахар, какао-масло, молоко сухое цельное, лецитин соевый (эмульгатор), ароматизатор натуральный-ваниль), крыжовник вяленый (ягоды крыжовника, сахар), клубника сублимированная</t>
  </si>
  <si>
    <t>http://1.c8804.nichost.ru/pics/20546.jpg</t>
  </si>
  <si>
    <t>Крыжовник в тёмном шоколаде с смородиной крафт 60г</t>
  </si>
  <si>
    <t>http://1.c8804.nichost.ru/pics/20547.jpg</t>
  </si>
  <si>
    <t>шоколад тёмный (какао тёртое, сахар, какао-масло, лецитин соевый (эмульгатор), ароматизатор натуральный-ваниль), крыжовник вяленый (ягоды крыжовника, сахар), смородина чёрная сублимированная</t>
  </si>
  <si>
    <t>Драже</t>
  </si>
  <si>
    <r>
      <rPr>
        <sz val="10"/>
        <rFont val="Calibri"/>
        <family val="2"/>
        <charset val="204"/>
        <scheme val="minor"/>
      </rPr>
      <t>Земляника</t>
    </r>
    <r>
      <rPr>
        <sz val="10"/>
        <rFont val="Calibri"/>
        <family val="2"/>
        <scheme val="minor"/>
      </rPr>
      <t xml:space="preserve"> в шоколадной глазури 100г</t>
    </r>
  </si>
  <si>
    <t>Сосновая шишка в белом шоколаде с брусникой" крафт-пак 60г</t>
  </si>
  <si>
    <t>Сосновая шишка в темном шоколаде" крафт-пак 60г</t>
  </si>
  <si>
    <r>
      <t xml:space="preserve">Сосновая шишка в темном шоколаде </t>
    </r>
    <r>
      <rPr>
        <b/>
        <sz val="10"/>
        <rFont val="Calibri"/>
        <family val="2"/>
        <scheme val="minor"/>
      </rPr>
      <t>с корицей</t>
    </r>
    <r>
      <rPr>
        <sz val="10"/>
        <rFont val="Calibri"/>
        <family val="2"/>
        <scheme val="minor"/>
      </rPr>
      <t>" крафт-пак 60г</t>
    </r>
  </si>
  <si>
    <r>
      <t>Ядро кедрового ореха в</t>
    </r>
    <r>
      <rPr>
        <sz val="10"/>
        <rFont val="Calibri"/>
        <family val="2"/>
        <charset val="204"/>
        <scheme val="minor"/>
      </rPr>
      <t xml:space="preserve"> темном шоколаде </t>
    </r>
    <r>
      <rPr>
        <sz val="10"/>
        <rFont val="Calibri"/>
        <family val="2"/>
        <scheme val="minor"/>
      </rPr>
      <t>крафт 60г</t>
    </r>
  </si>
  <si>
    <t>классика, облепиха, клюква, шоколад</t>
  </si>
  <si>
    <t>http://1.c8804.nichost.ru/pics/20548.jpg</t>
  </si>
  <si>
    <t>http://1.c8804.nichost.ru/pics/20458.jpg</t>
  </si>
  <si>
    <t xml:space="preserve">Мука пшеничная, масло кокосовое, подсластитель изомальт, изолят горохового белка, мука нутовая, крахмал кукурузный, какао-порошок, паста фундука, масло подсолнечное, лецитин соевый, натуральные ароматизаторы, соль, краситель куркумин, сода пищевая, концентрат смеси токоферолов.
</t>
  </si>
  <si>
    <t>http://1.c8804.nichost.ru/pics/18408.jpg</t>
  </si>
  <si>
    <t>http://1.c8804.nichost.ru/pics/18410.jpg</t>
  </si>
  <si>
    <t>http://1.c8804.nichost.ru/pics/18411.jpg</t>
  </si>
  <si>
    <r>
      <t xml:space="preserve">Брускетта из </t>
    </r>
    <r>
      <rPr>
        <b/>
        <sz val="10"/>
        <rFont val="Calibri"/>
        <family val="2"/>
        <scheme val="minor"/>
      </rPr>
      <t>Запеченного перца</t>
    </r>
    <r>
      <rPr>
        <sz val="10"/>
        <rFont val="Calibri"/>
        <family val="2"/>
        <scheme val="minor"/>
      </rPr>
      <t xml:space="preserve"> с пряными травами 150г</t>
    </r>
  </si>
  <si>
    <r>
      <t xml:space="preserve">Брускетта из </t>
    </r>
    <r>
      <rPr>
        <b/>
        <sz val="10"/>
        <rFont val="Calibri"/>
        <family val="2"/>
        <scheme val="minor"/>
      </rPr>
      <t>Артишоков</t>
    </r>
    <r>
      <rPr>
        <sz val="10"/>
        <rFont val="Calibri"/>
        <family val="2"/>
        <scheme val="minor"/>
      </rPr>
      <t xml:space="preserve"> с прованскими травами 150г</t>
    </r>
  </si>
  <si>
    <r>
      <t xml:space="preserve">Брускетта из </t>
    </r>
    <r>
      <rPr>
        <b/>
        <sz val="10"/>
        <rFont val="Calibri"/>
        <family val="2"/>
        <scheme val="minor"/>
      </rPr>
      <t>оливок Каламата</t>
    </r>
    <r>
      <rPr>
        <sz val="10"/>
        <rFont val="Calibri"/>
        <family val="2"/>
        <scheme val="minor"/>
      </rPr>
      <t xml:space="preserve"> с прованскими травами 150г</t>
    </r>
  </si>
  <si>
    <r>
      <t xml:space="preserve">Брускетта из </t>
    </r>
    <r>
      <rPr>
        <b/>
        <sz val="10"/>
        <rFont val="Calibri"/>
        <family val="2"/>
        <scheme val="minor"/>
      </rPr>
      <t>оливок Халкидики</t>
    </r>
    <r>
      <rPr>
        <sz val="10"/>
        <rFont val="Calibri"/>
        <family val="2"/>
        <scheme val="minor"/>
      </rPr>
      <t xml:space="preserve"> с пряными травами 150г</t>
    </r>
  </si>
  <si>
    <r>
      <t xml:space="preserve">Брускетта </t>
    </r>
    <r>
      <rPr>
        <b/>
        <sz val="10"/>
        <rFont val="Calibri"/>
        <family val="2"/>
        <scheme val="minor"/>
      </rPr>
      <t>Средиземноморская</t>
    </r>
    <r>
      <rPr>
        <sz val="10"/>
        <rFont val="Calibri"/>
        <family val="2"/>
        <scheme val="minor"/>
      </rPr>
      <t xml:space="preserve"> с прованскими травами 150г</t>
    </r>
  </si>
  <si>
    <r>
      <t xml:space="preserve">Мыло для рук </t>
    </r>
    <r>
      <rPr>
        <b/>
        <sz val="10"/>
        <rFont val="Calibri"/>
        <family val="2"/>
        <scheme val="minor"/>
      </rPr>
      <t>Дегтярное</t>
    </r>
    <r>
      <rPr>
        <sz val="10"/>
        <rFont val="Calibri"/>
        <family val="2"/>
        <scheme val="minor"/>
      </rPr>
      <t xml:space="preserve"> 80г</t>
    </r>
  </si>
  <si>
    <r>
      <t xml:space="preserve">Мочалка </t>
    </r>
    <r>
      <rPr>
        <b/>
        <sz val="10"/>
        <rFont val="Calibri"/>
        <family val="2"/>
        <scheme val="minor"/>
      </rPr>
      <t>Сосновая</t>
    </r>
    <r>
      <rPr>
        <sz val="10"/>
        <rFont val="Calibri"/>
        <family val="2"/>
        <scheme val="minor"/>
      </rPr>
      <t>, с органическим мылом 130г</t>
    </r>
  </si>
  <si>
    <r>
      <t xml:space="preserve">Соус </t>
    </r>
    <r>
      <rPr>
        <b/>
        <sz val="10"/>
        <rFont val="Calibri"/>
        <family val="2"/>
        <scheme val="minor"/>
      </rPr>
      <t>Дижонский</t>
    </r>
    <r>
      <rPr>
        <sz val="10"/>
        <rFont val="Calibri"/>
        <family val="2"/>
        <scheme val="minor"/>
      </rPr>
      <t xml:space="preserve"> низкокалорийный 330г</t>
    </r>
  </si>
  <si>
    <r>
      <t xml:space="preserve">Соус </t>
    </r>
    <r>
      <rPr>
        <b/>
        <sz val="10"/>
        <rFont val="Calibri"/>
        <family val="2"/>
        <scheme val="minor"/>
      </rPr>
      <t>Кунжутный</t>
    </r>
    <r>
      <rPr>
        <sz val="10"/>
        <rFont val="Calibri"/>
        <family val="2"/>
        <scheme val="minor"/>
      </rPr>
      <t xml:space="preserve"> низкокалорийный 330г</t>
    </r>
  </si>
  <si>
    <r>
      <t xml:space="preserve">Соус </t>
    </r>
    <r>
      <rPr>
        <b/>
        <sz val="10"/>
        <rFont val="Calibri"/>
        <family val="2"/>
        <scheme val="minor"/>
      </rPr>
      <t>Манго-Чили</t>
    </r>
    <r>
      <rPr>
        <sz val="10"/>
        <rFont val="Calibri"/>
        <family val="2"/>
        <scheme val="minor"/>
      </rPr>
      <t xml:space="preserve"> низкокалорийный 330г</t>
    </r>
  </si>
  <si>
    <r>
      <t xml:space="preserve">Прополис спрей </t>
    </r>
    <r>
      <rPr>
        <b/>
        <sz val="10"/>
        <rFont val="Calibri"/>
        <family val="2"/>
        <scheme val="minor"/>
      </rPr>
      <t>taiga</t>
    </r>
    <r>
      <rPr>
        <sz val="10"/>
        <rFont val="Calibri"/>
        <family val="2"/>
        <scheme val="minor"/>
      </rPr>
      <t xml:space="preserve"> (безалкогольный) 50мл</t>
    </r>
  </si>
  <si>
    <r>
      <t xml:space="preserve">Конфеты "Кедровый марципан" </t>
    </r>
    <r>
      <rPr>
        <b/>
        <sz val="10"/>
        <rFont val="Calibri"/>
        <family val="2"/>
        <scheme val="minor"/>
      </rPr>
      <t xml:space="preserve">с малиной </t>
    </r>
    <r>
      <rPr>
        <sz val="10"/>
        <rFont val="Calibri"/>
        <family val="2"/>
        <scheme val="minor"/>
      </rPr>
      <t>40г</t>
    </r>
  </si>
  <si>
    <t>мука кукурузная крупного помола, мука рисовая грубого помола, мука амарантовая грубого помола, вода питьевая, топинамбур сушеный, соль, глазурь кондитерская молочная</t>
  </si>
  <si>
    <t>мука кукурузная крупного помола, мука рисовая грубого помола, мука амарантовая грубого помола, вода питьевая, топинамбур сушеный, соль, глазурь кондитерская белая молочная</t>
  </si>
  <si>
    <t>мука кукурузная крупного помола, мука рисовая грубого помола, мука амарантовая грубого помола, вода питьевая, топинамбур сушеный, соль, глазурь кондитерская</t>
  </si>
  <si>
    <t>http://1.c8804.nichost.ru/pics/20557.jpg</t>
  </si>
  <si>
    <t>http://1.c8804.nichost.ru/pics/20562.jpg</t>
  </si>
  <si>
    <t>http://1.c8804.nichost.ru/pics/20556.jpg</t>
  </si>
  <si>
    <t>Масло топлёное ГХИ, пасты</t>
  </si>
  <si>
    <t xml:space="preserve">Злаково-фруктовая основа (концентрат молочного белка, кусочки из яблок и клубники); хлопья овсяные, масло растительное, пищевое волокно, влагоудерживающий агент – глицерин, крахмал кукурузный, финиковый сироп, гидролизованный рыбный коллаген, малина сушеная (порошок), свекла сушеная (порошок), соевый лецитин, соль, ароматизатор натуральный, гидрокарбонат натрия, Витамин Е, ксантановая камедь; изомальтоолигосахарид; шоколад тёмный без сахара </t>
  </si>
  <si>
    <t>http://1.c8804.nichost.ru/pics/20563.jpg</t>
  </si>
  <si>
    <t>http://1.c8804.nichost.ru/pics/20564.jpg</t>
  </si>
  <si>
    <t>сок яблочный концентрированный; пюре яблочное концентрированное; концентрированный апельсиновый сок; агент желирующий: пектин; цитрусовые пищевые волокна; натуральный ароматизатор</t>
  </si>
  <si>
    <t>http://1.c8804.nichost.ru/pics/20522.jpg</t>
  </si>
  <si>
    <t>http://1.c8804.nichost.ru/pics/20524.jpg</t>
  </si>
  <si>
    <t>http://1.c8804.nichost.ru/pics/20523.jpg</t>
  </si>
  <si>
    <t>Топленое масло ГХИ, овёс ферментированный, экстракт чаги, напиток растворимый злаковый ячменный, цикорий растворимый.</t>
  </si>
  <si>
    <t>http://1.c8804.nichost.ru/pics/20552.jpg</t>
  </si>
  <si>
    <t>http://1.c8804.nichost.ru/pics/20549.jpg</t>
  </si>
  <si>
    <t>Топленое масло ГХИ, какао- порошок, овёс ферментированный, цикорий растворимый</t>
  </si>
  <si>
    <t>http://1.c8804.nichost.ru/pics/16490.jpg</t>
  </si>
  <si>
    <t>http://1.c8804.nichost.ru/pics/19094.jpg</t>
  </si>
  <si>
    <t>http://1.c8804.nichost.ru/pics/19495.jpg</t>
  </si>
  <si>
    <r>
      <t xml:space="preserve">Суп </t>
    </r>
    <r>
      <rPr>
        <b/>
        <sz val="10"/>
        <rFont val="Calibri"/>
        <family val="2"/>
        <scheme val="minor"/>
      </rPr>
      <t>Тайский</t>
    </r>
    <r>
      <rPr>
        <sz val="10"/>
        <rFont val="Calibri"/>
        <family val="2"/>
        <scheme val="minor"/>
      </rPr>
      <t xml:space="preserve"> с кокосовым молоком 250 г </t>
    </r>
  </si>
  <si>
    <r>
      <t>Попкорн "</t>
    </r>
    <r>
      <rPr>
        <b/>
        <sz val="10"/>
        <rFont val="Calibri"/>
        <family val="2"/>
        <scheme val="minor"/>
      </rPr>
      <t>булочка с корицей</t>
    </r>
    <r>
      <rPr>
        <sz val="10"/>
        <rFont val="Calibri"/>
        <family val="2"/>
        <scheme val="minor"/>
      </rPr>
      <t>" 25г</t>
    </r>
  </si>
  <si>
    <r>
      <t>Масло льняное "</t>
    </r>
    <r>
      <rPr>
        <b/>
        <sz val="10"/>
        <rFont val="Calibri"/>
        <family val="2"/>
        <scheme val="minor"/>
      </rPr>
      <t>Вологодское</t>
    </r>
    <r>
      <rPr>
        <sz val="10"/>
        <rFont val="Calibri"/>
        <family val="2"/>
        <scheme val="minor"/>
      </rPr>
      <t>" 500мл</t>
    </r>
  </si>
  <si>
    <r>
      <t>Масло льняное "</t>
    </r>
    <r>
      <rPr>
        <b/>
        <sz val="10"/>
        <rFont val="Calibri"/>
        <family val="2"/>
        <scheme val="minor"/>
      </rPr>
      <t>Сибирское</t>
    </r>
    <r>
      <rPr>
        <sz val="10"/>
        <rFont val="Calibri"/>
        <family val="2"/>
        <scheme val="minor"/>
      </rPr>
      <t>" 500мл</t>
    </r>
  </si>
  <si>
    <r>
      <t>Масло льняное "</t>
    </r>
    <r>
      <rPr>
        <b/>
        <sz val="10"/>
        <rFont val="Calibri"/>
        <family val="2"/>
        <scheme val="minor"/>
      </rPr>
      <t>Славянка Арина</t>
    </r>
    <r>
      <rPr>
        <sz val="10"/>
        <rFont val="Calibri"/>
        <family val="2"/>
        <scheme val="minor"/>
      </rPr>
      <t>" 500мл</t>
    </r>
  </si>
  <si>
    <r>
      <t xml:space="preserve">Соус </t>
    </r>
    <r>
      <rPr>
        <b/>
        <sz val="10"/>
        <rFont val="Calibri"/>
        <family val="2"/>
        <scheme val="minor"/>
      </rPr>
      <t>Грибной</t>
    </r>
    <r>
      <rPr>
        <sz val="10"/>
        <rFont val="Calibri"/>
        <family val="2"/>
        <scheme val="minor"/>
      </rPr>
      <t xml:space="preserve"> низкокалорийный 330г</t>
    </r>
  </si>
  <si>
    <r>
      <t>Смесь фруктово-ореховая "</t>
    </r>
    <r>
      <rPr>
        <b/>
        <sz val="10"/>
        <rFont val="Calibri"/>
        <family val="2"/>
        <scheme val="minor"/>
      </rPr>
      <t>Лав</t>
    </r>
    <r>
      <rPr>
        <sz val="10"/>
        <rFont val="Calibri"/>
        <family val="2"/>
        <scheme val="minor"/>
      </rPr>
      <t>" (вишня, кешью) 45г</t>
    </r>
  </si>
  <si>
    <r>
      <t>Смесь фруктово-ореховая "</t>
    </r>
    <r>
      <rPr>
        <b/>
        <sz val="10"/>
        <rFont val="Calibri"/>
        <family val="2"/>
        <scheme val="minor"/>
      </rPr>
      <t>Смайл</t>
    </r>
    <r>
      <rPr>
        <sz val="10"/>
        <rFont val="Calibri"/>
        <family val="2"/>
        <scheme val="minor"/>
      </rPr>
      <t>" (миндаль, кешью, изюм, цукаты) 50г</t>
    </r>
  </si>
  <si>
    <r>
      <t xml:space="preserve">Комбуча </t>
    </r>
    <r>
      <rPr>
        <b/>
        <sz val="10"/>
        <rFont val="Calibri"/>
        <family val="2"/>
        <scheme val="minor"/>
      </rPr>
      <t>Каркаде</t>
    </r>
    <r>
      <rPr>
        <sz val="10"/>
        <rFont val="Calibri"/>
        <family val="2"/>
        <scheme val="minor"/>
      </rPr>
      <t xml:space="preserve"> "interkvass" стекло 330мл</t>
    </r>
  </si>
  <si>
    <r>
      <t xml:space="preserve">Комбуча </t>
    </r>
    <r>
      <rPr>
        <b/>
        <sz val="10"/>
        <rFont val="Calibri"/>
        <family val="2"/>
        <scheme val="minor"/>
      </rPr>
      <t>Классический</t>
    </r>
    <r>
      <rPr>
        <sz val="10"/>
        <rFont val="Calibri"/>
        <family val="2"/>
        <scheme val="minor"/>
      </rPr>
      <t xml:space="preserve"> "interkvass" стекло 330мл</t>
    </r>
  </si>
  <si>
    <t>http://1.c8804.nichost.ru/pics/20565_1.jpg</t>
  </si>
  <si>
    <t>http://1.c8804.nichost.ru/pics/20566_1.jpg</t>
  </si>
  <si>
    <t>http://1.c8804.nichost.ru/pics/20568.jpg</t>
  </si>
  <si>
    <t>http://1.c8804.nichost.ru/pics/20567.jpg</t>
  </si>
  <si>
    <t>вегетарианский, тропический, горячий шоколад, йоговский, антиоксидантный</t>
  </si>
  <si>
    <t>http://1.c8804.nichost.ru/pics/20569.jpg</t>
  </si>
  <si>
    <r>
      <t xml:space="preserve">Супер-завтрак Чиа </t>
    </r>
    <r>
      <rPr>
        <b/>
        <sz val="10"/>
        <rFont val="Calibri"/>
        <family val="2"/>
        <scheme val="minor"/>
      </rPr>
      <t>ОМЕГА-3 "Лесные ягоды"</t>
    </r>
    <r>
      <rPr>
        <sz val="10"/>
        <rFont val="Calibri"/>
        <family val="2"/>
        <scheme val="minor"/>
      </rPr>
      <t xml:space="preserve"> дой-пак, 220г</t>
    </r>
  </si>
  <si>
    <r>
      <t>Фруктовое пюре Чиа "</t>
    </r>
    <r>
      <rPr>
        <b/>
        <sz val="10"/>
        <rFont val="Calibri"/>
        <family val="2"/>
        <scheme val="minor"/>
      </rPr>
      <t>Банан+Апельсин</t>
    </r>
    <r>
      <rPr>
        <sz val="10"/>
        <rFont val="Calibri"/>
        <family val="2"/>
        <scheme val="minor"/>
      </rPr>
      <t>", Магия чиа дой-пак 150г</t>
    </r>
  </si>
  <si>
    <r>
      <t>Фруктовое пюре Чиа "</t>
    </r>
    <r>
      <rPr>
        <b/>
        <sz val="10"/>
        <rFont val="Calibri"/>
        <family val="2"/>
        <scheme val="minor"/>
      </rPr>
      <t>Яблоко+Апельсин</t>
    </r>
    <r>
      <rPr>
        <sz val="10"/>
        <rFont val="Calibri"/>
        <family val="2"/>
        <scheme val="minor"/>
      </rPr>
      <t>", Магия чиа дой-пак 150г</t>
    </r>
  </si>
  <si>
    <r>
      <t>Фруктовое смузи Чиа "</t>
    </r>
    <r>
      <rPr>
        <b/>
        <sz val="10"/>
        <rFont val="Calibri"/>
        <family val="2"/>
        <scheme val="minor"/>
      </rPr>
      <t>Смородина+Яблоко</t>
    </r>
    <r>
      <rPr>
        <sz val="10"/>
        <rFont val="Calibri"/>
        <family val="2"/>
        <scheme val="minor"/>
      </rPr>
      <t>" дой-пак, 250г</t>
    </r>
  </si>
  <si>
    <r>
      <t>Макароны полбяные "</t>
    </r>
    <r>
      <rPr>
        <b/>
        <sz val="10"/>
        <rFont val="Calibri"/>
        <family val="2"/>
        <scheme val="minor"/>
      </rPr>
      <t>Перья</t>
    </r>
    <r>
      <rPr>
        <sz val="10"/>
        <rFont val="Calibri"/>
        <family val="2"/>
        <scheme val="minor"/>
      </rPr>
      <t>" ц/з 350г</t>
    </r>
  </si>
  <si>
    <r>
      <t>Макароны полбяные "</t>
    </r>
    <r>
      <rPr>
        <b/>
        <sz val="10"/>
        <rFont val="Calibri"/>
        <family val="2"/>
        <scheme val="minor"/>
      </rPr>
      <t>Рожки</t>
    </r>
    <r>
      <rPr>
        <sz val="10"/>
        <rFont val="Calibri"/>
        <family val="2"/>
        <scheme val="minor"/>
      </rPr>
      <t>" ц/з 350г</t>
    </r>
  </si>
  <si>
    <t>Мука пшеничная ц\з из твёрдых сортов пшеницы 500г</t>
  </si>
  <si>
    <t>Заменитель сухого молочного продукта (кукурузный сироп, кокосовое масло, казеинат натрия, калия фосфаты), мука из семян тыквы,сахар, мякоть тыквы, ванилин ( ароматизатор идентичный натуральному)</t>
  </si>
  <si>
    <t>Заменитель сухого молочного продукта (кукурузный сироп, кокосовое масло, казеинат натрия, калия фосфаты), ячменно-ржанной концентрат, сахар, какао порошок, перец черный, ароматизатор пищевой "Амаретто"</t>
  </si>
  <si>
    <t>http://1.c8804.nichost.ru/pics/20575.jpg</t>
  </si>
  <si>
    <t>http://1.c8804.nichost.ru/pics/20574.jpg</t>
  </si>
  <si>
    <t>Брусника, концентрированный виноградный сок, фруктовый пектин.</t>
  </si>
  <si>
    <t>Клубника,пектин</t>
  </si>
  <si>
    <t>Малина, концентрированный виноградный сок, загуститель фруктовый пектин</t>
  </si>
  <si>
    <t>Облепиха, концентрированный виноградный сок, загуститель фруктовый пектин</t>
  </si>
  <si>
    <t>Батончики в ассортименте</t>
  </si>
  <si>
    <t>Манго в сиропе 50,0%, вода 25,0%, сахар 13,0%, 10%-дистиллированный уксус 7,0%, маринованный желтый чили 4,5%,соль 0,4%, стабилизатор: ксантановая камедь (E415) 0,1%.</t>
  </si>
  <si>
    <t xml:space="preserve">Вода 46,0%, ананас 20,5%, 10%-дистиллированный уксус 12,5%, сахар 13,5%, маринованный желтый чили 6,8%, соль 0,4%, стабилизатор: ксантановая камедь (E415) 0,3%
</t>
  </si>
  <si>
    <r>
      <t>Сахар тростниковый "</t>
    </r>
    <r>
      <rPr>
        <b/>
        <sz val="10"/>
        <rFont val="Calibri"/>
        <family val="2"/>
        <scheme val="minor"/>
      </rPr>
      <t>Мусковадо</t>
    </r>
    <r>
      <rPr>
        <sz val="10"/>
        <rFont val="Calibri"/>
        <family val="2"/>
        <scheme val="minor"/>
      </rPr>
      <t xml:space="preserve">" </t>
    </r>
    <r>
      <rPr>
        <b/>
        <sz val="10"/>
        <rFont val="Calibri"/>
        <family val="2"/>
        <scheme val="minor"/>
      </rPr>
      <t>тёмный</t>
    </r>
    <r>
      <rPr>
        <sz val="10"/>
        <rFont val="Calibri"/>
        <family val="2"/>
        <scheme val="minor"/>
      </rPr>
      <t xml:space="preserve"> 450г</t>
    </r>
  </si>
  <si>
    <t>http://1.c8804.nichost.ru/pics/20591.jpg</t>
  </si>
  <si>
    <t>http://1.c8804.nichost.ru/pics/20589.jpg</t>
  </si>
  <si>
    <t>овсяные хлопья, изолят горохового белка, растительное масло (кокосовое, рапсовое), финиковый сироп, крахмал кукурузный, инулин, семена чиа, разрыхлитель гидрокарбонат натрия (сода пищевая), соль, экстракт ванили, ароматизаторы натуральные (“Ваниль”, “Сливки”), эмульгатор - соевый лецитин, загуститель – камедь ксантановая, стевиозид</t>
  </si>
  <si>
    <t xml:space="preserve">овсяные хлопья, изолят горохового белка, растительное масло (кокосовое, рапсовое), финиковый сироп, крахмал кукурузный, инулин, паста жареного фундука, сода пищевая, соль, ароматизаторы натуральные («Фундук», «Сливки»*), эмульгатор – соевый лецитин, загуститель – камедь ксантановая, стевиозид </t>
  </si>
  <si>
    <t>Хлебцы протеиновые гречневые 100г</t>
  </si>
  <si>
    <t>Хлебцы проетиновые чечевичные 100г</t>
  </si>
  <si>
    <t>http://1.c8804.nichost.ru/pics/20592.jpg</t>
  </si>
  <si>
    <t>http://1.c8804.nichost.ru/pics/20593.jpg</t>
  </si>
  <si>
    <t>крупа гречневая, крупа рисовая, белок гороховый, соль, карбонат кальция</t>
  </si>
  <si>
    <t>мука чечевичная, крупа гречневая, крупа рисовая, белок гороховый, лук сушеный, соль, карбонат кальция</t>
  </si>
  <si>
    <t>http://1.c8804.nichost.ru/pics/20596.jpg</t>
  </si>
  <si>
    <t>Патока, подсластитель - мальтит, вода питьевая, заменитель молочного жира, молоко сгущеное, яичный белок, клюква сублимационной сушки, желирующий агент - агар-агар, регулятор кислотности - лимонная кислота, подсластитель - стевиозид, ароматизатор Клюква, консервант - сорбат калия, глазурь кондитерская</t>
  </si>
  <si>
    <t>мука рисовая, мука льняная, масло подсолнечное, мальтит, семена льна, сироп топинамбура, крахмал кукурузный, мука соевая, облепиховый жом, сода, стевия Е960</t>
  </si>
  <si>
    <t>мука льняная (из семян белого льна), рафинированное дезодорированное подсолнечное масло, подсластитель мальтит, сироп топинамбура, семена белого льна, клубника сушеная, крахмал кукурузный, мальтодекстрин, разрыхлитель сода, соль, натуральный подсластитель стевия</t>
  </si>
  <si>
    <t>отруби пшеничные, отруби гречневые, рафинированное дезодорированное подсолнечное масло, подсластитель мальтит, семена льна, клюква сушеная, изолят соевого белка, разрыхлитель сода, соль, натуральный подсластитель экстракт стевии</t>
  </si>
  <si>
    <t>http://1.c8804.nichost.ru/pics/20582.jpg</t>
  </si>
  <si>
    <t>http://1.c8804.nichost.ru/pics/20598.jpg</t>
  </si>
  <si>
    <t>http://1.c8804.nichost.ru/pics/20599.jpg</t>
  </si>
  <si>
    <t>http://1.c8804.nichost.ru/pics/20583.jpg</t>
  </si>
  <si>
    <t>Мука зеленой гречневой муки, мука рисовая, мука льняная, семена белого льна, иван чай, мята, вишная</t>
  </si>
  <si>
    <t>Мука зеленой гречневой муки, мука рисовая, мука льняная, семена белого льна, яблоко</t>
  </si>
  <si>
    <t>Печенье пшениченое гречневыми отрубями, клюквой на мальтите и стевии 170г</t>
  </si>
  <si>
    <t>Заменитель сухого молочного продукта (кукурузный сироп, кокосовое масло, казеинат натрия, калия фосфаты), ячменно-ржанной концентрат, сахар, какао порошок, перец черный, ароматизатор пищевой "Карамель"</t>
  </si>
  <si>
    <t>http://1.c8804.nichost.ru/pics/20577.jpg</t>
  </si>
  <si>
    <t>Правильный гурман - линейка недорогих масел</t>
  </si>
  <si>
    <t>http://1.c8804.nichost.ru/pics/20578.jpg</t>
  </si>
  <si>
    <t>http://1.c8804.nichost.ru/pics/20579.jpg</t>
  </si>
  <si>
    <t>http://1.c8804.nichost.ru/pics/20580.jpg</t>
  </si>
  <si>
    <t>http://1.c8804.nichost.ru/pics/20588.jpg</t>
  </si>
  <si>
    <t>изолят соевого белка, заменитель сухого молочного продукта (кукурузный сироп, кокосовое масло, казеинат натрия, калия фосфаты), ячменно-ржаной концентрат, какао порошок, мука из семян кунжута, концентрат белка подсолнечника, смесь камеди акации и ксантановой камеди, витамины С, Е, В3, А, В6, В2, Д3, В1, В9, Н, В12, ароматизатор пищевой «Амаретто», сахаринат натрия (подсластитель).</t>
  </si>
  <si>
    <t>заменитель сухого молочного продукта (кукурузный сироп, кокосовое масло, казеинат натрия, калия фосфаты), изолят соевого белка, мука из семян кунжута, концентрат подсолнечного белка, смесь камеди акации и ксантановой камеди, витамины С, Е, В3, А, В6, В2, Д3, В1, В9, Н, В12, ароматизатор пищевой «Карамель», сахаринат натрия (подсластитель)</t>
  </si>
  <si>
    <t>изолят соевого белка, заменитель сухого молочного продукта (кукурузный сироп, кокосовое масло, казеинат натрия, калия фосфаты), мука из семян кунжута, свекла, концентрат подсолнечного белка, клубника, смесь камеди акации и ксантановой камеди, ароматизатор натуральный «Клубника», витамины С, Е, В3, А, В6, В2, Д3, В1, В9, Н, В12, сахаринат натрия (подсластитель).</t>
  </si>
  <si>
    <t>заменитель сухого молочного продукта (кукурузный сироп, кокосовое масло, казеинат натрия, калия фосфаты), изолят соевого белка, цикорий, мука из семян кунжута, концентрат белка подсолнечника, смесь камеди акации и ксантановой камеди, витамины С, Е, В3, А, В6, В2, Д3, В1, В9, Н, В12, ароматизатор натуральный «Кофе», сахаринат натрия (подсластитель).</t>
  </si>
  <si>
    <t>Мука овсяная из голозерного овса без глютена 350г</t>
  </si>
  <si>
    <t>Мука овсяная</t>
  </si>
  <si>
    <t>http://1.c8804.nichost.ru/pics/20594.jpg</t>
  </si>
  <si>
    <t>Молоко миндальное без сахара, 137 Degrees 180мл</t>
  </si>
  <si>
    <r>
      <t xml:space="preserve">Крем для лица </t>
    </r>
    <r>
      <rPr>
        <b/>
        <sz val="10"/>
        <rFont val="Calibri"/>
        <family val="2"/>
        <scheme val="minor"/>
      </rPr>
      <t>дневной</t>
    </r>
    <r>
      <rPr>
        <sz val="10"/>
        <rFont val="Calibri"/>
        <family val="2"/>
        <scheme val="minor"/>
      </rPr>
      <t xml:space="preserve"> "Защита и увлажнение" Hempina 40мл</t>
    </r>
  </si>
  <si>
    <r>
      <t xml:space="preserve">Подушечки амарантовые "УмСладости" какао и </t>
    </r>
    <r>
      <rPr>
        <b/>
        <sz val="10"/>
        <rFont val="Calibri"/>
        <family val="2"/>
        <scheme val="minor"/>
      </rPr>
      <t>сливочной</t>
    </r>
    <r>
      <rPr>
        <sz val="10"/>
        <rFont val="Calibri"/>
        <family val="2"/>
        <scheme val="minor"/>
      </rPr>
      <t xml:space="preserve"> начинкой 220г</t>
    </r>
  </si>
  <si>
    <r>
      <t xml:space="preserve">Подушечки амарантовые "УмСладости" какао и </t>
    </r>
    <r>
      <rPr>
        <b/>
        <sz val="10"/>
        <rFont val="Calibri"/>
        <family val="2"/>
        <scheme val="minor"/>
      </rPr>
      <t>шоколадной</t>
    </r>
    <r>
      <rPr>
        <sz val="10"/>
        <rFont val="Calibri"/>
        <family val="2"/>
        <scheme val="minor"/>
      </rPr>
      <t xml:space="preserve"> начинкой 220г</t>
    </r>
  </si>
  <si>
    <r>
      <t>Смесь фруктово-ореховая "</t>
    </r>
    <r>
      <rPr>
        <b/>
        <sz val="10"/>
        <rFont val="Calibri"/>
        <family val="2"/>
        <scheme val="minor"/>
      </rPr>
      <t>Джой</t>
    </r>
    <r>
      <rPr>
        <sz val="10"/>
        <rFont val="Calibri"/>
        <family val="2"/>
        <scheme val="minor"/>
      </rPr>
      <t>" (цукаты клюквы, арахис ) 45г</t>
    </r>
  </si>
  <si>
    <r>
      <t xml:space="preserve">Каша белого льна </t>
    </r>
    <r>
      <rPr>
        <b/>
        <sz val="10"/>
        <rFont val="Calibri"/>
        <family val="2"/>
        <scheme val="minor"/>
      </rPr>
      <t>без добавок</t>
    </r>
    <r>
      <rPr>
        <sz val="10"/>
        <rFont val="Calibri"/>
        <family val="2"/>
        <scheme val="minor"/>
      </rPr>
      <t xml:space="preserve"> 250г</t>
    </r>
  </si>
  <si>
    <r>
      <t xml:space="preserve">Каша белого льна </t>
    </r>
    <r>
      <rPr>
        <b/>
        <sz val="10"/>
        <rFont val="Calibri"/>
        <family val="2"/>
        <scheme val="minor"/>
      </rPr>
      <t>с тыквой и изюмом</t>
    </r>
    <r>
      <rPr>
        <sz val="10"/>
        <rFont val="Calibri"/>
        <family val="2"/>
        <scheme val="minor"/>
      </rPr>
      <t xml:space="preserve"> 250г</t>
    </r>
  </si>
  <si>
    <r>
      <t xml:space="preserve">Каша белого льна </t>
    </r>
    <r>
      <rPr>
        <b/>
        <sz val="10"/>
        <rFont val="Calibri"/>
        <family val="2"/>
        <scheme val="minor"/>
      </rPr>
      <t>с черносливом и кэробом</t>
    </r>
    <r>
      <rPr>
        <sz val="10"/>
        <rFont val="Calibri"/>
        <family val="2"/>
        <scheme val="minor"/>
      </rPr>
      <t xml:space="preserve"> 250г</t>
    </r>
  </si>
  <si>
    <t>http://1.c8804.nichost.ru/pics/18195.jpg</t>
  </si>
  <si>
    <t>http://1.c8804.nichost.ru/pics/18193.jpg</t>
  </si>
  <si>
    <t>| от 1 рубля</t>
  </si>
  <si>
    <t>от 20 тыс или целой коробки</t>
  </si>
  <si>
    <t>Фруктовые пастилки KIDS</t>
  </si>
  <si>
    <t>Яблочное пюре, концентрированный сок яблочный, стабилизатор пектин, глянцеватель (растительное масло (кокосовое), карнаубский воск)</t>
  </si>
  <si>
    <t>Яблочное пюре, концентрированный сок абрикоса, стабилизатор пектин, глянцеватель (растительное масло (кокосовое), карнаубский воск)</t>
  </si>
  <si>
    <t>Яблочное пюре, концентрированный сок яблочный, вишня, стабилизатор пектин, глянцеватель (растительное масло (кокосовое), карнаубский воск)</t>
  </si>
  <si>
    <t>Яблочное пюре, концентрированный сок яблочный, малина, стабилизатор пектин, глянцеватель (растительное масло (кокосовое), карнаубский воск)</t>
  </si>
  <si>
    <t>Яблочное пюре, концентрированный сок яблочный, черника, стабилизатор пектин, глянцеватель (растительное масло (кокосовое), карнаубский воск)</t>
  </si>
  <si>
    <t>http://1.c8804.nichost.ru/pics/20609.jpg</t>
  </si>
  <si>
    <t>http://1.c8804.nichost.ru/pics/20603.jpg</t>
  </si>
  <si>
    <t>http://1.c8804.nichost.ru/pics/20606.jpg</t>
  </si>
  <si>
    <t>http://1.c8804.nichost.ru/pics/20607.jpg</t>
  </si>
  <si>
    <t>http://1.c8804.nichost.ru/pics/20608.jpg</t>
  </si>
  <si>
    <t>глазурь, мука рисовая грубого помола, мука кукурузная крупного помола, мука амарантовая грубого помола, вода питьевая, соль, топинамбур сушеный, начинка ванильная, (сахар, молоко)</t>
  </si>
  <si>
    <t>глазурь белая, мука рисовая грубого помола, мука кукурузная крупного помола, мука амарантовая грубого помола, вода питьевая, какао-порошок, соль, топинамбур сушеный, начинка ванильная (сахар, молоко)</t>
  </si>
  <si>
    <t>глазурь, мука рисовая грубого помола, мука кукурузная крупного помола, мука амарантовая грубого помола, вода питьевая, соль, топинамбур сушеный, начинка клубничная (сахар, молоко)</t>
  </si>
  <si>
    <t>http://1.c8804.nichost.ru/pics/20635.jpg</t>
  </si>
  <si>
    <t>http://1.c8804.nichost.ru/pics/20636.jpg</t>
  </si>
  <si>
    <t>http://1.c8804.nichost.ru/pics/20637.jpg</t>
  </si>
  <si>
    <t>патока, подсластитель - мальтит, вода питьевая, желирующий агент - желатин, регулятор кислотности кислота лимонная, рисовая мука, глазирователь нейтральный, ароматизатор Кола, краситель сахарный колер</t>
  </si>
  <si>
    <t>патока, подсластитель - мальтит, вода питьевая, желирующий агент - желатин, регулятор кислотности кислота лимонная, рисовая мука, глазирователь нейтральный, ароматизатор Малина, краситель кармин</t>
  </si>
  <si>
    <t>патока, подсластитель - мальтит, вода питьевая, желирующий агент - желатин, регулятор кислотности кислота лимонная, рисовая мука, глазирователь нейтральный, ароматизатор Тутти-фрутти, краситель бета-каротин</t>
  </si>
  <si>
    <t>http://1.c8804.nichost.ru/pics/20632.jpg</t>
  </si>
  <si>
    <t>http://1.c8804.nichost.ru/pics/20633.jpg</t>
  </si>
  <si>
    <t>http://1.c8804.nichost.ru/pics/20634.jpg</t>
  </si>
  <si>
    <t>Горный чай 24 часа холодного заваривания (вода подготовленная, травы сушеные: курильский чай (лапчатка), лист малины, лист земляники, лист бадана, таволга, зверобой, шалфей, чабрец, душица, лист мяты), сок черной смородины, яблочный сок, сок лайма, витамин С</t>
  </si>
  <si>
    <t>Кедровый орех дроблёный, заменитель сухих сливок на растительной основе (патока крахмальная, масло кокосовое, казеинат натрия), цикорий корень экстракт (натуральный)</t>
  </si>
  <si>
    <t>http://1.c8804.nichost.ru/pics/20631.jpg</t>
  </si>
  <si>
    <t>Кедрокофе Цикорий, крепкий Apic 125г</t>
  </si>
  <si>
    <t>Заменитель сухого молочного продукта (кукурузный сироп, кокосовое масло, казеинат натрия, калия фосфаты), ячменно-ржаной концентрат, сахар, ароматизатор натуральный пищевой "Лемонграсс"</t>
  </si>
  <si>
    <t>http://1.c8804.nichost.ru/pics/20612.jpg</t>
  </si>
  <si>
    <t>Удобный продукт для дачи и отдыха</t>
  </si>
  <si>
    <t>Отборное мясо, лабораторные проверки</t>
  </si>
  <si>
    <t>Длительный срок годности</t>
  </si>
  <si>
    <t>без ГМО и консервантов</t>
  </si>
  <si>
    <t>Гуляш из говядины, реторт-пакет 250г</t>
  </si>
  <si>
    <t>http://1.c8804.nichost.ru/pics/20645.jpg</t>
  </si>
  <si>
    <t>говядина, вода питьевая, морковь свежая, лук репчатый сушёный, томатная паста, соль поваренная пищевая, перец черный молотый.</t>
  </si>
  <si>
    <t>http://1.c8804.nichost.ru/pics/20649.jpg</t>
  </si>
  <si>
    <t>Филе индейки, лук репчатый сушеный, соль поваренная пищевая, специи</t>
  </si>
  <si>
    <t>Индейка тушеная, реторт-пакет 300г</t>
  </si>
  <si>
    <t>Блюда из говядины</t>
  </si>
  <si>
    <t>Блюда из курицы</t>
  </si>
  <si>
    <t>Картофель с тушеными куриными сердечками 300г</t>
  </si>
  <si>
    <t>Картофель замороженый, сердце куриное, лук репчатый сушёный, сливки питьевые, перец черный молотый, соль поваренная пищевая, крахмал картофельный, лук зеленый сушеный, корень пастернака, куркума, петрушка сушеная, мускатный орех</t>
  </si>
  <si>
    <t>Курица с сыром и грибами, реторт-пакет 250г</t>
  </si>
  <si>
    <t>Мясо цыпленка (филе), сыр гауда (пастеризованное молоко, соль, мезофильные и термофильные заквасочные микроорганизмы, молокосвертывающий ферментный препарат растительного происхождения), грибы шампиньоны, лук репчатый сушёный, морковь свежая, мука кукурузная,  укроп сушеный, соль поваренная пищевая, сахар, перец черный молотый</t>
  </si>
  <si>
    <t>Филе куриное, кабачок, морковь, перец сладкий, томат, лук репчатый, томатная паста, кукурузная мука, сахар, соль, укроп сушеный</t>
  </si>
  <si>
    <t>Курица с овощнным рагу, реторт-пакет 250г</t>
  </si>
  <si>
    <t>Курица терияки, реторт-пакет 250г</t>
  </si>
  <si>
    <t>Мясо цыпленка (филе), перец сладкий замороженый, соевый соус, сахар, морковь, крахмал картофельный, лук репчатый жареный сушеный, мед пчелиный, чеснок сушеный, кунжут, уксус столовый (9%), имбирь сухой молотый, перец красный острый молотый.</t>
  </si>
  <si>
    <t>Лапша wok курица соба 250г</t>
  </si>
  <si>
    <t>Мясо цыпленка (филе), перец сладкий замороженый, лук репчатый сушёный, морковь, лапша гречневая "Соба" (мука пшеничная, мука гречневая, соль поваренная пищевая, вода питьевая), вода питьевая, соевый соус, масло подсолнечное, кунжут, перец красный острый молотый</t>
  </si>
  <si>
    <t>http://1.c8804.nichost.ru/pics/20638.jpg</t>
  </si>
  <si>
    <t>http://1.c8804.nichost.ru/pics/20642.jpg</t>
  </si>
  <si>
    <t>http://1.c8804.nichost.ru/pics/20644.jpg</t>
  </si>
  <si>
    <t>http://1.c8804.nichost.ru/pics/20643.jpg</t>
  </si>
  <si>
    <t>http://1.c8804.nichost.ru/pics/20640.jpg</t>
  </si>
  <si>
    <t>Прочие блюда</t>
  </si>
  <si>
    <t>Вода питьевая, фасоль красная продовольственная, картофель замороженный, паста томатная, кукуруза, морковь свежая, перец халапеньо (перец халапеньо, вода, соль поваренная пищевая, уксусная кислота, молочная кислота), масло подсолнечное, грецкий орех, сахар, соль поваренная пищевая, укроп сушеный</t>
  </si>
  <si>
    <t>0…+20</t>
  </si>
  <si>
    <t>http://1.c8804.nichost.ru/pics/20639.jpg</t>
  </si>
  <si>
    <t>тыква замороженная, мясо цыпленка (филе), картофель замороженный, сливки питьевые (22%), морковь свежая, лук репчатый сушеный, масло сливочное (сливки пастеризованные 82,5%), соль, перец черный молотый, чеснок сушеный</t>
  </si>
  <si>
    <t>http://1.c8804.nichost.ru/pics/20647.jpg</t>
  </si>
  <si>
    <t>Фунчоза со свининой и овощами, реторт-пакет 250г</t>
  </si>
  <si>
    <t>Свинина, лапша "Фунчоза" (крахмал гороховый, крахмал бобовый, крахмал кукурузный, вода питьевая), перец сладкий замороженый, морковь, вода питьевая, соевый соус, сахар, масло подсолнечное, лук репчатый жареный сушеный, чеснок сушеный, кунжут, соль поваренная пищевая</t>
  </si>
  <si>
    <t>http://1.c8804.nichost.ru/pics/20641.jpg</t>
  </si>
  <si>
    <t>Говядина, вода питьевая, крупа рисовая, лук репчатый сушеный, соль поваренная пищевая, чеснок свежий, перец красный молотый, петрушка сушеная, лавровый лист</t>
  </si>
  <si>
    <t>Вода, капуста белокочанная квашеная (капуста белокочанная, морковь свежая, соль поваренная пищевая), свинина, картофель замороженный, лук репчатый сушёный, морковь свежая, перец черный молотый, соль поваренная пищевая, крахмал картофельный, лук зеленый сушеный, корень пастернака, куркума, петрушка сушеная, мускатный орех</t>
  </si>
  <si>
    <t>http://1.c8804.nichost.ru/pics/20648.jpg</t>
  </si>
  <si>
    <t>http://1.c8804.nichost.ru/pics/20646.jpg</t>
  </si>
  <si>
    <t>Вода кокосовая без сахара 1000мл</t>
  </si>
  <si>
    <r>
      <t xml:space="preserve">Взвар плодово-ягодный с </t>
    </r>
    <r>
      <rPr>
        <b/>
        <sz val="10"/>
        <rFont val="Calibri"/>
        <family val="2"/>
        <scheme val="minor"/>
      </rPr>
      <t>жимолостью</t>
    </r>
    <r>
      <rPr>
        <sz val="10"/>
        <rFont val="Calibri"/>
        <family val="2"/>
        <scheme val="minor"/>
      </rPr>
      <t xml:space="preserve"> 96г</t>
    </r>
  </si>
  <si>
    <r>
      <t xml:space="preserve">Взвар плодово-ягодный с </t>
    </r>
    <r>
      <rPr>
        <b/>
        <sz val="10"/>
        <rFont val="Calibri"/>
        <family val="2"/>
        <scheme val="minor"/>
      </rPr>
      <t>смородиной</t>
    </r>
    <r>
      <rPr>
        <sz val="10"/>
        <rFont val="Calibri"/>
        <family val="2"/>
        <scheme val="minor"/>
      </rPr>
      <t xml:space="preserve"> 96г</t>
    </r>
  </si>
  <si>
    <r>
      <t xml:space="preserve">Хлопья овсяные с </t>
    </r>
    <r>
      <rPr>
        <b/>
        <sz val="10"/>
        <rFont val="Calibri"/>
        <family val="2"/>
        <scheme val="minor"/>
      </rPr>
      <t>соленой карамелью</t>
    </r>
    <r>
      <rPr>
        <sz val="10"/>
        <rFont val="Calibri"/>
        <family val="2"/>
        <scheme val="minor"/>
      </rPr>
      <t>, стаканчик с ложкой  45г</t>
    </r>
  </si>
  <si>
    <r>
      <t xml:space="preserve">Хлопья овсяные с </t>
    </r>
    <r>
      <rPr>
        <b/>
        <sz val="10"/>
        <rFont val="Calibri"/>
        <family val="2"/>
        <scheme val="minor"/>
      </rPr>
      <t>яблоком</t>
    </r>
    <r>
      <rPr>
        <sz val="10"/>
        <rFont val="Calibri"/>
        <family val="2"/>
        <scheme val="minor"/>
      </rPr>
      <t xml:space="preserve"> и гречишным мёдом, стаканчик с ложкой 45г</t>
    </r>
  </si>
  <si>
    <r>
      <t xml:space="preserve">Сироп </t>
    </r>
    <r>
      <rPr>
        <b/>
        <sz val="10"/>
        <rFont val="Calibri"/>
        <family val="2"/>
        <charset val="204"/>
        <scheme val="minor"/>
      </rPr>
      <t>Банан</t>
    </r>
    <r>
      <rPr>
        <sz val="10"/>
        <rFont val="Calibri"/>
        <family val="2"/>
        <charset val="204"/>
        <scheme val="minor"/>
      </rPr>
      <t xml:space="preserve"> низкокалорийный 330г</t>
    </r>
  </si>
  <si>
    <r>
      <t xml:space="preserve">Сироп </t>
    </r>
    <r>
      <rPr>
        <b/>
        <sz val="10"/>
        <rFont val="Calibri"/>
        <family val="2"/>
        <charset val="204"/>
        <scheme val="minor"/>
      </rPr>
      <t>Шоколад</t>
    </r>
    <r>
      <rPr>
        <sz val="10"/>
        <rFont val="Calibri"/>
        <family val="2"/>
        <charset val="204"/>
        <scheme val="minor"/>
      </rPr>
      <t xml:space="preserve"> низкокалорийный 330г</t>
    </r>
  </si>
  <si>
    <r>
      <t xml:space="preserve">Суп полбяной </t>
    </r>
    <r>
      <rPr>
        <b/>
        <sz val="10"/>
        <rFont val="Calibri"/>
        <family val="2"/>
        <scheme val="minor"/>
      </rPr>
      <t>с киноа и овощами</t>
    </r>
    <r>
      <rPr>
        <sz val="10"/>
        <rFont val="Calibri"/>
        <family val="2"/>
        <scheme val="minor"/>
      </rPr>
      <t xml:space="preserve"> 180г</t>
    </r>
  </si>
  <si>
    <r>
      <t xml:space="preserve">Комбуча </t>
    </r>
    <r>
      <rPr>
        <b/>
        <sz val="10"/>
        <rFont val="Calibri"/>
        <family val="2"/>
        <scheme val="minor"/>
      </rPr>
      <t>Кофе</t>
    </r>
    <r>
      <rPr>
        <sz val="10"/>
        <rFont val="Calibri"/>
        <family val="2"/>
        <scheme val="minor"/>
      </rPr>
      <t xml:space="preserve"> "interkvass" стекло 330мл</t>
    </r>
  </si>
  <si>
    <r>
      <t xml:space="preserve">Кисель льняной "витаминный" с </t>
    </r>
    <r>
      <rPr>
        <b/>
        <sz val="10"/>
        <rFont val="Calibri"/>
        <family val="2"/>
        <scheme val="minor"/>
      </rPr>
      <t>морковью</t>
    </r>
    <r>
      <rPr>
        <sz val="10"/>
        <rFont val="Calibri"/>
        <family val="2"/>
        <scheme val="minor"/>
      </rPr>
      <t xml:space="preserve"> и псиллиумом 150г</t>
    </r>
  </si>
  <si>
    <r>
      <t>Кисель льняной "витаминный" с</t>
    </r>
    <r>
      <rPr>
        <b/>
        <sz val="10"/>
        <rFont val="Calibri"/>
        <family val="2"/>
        <scheme val="minor"/>
      </rPr>
      <t xml:space="preserve"> тыквой</t>
    </r>
    <r>
      <rPr>
        <sz val="10"/>
        <rFont val="Calibri"/>
        <family val="2"/>
        <scheme val="minor"/>
      </rPr>
      <t xml:space="preserve"> и псиллиумом 150г</t>
    </r>
  </si>
  <si>
    <r>
      <t>Мыло для рук жидкое "</t>
    </r>
    <r>
      <rPr>
        <b/>
        <sz val="10"/>
        <rFont val="Calibri"/>
        <family val="2"/>
        <scheme val="minor"/>
      </rPr>
      <t>Таёжное</t>
    </r>
    <r>
      <rPr>
        <sz val="10"/>
        <rFont val="Calibri"/>
        <family val="2"/>
        <scheme val="minor"/>
      </rPr>
      <t>" 500мл</t>
    </r>
  </si>
  <si>
    <t>минимальный квант 12шт</t>
  </si>
  <si>
    <t>минимальный квант 4шт</t>
  </si>
  <si>
    <t>минимальный квант 11шт</t>
  </si>
  <si>
    <t>подготовленная артезианская вода, патока крахмальная, иван-чай (кипрей узколистный), чай черный, чистая культура чайного гриба. Фильтрованный, пастеризованный</t>
  </si>
  <si>
    <t>подготовленная вода, патока крахмальная, сок черноплодной рябины, ягоды шелковицы, лаванда цветы,  иван-чай (кипрей узколистный), чай черный,  синий чай  (тайский чай «Анчан»), чистая культура чайного гриба.
Фильтрованный, пастеризованный</t>
  </si>
  <si>
    <t>подготовленная артезианская вода, мёд натуральный, лимонный сок, иван-чай, (кипрей узколистый), чай черный, эхинацея пурпурная трава, чистая культура чайного гриба. Фильтрованный, пастеризованный</t>
  </si>
  <si>
    <t>подготовленная вода, патока крахмальная, сок лайма, сок лимона, иван-чай (кипрей узколистный), чай черный, свежая мята перечная чистая культура чайного гриба</t>
  </si>
  <si>
    <t>подготовленная артезианская вода, патока крахмальная, липы цветы, чабрец трава, иван-чай (кипрей узколистный), чай черный, чистая культура чайного гриба</t>
  </si>
  <si>
    <t>http://1.c8804.nichost.ru/pics/20651.jpg</t>
  </si>
  <si>
    <t>http://1.c8804.nichost.ru/pics/20652.jpg</t>
  </si>
  <si>
    <t>http://1.c8804.nichost.ru/pics/20653.jpg</t>
  </si>
  <si>
    <t>http://1.c8804.nichost.ru/pics/20654.jpg</t>
  </si>
  <si>
    <t>http://1.c8804.nichost.ru/pics/20655.jpg</t>
  </si>
  <si>
    <t>Без красителей и ароматизаторов</t>
  </si>
  <si>
    <t>Придаёт сил для активной деятельности</t>
  </si>
  <si>
    <t>Низкая калорийность, без сахара</t>
  </si>
  <si>
    <t>Освежает и тонизирует</t>
  </si>
  <si>
    <r>
      <t xml:space="preserve">Смесь подсластителей </t>
    </r>
    <r>
      <rPr>
        <b/>
        <sz val="10"/>
        <rFont val="Calibri"/>
        <family val="2"/>
        <scheme val="minor"/>
      </rPr>
      <t>№ 1</t>
    </r>
    <r>
      <rPr>
        <sz val="10"/>
        <rFont val="Calibri"/>
        <family val="2"/>
        <scheme val="minor"/>
      </rPr>
      <t xml:space="preserve"> - </t>
    </r>
    <r>
      <rPr>
        <b/>
        <sz val="10"/>
        <rFont val="Calibri"/>
        <family val="2"/>
        <scheme val="minor"/>
      </rPr>
      <t>250г</t>
    </r>
    <r>
      <rPr>
        <sz val="10"/>
        <rFont val="Calibri"/>
        <family val="2"/>
        <scheme val="minor"/>
      </rPr>
      <t xml:space="preserve"> Master Shape БАНКА</t>
    </r>
  </si>
  <si>
    <t>Диал экспорт</t>
  </si>
  <si>
    <t>Натуральные масла холодного отжима</t>
  </si>
  <si>
    <t>Полезные витамины и минералы</t>
  </si>
  <si>
    <t>Масло Кунжутное, нерафинированное, стекло 500мл</t>
  </si>
  <si>
    <t>Масло Кунжутное, нерафинированное, стекло 250мл</t>
  </si>
  <si>
    <t>Масло Льняное, нерафинированное, стекло 250мл</t>
  </si>
  <si>
    <t>Масло Льняное, нерафинированное, стекло 500мл</t>
  </si>
  <si>
    <t>Масло Расторопши, нерафинированное, стекло 250мл</t>
  </si>
  <si>
    <t>Масло Тыквенное, нерафинированное, стекло 250мл</t>
  </si>
  <si>
    <t>масло виноградной косточки</t>
  </si>
  <si>
    <t>масло кунжутное</t>
  </si>
  <si>
    <t>масло расторопши</t>
  </si>
  <si>
    <t>масло тыквенное</t>
  </si>
  <si>
    <t>Масло Виноградной косточки, рафинированое, стекло 250мл</t>
  </si>
  <si>
    <t>+5…+25</t>
  </si>
  <si>
    <t>http://1.c8804.nichost.ru/pics/20660.jpg</t>
  </si>
  <si>
    <t>http://1.c8804.nichost.ru/pics/20663.jpg</t>
  </si>
  <si>
    <t>http://1.c8804.nichost.ru/pics/20667.jpg</t>
  </si>
  <si>
    <t>http://1.c8804.nichost.ru/pics/20665.jpg</t>
  </si>
  <si>
    <t>http://1.c8804.nichost.ru/pics/20664.jpg</t>
  </si>
  <si>
    <t>http://1.c8804.nichost.ru/pics/20666.jpg</t>
  </si>
  <si>
    <t>http://1.c8804.nichost.ru/pics/20661.jpg</t>
  </si>
  <si>
    <t>Воздушное зерно риса, шоколад молочный без сахара (какао-масло, подсластитель мальтитол, какао тертое, молоко сухое обезжиренное, молоко сухое цельное, инулин, сыворотка молочная сухая, эмульгатор лецитин соевый, экстракт ванили, подсластитель стевиолгликозид)</t>
  </si>
  <si>
    <t>Воздушное зерно гречихи, шоколад молочный без сахара (какао-масло, подсластитель мальтитол, какао тертое, молоко сухое обезжиренное, молоко сухое цельное, инулин, сыворотка молочная сухая, эмульгатор лецитин соевый, экстракт ванили, подсластитель стевиолгликозид)</t>
  </si>
  <si>
    <t>Воздушное зерно риса, воздушное зерно гречихи, шоколад горький без сахара (какао тертое, подсластитель мальтит, какао- масло, какао- порошок, инулин, эмульгатор (лецитин соевый), экстракт ванили, подсластитель стевиолгликозид)</t>
  </si>
  <si>
    <t>Воздушное зерно риса, воздушное зерно гречихи, шоколад молочный без сахара (какао-масло, подсластитель мальтитол, какао тертое, молоко сухое обезжиренное, молоко сухое цельное, инулин, сыворотка молочная сухая, эмульгатор лецитин соевый, экстракт ванили, подсластитель стевиолгликозид)</t>
  </si>
  <si>
    <t>Воздушная гречка в молочном шоколаде, без сахара 26г</t>
  </si>
  <si>
    <t>http://1.c8804.nichost.ru/pics/20657.jpg</t>
  </si>
  <si>
    <t>http://1.c8804.nichost.ru/pics/20658.jpg</t>
  </si>
  <si>
    <t>http://1.c8804.nichost.ru/pics/20659.jpg</t>
  </si>
  <si>
    <t>http://1.c8804.nichost.ru/pics/20656.jpg</t>
  </si>
  <si>
    <t>Биоактивные крафтовые энергетики ENGIN ж/б</t>
  </si>
  <si>
    <t>Вода подготовленная, ананасовый сок, апельсиновый сок, кокосовая вода, свежий корень имбиря, мёд, сок лайма, свежий лимон, корень куркумы, зеленый чай, мята, гвоздика, перец душистый горошек, источники микроэлементов: магния лактат, калия цитрат, кальция лактат, натуральные экстракты: корица, куркума (куркумин), мака перуанская, черный перец (пиперин), натуральный кофеин, витамины: С, В3, В5, В6</t>
  </si>
  <si>
    <t>Вода подготовленная, вишневый сок, кокосовая вода, свежий корень имбиря, апельсиновый сок, мёд, свежий лимон, корень куркумы, чай каркаде, мята, гвоздика, перец душистый горошек, источники микроэлементов: магния лактат, калия цитрат, кальция лактат, натуральные экстракты: куркума (куркумин), плоды лимонника, мака перуанская, черный перец (пиперин), натуральный кофеин, витамины: С, В3, В5, В6</t>
  </si>
  <si>
    <t>Вода подготовленная, апельсиновый сок, кокосовая вода, сок лайма, свежий корень имбиря, мёд, свежий лимон, корень куркумы, зеленый чай, мята, гвоздика, перец душистый горошек, источники микроэлементов: магния лактат, калия цитрат, кальция лактат, натуральные экстракты: куркума (куркумин), плоды гуараны, мака перуанская, черный перец (пиперин), натуральный кофеин, витамины: С, В3, В5, В6</t>
  </si>
  <si>
    <t>Зеленый чай 24 часа холодного заваривания (вода подготовленная, зеленый листовой чай), сок манго, сок маракуйи, свежий корень имбиря, свежий лимон, витамин С. Изготовлен из концентрированных соков</t>
  </si>
  <si>
    <t>http://1.c8804.nichost.ru/pics/20673.jpg</t>
  </si>
  <si>
    <t>http://1.c8804.nichost.ru/pics/20671.jpg</t>
  </si>
  <si>
    <t>http://1.c8804.nichost.ru/pics/20672.jpg</t>
  </si>
  <si>
    <t>http://1.c8804.nichost.ru/pics/20676.jpg</t>
  </si>
  <si>
    <t>Крафтовые напитки</t>
  </si>
  <si>
    <t>Вода подготовленная, яблочный сок, мед, свежий корень имбиря, изюм, палочки корицы, свежий лимон, хурма сушеная, зеленый чай, мята, витамин С, перец душистый горошек, гвоздика. Изготовлен из концентрированных соков</t>
  </si>
  <si>
    <t>http://1.c8804.nichost.ru/pics/20674.jpg</t>
  </si>
  <si>
    <t>зеленый чай 24 часа холодного заваривания (вода подготовленная, зеленый листовой чай), грейпфрутовый сок, сок гуавы, палочки корицы, изюм, хурма сушеная, витамин С</t>
  </si>
  <si>
    <t>http://1.c8804.nichost.ru/pics/20678.jpg</t>
  </si>
  <si>
    <t>Крафтовый имбирный эль</t>
  </si>
  <si>
    <t>http://1.c8804.nichost.ru/pics/20677.jpg</t>
  </si>
  <si>
    <t>Зеленый чай 24 часа холодного заваривания (вода подготовленная, зеленый листовой чай), ананасовый сок, сок манго, апельсиновый сок, корень куркумы, куркума молотая, экстракт перца чили, витамин С</t>
  </si>
  <si>
    <t>вода подготовленная, апельсиновый сок, натуральный яблочный уксус, мед, свежий корень имбиря, свежий лимон, зеленый чай, мята, витамин С, перец душистый горошек, гвоздика</t>
  </si>
  <si>
    <t>http://1.c8804.nichost.ru/pics/20675.jpg</t>
  </si>
  <si>
    <r>
      <t xml:space="preserve">Халва кунжутная на </t>
    </r>
    <r>
      <rPr>
        <b/>
        <sz val="10"/>
        <rFont val="Calibri"/>
        <family val="2"/>
        <scheme val="minor"/>
      </rPr>
      <t>тростниковом сахаре</t>
    </r>
    <r>
      <rPr>
        <sz val="10"/>
        <rFont val="Calibri"/>
        <family val="2"/>
        <scheme val="minor"/>
      </rPr>
      <t xml:space="preserve"> 290г</t>
    </r>
  </si>
  <si>
    <r>
      <t xml:space="preserve">Халва кунжутная </t>
    </r>
    <r>
      <rPr>
        <b/>
        <sz val="10"/>
        <rFont val="Calibri"/>
        <family val="2"/>
        <scheme val="minor"/>
      </rPr>
      <t>с грецким орехом и курагой</t>
    </r>
    <r>
      <rPr>
        <sz val="10"/>
        <rFont val="Calibri"/>
        <family val="2"/>
        <scheme val="minor"/>
      </rPr>
      <t xml:space="preserve"> 290г</t>
    </r>
  </si>
  <si>
    <r>
      <t xml:space="preserve">Халва кунжутная </t>
    </r>
    <r>
      <rPr>
        <b/>
        <sz val="10"/>
        <rFont val="Calibri"/>
        <family val="2"/>
        <scheme val="minor"/>
      </rPr>
      <t>с фундуком и изюмом</t>
    </r>
    <r>
      <rPr>
        <sz val="10"/>
        <rFont val="Calibri"/>
        <family val="2"/>
        <scheme val="minor"/>
      </rPr>
      <t xml:space="preserve"> 290г </t>
    </r>
  </si>
  <si>
    <r>
      <t>Макароны пшенично-ржаные "</t>
    </r>
    <r>
      <rPr>
        <b/>
        <sz val="10"/>
        <rFont val="Calibri"/>
        <family val="2"/>
        <scheme val="minor"/>
      </rPr>
      <t>Лапша</t>
    </r>
    <r>
      <rPr>
        <sz val="10"/>
        <rFont val="Calibri"/>
        <family val="2"/>
        <scheme val="minor"/>
      </rPr>
      <t>" цельнозерновая 300г</t>
    </r>
  </si>
  <si>
    <t>Сахар, патока крахмальная,рутин из цветков софоры японской, L-аскорбиновая кислота(Витамин С),сухой экстракт листьев мелиссы лекарственной, лимонная кислота,сухой экстракт травы чабреца, эхинацеи пурпурной,корня солодки голой, корня алтея лекарственного, яблочная кислота,жидкий экстракт целого растения тысячелистника обыкновенного,сухой экстракт семян аниса, цветков ромашки аптечной, листьев шалфея, тысячелистника обыкновенного,  подорожника,жидкий экстракт листьев мелиссы лекарственной,  цветов липы,холекальциферол(витамин D3), ароматизатор натуральный "Малина"</t>
  </si>
  <si>
    <t>Сахар,патока крахмальная,рутин из цветков софоры японской,L-аскорбиновая кислота(витамина С), сухой экстракт листьев мелиссы лекарственной, лимонная кислота,сухой экстракт травы чабреца, эхинацеи пурпурной,  корня солодки голой, корня алтея лекарственного, яблочная кислота,жидкий экстракт целого растения тысячелистника,сухой экстракт семян аниса, цветков ромашки аптечной, листьев шалфея, травы тысячелистника обыкновенного листа подорожника,жидкий экстракт листьев мелиссы лекарственной, цветов липы, холекальциферол(витамин D3), ароматизатор натуральный "Ментол", ароматизатор натуральный "Эвкалипт", ароматизатор натуральный "Мята"</t>
  </si>
  <si>
    <t>Сахар, патока крахмальная,рутин из цветков софоры японской, L-аскорбиновая кислота(Витамин С),сухой экстракт листьев мелиссы лекарственной, лимонная кислота,сухой экстракт травы чабреца, эхинацеи пурпурной,корня солодки голой, корня алтея лекарственного, яблочная кислота,жидкий экстракт целого растения тысячелистника обыкновенного,сухой экстракт семян аниса, цветков ромашки аптечной, листьев шалфея, тысячелистника обыкновенного,  подорожника,жидкий экстракт листьев мелиссы лекарственной,  цветов липы,холекальциферол(витамин D3), ароматизатор натуральный "Брусника", эфирное масло шалфея</t>
  </si>
  <si>
    <t>сахар, патока крахмальная, кедровое масло, рутин из цветков софоры японской, кедровая живица, прополис, L-аскорбиновая кислота (витамин С), лимонная кислота, сухой экстракт листьев шалфея, холекальциферол (витамин D3), ароматизатор натуральный «Апельсин», ароматизатор натуральный «Грейпфрут», сок черной моркови, куркумин</t>
  </si>
  <si>
    <t>сахар, патока крахмальная, кедровое масло, рутин из цветков софоры японской, кедровая живица, прополис, L-аскорбиновая кислота (витамин С), лимонная кислота, сухой экстракт листьев шалфея, холекальциферол (витамин D3),масло лимона, ароматизатор натуральный «Имбирь», куркумин.</t>
  </si>
  <si>
    <t>сахар, патока крахмальная, кедровое масло, рутин из цветков софоры японской, кедровая живица, прополис, L-аскорбиновая кислота (витамин С), лимонная кислота, сухой экстракт листьев шалфея, холекальциферол (витамин D3), сок черной моркови, ароматизатор натуральный «Малина»</t>
  </si>
  <si>
    <t>сахар, патока крахмальная, кедровое масло, рутин из цветков софоры японской, кедровая живица, прополис, L-аскорбиновая кислота (витамин С), лимонная кислота, сухой экстракт листьев шалфея, холекальциферол (витамин D3);   ароматизатор натуральный «Ментол», ароматизатор натуральный «Эвкалипт», комплексная пищевая добавка «Краситель натуральный «Краситель натуральный Медные комплексы хлорофиллинов АР 875»</t>
  </si>
  <si>
    <t xml:space="preserve">сахар, патока крахмальная, кедровое масло нерафинированное, рутин из цветков софоры японской, кедровая живица, прополис, L-аскорбиновая кислота (витамин С), лимонная кислота, сухой экстракт листьев шалфея, холекальциферол (витамин D3);ароматизатор натуральный «Лимон и Лайм», «Ментол», «Мята», комплексная пищевая добавка «Краситель натуральный Медные комплексы хлорофиллинов АР 875» </t>
  </si>
  <si>
    <t>http://1.c8804.nichost.ru/pics/20691.jpg</t>
  </si>
  <si>
    <t>http://1.c8804.nichost.ru/pics/20692.jpg</t>
  </si>
  <si>
    <t>http://1.c8804.nichost.ru/pics/20693.jpg</t>
  </si>
  <si>
    <t>http://1.c8804.nichost.ru/pics/20695.jpg</t>
  </si>
  <si>
    <t>http://1.c8804.nichost.ru/pics/20696.jpg</t>
  </si>
  <si>
    <t>http://1.c8804.nichost.ru/pics/20694.jpg</t>
  </si>
  <si>
    <t>http://1.c8804.nichost.ru/pics/20697.jpg</t>
  </si>
  <si>
    <t>http://1.c8804.nichost.ru/pics/20698.jpg</t>
  </si>
  <si>
    <t>http://1.c8804.nichost.ru/pics/14457.jpg</t>
  </si>
  <si>
    <t>http://1.c8804.nichost.ru/pics/19546.jpg</t>
  </si>
  <si>
    <t>http://1.c8804.nichost.ru/pics/14456.jpg</t>
  </si>
  <si>
    <t>http://1.c8804.nichost.ru/pics/14458.jpg</t>
  </si>
  <si>
    <t>Амарант семена 150г</t>
  </si>
  <si>
    <t>амарант семена</t>
  </si>
  <si>
    <t>http://1.c8804.nichost.ru/pics/14665.jpg</t>
  </si>
  <si>
    <t>Спирулина 150таб*0,5, 75г</t>
  </si>
  <si>
    <t>Хлорелла 150таб*0,5, 75г</t>
  </si>
  <si>
    <t>http://1.c8804.nichost.ru/pics/15478.jpg</t>
  </si>
  <si>
    <r>
      <t xml:space="preserve">Джем </t>
    </r>
    <r>
      <rPr>
        <b/>
        <sz val="10"/>
        <rFont val="Calibri"/>
        <family val="2"/>
        <scheme val="minor"/>
      </rPr>
      <t>Клубника</t>
    </r>
    <r>
      <rPr>
        <sz val="10"/>
        <rFont val="Calibri"/>
        <family val="2"/>
        <scheme val="minor"/>
      </rPr>
      <t xml:space="preserve"> на виноградном соке без сахара 25г</t>
    </r>
  </si>
  <si>
    <r>
      <t xml:space="preserve">Джем </t>
    </r>
    <r>
      <rPr>
        <b/>
        <sz val="10"/>
        <rFont val="Calibri"/>
        <family val="2"/>
        <scheme val="minor"/>
      </rPr>
      <t>Клюква-Черника</t>
    </r>
    <r>
      <rPr>
        <sz val="10"/>
        <rFont val="Calibri"/>
        <family val="2"/>
        <scheme val="minor"/>
      </rPr>
      <t xml:space="preserve"> на виноградном соке без сахара 25г</t>
    </r>
  </si>
  <si>
    <r>
      <t xml:space="preserve">Джем </t>
    </r>
    <r>
      <rPr>
        <b/>
        <sz val="10"/>
        <rFont val="Calibri"/>
        <family val="2"/>
        <scheme val="minor"/>
      </rPr>
      <t>Малина</t>
    </r>
    <r>
      <rPr>
        <sz val="10"/>
        <rFont val="Calibri"/>
        <family val="2"/>
        <scheme val="minor"/>
      </rPr>
      <t xml:space="preserve"> на виноградном соке без сахара 25г</t>
    </r>
  </si>
  <si>
    <t>http://1.c8804.nichost.ru/pics/18775.jpg</t>
  </si>
  <si>
    <t>органический неочищенный длиннозерный рис, органические рисовые отруби, семена чиа, вода</t>
  </si>
  <si>
    <t>Стевия жидкая "Премиум" стекло 30мл</t>
  </si>
  <si>
    <t>Стевиозид</t>
  </si>
  <si>
    <r>
      <t xml:space="preserve">Печенье "три пользы" </t>
    </r>
    <r>
      <rPr>
        <b/>
        <sz val="10"/>
        <rFont val="Calibri"/>
        <family val="2"/>
        <scheme val="minor"/>
      </rPr>
      <t>бородинское</t>
    </r>
    <r>
      <rPr>
        <sz val="10"/>
        <rFont val="Calibri"/>
        <family val="2"/>
        <scheme val="minor"/>
      </rPr>
      <t xml:space="preserve"> 150г</t>
    </r>
  </si>
  <si>
    <r>
      <t xml:space="preserve">Леденцы с шалфеем </t>
    </r>
    <r>
      <rPr>
        <b/>
        <sz val="10"/>
        <rFont val="Calibri"/>
        <family val="2"/>
        <scheme val="minor"/>
      </rPr>
      <t>без сахара</t>
    </r>
    <r>
      <rPr>
        <sz val="10"/>
        <rFont val="Calibri"/>
        <family val="2"/>
        <scheme val="minor"/>
      </rPr>
      <t xml:space="preserve"> 10x3,2г</t>
    </r>
  </si>
  <si>
    <t>подготовленная артезианская вода, патока крахмальная, сок из клюквы, сок из брусники, сок из черноплодной рябины, сок из красной рябины, цветы гибискуса (каркаде), чай черный, чистая культура чайного гриба, мята свежая, плоды китайского лимонника</t>
  </si>
  <si>
    <t>http://1.c8804.nichost.ru/pics/20700.jpg</t>
  </si>
  <si>
    <t>http://1.c8804.nichost.ru/pics/19032.jpg</t>
  </si>
  <si>
    <t>http://1.c8804.nichost.ru/pics/20602.jpg</t>
  </si>
  <si>
    <r>
      <t>Бальзам "</t>
    </r>
    <r>
      <rPr>
        <b/>
        <sz val="10"/>
        <rFont val="Calibri"/>
        <family val="2"/>
        <charset val="204"/>
        <scheme val="minor"/>
      </rPr>
      <t>Чага +</t>
    </r>
    <r>
      <rPr>
        <sz val="10"/>
        <rFont val="Calibri"/>
        <family val="2"/>
        <scheme val="minor"/>
      </rPr>
      <t>" (без сахара) 100мл</t>
    </r>
  </si>
  <si>
    <t>http://1.c8804.nichost.ru/pics/20630.jpg</t>
  </si>
  <si>
    <t>высококонцентрированный водный экстракт из чаги (трутовика скошенного, берёзового гриба) и эхинацеи пурпурной (травы и цветков), фруктоза, сорбат калия (консервант).</t>
  </si>
  <si>
    <t>Халва кунжутная классическая 290г</t>
  </si>
  <si>
    <t>семена кунжута, сахар, ванилин, лимонная кислота</t>
  </si>
  <si>
    <t>http://1.c8804.nichost.ru/pics/18073.jpg</t>
  </si>
  <si>
    <t>Вкусное_дело</t>
  </si>
  <si>
    <t>Диал_экспорт</t>
  </si>
  <si>
    <t>Миссис Пикез</t>
  </si>
  <si>
    <t>Missis</t>
  </si>
  <si>
    <t>РусКвас</t>
  </si>
  <si>
    <t>Русский_лес</t>
  </si>
  <si>
    <t>Сибирская_клетчатка</t>
  </si>
  <si>
    <t>СиЭко_Фудс</t>
  </si>
  <si>
    <t>Сокровища_сезам</t>
  </si>
  <si>
    <r>
      <t xml:space="preserve">Леденцы кедровые с </t>
    </r>
    <r>
      <rPr>
        <b/>
        <sz val="10"/>
        <rFont val="Calibri"/>
        <family val="2"/>
        <scheme val="minor"/>
      </rPr>
      <t>шалфеем и розмарином</t>
    </r>
    <r>
      <rPr>
        <sz val="10"/>
        <rFont val="Calibri"/>
        <family val="2"/>
        <scheme val="minor"/>
      </rPr>
      <t xml:space="preserve"> Kedrini 6*3,2</t>
    </r>
  </si>
  <si>
    <r>
      <t xml:space="preserve">Леденцы Кедровые с </t>
    </r>
    <r>
      <rPr>
        <b/>
        <sz val="10"/>
        <rFont val="Calibri"/>
        <family val="2"/>
        <scheme val="minor"/>
      </rPr>
      <t>липой и грейпфрутом</t>
    </r>
    <r>
      <rPr>
        <sz val="10"/>
        <rFont val="Calibri"/>
        <family val="2"/>
        <scheme val="minor"/>
      </rPr>
      <t xml:space="preserve"> Kedrini на изомальте 6*3,2</t>
    </r>
  </si>
  <si>
    <r>
      <t xml:space="preserve">Леденцы Кедровые с </t>
    </r>
    <r>
      <rPr>
        <b/>
        <sz val="10"/>
        <rFont val="Calibri"/>
        <family val="2"/>
        <scheme val="minor"/>
      </rPr>
      <t>мятой и лайм</t>
    </r>
    <r>
      <rPr>
        <sz val="10"/>
        <rFont val="Calibri"/>
        <family val="2"/>
        <scheme val="minor"/>
      </rPr>
      <t xml:space="preserve"> Kedrini на изомальте 6*3,2</t>
    </r>
  </si>
  <si>
    <r>
      <t xml:space="preserve">Леденцы с лимоном и медом </t>
    </r>
    <r>
      <rPr>
        <b/>
        <sz val="10"/>
        <rFont val="Calibri"/>
        <family val="2"/>
        <scheme val="minor"/>
      </rPr>
      <t>без сахара</t>
    </r>
    <r>
      <rPr>
        <sz val="10"/>
        <rFont val="Calibri"/>
        <family val="2"/>
        <scheme val="minor"/>
      </rPr>
      <t xml:space="preserve"> 10x3,2г</t>
    </r>
  </si>
  <si>
    <r>
      <t xml:space="preserve">Леденцы с облепихой и мёдом </t>
    </r>
    <r>
      <rPr>
        <b/>
        <sz val="10"/>
        <rFont val="Calibri"/>
        <family val="2"/>
        <scheme val="minor"/>
      </rPr>
      <t>без сахара</t>
    </r>
    <r>
      <rPr>
        <sz val="10"/>
        <rFont val="Calibri"/>
        <family val="2"/>
        <scheme val="minor"/>
      </rPr>
      <t xml:space="preserve"> 10х3,2г</t>
    </r>
  </si>
  <si>
    <t>Минимальный квант 24шт</t>
  </si>
  <si>
    <t>http://1.c8804.nichost.ru/pics/20701.jpg</t>
  </si>
  <si>
    <t>Молоко овсяное, Са + витамины, без сахара 137 Degrees 180мл</t>
  </si>
  <si>
    <t>вода (84,5%), цельный овес (12%), пищевой краситель: карбонат кальция (0,3%), витаминный премикс</t>
  </si>
  <si>
    <t>http://1.c8804.nichost.ru/pics/20705.jpg</t>
  </si>
  <si>
    <t>http://1.c8804.nichost.ru/pics/20702.jpg</t>
  </si>
  <si>
    <t>Патока, сахар, желатин пищевой, регуляторы кислотности (DL-яблочная кислота, молочная кислота), соки концентрированные (яблочный, апельсиновый, лимонный), ароматизаторы натуральные, красители натуральные (экстракт спирулины, кармины, куркурмин), масло кукурузное</t>
  </si>
  <si>
    <t>http://1.c8804.nichost.ru/pics/20704.jpg</t>
  </si>
  <si>
    <t>Патока, сахар, желатин пищевой, соки концентрированные (апельсиновый, яблочный, малиновый), ароматизаторы натуральные, регулятор кислотности молочная кислота, глазирователь (карнаубский воск, пчелиный воск), красители натуральные (экстракт спирулины, кармины, куркурмин), масло кукурузное</t>
  </si>
  <si>
    <r>
      <t xml:space="preserve">Джем </t>
    </r>
    <r>
      <rPr>
        <b/>
        <sz val="10"/>
        <rFont val="Calibri"/>
        <family val="2"/>
        <scheme val="minor"/>
      </rPr>
      <t>Брусника</t>
    </r>
    <r>
      <rPr>
        <sz val="10"/>
        <rFont val="Calibri"/>
        <family val="2"/>
        <scheme val="minor"/>
      </rPr>
      <t xml:space="preserve"> на виноградном соке без сахара 25г</t>
    </r>
  </si>
  <si>
    <r>
      <t xml:space="preserve">Джем </t>
    </r>
    <r>
      <rPr>
        <b/>
        <sz val="10"/>
        <rFont val="Calibri"/>
        <family val="2"/>
        <scheme val="minor"/>
      </rPr>
      <t>Ежевика</t>
    </r>
    <r>
      <rPr>
        <sz val="10"/>
        <rFont val="Calibri"/>
        <family val="2"/>
        <scheme val="minor"/>
      </rPr>
      <t xml:space="preserve"> на виноградном соке без сахара 25г</t>
    </r>
  </si>
  <si>
    <r>
      <t xml:space="preserve">Суп </t>
    </r>
    <r>
      <rPr>
        <b/>
        <sz val="10"/>
        <rFont val="Calibri"/>
        <family val="2"/>
        <scheme val="minor"/>
      </rPr>
      <t>Cтарорусский</t>
    </r>
    <r>
      <rPr>
        <sz val="10"/>
        <rFont val="Calibri"/>
        <family val="2"/>
        <scheme val="minor"/>
      </rPr>
      <t xml:space="preserve"> из полбы и зеленой чечевицы 250г</t>
    </r>
  </si>
  <si>
    <r>
      <t xml:space="preserve">Суп </t>
    </r>
    <r>
      <rPr>
        <b/>
        <sz val="10"/>
        <rFont val="Calibri"/>
        <family val="2"/>
        <scheme val="minor"/>
      </rPr>
      <t>Гороховый</t>
    </r>
    <r>
      <rPr>
        <sz val="10"/>
        <rFont val="Calibri"/>
        <family val="2"/>
        <scheme val="minor"/>
      </rPr>
      <t xml:space="preserve"> постный 250 г</t>
    </r>
  </si>
  <si>
    <r>
      <t xml:space="preserve">Суп </t>
    </r>
    <r>
      <rPr>
        <b/>
        <sz val="10"/>
        <rFont val="Calibri"/>
        <family val="2"/>
        <scheme val="minor"/>
      </rPr>
      <t>Гороховый с карри</t>
    </r>
    <r>
      <rPr>
        <sz val="10"/>
        <rFont val="Calibri"/>
        <family val="2"/>
        <scheme val="minor"/>
      </rPr>
      <t xml:space="preserve"> 250г</t>
    </r>
  </si>
  <si>
    <r>
      <t xml:space="preserve">Суп </t>
    </r>
    <r>
      <rPr>
        <b/>
        <sz val="10"/>
        <rFont val="Calibri"/>
        <family val="2"/>
        <scheme val="minor"/>
      </rPr>
      <t>Индийский</t>
    </r>
    <r>
      <rPr>
        <sz val="10"/>
        <rFont val="Calibri"/>
        <family val="2"/>
        <scheme val="minor"/>
      </rPr>
      <t xml:space="preserve"> Масурдал с машем и красной чечевицей 250г</t>
    </r>
  </si>
  <si>
    <r>
      <t xml:space="preserve">Суп </t>
    </r>
    <r>
      <rPr>
        <b/>
        <sz val="10"/>
        <rFont val="Calibri"/>
        <family val="2"/>
        <scheme val="minor"/>
      </rPr>
      <t>Итальянский</t>
    </r>
    <r>
      <rPr>
        <sz val="10"/>
        <rFont val="Calibri"/>
        <family val="2"/>
        <scheme val="minor"/>
      </rPr>
      <t xml:space="preserve"> с красной чечевицей 250г </t>
    </r>
  </si>
  <si>
    <r>
      <t xml:space="preserve">Суп </t>
    </r>
    <r>
      <rPr>
        <b/>
        <sz val="10"/>
        <rFont val="Calibri"/>
        <family val="2"/>
        <scheme val="minor"/>
      </rPr>
      <t>Мексиканский</t>
    </r>
    <r>
      <rPr>
        <sz val="10"/>
        <rFont val="Calibri"/>
        <family val="2"/>
        <scheme val="minor"/>
      </rPr>
      <t xml:space="preserve"> с рисом и кукурузой 250г</t>
    </r>
  </si>
  <si>
    <r>
      <t xml:space="preserve">Суп </t>
    </r>
    <r>
      <rPr>
        <b/>
        <sz val="10"/>
        <rFont val="Calibri"/>
        <family val="2"/>
        <scheme val="minor"/>
      </rPr>
      <t>Турецкий</t>
    </r>
    <r>
      <rPr>
        <sz val="10"/>
        <rFont val="Calibri"/>
        <family val="2"/>
        <scheme val="minor"/>
      </rPr>
      <t xml:space="preserve"> с булгуром и красной чечевицей 250г</t>
    </r>
  </si>
  <si>
    <r>
      <t>Суп-пюре</t>
    </r>
    <r>
      <rPr>
        <b/>
        <sz val="10"/>
        <rFont val="Calibri"/>
        <family val="2"/>
        <scheme val="minor"/>
      </rPr>
      <t xml:space="preserve"> Картофельный</t>
    </r>
    <r>
      <rPr>
        <sz val="10"/>
        <rFont val="Calibri"/>
        <family val="2"/>
        <scheme val="minor"/>
      </rPr>
      <t xml:space="preserve"> с грибами 110г</t>
    </r>
  </si>
  <si>
    <t>Батончики и леденцы</t>
  </si>
  <si>
    <t>http://1.c8804.nichost.ru/pics/20710.jpg</t>
  </si>
  <si>
    <t>http://1.c8804.nichost.ru/pics/20711.jpg</t>
  </si>
  <si>
    <t>мука из твердой пшеницы в/с, растительный белок (соевый), фильтрованная вода</t>
  </si>
  <si>
    <t>Печенье кунжутное ц/з с пророщенным овсом 300г</t>
  </si>
  <si>
    <t>Печенье кунжутное ц/з с пророщенным овсом и расторопшей 300г</t>
  </si>
  <si>
    <t>Масло подсолнечное "Масляная артель Елизарьева" ПЭТ 750мл</t>
  </si>
  <si>
    <t>http://1.c8804.nichost.ru/pics/20721.jpg</t>
  </si>
  <si>
    <t>Стружка кокосовая, патока кукурузная, какао тёртое, какао-масло, сироп топинамбура, подсластитель эритрит, масло кокосовое, порошок зеленого чая матча, имбирь молотый, эмульгатор лецитин соевый</t>
  </si>
  <si>
    <t>Ядра ореха кешью, концентрат ячменно-солодовый, мука зеленой гречки, сироп топинамбура, мука кокосовая, волокна цитрусовые, ароматизатор натуральный масло апельсина, соль розовая гималайская, какао-масло, сахар тростниковый нерафинированный, тыква сублимированная, краситель натуральный паприка</t>
  </si>
  <si>
    <t>Арахис жареный, концентрат (экстракт) ячменно-солодовый, какао тёртое, какао-масло, сироп топинамбура, подсластитель эритрит, эмульгатор лецитин соевый, соль розовая гималайская</t>
  </si>
  <si>
    <t>Арахис жареный, концентрат (экстракт) ячменно-солодовый, какао тёртое, какао масло, сироп топинамбура, подсластитель эритрит, эмульгатор лецитин соевый, соль розовая гималайская</t>
  </si>
  <si>
    <t>http://1.c8804.nichost.ru/pics/20728.jpg</t>
  </si>
  <si>
    <t>http://1.c8804.nichost.ru/pics/20730.jpg</t>
  </si>
  <si>
    <t>http://1.c8804.nichost.ru/pics/20727.jpg</t>
  </si>
  <si>
    <t>http://1.c8804.nichost.ru/pics/20729.jpg</t>
  </si>
  <si>
    <t>Полба с цукини и грибами 300г</t>
  </si>
  <si>
    <t>http://1.c8804.nichost.ru/pics/20731.jpg</t>
  </si>
  <si>
    <t>Полба резаная, шампиньоны сушеные, цукини сушеные, морковь сушеная, лук зеленый сушеный, чеснок сушеный</t>
  </si>
  <si>
    <r>
      <t xml:space="preserve">Супчик с макарошками, </t>
    </r>
    <r>
      <rPr>
        <b/>
        <sz val="10"/>
        <rFont val="Calibri"/>
        <family val="2"/>
        <scheme val="minor"/>
      </rPr>
      <t>морковкой и кабачками</t>
    </r>
    <r>
      <rPr>
        <sz val="10"/>
        <rFont val="Calibri"/>
        <family val="2"/>
        <scheme val="minor"/>
      </rPr>
      <t xml:space="preserve"> 160г</t>
    </r>
  </si>
  <si>
    <r>
      <t xml:space="preserve">Супчик с макарошками, </t>
    </r>
    <r>
      <rPr>
        <b/>
        <sz val="10"/>
        <rFont val="Calibri"/>
        <family val="2"/>
        <scheme val="minor"/>
      </rPr>
      <t>тыквой и сладким перцем</t>
    </r>
    <r>
      <rPr>
        <sz val="10"/>
        <rFont val="Calibri"/>
        <family val="2"/>
        <scheme val="minor"/>
      </rPr>
      <t xml:space="preserve"> 160г</t>
    </r>
  </si>
  <si>
    <r>
      <t xml:space="preserve">Супчик с макарошками, </t>
    </r>
    <r>
      <rPr>
        <b/>
        <sz val="10"/>
        <rFont val="Calibri"/>
        <family val="2"/>
        <scheme val="minor"/>
      </rPr>
      <t>чечевицей и шпинатом</t>
    </r>
    <r>
      <rPr>
        <sz val="10"/>
        <rFont val="Calibri"/>
        <family val="2"/>
        <scheme val="minor"/>
      </rPr>
      <t xml:space="preserve"> 180г</t>
    </r>
  </si>
  <si>
    <r>
      <t xml:space="preserve">Макароны пшеничные </t>
    </r>
    <r>
      <rPr>
        <b/>
        <sz val="10"/>
        <rFont val="Calibri"/>
        <family val="2"/>
        <scheme val="minor"/>
      </rPr>
      <t>Вермишелька яична</t>
    </r>
    <r>
      <rPr>
        <sz val="10"/>
        <rFont val="Calibri"/>
        <family val="2"/>
        <scheme val="minor"/>
      </rPr>
      <t>я 250г</t>
    </r>
  </si>
  <si>
    <r>
      <t xml:space="preserve">Макароны пшеничные </t>
    </r>
    <r>
      <rPr>
        <b/>
        <sz val="10"/>
        <rFont val="Calibri"/>
        <family val="2"/>
        <scheme val="minor"/>
      </rPr>
      <t>Звездочки</t>
    </r>
    <r>
      <rPr>
        <sz val="10"/>
        <rFont val="Calibri"/>
        <family val="2"/>
        <scheme val="minor"/>
      </rPr>
      <t xml:space="preserve"> "Триколор" 400г</t>
    </r>
  </si>
  <si>
    <r>
      <t xml:space="preserve">Макароны </t>
    </r>
    <r>
      <rPr>
        <b/>
        <sz val="10"/>
        <rFont val="Calibri"/>
        <family val="2"/>
        <scheme val="minor"/>
      </rPr>
      <t>Птитим</t>
    </r>
    <r>
      <rPr>
        <sz val="10"/>
        <rFont val="Calibri"/>
        <family val="2"/>
        <scheme val="minor"/>
      </rPr>
      <t xml:space="preserve"> "Pasta la bella" 400г</t>
    </r>
  </si>
  <si>
    <r>
      <t xml:space="preserve">Макароны </t>
    </r>
    <r>
      <rPr>
        <b/>
        <sz val="10"/>
        <rFont val="Calibri"/>
        <family val="2"/>
        <scheme val="minor"/>
      </rPr>
      <t>Орзо</t>
    </r>
    <r>
      <rPr>
        <sz val="10"/>
        <rFont val="Calibri"/>
        <family val="2"/>
        <scheme val="minor"/>
      </rPr>
      <t xml:space="preserve"> "Pasta la bella" 400г</t>
    </r>
  </si>
  <si>
    <r>
      <t xml:space="preserve">Макароны </t>
    </r>
    <r>
      <rPr>
        <b/>
        <sz val="10"/>
        <rFont val="Calibri"/>
        <family val="2"/>
        <scheme val="minor"/>
      </rPr>
      <t>с петрушкой и чесноком</t>
    </r>
    <r>
      <rPr>
        <sz val="10"/>
        <rFont val="Calibri"/>
        <family val="2"/>
        <scheme val="minor"/>
      </rPr>
      <t xml:space="preserve"> 250г</t>
    </r>
  </si>
  <si>
    <r>
      <t xml:space="preserve">Паста с </t>
    </r>
    <r>
      <rPr>
        <b/>
        <sz val="10"/>
        <rFont val="Calibri"/>
        <family val="2"/>
        <scheme val="minor"/>
      </rPr>
      <t>белыми грибами</t>
    </r>
    <r>
      <rPr>
        <sz val="10"/>
        <rFont val="Calibri"/>
        <family val="2"/>
        <scheme val="minor"/>
      </rPr>
      <t xml:space="preserve"> и укропом 250г</t>
    </r>
  </si>
  <si>
    <r>
      <t xml:space="preserve">Паста с </t>
    </r>
    <r>
      <rPr>
        <b/>
        <sz val="10"/>
        <rFont val="Calibri"/>
        <family val="2"/>
        <scheme val="minor"/>
      </rPr>
      <t>прованскими травами</t>
    </r>
    <r>
      <rPr>
        <sz val="10"/>
        <rFont val="Calibri"/>
        <family val="2"/>
        <scheme val="minor"/>
      </rPr>
      <t xml:space="preserve"> 250г</t>
    </r>
  </si>
  <si>
    <r>
      <t xml:space="preserve">Паста с </t>
    </r>
    <r>
      <rPr>
        <b/>
        <sz val="10"/>
        <rFont val="Calibri"/>
        <family val="2"/>
        <scheme val="minor"/>
      </rPr>
      <t>томатом и базиликом</t>
    </r>
    <r>
      <rPr>
        <sz val="10"/>
        <rFont val="Calibri"/>
        <family val="2"/>
        <scheme val="minor"/>
      </rPr>
      <t xml:space="preserve"> 250г</t>
    </r>
  </si>
  <si>
    <r>
      <t xml:space="preserve">Паста с </t>
    </r>
    <r>
      <rPr>
        <b/>
        <sz val="10"/>
        <rFont val="Calibri"/>
        <family val="2"/>
        <scheme val="minor"/>
      </rPr>
      <t>томатом и яичным желтком</t>
    </r>
    <r>
      <rPr>
        <sz val="10"/>
        <rFont val="Calibri"/>
        <family val="2"/>
        <scheme val="minor"/>
      </rPr>
      <t xml:space="preserve"> "Праздничная" 250г</t>
    </r>
  </si>
  <si>
    <r>
      <t xml:space="preserve">Паста с </t>
    </r>
    <r>
      <rPr>
        <b/>
        <sz val="10"/>
        <rFont val="Calibri"/>
        <family val="2"/>
        <scheme val="minor"/>
      </rPr>
      <t>чернилами каракатицы</t>
    </r>
    <r>
      <rPr>
        <sz val="10"/>
        <rFont val="Calibri"/>
        <family val="2"/>
        <scheme val="minor"/>
      </rPr>
      <t xml:space="preserve"> 250г</t>
    </r>
  </si>
  <si>
    <r>
      <t xml:space="preserve">Паста с </t>
    </r>
    <r>
      <rPr>
        <b/>
        <sz val="10"/>
        <rFont val="Calibri"/>
        <family val="2"/>
        <scheme val="minor"/>
      </rPr>
      <t>шпинатом</t>
    </r>
    <r>
      <rPr>
        <sz val="10"/>
        <rFont val="Calibri"/>
        <family val="2"/>
        <scheme val="minor"/>
      </rPr>
      <t xml:space="preserve"> папарделле 250г</t>
    </r>
  </si>
  <si>
    <r>
      <t xml:space="preserve">Макароны forFIT птитим из </t>
    </r>
    <r>
      <rPr>
        <b/>
        <sz val="10"/>
        <rFont val="Calibri"/>
        <family val="2"/>
        <scheme val="minor"/>
      </rPr>
      <t>зеленого гороха</t>
    </r>
    <r>
      <rPr>
        <sz val="10"/>
        <rFont val="Calibri"/>
        <family val="2"/>
        <scheme val="minor"/>
      </rPr>
      <t xml:space="preserve"> Без глютена 400г</t>
    </r>
  </si>
  <si>
    <r>
      <t xml:space="preserve">Макароны forFIT птитим из </t>
    </r>
    <r>
      <rPr>
        <b/>
        <sz val="10"/>
        <rFont val="Calibri"/>
        <family val="2"/>
        <scheme val="minor"/>
      </rPr>
      <t>красной чечевицы</t>
    </r>
    <r>
      <rPr>
        <sz val="10"/>
        <rFont val="Calibri"/>
        <family val="2"/>
        <scheme val="minor"/>
      </rPr>
      <t xml:space="preserve"> Без глютена 400г</t>
    </r>
  </si>
  <si>
    <r>
      <t xml:space="preserve">Макароны forFIT птитим из </t>
    </r>
    <r>
      <rPr>
        <b/>
        <sz val="10"/>
        <rFont val="Calibri"/>
        <family val="2"/>
        <scheme val="minor"/>
      </rPr>
      <t>нута</t>
    </r>
    <r>
      <rPr>
        <sz val="10"/>
        <rFont val="Calibri"/>
        <family val="2"/>
        <scheme val="minor"/>
      </rPr>
      <t xml:space="preserve"> Без глютена 400г</t>
    </r>
  </si>
  <si>
    <r>
      <t xml:space="preserve">Батончик "KICK" </t>
    </r>
    <r>
      <rPr>
        <u/>
        <sz val="10"/>
        <rFont val="Calibri"/>
        <family val="2"/>
        <scheme val="minor"/>
      </rPr>
      <t>Без сахара</t>
    </r>
    <r>
      <rPr>
        <sz val="10"/>
        <rFont val="Calibri"/>
        <family val="2"/>
        <scheme val="minor"/>
      </rPr>
      <t xml:space="preserve"> арахис в шоколаде 45г</t>
    </r>
  </si>
  <si>
    <r>
      <t xml:space="preserve">Батончик "KICK" </t>
    </r>
    <r>
      <rPr>
        <u/>
        <sz val="10"/>
        <rFont val="Calibri"/>
        <family val="2"/>
        <scheme val="minor"/>
      </rPr>
      <t>Без сахара</t>
    </r>
    <r>
      <rPr>
        <sz val="10"/>
        <rFont val="Calibri"/>
        <family val="2"/>
        <scheme val="minor"/>
      </rPr>
      <t xml:space="preserve"> арахис, изюм, чернослив, грецкий орех в шоколаде 45г</t>
    </r>
  </si>
  <si>
    <r>
      <t xml:space="preserve">Батончик "KICK" </t>
    </r>
    <r>
      <rPr>
        <u/>
        <sz val="10"/>
        <rFont val="Calibri"/>
        <family val="2"/>
        <scheme val="minor"/>
      </rPr>
      <t>Без сахара</t>
    </r>
    <r>
      <rPr>
        <sz val="10"/>
        <rFont val="Calibri"/>
        <family val="2"/>
        <scheme val="minor"/>
      </rPr>
      <t xml:space="preserve"> соленая карамель в шоколаде 45г</t>
    </r>
  </si>
  <si>
    <r>
      <t xml:space="preserve">Джем </t>
    </r>
    <r>
      <rPr>
        <b/>
        <sz val="10"/>
        <rFont val="Calibri"/>
        <family val="2"/>
        <scheme val="minor"/>
      </rPr>
      <t>Черника</t>
    </r>
    <r>
      <rPr>
        <sz val="10"/>
        <rFont val="Calibri"/>
        <family val="2"/>
        <scheme val="minor"/>
      </rPr>
      <t xml:space="preserve"> на виноградном соке без сахара 25г</t>
    </r>
  </si>
  <si>
    <t>http://1.c8804.nichost.ru/pics/20715.jpg</t>
  </si>
  <si>
    <t>http://1.c8804.nichost.ru/pics/20716.jpg</t>
  </si>
  <si>
    <r>
      <t>Масло капсулированное льняное "</t>
    </r>
    <r>
      <rPr>
        <b/>
        <sz val="10"/>
        <rFont val="Calibri"/>
        <family val="2"/>
        <scheme val="minor"/>
      </rPr>
      <t>Для печени - Омега 3</t>
    </r>
    <r>
      <rPr>
        <sz val="10"/>
        <rFont val="Calibri"/>
        <family val="2"/>
        <scheme val="minor"/>
      </rPr>
      <t>" 180капс. 54г</t>
    </r>
  </si>
  <si>
    <r>
      <t>Масло капсулированное льняное "</t>
    </r>
    <r>
      <rPr>
        <b/>
        <sz val="10"/>
        <rFont val="Calibri"/>
        <family val="2"/>
        <scheme val="minor"/>
      </rPr>
      <t>Стоп диабет</t>
    </r>
    <r>
      <rPr>
        <sz val="10"/>
        <rFont val="Calibri"/>
        <family val="2"/>
        <scheme val="minor"/>
      </rPr>
      <t>" 180капс. 54г</t>
    </r>
  </si>
  <si>
    <r>
      <t>Суп-пюре "</t>
    </r>
    <r>
      <rPr>
        <b/>
        <sz val="10"/>
        <rFont val="Calibri"/>
        <family val="2"/>
        <scheme val="minor"/>
      </rPr>
      <t>Свекольный</t>
    </r>
    <r>
      <rPr>
        <sz val="10"/>
        <rFont val="Calibri"/>
        <family val="2"/>
        <scheme val="minor"/>
      </rPr>
      <t>" 10стиков*30г</t>
    </r>
  </si>
  <si>
    <r>
      <t xml:space="preserve">Кисель detox bio </t>
    </r>
    <r>
      <rPr>
        <b/>
        <sz val="10"/>
        <rFont val="Calibri"/>
        <family val="2"/>
        <scheme val="minor"/>
      </rPr>
      <t xml:space="preserve">Diet </t>
    </r>
    <r>
      <rPr>
        <sz val="10"/>
        <rFont val="Calibri"/>
        <family val="2"/>
        <scheme val="minor"/>
      </rPr>
      <t>Овсяный 10пак. 250г</t>
    </r>
  </si>
  <si>
    <r>
      <t xml:space="preserve">Кисель detox bio </t>
    </r>
    <r>
      <rPr>
        <b/>
        <sz val="10"/>
        <rFont val="Calibri"/>
        <family val="2"/>
        <scheme val="minor"/>
      </rPr>
      <t>Norm</t>
    </r>
    <r>
      <rPr>
        <sz val="10"/>
        <rFont val="Calibri"/>
        <family val="2"/>
        <scheme val="minor"/>
      </rPr>
      <t xml:space="preserve"> Топинамбур со свёклой 10пак. 250г</t>
    </r>
  </si>
  <si>
    <r>
      <t xml:space="preserve">Кисель detox bio </t>
    </r>
    <r>
      <rPr>
        <b/>
        <sz val="10"/>
        <rFont val="Calibri"/>
        <family val="2"/>
        <scheme val="minor"/>
      </rPr>
      <t>Slim</t>
    </r>
    <r>
      <rPr>
        <sz val="10"/>
        <rFont val="Calibri"/>
        <family val="2"/>
        <scheme val="minor"/>
      </rPr>
      <t xml:space="preserve"> Имбирный 10пак. 250г</t>
    </r>
  </si>
  <si>
    <r>
      <t xml:space="preserve">Молочко после купания </t>
    </r>
    <r>
      <rPr>
        <b/>
        <sz val="10"/>
        <rFont val="Calibri"/>
        <family val="2"/>
        <scheme val="minor"/>
      </rPr>
      <t>детское</t>
    </r>
    <r>
      <rPr>
        <sz val="10"/>
        <rFont val="Calibri"/>
        <family val="2"/>
        <scheme val="minor"/>
      </rPr>
      <t xml:space="preserve"> (Д-пантенол) 0+ Nativica baby 250мл</t>
    </r>
  </si>
  <si>
    <r>
      <t xml:space="preserve">Пена </t>
    </r>
    <r>
      <rPr>
        <b/>
        <sz val="10"/>
        <rFont val="Calibri"/>
        <family val="2"/>
        <scheme val="minor"/>
      </rPr>
      <t>детская</t>
    </r>
    <r>
      <rPr>
        <sz val="10"/>
        <rFont val="Calibri"/>
        <family val="2"/>
        <scheme val="minor"/>
      </rPr>
      <t xml:space="preserve"> для купания 0+ Nativica baby туба 250мл</t>
    </r>
  </si>
  <si>
    <r>
      <t>Мыло для рук жидкое "</t>
    </r>
    <r>
      <rPr>
        <b/>
        <sz val="10"/>
        <rFont val="Calibri"/>
        <family val="2"/>
        <scheme val="minor"/>
      </rPr>
      <t>Манго</t>
    </r>
    <r>
      <rPr>
        <sz val="10"/>
        <rFont val="Calibri"/>
        <family val="2"/>
        <scheme val="minor"/>
      </rPr>
      <t>" 500мл</t>
    </r>
  </si>
  <si>
    <t>вода, апельсиновый сок, семена чиа, яблочный сок, гранатовый сок, лимонная кислота</t>
  </si>
  <si>
    <t>http://1.c8804.nichost.ru/pics/20680.jpg</t>
  </si>
  <si>
    <r>
      <t xml:space="preserve">Джем </t>
    </r>
    <r>
      <rPr>
        <b/>
        <sz val="10"/>
        <rFont val="Calibri"/>
        <family val="2"/>
        <scheme val="minor"/>
      </rPr>
      <t>Красная смородина</t>
    </r>
    <r>
      <rPr>
        <sz val="10"/>
        <rFont val="Calibri"/>
        <family val="2"/>
        <scheme val="minor"/>
      </rPr>
      <t xml:space="preserve"> на виноградном соке без сахара 25г</t>
    </r>
  </si>
  <si>
    <r>
      <t xml:space="preserve">Джем </t>
    </r>
    <r>
      <rPr>
        <b/>
        <sz val="10"/>
        <rFont val="Calibri"/>
        <family val="2"/>
        <scheme val="minor"/>
      </rPr>
      <t>Малина-Брусника</t>
    </r>
    <r>
      <rPr>
        <sz val="10"/>
        <rFont val="Calibri"/>
        <family val="2"/>
        <scheme val="minor"/>
      </rPr>
      <t xml:space="preserve"> на виноградном соке без сахара 25г</t>
    </r>
  </si>
  <si>
    <r>
      <t xml:space="preserve">Джем </t>
    </r>
    <r>
      <rPr>
        <b/>
        <sz val="10"/>
        <rFont val="Calibri"/>
        <family val="2"/>
        <scheme val="minor"/>
      </rPr>
      <t>Облепиха</t>
    </r>
    <r>
      <rPr>
        <sz val="10"/>
        <rFont val="Calibri"/>
        <family val="2"/>
        <scheme val="minor"/>
      </rPr>
      <t xml:space="preserve"> на виноградном соке без сахара 25г</t>
    </r>
  </si>
  <si>
    <r>
      <t>Леденцы "</t>
    </r>
    <r>
      <rPr>
        <b/>
        <sz val="10"/>
        <rFont val="Calibri"/>
        <family val="2"/>
        <scheme val="minor"/>
      </rPr>
      <t>Антистресс</t>
    </r>
    <r>
      <rPr>
        <sz val="10"/>
        <rFont val="Calibri"/>
        <family val="2"/>
        <scheme val="minor"/>
      </rPr>
      <t>" на конопляном масле 32г</t>
    </r>
  </si>
  <si>
    <r>
      <t xml:space="preserve">Суп </t>
    </r>
    <r>
      <rPr>
        <b/>
        <sz val="10"/>
        <rFont val="Calibri"/>
        <family val="2"/>
        <scheme val="minor"/>
      </rPr>
      <t>Болгарский</t>
    </r>
    <r>
      <rPr>
        <sz val="10"/>
        <rFont val="Calibri"/>
        <family val="2"/>
        <scheme val="minor"/>
      </rPr>
      <t xml:space="preserve"> с зеленой чечевицей 250г</t>
    </r>
  </si>
  <si>
    <r>
      <t xml:space="preserve">Суп </t>
    </r>
    <r>
      <rPr>
        <b/>
        <sz val="10"/>
        <rFont val="Calibri"/>
        <family val="2"/>
        <scheme val="minor"/>
      </rPr>
      <t>Испанский</t>
    </r>
    <r>
      <rPr>
        <sz val="10"/>
        <rFont val="Calibri"/>
        <family val="2"/>
        <scheme val="minor"/>
      </rPr>
      <t xml:space="preserve"> 250г</t>
    </r>
  </si>
  <si>
    <r>
      <t xml:space="preserve">Напиток </t>
    </r>
    <r>
      <rPr>
        <b/>
        <sz val="10"/>
        <rFont val="Calibri"/>
        <family val="2"/>
        <scheme val="minor"/>
      </rPr>
      <t>Некофе</t>
    </r>
    <r>
      <rPr>
        <sz val="10"/>
        <rFont val="Calibri"/>
        <family val="2"/>
        <scheme val="minor"/>
      </rPr>
      <t xml:space="preserve"> ГХИ растворимый 280г</t>
    </r>
  </si>
  <si>
    <r>
      <t xml:space="preserve">Напиток </t>
    </r>
    <r>
      <rPr>
        <b/>
        <sz val="10"/>
        <rFont val="Calibri"/>
        <family val="2"/>
        <scheme val="minor"/>
      </rPr>
      <t>Некофе</t>
    </r>
    <r>
      <rPr>
        <sz val="10"/>
        <rFont val="Calibri"/>
        <family val="2"/>
        <scheme val="minor"/>
      </rPr>
      <t xml:space="preserve"> ГХИ с </t>
    </r>
    <r>
      <rPr>
        <b/>
        <sz val="10"/>
        <rFont val="Calibri"/>
        <family val="2"/>
        <scheme val="minor"/>
      </rPr>
      <t>чагой</t>
    </r>
    <r>
      <rPr>
        <sz val="10"/>
        <rFont val="Calibri"/>
        <family val="2"/>
        <scheme val="minor"/>
      </rPr>
      <t xml:space="preserve"> растворимый 280г</t>
    </r>
  </si>
  <si>
    <r>
      <t xml:space="preserve">Напиток тыквенный </t>
    </r>
    <r>
      <rPr>
        <b/>
        <sz val="10"/>
        <rFont val="Calibri"/>
        <family val="2"/>
        <scheme val="minor"/>
      </rPr>
      <t xml:space="preserve">Матча - Латте </t>
    </r>
    <r>
      <rPr>
        <sz val="10"/>
        <rFont val="Calibri"/>
        <family val="2"/>
        <scheme val="minor"/>
      </rPr>
      <t>150г</t>
    </r>
  </si>
  <si>
    <r>
      <t xml:space="preserve">Конфеты "Кедровый марципан" </t>
    </r>
    <r>
      <rPr>
        <b/>
        <sz val="10"/>
        <rFont val="Calibri"/>
        <family val="2"/>
        <scheme val="minor"/>
      </rPr>
      <t>ассорти</t>
    </r>
    <r>
      <rPr>
        <sz val="10"/>
        <rFont val="Calibri"/>
        <family val="2"/>
        <scheme val="minor"/>
      </rPr>
      <t xml:space="preserve"> шоу-бокс 720г</t>
    </r>
  </si>
  <si>
    <r>
      <t xml:space="preserve">Печенье льняное с </t>
    </r>
    <r>
      <rPr>
        <b/>
        <sz val="10"/>
        <rFont val="Calibri"/>
        <family val="2"/>
        <scheme val="minor"/>
      </rPr>
      <t>зелёной гречкой и яблоком</t>
    </r>
    <r>
      <rPr>
        <sz val="10"/>
        <rFont val="Calibri"/>
        <family val="2"/>
        <scheme val="minor"/>
      </rPr>
      <t xml:space="preserve"> "Золотой Лён" 200г</t>
    </r>
  </si>
  <si>
    <r>
      <t xml:space="preserve">Печенье льняное с </t>
    </r>
    <r>
      <rPr>
        <b/>
        <sz val="10"/>
        <rFont val="Calibri"/>
        <family val="2"/>
        <scheme val="minor"/>
      </rPr>
      <t>иван-чаем, мятой и вишней</t>
    </r>
    <r>
      <rPr>
        <sz val="10"/>
        <rFont val="Calibri"/>
        <family val="2"/>
        <scheme val="minor"/>
      </rPr>
      <t xml:space="preserve"> "Золотой Лён" 200г</t>
    </r>
  </si>
  <si>
    <r>
      <t xml:space="preserve">Печенье льняное с </t>
    </r>
    <r>
      <rPr>
        <b/>
        <sz val="10"/>
        <rFont val="Calibri"/>
        <family val="2"/>
        <scheme val="minor"/>
      </rPr>
      <t>клубникой</t>
    </r>
    <r>
      <rPr>
        <sz val="10"/>
        <rFont val="Calibri"/>
        <family val="2"/>
        <scheme val="minor"/>
      </rPr>
      <t xml:space="preserve"> на мальтите и стевии "Золотой Лён" 200г</t>
    </r>
  </si>
  <si>
    <t>виноградный сок, сахар белый, глюкозно-фруктозный сироп (глюкоза, мальтоза, фруктоза), растительные экстракты: зеленого чая, корня имбиря, регулятор кислотности — лимонная кислота, подготовленная артезианская вода</t>
  </si>
  <si>
    <t>малиновый сок, сахар, глюкозно-фруктозный сироп (глюкоза, мальтоза, фруктоза), растительные экстракты: каркаде, родиолы розовой, плодов китайского лимонника, корня женьшеня, регулятор кислотности — лимонная кислота, подготовленная артезианская вода.</t>
  </si>
  <si>
    <t>виноградный сок, яблочный сок, сахар-песок, глюкозно-фруктозный сироп (глюкоза, мальтоз, фруктоза), натуральный мед, регулятор кислотности — лимонная кислота, растительные экстракты: цветов жасмина, плодов китайского лимонника, шалфея мускатного, подготовленная артезианская вода</t>
  </si>
  <si>
    <t>виноградный сок, сахар белый, глюкозно-фруктозный сироп (глюкоза, мальтоза, фруктоза), регулятор кислотности — лимонная кислота, растительные экстракты: корня имбиря, плодов китайского лимонника, шалфея мускатного, корня женьшеня, подготовленная артезианская вода</t>
  </si>
  <si>
    <t>http://1.c8804.nichost.ru/pics/20738.jpg</t>
  </si>
  <si>
    <t>http://1.c8804.nichost.ru/pics/20739.jpg</t>
  </si>
  <si>
    <t>http://1.c8804.nichost.ru/pics/20740.jpg</t>
  </si>
  <si>
    <t>http://1.c8804.nichost.ru/pics/20741.jpg</t>
  </si>
  <si>
    <t>семена кунжута измельченные, фисташка обжаренная, сахар-песок, патока крахмальная, пенообразователь - экстракт мыльного корня, лимонная кислота.</t>
  </si>
  <si>
    <r>
      <t xml:space="preserve">Халва кунжутная с </t>
    </r>
    <r>
      <rPr>
        <b/>
        <sz val="10"/>
        <rFont val="Calibri"/>
        <family val="2"/>
        <charset val="204"/>
        <scheme val="minor"/>
      </rPr>
      <t>фисташкой</t>
    </r>
    <r>
      <rPr>
        <sz val="10"/>
        <rFont val="Calibri"/>
        <family val="2"/>
        <scheme val="minor"/>
      </rPr>
      <t xml:space="preserve"> 290г</t>
    </r>
  </si>
  <si>
    <t>http://1.c8804.nichost.ru/pics/15788_1.jpg</t>
  </si>
  <si>
    <t>http://1.c8804.nichost.ru/pics/14503_1.jpg</t>
  </si>
  <si>
    <t>http://1.c8804.nichost.ru/pics/18339_1.jpg</t>
  </si>
  <si>
    <t>http://1.c8804.nichost.ru/pics/14401_1.jpg</t>
  </si>
  <si>
    <t>http://1.c8804.nichost.ru/pics/13104_1.jpg</t>
  </si>
  <si>
    <t>http://1.c8804.nichost.ru/pics/13499_1.jpg</t>
  </si>
  <si>
    <t>Смоква (Эко пастила)</t>
  </si>
  <si>
    <t>Миссис Пикез (Missis Pickez)</t>
  </si>
  <si>
    <r>
      <t>Эликсир "</t>
    </r>
    <r>
      <rPr>
        <b/>
        <sz val="10"/>
        <rFont val="Calibri"/>
        <family val="2"/>
        <scheme val="minor"/>
      </rPr>
      <t>Иоанна Крестителя</t>
    </r>
    <r>
      <rPr>
        <sz val="10"/>
        <rFont val="Calibri"/>
        <family val="2"/>
        <scheme val="minor"/>
      </rPr>
      <t>" на льняном масле 200мл</t>
    </r>
  </si>
  <si>
    <r>
      <t>Шампунь "</t>
    </r>
    <r>
      <rPr>
        <b/>
        <sz val="10"/>
        <rFont val="Calibri"/>
        <family val="2"/>
        <scheme val="minor"/>
      </rPr>
      <t>Против перхоти</t>
    </r>
    <r>
      <rPr>
        <sz val="10"/>
        <rFont val="Calibri"/>
        <family val="2"/>
        <scheme val="minor"/>
      </rPr>
      <t xml:space="preserve">" для всех типов волос 250мл </t>
    </r>
  </si>
  <si>
    <r>
      <t xml:space="preserve">Отруби овсяные </t>
    </r>
    <r>
      <rPr>
        <b/>
        <sz val="10"/>
        <rFont val="Calibri"/>
        <family val="2"/>
        <scheme val="minor"/>
      </rPr>
      <t>с имбирём</t>
    </r>
    <r>
      <rPr>
        <sz val="10"/>
        <rFont val="Calibri"/>
        <family val="2"/>
        <scheme val="minor"/>
      </rPr>
      <t xml:space="preserve"> 200г</t>
    </r>
  </si>
  <si>
    <t>Миндаль в белом шоколаде с кофе и облепихой б.сахара 60г</t>
  </si>
  <si>
    <t>шоколад белый без добавления сахара (мальтитол (подсластитель), какао-масло, молоко сухое цельное, сыворотка молочная сухая, инулин, лецитин соевый (эмульгатор), экстракт ванили), ядро миндаля, облепиха сушёная порошок (ягоды облепихи быстрозамороженные, мальтодекстрин (носитель), аскорбиновая кислота (антиокислитель)), кофе молотый.</t>
  </si>
  <si>
    <t>http://1.c8804.nichost.ru/pics/20753.jpg</t>
  </si>
  <si>
    <t>Кешью в белом шоколаде со смородиной б.сахара 60г</t>
  </si>
  <si>
    <t>шоколад белый без добавления сахара (мальтитол (подсластитель), какао-масло, молоко сухое цельное, сыворотка молочная сухая, инулин, лецитин соевый (эмульгатор), экстракт ванили), ядро кешью, чёрная смородина сублимированная</t>
  </si>
  <si>
    <t>шоколадная глазурь (сахар, какао-масло, какао-порошок, эмульгатор лецитин), ягода сублимационной сушки (земляника)</t>
  </si>
  <si>
    <t>http://1.c8804.nichost.ru/pics/20754.jpg</t>
  </si>
  <si>
    <t>Вода,  ананасы,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</si>
  <si>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апельсины, подсластитель натуральный - эритрит, загустители натуральные - пектин, КМЦ (клетчатка), лимонная кислота, имбирь, подсластитель натуральный - экстракт стевии, сорбиновая кислота</t>
  </si>
  <si>
    <t>Вода, абрикосы,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</si>
  <si>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вишня,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</si>
  <si>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груши, подсластитель натуральный - эритрит, загустители натуральные - пектин, КМЦ (клетчатка), лимонная кислота, ваниль, подсластитель натуральный - экстракт стевии, сорбиновая кислота</t>
  </si>
  <si>
    <t>Вода, клубника,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</si>
  <si>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клюква,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</si>
  <si>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малина,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</si>
  <si>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манго,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</si>
  <si>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смородина, подсластитель натуральный - эритрит, загустители натуральные - пектин, КМЦ (клетчатка), лимонная кислота, подсластитель натуральный - экстракт стевии, сорбиновая кислота</t>
  </si>
  <si>
    <t>Вода, яблоки, подсластитель натуральный - эритрит, загустители натуральные - пектин, КМЦ (клетчатка), лимонная кислота, корица, подсластитель натуральный - экстракт стевии, сорбиновая кислота</t>
  </si>
  <si>
    <t>http://1.c8804.nichost.ru/pics/20756.jpg</t>
  </si>
  <si>
    <t>http://1.c8804.nichost.ru/pics/20755.jpg</t>
  </si>
  <si>
    <t>http://1.c8804.nichost.ru/pics/20757.jpg</t>
  </si>
  <si>
    <t>http://1.c8804.nichost.ru/pics/20758.jpg</t>
  </si>
  <si>
    <t>http://1.c8804.nichost.ru/pics/20766.jpg</t>
  </si>
  <si>
    <t>http://1.c8804.nichost.ru/pics/20761.jpg</t>
  </si>
  <si>
    <t>http://1.c8804.nichost.ru/pics/20762.jpg</t>
  </si>
  <si>
    <t>http://1.c8804.nichost.ru/pics/20763.jpg</t>
  </si>
  <si>
    <t>http://1.c8804.nichost.ru/pics/20767.jpg</t>
  </si>
  <si>
    <t>http://1.c8804.nichost.ru/pics/20764.jpg</t>
  </si>
  <si>
    <t>http://1.c8804.nichost.ru/pics/20765.jpg</t>
  </si>
  <si>
    <t>Мука из смеси бобовых (нут, горох), растительный протеин, кукурузная мука, масло подсолнечное рафинированное дезодорированное, приправа вкусоароматическая "Чеддер" (мальтодекстрин, соль, сыворотка молочная сухая, натуральные вкусоароматические вещества, дрожжевой экстракт, регулятор кислотности лимонная кислота, краситель экстракт папарики, антикомкователь Е551)</t>
  </si>
  <si>
    <t>Мука из смеси бобовых (нут, горох), растительный протеин, кукурузная мука, масло подсолнечное рафинированное дезодорированное, приправа вкусоароматическая "Томат спайси" (сахар, соль, усилители вкуса и аромата (Е621, Е627, Е631), мальтодекстрин, томаты порошок, лук порошок, регуляторы кислотности (Е262, Е334, Е330, Е260), паприка порошок, дрожжевой экстракт, жир растительный, красители (сахарный колер, экстракт паприки), специи, натуральные вкусоароматические вещества, вкусоароматические вещества, подсластитель сукралоза, антикомкователь Е551)</t>
  </si>
  <si>
    <t>http://1.c8804.nichost.ru/pics/20775.jpg</t>
  </si>
  <si>
    <t>http://1.c8804.nichost.ru/pics/20774.jpg</t>
  </si>
  <si>
    <t>Масло-смесь, салатные заправки под брендом Olivia</t>
  </si>
  <si>
    <t>масло подсолнечное рафинированное дезодорированное, масло оливковое EXTRA VIRGIN, экстракт базилика, базилик молотый</t>
  </si>
  <si>
    <t>масло оливковое EXTRA VIRGIN, масло подсолнечное рафинированное дезодарированное, масло лимона, цедра лимона</t>
  </si>
  <si>
    <t>масло оливковое EXTRA VIRGIN, масло подсолнечное рафинированное дезодорированное, масло орегано, орегано</t>
  </si>
  <si>
    <t>масло подсолнечное рафинированное дезодорированное, масло оливковое EXTRA VIRGIN, экстракт паприки, паприка чили</t>
  </si>
  <si>
    <t>масло оливковое EXTRA VIRGIN, масло подсолнечное рафинированное дезодорированное, масло розмарина, розмарин</t>
  </si>
  <si>
    <t>масло подсолнечное рафинированное дезодорированное, масло оливковое EXTRA VIRGIN, экстракт чеснока, чеснок гранулированный</t>
  </si>
  <si>
    <t>масло подсолнечное рафинированное дезодорированное, масло оливковое EXTRA VIRGIN, чёрный тмин</t>
  </si>
  <si>
    <t>http://1.c8804.nichost.ru/pics/20810.jpg</t>
  </si>
  <si>
    <t>http://1.c8804.nichost.ru/pics/20813.jpg</t>
  </si>
  <si>
    <t>http://1.c8804.nichost.ru/pics/20812.jpg</t>
  </si>
  <si>
    <t>http://1.c8804.nichost.ru/pics/20811.jpg</t>
  </si>
  <si>
    <t>http://1.c8804.nichost.ru/pics/20809.jpg</t>
  </si>
  <si>
    <t>http://1.c8804.nichost.ru/pics/20814.jpg</t>
  </si>
  <si>
    <t>Подорожника отруби (псиллиум) саше 180г</t>
  </si>
  <si>
    <t>http://1.c8804.nichost.ru/pics/20760.jpg</t>
  </si>
  <si>
    <t>Коллаген</t>
  </si>
  <si>
    <t>Коллаген гидролизованный говяжий; гиалуроновая кислота; аскорбат натрия; дигидрокверцетин сибирский; ароматизатор пищевой натуральный вишня; подсластитель сукралоза; витамин с</t>
  </si>
  <si>
    <t>Коллаген гидролизованный говяжий; гиалуроновая кислота; аскорбат натрия; дигидрокверцетин сибирский; подсластитель сукралоза; ароматизатор пищевой натуральный Мята+Лайм; пептиды коллагена</t>
  </si>
  <si>
    <t>Коллаген говяжий Classic нейтральный 180г</t>
  </si>
  <si>
    <t>http://1.c8804.nichost.ru/pics/20784.jpg</t>
  </si>
  <si>
    <t>http://1.c8804.nichost.ru/pics/20785.jpg</t>
  </si>
  <si>
    <t>http://1.c8804.nichost.ru/pics/20786.jpg</t>
  </si>
  <si>
    <t>http://1.c8804.nichost.ru/pics/20787.jpg</t>
  </si>
  <si>
    <t>http://1.c8804.nichost.ru/pics/20788.jpg</t>
  </si>
  <si>
    <t>http://1.c8804.nichost.ru/pics/20789.jpg</t>
  </si>
  <si>
    <t>Пастила фруктовая яблочная с вишней 30г</t>
  </si>
  <si>
    <t>яблочное пюре, вишня свежемороженая</t>
  </si>
  <si>
    <t>http://1.c8804.nichost.ru/pics/20709.jpg</t>
  </si>
  <si>
    <t>Марципановая конфета в темном шоколаде, Рождественский трюфель с апельсиновыми  цукатами и корицей в темном шоколаде, Трюфель с кешью в темном шоколаде</t>
  </si>
  <si>
    <t>Трюфель с клюквой в темном шоколаде, Пралине с грецким орехом в тёмном шоколаде, Трюфель с черникой в тёмном шоколаде</t>
  </si>
  <si>
    <t>http://1.c8804.nichost.ru/pics/20778.jpg</t>
  </si>
  <si>
    <t>http://1.c8804.nichost.ru/pics/20805.jpg</t>
  </si>
  <si>
    <t>абрикос сушеный (курага); абрикосовый сироп; натуральное апельсиновое масло; тыква сублимированная; бамбуковое волокно; мука овсяная; мука рисовая; крахмал кукурузный; лецитин соевый; соль морская; сода пищевая</t>
  </si>
  <si>
    <t>http://1.c8804.nichost.ru/pics/20682.jpg</t>
  </si>
  <si>
    <t>абрикос сушеный (курага); мякоть апельсина сублимированная; абрикосовый сироп; натуральное апельсиновое масло; натуральный апельсиновый сок; слива сушеная (чернослив); сливовый сироп; бамбуковое волокно; мука овсяная; мука рисовая; крахмал кукурузный; лецитин соевый; соль морская; сода пищевая</t>
  </si>
  <si>
    <t>http://1.c8804.nichost.ru/pics/20683.jpg</t>
  </si>
  <si>
    <t>абрикос сушеный (курага); мякоть апельсина сублимированная; абрикосовый сироп; натуральное апельсиновое масло; тыква сублимированная, натуральный апельсиновый сок; бамбуковое волокно; мука овсяная; мука рисовая; крахмал кукурузный; лецитин соевый; соль морская; сода пищевая</t>
  </si>
  <si>
    <t>http://1.c8804.nichost.ru/pics/20688.jpg</t>
  </si>
  <si>
    <t>http://1.c8804.nichost.ru/pics/20685.jpg</t>
  </si>
  <si>
    <r>
      <t xml:space="preserve">Мёд "Бортников" </t>
    </r>
    <r>
      <rPr>
        <b/>
        <sz val="10"/>
        <rFont val="Calibri"/>
        <family val="2"/>
        <scheme val="minor"/>
      </rPr>
      <t>Горный лес</t>
    </r>
    <r>
      <rPr>
        <sz val="10"/>
        <rFont val="Calibri"/>
        <family val="2"/>
        <scheme val="minor"/>
      </rPr>
      <t>, ст.банка 500г</t>
    </r>
  </si>
  <si>
    <r>
      <t>Мёд "Бортников"</t>
    </r>
    <r>
      <rPr>
        <b/>
        <sz val="10"/>
        <rFont val="Calibri"/>
        <family val="2"/>
        <scheme val="minor"/>
      </rPr>
      <t xml:space="preserve"> Гречишный цвет</t>
    </r>
    <r>
      <rPr>
        <sz val="10"/>
        <rFont val="Calibri"/>
        <family val="2"/>
        <scheme val="minor"/>
      </rPr>
      <t>, ст.банка 500г</t>
    </r>
  </si>
  <si>
    <r>
      <t xml:space="preserve">Мёд "Бортников" </t>
    </r>
    <r>
      <rPr>
        <b/>
        <sz val="10"/>
        <rFont val="Calibri"/>
        <family val="2"/>
        <scheme val="minor"/>
      </rPr>
      <t>Липовый цвет</t>
    </r>
    <r>
      <rPr>
        <sz val="10"/>
        <rFont val="Calibri"/>
        <family val="2"/>
        <scheme val="minor"/>
      </rPr>
      <t>, ст.банка 500г</t>
    </r>
  </si>
  <si>
    <t>под заказ, квант 24шт</t>
  </si>
  <si>
    <t>http://1.c8804.nichost.ru/pics/14576.jpg</t>
  </si>
  <si>
    <r>
      <t xml:space="preserve">Завтрак готовый из полбы </t>
    </r>
    <r>
      <rPr>
        <b/>
        <sz val="10"/>
        <rFont val="Calibri"/>
        <family val="2"/>
        <scheme val="minor"/>
      </rPr>
      <t>Шоколадные шарики</t>
    </r>
    <r>
      <rPr>
        <sz val="10"/>
        <rFont val="Calibri"/>
        <family val="2"/>
        <scheme val="minor"/>
      </rPr>
      <t xml:space="preserve"> 200г</t>
    </r>
  </si>
  <si>
    <t>http://1.c8804.nichost.ru/pics/15049_1.jpg</t>
  </si>
  <si>
    <t>http://1.c8804.nichost.ru/pics/16711.jpg</t>
  </si>
  <si>
    <t>Конфеты "Кедровые палочки" 7шт в шоколадной глазури 120г</t>
  </si>
  <si>
    <r>
      <t xml:space="preserve">Конфеты "Кедровые палочки" 11шт в шоколадной глазури </t>
    </r>
    <r>
      <rPr>
        <b/>
        <sz val="10"/>
        <rFont val="Calibri"/>
        <family val="2"/>
        <scheme val="minor"/>
      </rPr>
      <t>Ассорти</t>
    </r>
    <r>
      <rPr>
        <sz val="10"/>
        <rFont val="Calibri"/>
        <family val="2"/>
        <scheme val="minor"/>
      </rPr>
      <t xml:space="preserve"> 190г</t>
    </r>
  </si>
  <si>
    <r>
      <t xml:space="preserve">Печенье "три пользы" </t>
    </r>
    <r>
      <rPr>
        <b/>
        <sz val="10"/>
        <rFont val="Calibri"/>
        <family val="2"/>
        <scheme val="minor"/>
      </rPr>
      <t>с луком</t>
    </r>
    <r>
      <rPr>
        <sz val="10"/>
        <rFont val="Calibri"/>
        <family val="2"/>
        <scheme val="minor"/>
      </rPr>
      <t xml:space="preserve"> 150г</t>
    </r>
  </si>
  <si>
    <r>
      <t xml:space="preserve">Суп </t>
    </r>
    <r>
      <rPr>
        <b/>
        <sz val="10"/>
        <rFont val="Calibri"/>
        <family val="2"/>
        <scheme val="minor"/>
      </rPr>
      <t>Перуанский с киноа</t>
    </r>
    <r>
      <rPr>
        <sz val="10"/>
        <rFont val="Calibri"/>
        <family val="2"/>
        <scheme val="minor"/>
      </rPr>
      <t xml:space="preserve"> 250г</t>
    </r>
  </si>
  <si>
    <r>
      <t xml:space="preserve">Суп </t>
    </r>
    <r>
      <rPr>
        <b/>
        <sz val="10"/>
        <rFont val="Calibri"/>
        <family val="2"/>
        <scheme val="minor"/>
      </rPr>
      <t>Сербский</t>
    </r>
    <r>
      <rPr>
        <sz val="10"/>
        <rFont val="Calibri"/>
        <family val="2"/>
        <scheme val="minor"/>
      </rPr>
      <t xml:space="preserve"> 4 боба 250г</t>
    </r>
  </si>
  <si>
    <t>http://1.c8804.nichost.ru/pics/18232.jpg</t>
  </si>
  <si>
    <t>Протеиновая основа, шоколад молочный без сахара (изомальтоолигосахарид, какао-масло, молоко сухое обезжиренное, сыворотка молочная сухая, какао тёртое, молочный жир обезвоженный, какао порошок, эмульгатор - лецитин соевый, экстракт ванили)</t>
  </si>
  <si>
    <t>http://1.c8804.nichost.ru/pics/20836.jpg</t>
  </si>
  <si>
    <t>http://1.c8804.nichost.ru/pics/20837.jpg</t>
  </si>
  <si>
    <t>http://1.c8804.nichost.ru/pics/20838.jpg</t>
  </si>
  <si>
    <t>Мука пшеничная, масло кокосовое, масло подсолнечное, подсластитель мальтит, инулин, какао-порошок, фундук жареный, эмульгатор - лецитин соевый, соль, натуральный ароматизатор, разрыхлитель – гидрокарбонат натрия (сода пищевая), антиокислитель – концентрат смеси токоферолов</t>
  </si>
  <si>
    <t>http://1.c8804.nichost.ru/pics/20829.jpg</t>
  </si>
  <si>
    <t>http://1.c8804.nichost.ru/pics/20830.jpg</t>
  </si>
  <si>
    <t>Слива (чернослив) сушеная, шоколад молочный, мука полбы цельнозерновая, патока, лецитин соевый, растительные пшеничные волокна, сода пищевая, соль морская, натуральные подсластители мальтит и экстракт стевии</t>
  </si>
  <si>
    <t>http://1.c8804.nichost.ru/pics/20824.jpg</t>
  </si>
  <si>
    <t>Топленое масло ГХИ, кокосовое молоко сухое, напиток растворимый злаковый ячменный, цикорий растворимый, кукурузная клетчатка, экстракт чаги</t>
  </si>
  <si>
    <t>http://1.c8804.nichost.ru/pics/20825.jpg</t>
  </si>
  <si>
    <t>арахис обжаренный (Аргентина)</t>
  </si>
  <si>
    <t>арахис дробленый, арахис жареный, соль морская</t>
  </si>
  <si>
    <t>кокос</t>
  </si>
  <si>
    <t>Паста кокоса и кешью COCONUT&amp;CASHEW 235г</t>
  </si>
  <si>
    <t>кокос 50%, кешью 50%</t>
  </si>
  <si>
    <t>http://1.c8804.nichost.ru/pics/20833.jpg</t>
  </si>
  <si>
    <t>http://1.c8804.nichost.ru/pics/20834.jpg</t>
  </si>
  <si>
    <t>http://1.c8804.nichost.ru/pics/20835.jpg</t>
  </si>
  <si>
    <t>яблочная,вишневая,сливовая,виноградная,мёд</t>
  </si>
  <si>
    <t>клубничная,малиновая,облепиховая,смородиновая,мёд</t>
  </si>
  <si>
    <t>http://1.c8804.nichost.ru/pics/20832.jpg</t>
  </si>
  <si>
    <t>http://1.c8804.nichost.ru/pics/20831.jpg</t>
  </si>
  <si>
    <t>http://1.c8804.nichost.ru/pics/20839.jpg</t>
  </si>
  <si>
    <t>http://1.c8804.nichost.ru/pics/20840.jpg</t>
  </si>
  <si>
    <t>http://1.c8804.nichost.ru/pics/20841.jpg</t>
  </si>
  <si>
    <t>http://1.c8804.nichost.ru/pics/20842.jpg</t>
  </si>
  <si>
    <r>
      <t xml:space="preserve">Масло капсулированное льняное </t>
    </r>
    <r>
      <rPr>
        <b/>
        <sz val="10"/>
        <rFont val="Calibri"/>
        <family val="2"/>
        <scheme val="minor"/>
      </rPr>
      <t>"Льняное"</t>
    </r>
    <r>
      <rPr>
        <sz val="10"/>
        <rFont val="Calibri"/>
        <family val="2"/>
        <scheme val="minor"/>
      </rPr>
      <t xml:space="preserve"> 180капс. 54г</t>
    </r>
  </si>
  <si>
    <r>
      <t xml:space="preserve">Комбуча </t>
    </r>
    <r>
      <rPr>
        <b/>
        <sz val="10"/>
        <rFont val="Calibri"/>
        <family val="2"/>
        <scheme val="minor"/>
      </rPr>
      <t>Classic</t>
    </r>
    <r>
      <rPr>
        <sz val="10"/>
        <rFont val="Calibri"/>
        <family val="2"/>
        <scheme val="minor"/>
      </rPr>
      <t xml:space="preserve"> иван чай и чайный гриб, пластик 350мл</t>
    </r>
  </si>
  <si>
    <r>
      <t xml:space="preserve">Комбуча </t>
    </r>
    <r>
      <rPr>
        <b/>
        <sz val="10"/>
        <rFont val="Calibri"/>
        <family val="2"/>
        <scheme val="minor"/>
      </rPr>
      <t>Energy</t>
    </r>
    <r>
      <rPr>
        <sz val="10"/>
        <rFont val="Calibri"/>
        <family val="2"/>
        <scheme val="minor"/>
      </rPr>
      <t xml:space="preserve"> клюква, брусника, мята, пластик 350мл</t>
    </r>
  </si>
  <si>
    <r>
      <t xml:space="preserve">Комбуча </t>
    </r>
    <r>
      <rPr>
        <b/>
        <sz val="10"/>
        <rFont val="Calibri"/>
        <family val="2"/>
        <scheme val="minor"/>
      </rPr>
      <t>Immuno+</t>
    </r>
    <r>
      <rPr>
        <sz val="10"/>
        <rFont val="Calibri"/>
        <family val="2"/>
        <scheme val="minor"/>
      </rPr>
      <t xml:space="preserve"> имбирь, мёд, сок лимона, пластик 350мл</t>
    </r>
  </si>
  <si>
    <r>
      <t xml:space="preserve">Комбуча </t>
    </r>
    <r>
      <rPr>
        <b/>
        <sz val="10"/>
        <rFont val="Calibri"/>
        <family val="2"/>
        <scheme val="minor"/>
      </rPr>
      <t>Relax</t>
    </r>
    <r>
      <rPr>
        <sz val="10"/>
        <rFont val="Calibri"/>
        <family val="2"/>
        <scheme val="minor"/>
      </rPr>
      <t xml:space="preserve"> цветы липы и чабрец, пластик 350мл</t>
    </r>
  </si>
  <si>
    <r>
      <t xml:space="preserve">Комбуча </t>
    </r>
    <r>
      <rPr>
        <b/>
        <sz val="10"/>
        <rFont val="Calibri"/>
        <family val="2"/>
        <scheme val="minor"/>
      </rPr>
      <t>Romantic</t>
    </r>
    <r>
      <rPr>
        <sz val="10"/>
        <rFont val="Calibri"/>
        <family val="2"/>
        <scheme val="minor"/>
      </rPr>
      <t xml:space="preserve"> лаванда и шелковица, пластик 350мл</t>
    </r>
  </si>
  <si>
    <r>
      <t xml:space="preserve">Комбуча </t>
    </r>
    <r>
      <rPr>
        <b/>
        <sz val="10"/>
        <rFont val="Calibri"/>
        <family val="2"/>
        <scheme val="minor"/>
      </rPr>
      <t>Voyage</t>
    </r>
    <r>
      <rPr>
        <sz val="10"/>
        <rFont val="Calibri"/>
        <family val="2"/>
        <scheme val="minor"/>
      </rPr>
      <t xml:space="preserve"> лайм и мята, пластик 350мл</t>
    </r>
  </si>
  <si>
    <t>Арахис жареный, концентрат ячменно-солодовый, ядра ореха кешью, сироп топинамбура (клубни топинамбура,вода), сахар тростниковый нерафинированный, мука зеленой гречки, какао-масло, обжаренная какао-крупка, масло ши рафинированное, какао тёртое, какао-порошок алкализованный, растворимые волокна кукурузы, эмульгатор лецитин подсолнечный, ароматизатор натуральный ваниль, соль розовая гималайская</t>
  </si>
  <si>
    <t>стружка кокосовая, патока кукурузная, сироп топинамбура (клубни топинамбура, вода), сахар тростниковый нерафинированный, масло какао, масло ши рафинированное, ядра орехов кешью, какао тёртое, масло кокосовое, какао-порошок алкализованный, лимон сублимированной сушки, эфирное масло лимона, краситель натуральный экстракт куркумина, имбирь молотый, эмульгатор лецитин подсолнечный, ароматизатор натуральный ваниль</t>
  </si>
  <si>
    <t>http://1.c8804.nichost.ru/pics/20853.jpg</t>
  </si>
  <si>
    <t>стружка кокосовая, патока кукурузная, сироп топинамбура (клубни топинамбура, вода), сахар тростниковый нерафинированный, масло какао, масло ши рафинированное, ядра орехов кешью, какао тёртое, масло кокосовое, какао-порошок алкализованный, мандарин сублимированной сушки, эфирное масло мандарина, краситель натуральный паприка, эмульгатор лецитин подсолнечный, краситель натуральный экстракт куркумина, ароматизатор натуральный ваниль</t>
  </si>
  <si>
    <t>стружка кокосовая, патока кукурузная, сироп топинамбура (клубни топинамбура, вода), сахар тростниковый нерафинированный, масло какао, масло ши рафинированное, какао тёртое, ядра ореха кешью, масло кокосовое, эмульгатор лецитин подсолнечный, эфирное масло мяты, краситель натуральный медные комплексы хлорофиллов</t>
  </si>
  <si>
    <t>http://1.c8804.nichost.ru/pics/20852.jpg</t>
  </si>
  <si>
    <t>http://1.c8804.nichost.ru/pics/20854.jpg</t>
  </si>
  <si>
    <t>http://1.c8804.nichost.ru/pics/20855.jpg</t>
  </si>
  <si>
    <t>Батончик EatMe шоколадный с ахарисом 45г</t>
  </si>
  <si>
    <t xml:space="preserve">Ядро подсолнечника жареное, патока крахмальная, арахис жареный, мука кукурузная, сахар тростниковый нерафинированный, какао-масло дезодорированное, какао тёртое, кокосовая мука, эмульгатор лецитин соевый, соль поваренная
</t>
  </si>
  <si>
    <t>http://1.c8804.nichost.ru/pics/20856.jpg</t>
  </si>
  <si>
    <t>финики сушеные, кешью, изюм, инжир сушеный, пищевое волокно из цикория – инулин, семена чиа, имбирь, гвоздика, кардамон</t>
  </si>
  <si>
    <t>Финики сушеные, цедра апельсина сушеная, изюм, семена тыквы, кешью, пищевое волокно из цикория – инулин, бразильский орех, семена чиа, имбирь молотый. Может содержать следы арахиса, орехов, продуктов переработки злаков и фрагменты косточек</t>
  </si>
  <si>
    <t>http://1.c8804.nichost.ru/pics/20726.jpg</t>
  </si>
  <si>
    <t>http://1.c8804.nichost.ru/pics/20725.jpg</t>
  </si>
  <si>
    <t>http://1.c8804.nichost.ru/pics/20722.jpg</t>
  </si>
  <si>
    <t>Паста финиковая, крупа рисовая экструдированная, семена подсолнечника, ананас сушеный, семена тыквы, манго сушеное, регулятор кислотности - лимонная кислота</t>
  </si>
  <si>
    <t>финики сушеные, изюм, яблоко сушеное, пищевое волокно из цикория – инулин, кешью, цедра лимона сушеная, семена тыквы, семена чиа</t>
  </si>
  <si>
    <t>Паста финиковая, крупа рисовая экструдированная, семена подсолнечника, клюква сушеная, свекла сушеная молотая, семена тыквы, брусника сублимационной сушки, регулятор кислотности - лимонная кислота, ароматизатор</t>
  </si>
  <si>
    <t>http://1.c8804.nichost.ru/pics/20724.jpg</t>
  </si>
  <si>
    <t>http://1.c8804.nichost.ru/pics/20723.jpg</t>
  </si>
  <si>
    <t>http://1.c8804.nichost.ru/pics/20851.jpg</t>
  </si>
  <si>
    <t>Овсяные хлопья (безглютеновые), сироп топинамбура (клубни топинамбура, вода питьевая), масло кокосовое рафинированное, мука рисовая, ананас сушеный, напиток кокосовый (мякоть кокоса, вода питьевая), разрыхлитель – гидрокарбонат натрия (сода пищевая), соль морская пищевая, эмульгатор - лецитины (подсолнечный)</t>
  </si>
  <si>
    <t>Absolute Nature</t>
  </si>
  <si>
    <r>
      <t xml:space="preserve">Конфеты "Shoco Rolls" </t>
    </r>
    <r>
      <rPr>
        <b/>
        <sz val="10"/>
        <rFont val="Calibri"/>
        <family val="2"/>
        <scheme val="minor"/>
      </rPr>
      <t xml:space="preserve">с фундуком, цукатами моркови и медом </t>
    </r>
    <r>
      <rPr>
        <sz val="10"/>
        <rFont val="Calibri"/>
        <family val="2"/>
        <scheme val="minor"/>
      </rPr>
      <t xml:space="preserve">135г </t>
    </r>
  </si>
  <si>
    <t>Иван_да_Марья</t>
  </si>
  <si>
    <t>Мультибар</t>
  </si>
  <si>
    <t>Нат_Виноград</t>
  </si>
  <si>
    <t>Отправка продукции по России в зимний период осуществляется только ТЕПЛОМ</t>
  </si>
  <si>
    <r>
      <t>Масло капсулированное льняное "</t>
    </r>
    <r>
      <rPr>
        <b/>
        <sz val="10"/>
        <rFont val="Calibri"/>
        <family val="2"/>
        <scheme val="minor"/>
      </rPr>
      <t>Стоп Холестерин</t>
    </r>
    <r>
      <rPr>
        <sz val="10"/>
        <rFont val="Calibri"/>
        <family val="2"/>
        <scheme val="minor"/>
      </rPr>
      <t>" 180капс. 54г</t>
    </r>
  </si>
  <si>
    <r>
      <t xml:space="preserve">Хлопья овсяные с </t>
    </r>
    <r>
      <rPr>
        <b/>
        <sz val="10"/>
        <rFont val="Calibri"/>
        <family val="2"/>
        <scheme val="minor"/>
      </rPr>
      <t>малиной</t>
    </r>
    <r>
      <rPr>
        <sz val="10"/>
        <rFont val="Calibri"/>
        <family val="2"/>
        <scheme val="minor"/>
      </rPr>
      <t xml:space="preserve"> и белым шоколадом, стаканчик с ложкой 45г</t>
    </r>
  </si>
  <si>
    <r>
      <t xml:space="preserve">Хлопья овсяные с </t>
    </r>
    <r>
      <rPr>
        <b/>
        <sz val="10"/>
        <rFont val="Calibri"/>
        <family val="2"/>
        <scheme val="minor"/>
      </rPr>
      <t>черникой</t>
    </r>
    <r>
      <rPr>
        <sz val="10"/>
        <rFont val="Calibri"/>
        <family val="2"/>
        <scheme val="minor"/>
      </rPr>
      <t xml:space="preserve"> и белым шоколадом, стаканчик с ложкой  45г</t>
    </r>
  </si>
  <si>
    <t>Соевый фарш 200г</t>
  </si>
  <si>
    <r>
      <t xml:space="preserve">Отруби амарантовые с </t>
    </r>
    <r>
      <rPr>
        <b/>
        <sz val="10"/>
        <rFont val="Calibri"/>
        <family val="2"/>
        <scheme val="minor"/>
      </rPr>
      <t>ламинарией</t>
    </r>
    <r>
      <rPr>
        <sz val="10"/>
        <rFont val="Calibri"/>
        <family val="2"/>
        <scheme val="minor"/>
      </rPr>
      <t xml:space="preserve"> 250г</t>
    </r>
  </si>
  <si>
    <r>
      <t>Эликсир "</t>
    </r>
    <r>
      <rPr>
        <b/>
        <sz val="10"/>
        <rFont val="Calibri"/>
        <family val="2"/>
        <scheme val="minor"/>
      </rPr>
      <t>Худейка</t>
    </r>
    <r>
      <rPr>
        <sz val="10"/>
        <rFont val="Calibri"/>
        <family val="2"/>
        <scheme val="minor"/>
      </rPr>
      <t>" на льняном масле 200мл</t>
    </r>
  </si>
  <si>
    <r>
      <t>Масло капсулированное льняное "</t>
    </r>
    <r>
      <rPr>
        <b/>
        <sz val="10"/>
        <rFont val="Calibri"/>
        <family val="2"/>
        <scheme val="minor"/>
      </rPr>
      <t>Облепиховое</t>
    </r>
    <r>
      <rPr>
        <sz val="10"/>
        <rFont val="Calibri"/>
        <family val="2"/>
        <scheme val="minor"/>
      </rPr>
      <t>" 180капс. 54г</t>
    </r>
  </si>
  <si>
    <r>
      <t xml:space="preserve">Крем для лица </t>
    </r>
    <r>
      <rPr>
        <b/>
        <sz val="10"/>
        <rFont val="Calibri"/>
        <family val="2"/>
        <scheme val="minor"/>
      </rPr>
      <t>ночной</t>
    </r>
    <r>
      <rPr>
        <sz val="10"/>
        <rFont val="Calibri"/>
        <family val="2"/>
        <scheme val="minor"/>
      </rPr>
      <t xml:space="preserve"> Hempina 40мл</t>
    </r>
  </si>
  <si>
    <t>Конфеты "Трюфель молочный в т.шоколаде с ромом Bacardi Ocho" 130г</t>
  </si>
  <si>
    <r>
      <t xml:space="preserve">Конфеты "Трюфели в темном шоколаде </t>
    </r>
    <r>
      <rPr>
        <b/>
        <sz val="10"/>
        <rFont val="Calibri"/>
        <family val="2"/>
        <charset val="204"/>
        <scheme val="minor"/>
      </rPr>
      <t>с ликером Baileys</t>
    </r>
    <r>
      <rPr>
        <sz val="10"/>
        <rFont val="Calibri"/>
        <family val="2"/>
        <scheme val="minor"/>
      </rPr>
      <t>" 130г</t>
    </r>
  </si>
  <si>
    <r>
      <t xml:space="preserve">Конфеты "Трюфель в темном шоколаде </t>
    </r>
    <r>
      <rPr>
        <b/>
        <sz val="10"/>
        <rFont val="Calibri"/>
        <family val="2"/>
        <charset val="204"/>
        <scheme val="minor"/>
      </rPr>
      <t>с фундуком</t>
    </r>
    <r>
      <rPr>
        <sz val="10"/>
        <rFont val="Calibri"/>
        <family val="2"/>
        <scheme val="minor"/>
      </rPr>
      <t>" 130г</t>
    </r>
  </si>
  <si>
    <t>Гречка зеленая , шампиньоны сушеные, морковь сушеная, лук зеленый суш, чеснок сушеный</t>
  </si>
  <si>
    <t>http://1.c8804.nichost.ru/pics/20862.jpg</t>
  </si>
  <si>
    <r>
      <t xml:space="preserve">Гречка зеленая с </t>
    </r>
    <r>
      <rPr>
        <b/>
        <sz val="10"/>
        <rFont val="Calibri"/>
        <family val="2"/>
        <charset val="204"/>
        <scheme val="minor"/>
      </rPr>
      <t>семенами льна, тыквы и овощами</t>
    </r>
    <r>
      <rPr>
        <sz val="10"/>
        <rFont val="Calibri"/>
        <family val="2"/>
        <scheme val="minor"/>
      </rPr>
      <t xml:space="preserve"> 300г</t>
    </r>
  </si>
  <si>
    <t>Пища богов</t>
  </si>
  <si>
    <t>Цикорий "Eleo" 130г</t>
  </si>
  <si>
    <t>Цикорий натуральный 100%</t>
  </si>
  <si>
    <t>http://1.c8804.nichost.ru/pics/20874.jpg</t>
  </si>
  <si>
    <t>сахар, патока крахмальная, лимонная кислота (регулятор кислотности), экстракт солодки, масло эфирное аниса</t>
  </si>
  <si>
    <t>сахар, патока крахмальная, лимонная кислота (регулятор кислотности), ароматизатор натуральный мятное масло, экстракт куркумы, масло эфирное гвоздичное</t>
  </si>
  <si>
    <t>сахар, патока крахмальная, цикорий, соль морская, ароматизатор натуральный карамель.</t>
  </si>
  <si>
    <t>сахар, патока крахмальная, цикорий, ароматизатор натуральный корица, масло эфирное ореха мускатного, ароматизатор натуральный лимон-лайм, ароматизатор натуральный ваниль</t>
  </si>
  <si>
    <t>сахар, патока крахмальная, лимонная кислота (регулятор кислотности), экстракт чабреца, ароматизатор натуральный черная смородина</t>
  </si>
  <si>
    <t>http://1.c8804.nichost.ru/pics/20876.jpg</t>
  </si>
  <si>
    <t>http://1.c8804.nichost.ru/pics/20877.jpg</t>
  </si>
  <si>
    <t>http://1.c8804.nichost.ru/pics/20878.jpg</t>
  </si>
  <si>
    <t>http://1.c8804.nichost.ru/pics/20879.jpg</t>
  </si>
  <si>
    <t>http://1.c8804.nichost.ru/pics/20880.jpg</t>
  </si>
  <si>
    <t>Вода питьевая, соевые бобы, изомальт, сироп топинамбура, масло кокосовое, эмульгатор – соевый лецитин, стабилизаторы (пектин, ксантановая камедь, камедь гуаровая), соль пищевая, ароматизатор натуральный "Ваниль".</t>
  </si>
  <si>
    <t>http://1.c8804.nichost.ru/pics/20871.jpg</t>
  </si>
  <si>
    <r>
      <t>Соус "</t>
    </r>
    <r>
      <rPr>
        <b/>
        <sz val="10"/>
        <color theme="1"/>
        <rFont val="Calibri"/>
        <family val="2"/>
        <charset val="204"/>
        <scheme val="minor"/>
      </rPr>
      <t>Апельсиновый</t>
    </r>
    <r>
      <rPr>
        <sz val="10"/>
        <color theme="1"/>
        <rFont val="Calibri"/>
        <family val="2"/>
        <scheme val="minor"/>
      </rPr>
      <t>" к мясу, горчичный медово-фруктовый, стекло 100г</t>
    </r>
  </si>
  <si>
    <r>
      <t>Соус "</t>
    </r>
    <r>
      <rPr>
        <b/>
        <sz val="10"/>
        <color theme="1"/>
        <rFont val="Calibri"/>
        <family val="2"/>
        <charset val="204"/>
        <scheme val="minor"/>
      </rPr>
      <t>Вишнёвый</t>
    </r>
    <r>
      <rPr>
        <sz val="10"/>
        <color theme="1"/>
        <rFont val="Calibri"/>
        <family val="2"/>
        <scheme val="minor"/>
      </rPr>
      <t>" к мясу, горчичный медово-фруктовый, стекло 100г</t>
    </r>
  </si>
  <si>
    <r>
      <t>Соус "</t>
    </r>
    <r>
      <rPr>
        <b/>
        <sz val="10"/>
        <color theme="1"/>
        <rFont val="Calibri"/>
        <family val="2"/>
        <charset val="204"/>
        <scheme val="minor"/>
      </rPr>
      <t>Грушевый</t>
    </r>
    <r>
      <rPr>
        <sz val="10"/>
        <color theme="1"/>
        <rFont val="Calibri"/>
        <family val="2"/>
        <scheme val="minor"/>
      </rPr>
      <t>" к сыру, горчичный медово-фруктовый, стекло 100г</t>
    </r>
  </si>
  <si>
    <r>
      <t>Соус "</t>
    </r>
    <r>
      <rPr>
        <b/>
        <sz val="10"/>
        <color theme="1"/>
        <rFont val="Calibri"/>
        <family val="2"/>
        <charset val="204"/>
        <scheme val="minor"/>
      </rPr>
      <t>Инжирный</t>
    </r>
    <r>
      <rPr>
        <sz val="10"/>
        <color theme="1"/>
        <rFont val="Calibri"/>
        <family val="2"/>
        <scheme val="minor"/>
      </rPr>
      <t>" к сыру, горчичный медово-фруктовый, стекло 100г</t>
    </r>
  </si>
  <si>
    <t>вода питьевая, глюкозно-фруктозный сироп, масло подсолнечное рафинированное дезодорированное, сок апельсина концентрированный, загуститель — крахмал кукурузный модифицированный, сок лимона концентрированный, соль пищевая, ароматизаторы пищевые натуральные — апельсин, шалфей, лимон, сливки; регулятор кислотности — кислота молочная, шалфей сушеный, консервант — сорбат калия, комплексная пищевая добавка «Стаф гель» (натуральные камеди растительного происхождения), антиоксиданты — Е 385, Е 321; краситель — бета-каротин</t>
  </si>
  <si>
    <t>вода питьевая, масло подсолнечное рафинированное дезодорированное, ароматизатор пищевой натуральный, сыворотка молочная сухая, молоко обезжиренное сухое, масло сливочное, сыр твердый, крахмал картофельный модифицированный, соль пищевая, перец халапеньо маринованный, эмульгатор — Е 452, томатная паста, луковое пюре, чесночный порошок, паприка копченая, сахар, стабилизатор- альгинат натрия, комплексная пищевая добавка «Униконс Эко» , куркума молотая, регулятор кислотности-молочная кислота, натуральный пищевой ароматизатор — дрожжевой экстракт, комплексная пищевая добавка «Стаф гель» (натуральные камеди растительного происхождения), перец чили молотый.</t>
  </si>
  <si>
    <t>томаты в собственном соку, вода питьевая, перец сладкий свежемороженый, пюре луковое, паста томатная, сахар, соль пищевая, сок лимона концентрированный, загуститель-крахмал картофельный модифицированный, перец халапеньо маринованный, натуральный пищевой ароматизатор — дрожжевой экстракт, консервант сорбат калия, паприка молотая, паприка копченая</t>
  </si>
  <si>
    <t>вода питьевая, пюре манго, сахар, масло подсолнечное рафинированное дезодорированное, сок апельсиновый концентрированный, пюре перца чили, загуститель — крахмал кукурузный модифицированный, соль пищевая, регуляторы кислотности: кислота уксусная, кислота молочная; перец чили молотый, усилитель вкуса и аромата — глутамат натрия, натуральные пищевые ароматизаторы, консервант — сорбат калия, чеснок сушеный молотый, комплексная пищевая добавка «Стаф гель» (натуральные камеди растительного происхождения)</t>
  </si>
  <si>
    <t>пюре перца чили (перец чили свежий, соль пищевая), глюкозно — фруктозный сироп, вода питьевая, сахар, чеснок свежий, регулятор кислотности — кислота уксусная, стабилизатор — камедь ксантановая, консервант-сорбат калия</t>
  </si>
  <si>
    <t>пюре томатное, вода питьевая, сахар, уксус винный бальзамический «Модена», паста томатная, пюре луковое, специи: горчица семена, перец черный дробленый, базилик сушеный, паприка копченая молотая, чеснок сушеный молотый, перец красный жгучий молотый; соль пищевая, загуститель — крахмал кукурузный модифицированный, ароматизатор пищевой натуральный — эфирное масло горчицы, растительный экстракт кайенского перца, консервант — сорбат калия</t>
  </si>
  <si>
    <t>пюре томатное, вода питьевая, сыворотка молочная сухая, масло подсолнечное рафинированное дезодорированное, специи: горчица семена, специя карри, куркума, перец чили молотый, имбирь сушеный молотый; сок апельсиновый концентрированный, сахар, соль пищевая, чеснок свежий, загуститель — крахмал кукурузный модифицированный, ароматизаторы пищевые натуральные: дрожжевой экстракт, карри; консервант — сорбат калия, комплексная пищевая добавка «Стаф гель» (натуральные камеди растительного происхождения), регулятор кислотности — кислота молочная</t>
  </si>
  <si>
    <t>вода питьевая, масло подсолнечное рафинированное дезодорированное, смесь пищевая маринованные огурчики, лук свежемороженый, молоко сухое обезжиренное, желток яичный сухой ферментированный с солью, сахар, загуститель — крахмал кукурузный модифицированный, соль пищевая, регуляторы кислотности — кислота уксусная, кислота молочная; усилитель вкуса и аромата-глутамат натрия, чеснок сушеный, ароматизаторы пищевые, консервант — сорбат калия, перец черный молотый, укроп сушеный, сок лимона концентрированный, петрушка сушеная молотая, антиоксиданты — Е 385, Е 321</t>
  </si>
  <si>
    <t>вода питьевая, масло подсолнечное рафинированное дезодорированное, пюре перца чили, сахар, загуститель — крахмал кукурузный модифицированный, чеснок свежий, соль пищевая, молоко сухое обезжиренное, желток яичный сухой ферментированный с солью, регуляторы кислотности — кислота уксусная, кислота молочная; консервант — сорбат калия, чеснок сушеный, комплексная пищевая добавка «Стаф гель» (натуральные камеди растительного происхождения), антиоксидант — Е 385, стабилизатор-альгинат натрия, усилитель вкуса и аромата — глутамат натрия</t>
  </si>
  <si>
    <t>вода питьевая, сахар, паста томатная, соевый соус, ароматизатор коптильный пищевой (водный раствор натурального древесного дыма), загуститель-крахмал кукурузный модифицированный, регулятор кислотности- кислота уксусная, соль пищевая, паприка копчёная, пищевая добавка Е 150D — сахарный колер, чеснок сушеный молотый, консервант -сорбат калия, перец чёрный молотый</t>
  </si>
  <si>
    <t>http://1.c8804.nichost.ru/pics/20882.jpg</t>
  </si>
  <si>
    <t>http://1.c8804.nichost.ru/pics/20881.jpg</t>
  </si>
  <si>
    <t>http://1.c8804.nichost.ru/pics/20883.jpg</t>
  </si>
  <si>
    <t>http://1.c8804.nichost.ru/pics/20887.jpg</t>
  </si>
  <si>
    <t>http://1.c8804.nichost.ru/pics/20886.jpg</t>
  </si>
  <si>
    <t>http://1.c8804.nichost.ru/pics/20884.jpg</t>
  </si>
  <si>
    <t>http://1.c8804.nichost.ru/pics/20885.jpg</t>
  </si>
  <si>
    <t>http://1.c8804.nichost.ru/pics/20889.jpg</t>
  </si>
  <si>
    <t>http://1.c8804.nichost.ru/pics/20891.jpg</t>
  </si>
  <si>
    <t>http://1.c8804.nichost.ru/pics/20888.jpg</t>
  </si>
  <si>
    <t>вода; крыжовник; эритрит; пектин; кмц; лимонная кислота; экстракт стевии; сорбиновая кислота</t>
  </si>
  <si>
    <t>http://1.c8804.nichost.ru/pics/20759.jpg</t>
  </si>
  <si>
    <t>Масло кукурузное 350мл</t>
  </si>
  <si>
    <t>100% масло кукурузное</t>
  </si>
  <si>
    <t>Цикорий, куркума, имбирь, кардамон, перец черный, корица, перец красный. Может содержать следы орехов, кунжута и горчицы</t>
  </si>
  <si>
    <t>http://1.c8804.nichost.ru/pics/20894.jpg</t>
  </si>
  <si>
    <t>Напиток эспрессо пряный 150г</t>
  </si>
  <si>
    <t>Мука из семян льна, мука из семян тыквы, шпинат сушеный, псиллиум, лимонная кислота (регулятор кислотности), смесь камеди акации и ксантановой камеди, ароматизатор пищевой "Лимон", витамины C, E, B3, A, B6, B2, Д3, В1, В9, Н, В12</t>
  </si>
  <si>
    <t>Мука из семян льна, свекла, клубника, псиллиум, черная смородина, лимонная кислота (регулятор кислотности), смесь камеди акации и ксантановой камеди, ароматизатор натуральный "Лесные ягоды", витамины C, E, B3, A, B6, B2, Д3, В1, В9, Н, В12</t>
  </si>
  <si>
    <t>http://1.c8804.nichost.ru/pics/20896.jpg</t>
  </si>
  <si>
    <t>http://1.c8804.nichost.ru/pics/20895.jpg</t>
  </si>
  <si>
    <t>Конопля семена 200г</t>
  </si>
  <si>
    <t>Кунжут чёрный семена 200г</t>
  </si>
  <si>
    <t>Чёрный тмин семена 200г</t>
  </si>
  <si>
    <t>семена кунжута белого</t>
  </si>
  <si>
    <t>семена кунжута чёрного</t>
  </si>
  <si>
    <t>http://1.c8804.nichost.ru/pics/20898.jpg</t>
  </si>
  <si>
    <t>http://1.c8804.nichost.ru/pics/20899.jpg</t>
  </si>
  <si>
    <t>http://1.c8804.nichost.ru/pics/20900.jpg</t>
  </si>
  <si>
    <t>http://1.c8804.nichost.ru/pics/20901.jpg</t>
  </si>
  <si>
    <t>http://1.c8804.nichost.ru/pics/20902.jpg</t>
  </si>
  <si>
    <t>семена чёрного тмина</t>
  </si>
  <si>
    <t>патока, подсластитель мальтит, желирующий агент - пектин, регулятор кислотности - кислота лимонная, влагоудерживающий агент лактат натрия, ароматизатор пищевой ""Черная смородина"", краситель экстракт пурпурного картофеля, консервант сорбат калия, подсластитель экстракт стевии (стевиолгликозиды)</t>
  </si>
  <si>
    <t>http://1.c8804.nichost.ru/pics/20903.jpg</t>
  </si>
  <si>
    <t>патока, подсластитель мальтит, вода питьевая, пюре яблочное, желирующий агент пектин, белок яичный, регулятор кислотности кислота молочная, влагоудерживающий агент лактат натрия, ароматизатор ""Карамель"", консервант сорбат калия, подсластитель стевиозид (стевиолгликозиды), краситель колер сахарный</t>
  </si>
  <si>
    <t>http://1.c8804.nichost.ru/pics/18761.jpg</t>
  </si>
  <si>
    <t>http://1.c8804.nichost.ru/pics/18762.jpg</t>
  </si>
  <si>
    <t>http://1.c8804.nichost.ru/pics/16092.jpg</t>
  </si>
  <si>
    <t>http://1.c8804.nichost.ru/pics/16796.jpg</t>
  </si>
  <si>
    <t>http://1.c8804.nichost.ru/pics/20904.jpg</t>
  </si>
  <si>
    <t>мука рисовая грубого помола, мука кукурузная крупного помола, мука амарантовая грубого помола, вода питьевая, соль, топинамбур сушеный, начинка жировая со вкусом шоколада (сахар, масла растительные рафинированные дезодорированные (рапсовое, подсолнечное), сыворотка молочная сухая, какао-порошок, крахмал кукурузный, ароматизаторы), крахмал кукурузный, сыворотка сухая, молоко сухое обезжиренное, эмульгатор - лецитин соевый, ароматизатор ""Банан""</t>
  </si>
  <si>
    <t>http://1.c8804.nichost.ru/pics/20905.jpg</t>
  </si>
  <si>
    <r>
      <t>Эликсир "</t>
    </r>
    <r>
      <rPr>
        <b/>
        <sz val="10"/>
        <rFont val="Calibri"/>
        <family val="2"/>
        <scheme val="minor"/>
      </rPr>
      <t>При Запорах</t>
    </r>
    <r>
      <rPr>
        <sz val="10"/>
        <rFont val="Calibri"/>
        <family val="2"/>
        <scheme val="minor"/>
      </rPr>
      <t>" на льняном масле 200мл</t>
    </r>
  </si>
  <si>
    <r>
      <t>Растительные капсулы "</t>
    </r>
    <r>
      <rPr>
        <b/>
        <sz val="10"/>
        <rFont val="Calibri"/>
        <family val="2"/>
        <scheme val="minor"/>
      </rPr>
      <t>Тараксум</t>
    </r>
    <r>
      <rPr>
        <sz val="10"/>
        <rFont val="Calibri"/>
        <family val="2"/>
        <scheme val="minor"/>
      </rPr>
      <t>" (одуванчик) 60капс*0,36г</t>
    </r>
  </si>
  <si>
    <r>
      <t>Масло капсулированное льняное "</t>
    </r>
    <r>
      <rPr>
        <b/>
        <sz val="10"/>
        <rFont val="Calibri"/>
        <family val="2"/>
        <scheme val="minor"/>
      </rPr>
      <t>При Запорах</t>
    </r>
    <r>
      <rPr>
        <sz val="10"/>
        <rFont val="Calibri"/>
        <family val="2"/>
        <scheme val="minor"/>
      </rPr>
      <t>" 180капс. 54г</t>
    </r>
  </si>
  <si>
    <r>
      <t xml:space="preserve">Флаксы с </t>
    </r>
    <r>
      <rPr>
        <b/>
        <sz val="10"/>
        <rFont val="Calibri"/>
        <family val="2"/>
        <scheme val="minor"/>
      </rPr>
      <t>яблоком и корицей</t>
    </r>
    <r>
      <rPr>
        <sz val="10"/>
        <rFont val="Calibri"/>
        <family val="2"/>
        <scheme val="minor"/>
      </rPr>
      <t xml:space="preserve"> 120г</t>
    </r>
  </si>
  <si>
    <r>
      <t xml:space="preserve">Супер-завтрак Чиа </t>
    </r>
    <r>
      <rPr>
        <b/>
        <sz val="10"/>
        <rFont val="Calibri"/>
        <family val="2"/>
        <scheme val="minor"/>
      </rPr>
      <t>ОМЕГА-3 "Цитрусовый твист"</t>
    </r>
    <r>
      <rPr>
        <sz val="10"/>
        <rFont val="Calibri"/>
        <family val="2"/>
        <scheme val="minor"/>
      </rPr>
      <t xml:space="preserve"> дой-пак, 220г</t>
    </r>
  </si>
  <si>
    <t>вода, банановое пюре, яблочное пюре, апельсиновый сок, семена Чиа, киноа хлопья, грейпфрутовый сок, овсяные хлопья, сок лайма, регулятор кислотности – лимонная кислота, витаминный премикс EM28304
*изготовлен из концентрированных соков</t>
  </si>
  <si>
    <t>http://1.c8804.nichost.ru/pics/19908.jpg</t>
  </si>
  <si>
    <r>
      <t xml:space="preserve">Чипсы нутовые </t>
    </r>
    <r>
      <rPr>
        <b/>
        <sz val="10"/>
        <rFont val="Calibri"/>
        <family val="2"/>
        <scheme val="minor"/>
      </rPr>
      <t>Сметана и зелень</t>
    </r>
    <r>
      <rPr>
        <sz val="10"/>
        <rFont val="Calibri"/>
        <family val="2"/>
        <scheme val="minor"/>
      </rPr>
      <t xml:space="preserve"> "Нутсы" безглютеновые 50г</t>
    </r>
  </si>
  <si>
    <r>
      <t xml:space="preserve">Чипсы нутовые </t>
    </r>
    <r>
      <rPr>
        <b/>
        <sz val="10"/>
        <rFont val="Calibri"/>
        <family val="2"/>
        <scheme val="minor"/>
      </rPr>
      <t>Лук и зелень</t>
    </r>
    <r>
      <rPr>
        <sz val="10"/>
        <rFont val="Calibri"/>
        <family val="2"/>
        <scheme val="minor"/>
      </rPr>
      <t xml:space="preserve"> "Нутсы" безглютеновые 50г</t>
    </r>
  </si>
  <si>
    <t>Зерно кукурузы, тростниковый сахар, натуральная патока, высокоолеиновое подсолнечное масло, сухое молоко, натуральный ароматизатор, морская соль, натуральный эмульгатор (соевый лецитин)</t>
  </si>
  <si>
    <t>http://1.c8804.nichost.ru/pics/20906.jpg</t>
  </si>
  <si>
    <t>Печенье овсяное ЗОЖ кукурузное 100г</t>
  </si>
  <si>
    <r>
      <t xml:space="preserve">Печенье овсяное ЗОЖ кукурузное с </t>
    </r>
    <r>
      <rPr>
        <b/>
        <sz val="10"/>
        <rFont val="Calibri"/>
        <family val="2"/>
        <scheme val="minor"/>
      </rPr>
      <t>кокосом</t>
    </r>
    <r>
      <rPr>
        <sz val="10"/>
        <rFont val="Calibri"/>
        <family val="2"/>
        <scheme val="minor"/>
      </rPr>
      <t xml:space="preserve"> 100г</t>
    </r>
  </si>
  <si>
    <r>
      <t xml:space="preserve">Печенье овсяное ЗОЖ кукурузное с </t>
    </r>
    <r>
      <rPr>
        <b/>
        <sz val="10"/>
        <rFont val="Calibri"/>
        <family val="2"/>
        <scheme val="minor"/>
      </rPr>
      <t>курагой</t>
    </r>
    <r>
      <rPr>
        <sz val="10"/>
        <rFont val="Calibri"/>
        <family val="2"/>
        <scheme val="minor"/>
      </rPr>
      <t xml:space="preserve"> 100г</t>
    </r>
  </si>
  <si>
    <r>
      <t xml:space="preserve">Печенье овсяное ЗОЖ кукурузное с </t>
    </r>
    <r>
      <rPr>
        <b/>
        <sz val="10"/>
        <rFont val="Calibri"/>
        <family val="2"/>
        <scheme val="minor"/>
      </rPr>
      <t>облепихой дикой</t>
    </r>
    <r>
      <rPr>
        <sz val="10"/>
        <rFont val="Calibri"/>
        <family val="2"/>
        <scheme val="minor"/>
      </rPr>
      <t xml:space="preserve"> 100г</t>
    </r>
  </si>
  <si>
    <r>
      <t xml:space="preserve">Печенье овсяное ЗОЖ с </t>
    </r>
    <r>
      <rPr>
        <b/>
        <sz val="10"/>
        <color theme="1"/>
        <rFont val="Calibri"/>
        <family val="2"/>
        <charset val="204"/>
        <scheme val="minor"/>
      </rPr>
      <t>маком</t>
    </r>
    <r>
      <rPr>
        <sz val="10"/>
        <color theme="1"/>
        <rFont val="Calibri"/>
        <family val="2"/>
        <scheme val="minor"/>
      </rPr>
      <t xml:space="preserve"> 150г</t>
    </r>
  </si>
  <si>
    <r>
      <t xml:space="preserve">Печенье овсяное ЗОЖ с </t>
    </r>
    <r>
      <rPr>
        <b/>
        <sz val="10"/>
        <color theme="1"/>
        <rFont val="Calibri"/>
        <family val="2"/>
        <charset val="204"/>
        <scheme val="minor"/>
      </rPr>
      <t>кунжутом</t>
    </r>
    <r>
      <rPr>
        <sz val="10"/>
        <color theme="1"/>
        <rFont val="Calibri"/>
        <family val="2"/>
        <scheme val="minor"/>
      </rPr>
      <t xml:space="preserve"> 150г</t>
    </r>
  </si>
  <si>
    <r>
      <t xml:space="preserve">Печенье овсяное ЗОЖ с </t>
    </r>
    <r>
      <rPr>
        <b/>
        <sz val="10"/>
        <color theme="1"/>
        <rFont val="Calibri"/>
        <family val="2"/>
        <charset val="204"/>
        <scheme val="minor"/>
      </rPr>
      <t>семенами льна</t>
    </r>
    <r>
      <rPr>
        <sz val="10"/>
        <color theme="1"/>
        <rFont val="Calibri"/>
        <family val="2"/>
        <scheme val="minor"/>
      </rPr>
      <t xml:space="preserve"> 150г</t>
    </r>
  </si>
  <si>
    <r>
      <t xml:space="preserve">Печенье овсяное ЗОЖ с </t>
    </r>
    <r>
      <rPr>
        <b/>
        <sz val="10"/>
        <color theme="1"/>
        <rFont val="Calibri"/>
        <family val="2"/>
        <charset val="204"/>
        <scheme val="minor"/>
      </rPr>
      <t>грецким орехом</t>
    </r>
    <r>
      <rPr>
        <sz val="10"/>
        <color theme="1"/>
        <rFont val="Calibri"/>
        <family val="2"/>
        <scheme val="minor"/>
      </rPr>
      <t xml:space="preserve"> 150г</t>
    </r>
  </si>
  <si>
    <r>
      <t xml:space="preserve">Печенье овсяное ЗОЖ с </t>
    </r>
    <r>
      <rPr>
        <b/>
        <sz val="10"/>
        <color theme="1"/>
        <rFont val="Calibri"/>
        <family val="2"/>
        <charset val="204"/>
        <scheme val="minor"/>
      </rPr>
      <t>семенами чиа</t>
    </r>
    <r>
      <rPr>
        <sz val="10"/>
        <color theme="1"/>
        <rFont val="Calibri"/>
        <family val="2"/>
        <scheme val="minor"/>
      </rPr>
      <t xml:space="preserve"> 150г</t>
    </r>
  </si>
  <si>
    <t>толокно овсяное, мука рисовая, мука амарантовая, вода питьевая, масло оливковое рафинированное, масло подсолнечное рафинированное, кэроб</t>
  </si>
  <si>
    <r>
      <t xml:space="preserve">Печенье овсяное ЗОЖ с </t>
    </r>
    <r>
      <rPr>
        <b/>
        <sz val="10"/>
        <rFont val="Calibri"/>
        <family val="2"/>
        <scheme val="minor"/>
      </rPr>
      <t>кэробом</t>
    </r>
    <r>
      <rPr>
        <sz val="10"/>
        <rFont val="Calibri"/>
        <family val="2"/>
        <scheme val="minor"/>
      </rPr>
      <t xml:space="preserve"> 150г</t>
    </r>
  </si>
  <si>
    <r>
      <t xml:space="preserve">Печенье овсяное ЗОЖ с </t>
    </r>
    <r>
      <rPr>
        <b/>
        <sz val="10"/>
        <color theme="1"/>
        <rFont val="Calibri"/>
        <family val="2"/>
        <charset val="204"/>
        <scheme val="minor"/>
      </rPr>
      <t>орехом</t>
    </r>
    <r>
      <rPr>
        <sz val="10"/>
        <color theme="1"/>
        <rFont val="Calibri"/>
        <family val="2"/>
        <scheme val="minor"/>
      </rPr>
      <t xml:space="preserve"> 150г</t>
    </r>
  </si>
  <si>
    <r>
      <t xml:space="preserve">Печенье овсяное ЗОЖ с </t>
    </r>
    <r>
      <rPr>
        <b/>
        <sz val="10"/>
        <rFont val="Calibri"/>
        <family val="2"/>
        <scheme val="minor"/>
      </rPr>
      <t>кокосом</t>
    </r>
    <r>
      <rPr>
        <sz val="10"/>
        <rFont val="Calibri"/>
        <family val="2"/>
        <scheme val="minor"/>
      </rPr>
      <t xml:space="preserve"> 150г</t>
    </r>
  </si>
  <si>
    <t>http://1.c8804.nichost.ru/pics/19873_1.jpg</t>
  </si>
  <si>
    <t>http://1.c8804.nichost.ru/pics/19875_1.jpg</t>
  </si>
  <si>
    <t>http://1.c8804.nichost.ru/pics/19877_1.jpg</t>
  </si>
  <si>
    <t>http://1.c8804.nichost.ru/pics/20397_1.jpg</t>
  </si>
  <si>
    <t>http://1.c8804.nichost.ru/pics/19876_1.jpg</t>
  </si>
  <si>
    <t>http://1.c8804.nichost.ru/pics/19874_1.jpg</t>
  </si>
  <si>
    <t>http://1.c8804.nichost.ru/pics/19878_1.jpg</t>
  </si>
  <si>
    <t>http://1.c8804.nichost.ru/pics/19879_1.jpg</t>
  </si>
  <si>
    <t>http://1.c8804.nichost.ru/pics/20401_1.jpg</t>
  </si>
  <si>
    <t>http://1.c8804.nichost.ru/pics/20398_1.jpg</t>
  </si>
  <si>
    <t>http://1.c8804.nichost.ru/pics/20399_1.jpg</t>
  </si>
  <si>
    <t>http://1.c8804.nichost.ru/pics/20400_1.jpg</t>
  </si>
  <si>
    <t>Мука рисовая без глютена 300г</t>
  </si>
  <si>
    <t>глицерин из растительного сырья, натуральный подсластитель - экстракт листьев стевии</t>
  </si>
  <si>
    <t>http://1.c8804.nichost.ru/pics/20928.jpg</t>
  </si>
  <si>
    <t>мука рисовая, овсяные хлопья, сироп топинамбура (клубни топинамбура, вода), масло кокосовое рафинированное, вода, молоко кокосовое, семена льна, сублимированная морковь, сублимированный апельсин, разрыхлитель сода пищевая, соль морская пищевая, сахарозаменитель аллюлоза</t>
  </si>
  <si>
    <t>мука рисовая, овсяные хлопья, сироп топинамбура (клубни топинамбура, вода), масло кокосовое рафинированное, вода, молоко кокосовое, семена льна, сублимированный банан, разрыхлитель сода пищевая, соль морская пищевая, сахарозаменитель аллюлоза</t>
  </si>
  <si>
    <t>+22…+28</t>
  </si>
  <si>
    <t>мука рисовая, масло кокосовое рафинированное, овсяные хлопья, сироп топинамбура (клубни топинамбура, вода), вода, молоко кокосовое, семена льна, семена кунжута белого, семена кунжута черного, разрыхлитель сода пищевая, соль морская пищевая, сахарозаменитель аллюлоза</t>
  </si>
  <si>
    <t>http://1.c8804.nichost.ru/pics/20910.jpg</t>
  </si>
  <si>
    <t>http://1.c8804.nichost.ru/pics/20909.jpg</t>
  </si>
  <si>
    <t>http://1.c8804.nichost.ru/pics/20908.jpg</t>
  </si>
  <si>
    <t>Печенье НОВИНКА!</t>
  </si>
  <si>
    <t>топинамбура сироп, рисовая мука, масло сливочное, кукурузная мука,какао порошок, сода пищевая, ванилин, ксантановая камедь (натуральный загуститель), соль пищевая, яйцо куриное.</t>
  </si>
  <si>
    <t>топинамбура сироп, рисовая мука, масло сливочное, кукурузная мука, сода пищевая, ванилин, ксантановая камедь (натуральный загуститель), соль пищевая, яйцо куриное</t>
  </si>
  <si>
    <t>http://1.c8804.nichost.ru/pics/20911.jpg</t>
  </si>
  <si>
    <t>http://1.c8804.nichost.ru/pics/20912.jpg</t>
  </si>
  <si>
    <r>
      <t xml:space="preserve">Напиток ячменный </t>
    </r>
    <r>
      <rPr>
        <b/>
        <sz val="10"/>
        <rFont val="Calibri"/>
        <family val="2"/>
        <scheme val="minor"/>
      </rPr>
      <t>Латте</t>
    </r>
    <r>
      <rPr>
        <sz val="10"/>
        <rFont val="Calibri"/>
        <family val="2"/>
        <scheme val="minor"/>
      </rPr>
      <t xml:space="preserve"> </t>
    </r>
    <r>
      <rPr>
        <b/>
        <sz val="10"/>
        <rFont val="Calibri"/>
        <family val="2"/>
        <scheme val="minor"/>
      </rPr>
      <t>солёная карамель</t>
    </r>
    <r>
      <rPr>
        <sz val="10"/>
        <rFont val="Calibri"/>
        <family val="2"/>
        <scheme val="minor"/>
      </rPr>
      <t xml:space="preserve"> 150г</t>
    </r>
  </si>
  <si>
    <r>
      <t xml:space="preserve">Напиток ячменный </t>
    </r>
    <r>
      <rPr>
        <b/>
        <sz val="10"/>
        <rFont val="Calibri"/>
        <family val="2"/>
        <scheme val="minor"/>
      </rPr>
      <t>Цитрусовый раф</t>
    </r>
    <r>
      <rPr>
        <sz val="10"/>
        <rFont val="Calibri"/>
        <family val="2"/>
        <scheme val="minor"/>
      </rPr>
      <t xml:space="preserve"> 150г</t>
    </r>
  </si>
  <si>
    <r>
      <t xml:space="preserve">Напиток ячменный </t>
    </r>
    <r>
      <rPr>
        <b/>
        <sz val="10"/>
        <rFont val="Calibri"/>
        <family val="2"/>
        <scheme val="minor"/>
      </rPr>
      <t>Шоколадный мокачино</t>
    </r>
    <r>
      <rPr>
        <sz val="10"/>
        <rFont val="Calibri"/>
        <family val="2"/>
        <scheme val="minor"/>
      </rPr>
      <t xml:space="preserve"> 150г</t>
    </r>
  </si>
  <si>
    <r>
      <t>Протеиновый коктейль "</t>
    </r>
    <r>
      <rPr>
        <b/>
        <sz val="10"/>
        <rFont val="Calibri"/>
        <family val="2"/>
        <scheme val="minor"/>
      </rPr>
      <t>Карамель</t>
    </r>
    <r>
      <rPr>
        <sz val="10"/>
        <rFont val="Calibri"/>
        <family val="2"/>
        <scheme val="minor"/>
      </rPr>
      <t>" дой-пак 150г</t>
    </r>
  </si>
  <si>
    <r>
      <t>Протеиновый коктейль "</t>
    </r>
    <r>
      <rPr>
        <b/>
        <sz val="10"/>
        <rFont val="Calibri"/>
        <family val="2"/>
        <scheme val="minor"/>
      </rPr>
      <t>Клубника</t>
    </r>
    <r>
      <rPr>
        <sz val="10"/>
        <rFont val="Calibri"/>
        <family val="2"/>
        <scheme val="minor"/>
      </rPr>
      <t>" дой-пак 150г</t>
    </r>
  </si>
  <si>
    <r>
      <t>Протеиновый коктейль "</t>
    </r>
    <r>
      <rPr>
        <b/>
        <sz val="10"/>
        <rFont val="Calibri"/>
        <family val="2"/>
        <scheme val="minor"/>
      </rPr>
      <t>Кофе</t>
    </r>
    <r>
      <rPr>
        <sz val="10"/>
        <rFont val="Calibri"/>
        <family val="2"/>
        <scheme val="minor"/>
      </rPr>
      <t>" дой-пак 150г</t>
    </r>
  </si>
  <si>
    <r>
      <t>Протеиновый коктейль "</t>
    </r>
    <r>
      <rPr>
        <b/>
        <sz val="10"/>
        <rFont val="Calibri"/>
        <family val="2"/>
        <scheme val="minor"/>
      </rPr>
      <t>Шоколад</t>
    </r>
    <r>
      <rPr>
        <sz val="10"/>
        <rFont val="Calibri"/>
        <family val="2"/>
        <scheme val="minor"/>
      </rPr>
      <t>" дой-пак 150г</t>
    </r>
  </si>
  <si>
    <r>
      <t xml:space="preserve">Воздушный рис с гречкой в </t>
    </r>
    <r>
      <rPr>
        <b/>
        <sz val="10"/>
        <rFont val="Calibri"/>
        <family val="2"/>
        <scheme val="minor"/>
      </rPr>
      <t>горьком шоколаде</t>
    </r>
    <r>
      <rPr>
        <sz val="10"/>
        <rFont val="Calibri"/>
        <family val="2"/>
        <scheme val="minor"/>
      </rPr>
      <t>, без сахара 26г</t>
    </r>
  </si>
  <si>
    <r>
      <t xml:space="preserve">Воздушный рис с гречкой в </t>
    </r>
    <r>
      <rPr>
        <b/>
        <sz val="10"/>
        <rFont val="Calibri"/>
        <family val="2"/>
        <scheme val="minor"/>
      </rPr>
      <t>молочном шоколаде</t>
    </r>
    <r>
      <rPr>
        <sz val="10"/>
        <rFont val="Calibri"/>
        <family val="2"/>
        <scheme val="minor"/>
      </rPr>
      <t>, без сахара 27г</t>
    </r>
  </si>
  <si>
    <r>
      <t>Напиток энергетический «</t>
    </r>
    <r>
      <rPr>
        <b/>
        <sz val="10"/>
        <rFont val="Calibri"/>
        <family val="2"/>
        <scheme val="minor"/>
      </rPr>
      <t>Тропический шторм</t>
    </r>
    <r>
      <rPr>
        <sz val="10"/>
        <rFont val="Calibri"/>
        <family val="2"/>
        <scheme val="minor"/>
      </rPr>
      <t>» Ананас+Корица+Мака 330 мл</t>
    </r>
  </si>
  <si>
    <r>
      <t>Напиток энергетический «</t>
    </r>
    <r>
      <rPr>
        <b/>
        <sz val="10"/>
        <rFont val="Calibri"/>
        <family val="2"/>
        <scheme val="minor"/>
      </rPr>
      <t>Пряная вишня</t>
    </r>
    <r>
      <rPr>
        <sz val="10"/>
        <rFont val="Calibri"/>
        <family val="2"/>
        <scheme val="minor"/>
      </rPr>
      <t>» Каркаде+Лимонник+Мака 330 мл</t>
    </r>
  </si>
  <si>
    <r>
      <t>Напиток энергетический «</t>
    </r>
    <r>
      <rPr>
        <b/>
        <sz val="10"/>
        <rFont val="Calibri"/>
        <family val="2"/>
        <scheme val="minor"/>
      </rPr>
      <t>Цитрусовый твист</t>
    </r>
    <r>
      <rPr>
        <sz val="10"/>
        <rFont val="Calibri"/>
        <family val="2"/>
        <scheme val="minor"/>
      </rPr>
      <t>» Зеленый чай+Гуарана+Мака 330 мл</t>
    </r>
  </si>
  <si>
    <r>
      <t>Напиток Имбирный крафтовый эль "</t>
    </r>
    <r>
      <rPr>
        <b/>
        <sz val="10"/>
        <rFont val="Calibri"/>
        <family val="2"/>
        <scheme val="minor"/>
      </rPr>
      <t>Гранат + Апельсин</t>
    </r>
    <r>
      <rPr>
        <sz val="10"/>
        <rFont val="Calibri"/>
        <family val="2"/>
        <scheme val="minor"/>
      </rPr>
      <t xml:space="preserve">" дой-пак 250мл </t>
    </r>
  </si>
  <si>
    <r>
      <t>Напиток Имбирный крафтовый эль "</t>
    </r>
    <r>
      <rPr>
        <b/>
        <sz val="10"/>
        <rFont val="Calibri"/>
        <family val="2"/>
        <scheme val="minor"/>
      </rPr>
      <t>Маракуйя + Ананас</t>
    </r>
    <r>
      <rPr>
        <sz val="10"/>
        <rFont val="Calibri"/>
        <family val="2"/>
        <scheme val="minor"/>
      </rPr>
      <t>" дой-пак 250мл</t>
    </r>
  </si>
  <si>
    <r>
      <t>Чай Горный "</t>
    </r>
    <r>
      <rPr>
        <b/>
        <sz val="10"/>
        <rFont val="Calibri"/>
        <family val="2"/>
        <scheme val="minor"/>
      </rPr>
      <t>Чёрная смородина и яблоко</t>
    </r>
    <r>
      <rPr>
        <sz val="10"/>
        <rFont val="Calibri"/>
        <family val="2"/>
        <scheme val="minor"/>
      </rPr>
      <t>" Cold Brew ж/б 330мл</t>
    </r>
  </si>
  <si>
    <r>
      <t>Чай Имбирный "</t>
    </r>
    <r>
      <rPr>
        <b/>
        <sz val="10"/>
        <rFont val="Calibri"/>
        <family val="2"/>
        <scheme val="minor"/>
      </rPr>
      <t>Манго + Маракуйя</t>
    </r>
    <r>
      <rPr>
        <sz val="10"/>
        <rFont val="Calibri"/>
        <family val="2"/>
        <scheme val="minor"/>
      </rPr>
      <t>" ж/б 330мл</t>
    </r>
  </si>
  <si>
    <r>
      <t>Чай Коричный "</t>
    </r>
    <r>
      <rPr>
        <b/>
        <sz val="10"/>
        <rFont val="Calibri"/>
        <family val="2"/>
        <scheme val="minor"/>
      </rPr>
      <t>Грейпфрут + Гуава</t>
    </r>
    <r>
      <rPr>
        <sz val="10"/>
        <rFont val="Calibri"/>
        <family val="2"/>
        <scheme val="minor"/>
      </rPr>
      <t>"ж/б 330мл</t>
    </r>
  </si>
  <si>
    <r>
      <t>Чай Куркуминный "</t>
    </r>
    <r>
      <rPr>
        <b/>
        <sz val="10"/>
        <rFont val="Calibri"/>
        <family val="2"/>
        <scheme val="minor"/>
      </rPr>
      <t>Ананас + Чили</t>
    </r>
    <r>
      <rPr>
        <sz val="10"/>
        <rFont val="Calibri"/>
        <family val="2"/>
        <scheme val="minor"/>
      </rPr>
      <t>" ж/б 330мл</t>
    </r>
  </si>
  <si>
    <r>
      <t xml:space="preserve">Напиток </t>
    </r>
    <r>
      <rPr>
        <b/>
        <sz val="10"/>
        <rFont val="Calibri"/>
        <family val="2"/>
        <scheme val="minor"/>
      </rPr>
      <t>коричный лимонад</t>
    </r>
    <r>
      <rPr>
        <sz val="10"/>
        <rFont val="Calibri"/>
        <family val="2"/>
        <scheme val="minor"/>
      </rPr>
      <t xml:space="preserve"> "</t>
    </r>
    <r>
      <rPr>
        <b/>
        <sz val="10"/>
        <rFont val="Calibri"/>
        <family val="2"/>
        <scheme val="minor"/>
      </rPr>
      <t>cinnamon limonade</t>
    </r>
    <r>
      <rPr>
        <sz val="10"/>
        <rFont val="Calibri"/>
        <family val="2"/>
        <scheme val="minor"/>
      </rPr>
      <t>" с соком ж/б 330мл</t>
    </r>
  </si>
  <si>
    <r>
      <t xml:space="preserve">Напиток </t>
    </r>
    <r>
      <rPr>
        <b/>
        <sz val="10"/>
        <rFont val="Calibri"/>
        <family val="2"/>
        <scheme val="minor"/>
      </rPr>
      <t>свитчел пунш</t>
    </r>
    <r>
      <rPr>
        <sz val="10"/>
        <rFont val="Calibri"/>
        <family val="2"/>
        <scheme val="minor"/>
      </rPr>
      <t xml:space="preserve"> "switchel punch" среднегаз. с соком ж/б 330мл</t>
    </r>
  </si>
  <si>
    <r>
      <t xml:space="preserve">Суп-пюре </t>
    </r>
    <r>
      <rPr>
        <b/>
        <sz val="10"/>
        <rFont val="Calibri"/>
        <family val="2"/>
        <scheme val="minor"/>
      </rPr>
      <t>Тыквенный с курицей</t>
    </r>
    <r>
      <rPr>
        <sz val="10"/>
        <rFont val="Calibri"/>
        <family val="2"/>
        <scheme val="minor"/>
      </rPr>
      <t>, реторт-пакет 300г</t>
    </r>
  </si>
  <si>
    <r>
      <t xml:space="preserve">Суп </t>
    </r>
    <r>
      <rPr>
        <b/>
        <sz val="10"/>
        <rFont val="Calibri"/>
        <family val="2"/>
        <scheme val="minor"/>
      </rPr>
      <t>Харчо</t>
    </r>
    <r>
      <rPr>
        <sz val="10"/>
        <rFont val="Calibri"/>
        <family val="2"/>
        <scheme val="minor"/>
      </rPr>
      <t>, реторт-пакет 300г</t>
    </r>
  </si>
  <si>
    <r>
      <t xml:space="preserve">Суп </t>
    </r>
    <r>
      <rPr>
        <b/>
        <sz val="10"/>
        <rFont val="Calibri"/>
        <family val="2"/>
        <scheme val="minor"/>
      </rPr>
      <t>Щи со свининой</t>
    </r>
    <r>
      <rPr>
        <sz val="10"/>
        <rFont val="Calibri"/>
        <family val="2"/>
        <scheme val="minor"/>
      </rPr>
      <t>, реторт-пакет 300г</t>
    </r>
  </si>
  <si>
    <r>
      <t xml:space="preserve">Лобио с картофелем и халапеньо </t>
    </r>
    <r>
      <rPr>
        <u/>
        <sz val="10"/>
        <rFont val="Calibri"/>
        <family val="2"/>
        <scheme val="minor"/>
      </rPr>
      <t>vegan</t>
    </r>
    <r>
      <rPr>
        <sz val="10"/>
        <rFont val="Calibri"/>
        <family val="2"/>
        <scheme val="minor"/>
      </rPr>
      <t>, реторт-пакет 300г</t>
    </r>
  </si>
  <si>
    <r>
      <t xml:space="preserve">Пастила "Фрутилад KIDS" </t>
    </r>
    <r>
      <rPr>
        <b/>
        <sz val="10"/>
        <rFont val="Calibri"/>
        <family val="2"/>
        <scheme val="minor"/>
      </rPr>
      <t>Яблоко</t>
    </r>
    <r>
      <rPr>
        <sz val="10"/>
        <rFont val="Calibri"/>
        <family val="2"/>
        <scheme val="minor"/>
      </rPr>
      <t xml:space="preserve"> детская ш\б 30г</t>
    </r>
  </si>
  <si>
    <r>
      <t>Пастила "Фрутилад KIDS" Яблоко-</t>
    </r>
    <r>
      <rPr>
        <b/>
        <sz val="10"/>
        <rFont val="Calibri"/>
        <family val="2"/>
        <scheme val="minor"/>
      </rPr>
      <t>Абрикос</t>
    </r>
    <r>
      <rPr>
        <sz val="10"/>
        <rFont val="Calibri"/>
        <family val="2"/>
        <scheme val="minor"/>
      </rPr>
      <t xml:space="preserve"> детская ш\б 30г</t>
    </r>
  </si>
  <si>
    <r>
      <t>Пастила "Фрутилад KIDS" Яблоко-</t>
    </r>
    <r>
      <rPr>
        <b/>
        <sz val="10"/>
        <rFont val="Calibri"/>
        <family val="2"/>
        <scheme val="minor"/>
      </rPr>
      <t>Вишня</t>
    </r>
    <r>
      <rPr>
        <sz val="10"/>
        <rFont val="Calibri"/>
        <family val="2"/>
        <scheme val="minor"/>
      </rPr>
      <t xml:space="preserve"> детская ш\б 30г</t>
    </r>
  </si>
  <si>
    <r>
      <t>Пастила "Фрутилад KIDS" Яблоко-</t>
    </r>
    <r>
      <rPr>
        <b/>
        <sz val="10"/>
        <rFont val="Calibri"/>
        <family val="2"/>
        <scheme val="minor"/>
      </rPr>
      <t>Малина</t>
    </r>
    <r>
      <rPr>
        <sz val="10"/>
        <rFont val="Calibri"/>
        <family val="2"/>
        <scheme val="minor"/>
      </rPr>
      <t xml:space="preserve"> детская ш\б 30г</t>
    </r>
  </si>
  <si>
    <r>
      <t>Пастила "Фрутилад KIDS" Яблоко-</t>
    </r>
    <r>
      <rPr>
        <b/>
        <sz val="10"/>
        <rFont val="Calibri"/>
        <family val="2"/>
        <scheme val="minor"/>
      </rPr>
      <t>Черника</t>
    </r>
    <r>
      <rPr>
        <sz val="10"/>
        <rFont val="Calibri"/>
        <family val="2"/>
        <scheme val="minor"/>
      </rPr>
      <t xml:space="preserve"> детская ш\б 30г</t>
    </r>
  </si>
  <si>
    <t>минимальный квант 18шт</t>
  </si>
  <si>
    <r>
      <t xml:space="preserve">Конфеты кокосовые "Eat me" </t>
    </r>
    <r>
      <rPr>
        <b/>
        <sz val="10"/>
        <rFont val="Calibri"/>
        <family val="2"/>
        <scheme val="minor"/>
      </rPr>
      <t>Имбирно</t>
    </r>
    <r>
      <rPr>
        <sz val="10"/>
        <rFont val="Calibri"/>
        <family val="2"/>
        <scheme val="minor"/>
      </rPr>
      <t>е сердце Eat me 90г</t>
    </r>
  </si>
  <si>
    <r>
      <t xml:space="preserve">Конфеты шоколадные "Eat me" </t>
    </r>
    <r>
      <rPr>
        <b/>
        <sz val="10"/>
        <rFont val="Calibri"/>
        <family val="2"/>
        <scheme val="minor"/>
      </rPr>
      <t>Апельсин и тыква</t>
    </r>
    <r>
      <rPr>
        <sz val="10"/>
        <rFont val="Calibri"/>
        <family val="2"/>
        <scheme val="minor"/>
      </rPr>
      <t xml:space="preserve"> в шоколаде Eat me 90г</t>
    </r>
  </si>
  <si>
    <r>
      <t xml:space="preserve">Конфеты шоколадные "Eat me" </t>
    </r>
    <r>
      <rPr>
        <b/>
        <sz val="10"/>
        <rFont val="Calibri"/>
        <family val="2"/>
        <scheme val="minor"/>
      </rPr>
      <t>Арахисовое</t>
    </r>
    <r>
      <rPr>
        <sz val="10"/>
        <rFont val="Calibri"/>
        <family val="2"/>
        <scheme val="minor"/>
      </rPr>
      <t xml:space="preserve"> сердце Eat me 90г</t>
    </r>
  </si>
  <si>
    <r>
      <t xml:space="preserve">Конфеты шоколадные "Eat me" </t>
    </r>
    <r>
      <rPr>
        <b/>
        <sz val="10"/>
        <rFont val="Calibri"/>
        <family val="2"/>
        <scheme val="minor"/>
      </rPr>
      <t>Халва</t>
    </r>
    <r>
      <rPr>
        <sz val="10"/>
        <rFont val="Calibri"/>
        <family val="2"/>
        <scheme val="minor"/>
      </rPr>
      <t xml:space="preserve"> в темном шоколаде Eat me 90г</t>
    </r>
  </si>
  <si>
    <r>
      <t xml:space="preserve">Батончик "KICK energy" рис. шарики, </t>
    </r>
    <r>
      <rPr>
        <b/>
        <sz val="10"/>
        <rFont val="Calibri"/>
        <family val="2"/>
        <scheme val="minor"/>
      </rPr>
      <t>ананас</t>
    </r>
    <r>
      <rPr>
        <sz val="10"/>
        <rFont val="Calibri"/>
        <family val="2"/>
        <scheme val="minor"/>
      </rPr>
      <t>, манго 35г</t>
    </r>
  </si>
  <si>
    <r>
      <t xml:space="preserve">Батончик "KICK energy" рис. шарики, </t>
    </r>
    <r>
      <rPr>
        <b/>
        <sz val="10"/>
        <rFont val="Calibri"/>
        <family val="2"/>
        <scheme val="minor"/>
      </rPr>
      <t>клюква</t>
    </r>
    <r>
      <rPr>
        <sz val="10"/>
        <rFont val="Calibri"/>
        <family val="2"/>
        <scheme val="minor"/>
      </rPr>
      <t>, брусника 35г</t>
    </r>
  </si>
  <si>
    <r>
      <t xml:space="preserve">Паста с </t>
    </r>
    <r>
      <rPr>
        <b/>
        <sz val="10"/>
        <rFont val="Calibri"/>
        <family val="2"/>
        <scheme val="minor"/>
      </rPr>
      <t>белком</t>
    </r>
    <r>
      <rPr>
        <sz val="10"/>
        <rFont val="Calibri"/>
        <family val="2"/>
        <scheme val="minor"/>
      </rPr>
      <t xml:space="preserve"> (растительным) 300г</t>
    </r>
  </si>
  <si>
    <t>Овёс для отваров пакет 500г</t>
  </si>
  <si>
    <t>Гречка зеленая для проращивания 500г</t>
  </si>
  <si>
    <t>Отруби овсяные бум.пакет 400г</t>
  </si>
  <si>
    <t>Отруби пшеничные 300г</t>
  </si>
  <si>
    <t>Отруби ржаные 300г</t>
  </si>
  <si>
    <t>http://1.c8804.nichost.ru/pics/20616.jpg</t>
  </si>
  <si>
    <t>https://naturevector.ru/wp-content/uploads/2023/09/4d09d9ced90495572d80cdaa15e65d43.jpg</t>
  </si>
  <si>
    <t>https://naturevector.ru/wp-content/uploads/2023/09/224901dbfde3f0473f3e45bab029d635.jpg</t>
  </si>
  <si>
    <t>https://naturevector.ru/wp-content/uploads/2023/09/388481d9922968e631b589d033c3c47d.jpg</t>
  </si>
  <si>
    <t>https://naturevector.ru/wp-content/uploads/2023/09/0531fae3946220663fc1caf9ee1bac45.jpg</t>
  </si>
  <si>
    <t>https://naturevector.ru/wp-content/uploads/2023/09/e68d758fca6ee64812182054aa1a12e7.jpg</t>
  </si>
  <si>
    <t>https://naturevector.ru/wp-content/uploads/2023/09/e67ea0562bffa48fe41b8adb601a10ac.jpg</t>
  </si>
  <si>
    <t>https://naturevector.ru/wp-content/uploads/2023/09/e2ee0e422ba6caee58a35c7ce3ae1e8b.jpg</t>
  </si>
  <si>
    <t>https://naturevector.ru/wp-content/uploads/2023/09/5f5b93e6d25c2be687ce3f3cb91622fe.jpg</t>
  </si>
  <si>
    <t>https://naturevector.ru/wp-content/uploads/2023/09/8cae1dc54c3e055b41aa54bc148ce1b5.jpg</t>
  </si>
  <si>
    <t>https://naturevector.ru/wp-content/uploads/2023/09/9cb8ff183865401e823e5c2ebda03dd1.jpg</t>
  </si>
  <si>
    <t>https://naturevector.ru/wp-content/uploads/2023/09/1746532069c0459754726db82bde15ff.jpg</t>
  </si>
  <si>
    <t>https://naturevector.ru/wp-content/uploads/2023/09/4df37c8d72cb1665db4265eb9f37a0fc.jpg</t>
  </si>
  <si>
    <t>https://naturevector.ru/wp-content/uploads/2023/09/77141fcffed6643042eb3989281b5a2b.jpg</t>
  </si>
  <si>
    <t>https://naturevector.ru/wp-content/uploads/2023/09/Semena-lna-500g.jpg</t>
  </si>
  <si>
    <t>https://naturevector.ru/wp-content/uploads/2023/09/468e4bce493d8623d5daa0e93fff5772.jpg</t>
  </si>
  <si>
    <t>https://naturevector.ru/wp-content/uploads/2023/09/22c3a289c5fcc550f06124b6c43d078b.jpg</t>
  </si>
  <si>
    <t>https://naturevector.ru/wp-content/uploads/2023/11/28.970.jpg</t>
  </si>
  <si>
    <t>https://naturevector.ru/wp-content/uploads/2023/11/142ad0d4_2421_11e6_80f7_005056bb3d0d_668e7ded_c8e7_11e6_8101_005056bb3d0d.jpg</t>
  </si>
  <si>
    <t>https://naturevector.ru/wp-content/uploads/2023/11/747_0.jpg</t>
  </si>
  <si>
    <t>https://naturevector.ru/wp-content/uploads/2023/11/c18008c46c2fda5f3456a9d08d9b2604.jpg</t>
  </si>
  <si>
    <t>https://naturevector.ru/wp-content/uploads/2023/11/64.jpg</t>
  </si>
  <si>
    <t>https://naturevector.ru/wp-content/uploads/2023/11/916.970.jpg</t>
  </si>
  <si>
    <t>https://naturevector.ru/wp-content/uploads/2023/11/4607072775490.jpg</t>
  </si>
  <si>
    <t>https://naturevector.ru/wp-content/uploads/2023/11/4607072775483.jpg</t>
  </si>
  <si>
    <t>https://naturevector.ru/wp-content/uploads/2023/11/4607072772314.jpg</t>
  </si>
  <si>
    <t>https://naturevector.ru/wp-content/uploads/2023/11/4607072770914_01.jpg</t>
  </si>
  <si>
    <t>https://naturevector.ru/wp-content/uploads/2023/11/4607072770921_01.jpg</t>
  </si>
  <si>
    <t>https://naturevector.ru/wp-content/uploads/2023/11/4607072770907_01.jpg</t>
  </si>
  <si>
    <t>https://naturevector.ru/wp-content/uploads/2023/11/4607072775094_01.jpg</t>
  </si>
  <si>
    <t>https://naturevector.ru/wp-content/uploads/2023/11/4607072775209_01.jpg</t>
  </si>
  <si>
    <t>https://naturevector.ru/wp-content/uploads/2023/11/1106914528.jpg</t>
  </si>
  <si>
    <t>https://naturevector.ru/wp-content/uploads/2023/12/D097D0B0D0BCD0A1D0B0D185D0B0D180D0A4D09F7D181D18DD0BAD181D182D180D0B0D0BAD182D0BED0BCD188D0B8D0BFD0BED0B2D0BDD0B8D0BAD0B0.jpg</t>
  </si>
  <si>
    <t>https://naturevector.ru/wp-content/uploads/2023/12/D0A4D0B8D182D09FD0B0D180D0B0D0B48.jpg</t>
  </si>
  <si>
    <t>https://naturevector.ru/wp-content/uploads/2023/12/045ea6f994c8f72d7c1b8adcfe0883fc.jpg</t>
  </si>
  <si>
    <t>https://naturevector.ru/wp-content/uploads/2023/12/d1ed542e262a7c67d102f90889a9f9fa.jpg</t>
  </si>
  <si>
    <t>https://naturevector.ru/wp-content/uploads/2023/12/site20284229.jpg</t>
  </si>
  <si>
    <t>https://naturevector.ru/wp-content/uploads/2023/12/site20284329.jpg</t>
  </si>
  <si>
    <t>https://naturevector.ru/wp-content/uploads/2023/12/5bad79c56285d972f0e89323330aa807.jpg</t>
  </si>
  <si>
    <t>https://naturevector.ru/wp-content/uploads/2023/12/390d53460a61d0d5950845a593071ab1.jpg</t>
  </si>
  <si>
    <t>https://naturevector.ru/wp-content/uploads/2023/12/0bd1916539af0bb3de5acb6396b4a59b.jpg</t>
  </si>
  <si>
    <t>https://naturevector.ru/wp-content/uploads/2023/12/b0af25afb89bbe5419c6904bf02673d2.jpg</t>
  </si>
  <si>
    <t>https://naturevector.ru/wp-content/uploads/2023/12/7764_muka-pshenichnaya-oboynaya-tsel.jpg</t>
  </si>
  <si>
    <t>https://naturevector.ru/wp-content/uploads/2023/12/4a1a70f7e696258c95072f5fa18b3210.jpg</t>
  </si>
  <si>
    <t>https://naturevector.ru/wp-content/uploads/2023/12/1979.745.jpg</t>
  </si>
  <si>
    <t>https://naturevector.ru/wp-content/uploads/2023/12/divinka31.jpg</t>
  </si>
  <si>
    <t>https://naturevector.ru/wp-content/uploads/2023/12/5499.jpg</t>
  </si>
  <si>
    <t>https://naturevector.ru/wp-content/uploads/2023/12/divinka18.jpg</t>
  </si>
  <si>
    <t>https://naturevector.ru/wp-content/uploads/2023/12/1964.970.jpg</t>
  </si>
  <si>
    <t>https://naturevector.ru/wp-content/uploads/2023/12/1966.970.jpg</t>
  </si>
  <si>
    <t>https://naturevector.ru/wp-content/uploads/2023/12/divinka23.jpg</t>
  </si>
  <si>
    <t>https://naturevector.ru/wp-content/uploads/2023/12/divinka22.jpg</t>
  </si>
  <si>
    <t>https://naturevector.ru/wp-content/uploads/2023/12/grissini.jpg</t>
  </si>
  <si>
    <t>https://naturevector.ru/wp-content/uploads/2023/12/4720-6133-large.jpg</t>
  </si>
  <si>
    <t>https://naturevector.ru/wp-content/uploads/2023/12/11986.750x0.jpg</t>
  </si>
  <si>
    <t>https://naturevector.ru/wp-content/uploads/2023/12/test2.jpg</t>
  </si>
  <si>
    <t>https://naturevector.ru/wp-content/uploads/2023/12/D0BAD0BED184D184.jpg</t>
  </si>
  <si>
    <t>https://naturevector.ru/wp-content/uploads/2023/12/image.jpg</t>
  </si>
  <si>
    <t>https://naturevector.ru/wp-content/uploads/2023/12/15581-17159-thickbox.jpg</t>
  </si>
  <si>
    <t>https://naturevector.ru/wp-content/uploads/2023/12/b679ba69ce4d16a8553138a950d6bbfc.jpg</t>
  </si>
  <si>
    <t>https://naturevector.ru/wp-content/uploads/2023/12/4ea7e9d03942b9e5add3686552ba37a0.jpg</t>
  </si>
  <si>
    <t>https://naturevector.ru/wp-content/uploads/2023/12/a65f97b7738dd57df8a106fb449fd5f0.jpg</t>
  </si>
  <si>
    <t>https://naturevector.ru/wp-content/uploads/2023/12/78a349df11e951901af6c1839780def3.jpg</t>
  </si>
  <si>
    <t>https://naturevector.ru/wp-content/uploads/2023/12/c6231df0436c417dd2c98ce221a6b840.jpg</t>
  </si>
  <si>
    <t>https://naturevector.ru/wp-content/uploads/2023/12/82ae34cd690a3e3fd2ed9c5dd63f7f65.jpg</t>
  </si>
  <si>
    <t>https://naturevector.ru/wp-content/uploads/2023/12/b41e4d5af8c6690b31de43f57675e3e3.jpg</t>
  </si>
  <si>
    <t>https://naturevector.ru/wp-content/uploads/2023/12/b03be3741c87dbfd35316535dd1637e7.jpg</t>
  </si>
  <si>
    <t>https://naturevector.ru/wp-content/uploads/2023/12/af1a5c1e951d2f2854afcc7f345dbda9.jpg</t>
  </si>
  <si>
    <t>https://naturevector.ru/wp-content/uploads/2023/12/5801ee9781fad69f4b1eaec2b79e4a1c.jpg</t>
  </si>
  <si>
    <t>https://naturevector.ru/wp-content/uploads/2023/12/2129171c185f44e430fba10101cf2824.jpg</t>
  </si>
  <si>
    <t>https://naturevector.ru/wp-content/uploads/2023/12/513e001f920081c90d8ea99cf857c26f.jpg</t>
  </si>
  <si>
    <t>https://naturevector.ru/wp-content/uploads/2023/12/391be8ab91477ed7318392f49ae7de19.jpg</t>
  </si>
  <si>
    <t>https://naturevector.ru/wp-content/uploads/2023/12/marmelad1.jpg</t>
  </si>
  <si>
    <t>https://naturevector.ru/wp-content/uploads/2023/12/47003c7479aeedccceb741cf1e4e9282.jpg</t>
  </si>
  <si>
    <t>https://naturevector.ru/wp-content/uploads/2023/12/24132dcf1db71511a0bc8ebf000fce5c.jpg</t>
  </si>
  <si>
    <t>https://naturevector.ru/wp-content/uploads/2023/12/b6152285f7c5f04d80000b602fb2a236.jpg</t>
  </si>
  <si>
    <t>https://naturevector.ru/wp-content/uploads/2023/12/d9450fd63238727de186020178c4d110.jpg</t>
  </si>
  <si>
    <t>https://naturevector.ru/wp-content/uploads/2023/12/75e5ba3c4ed365e4d5dcc07c16e2efe0.jpg</t>
  </si>
  <si>
    <t>https://naturevector.ru/wp-content/uploads/2023/12/f52e2b39b7e986b7b0a8ab30fda874bb.jpg</t>
  </si>
  <si>
    <t>https://naturevector.ru/wp-content/uploads/2023/12/ee5d79d925f7735645a87cd18516da4c.jpg</t>
  </si>
  <si>
    <t>https://naturevector.ru/wp-content/uploads/2023/12/527b0352fb3569e6e15519baf3db4118.jpg</t>
  </si>
  <si>
    <t>https://naturevector.ru/wp-content/uploads/2023/12/77bce45503f58547986a0d03a586a429.jpg</t>
  </si>
  <si>
    <t>https://naturevector.ru/wp-content/uploads/2023/12/092660102bea0fe8b92f928c6473b2a8.jpg</t>
  </si>
  <si>
    <t>https://naturevector.ru/wp-content/uploads/2023/12/5e9c6d585961cdefd82be635ba808f43.jpg</t>
  </si>
  <si>
    <t>https://naturevector.ru/wp-content/uploads/2023/12/c71b91f53dd9661d7a347af088c3af1b.jpg</t>
  </si>
  <si>
    <t>https://naturevector.ru/wp-content/uploads/2023/12/d6679da3851d6c49522b8cd97845fca8.jpg</t>
  </si>
  <si>
    <t>https://naturevector.ru/wp-content/uploads/2023/12/dd68649daf2a9cb5bdfae990d7797b41.jpg</t>
  </si>
  <si>
    <t>https://naturevector.ru/wp-content/uploads/2023/12/075024e91c68d6bedb82200041719b7c.jpg</t>
  </si>
  <si>
    <t>https://naturevector.ru/wp-content/uploads/2023/12/9695bcac7c44fa924b66e5e54aa1c3a0.jpg</t>
  </si>
  <si>
    <t>https://naturevector.ru/wp-content/uploads/2023/12/ec8fc61a8820639d28424b21a6b1a2f5.jpg</t>
  </si>
  <si>
    <t>https://naturevector.ru/wp-content/uploads/2023/12/3898be4a1917e583d740a1271997cc6c.jpg</t>
  </si>
  <si>
    <t>https://naturevector.ru/wp-content/uploads/2023/12/b0708b3f0f1d87b72ec65418c2d47179.jpg</t>
  </si>
  <si>
    <t>https://naturevector.ru/wp-content/uploads/2023/12/3058a2c8634949f18eebacd9356d09d9.jpg</t>
  </si>
  <si>
    <t>https://naturevector.ru/wp-content/uploads/2023/12/420f3519dc28e2ecc54b5782aac8a46f.jpg</t>
  </si>
  <si>
    <t>https://naturevector.ru/wp-content/uploads/2023/12/cc2acbc6c969ae285d90028b3b9d068b.jpg</t>
  </si>
  <si>
    <t>https://naturevector.ru/wp-content/uploads/2023/12/zg1pik7hjo2f3oqsryz2ada5kl0c3qy9.jpg</t>
  </si>
  <si>
    <t>https://naturevector.ru/wp-content/uploads/2023/12/82b2bbb26c01480019062dd1f1cee797.jpg</t>
  </si>
  <si>
    <t>https://naturevector.ru/wp-content/uploads/2023/12/9bfdc523aae146ab19aee3e7c8cdfc09.jpg</t>
  </si>
  <si>
    <t>https://naturevector.ru/wp-content/uploads/2023/12/e7ebebd79e1b6cb9577795f261d27b76.jpg</t>
  </si>
  <si>
    <t>https://naturevector.ru/wp-content/uploads/2023/12/c7880bf4a31f4e4ad18e8181648982a4.jpg</t>
  </si>
  <si>
    <t>https://naturevector.ru/wp-content/uploads/2023/12/TSelnosmolotaya-grechnevaya-muka.jpg</t>
  </si>
  <si>
    <t>https://naturevector.ru/wp-content/uploads/2023/12/Kukuruznaya-muka-tselnosmolotaya.jpg</t>
  </si>
  <si>
    <t>https://naturevector.ru/wp-content/uploads/2023/12/Lnyanaya-muka-iz-semyan-posle-otzhima-masla.jpg</t>
  </si>
  <si>
    <t>https://naturevector.ru/wp-content/uploads/2023/12/TSelnosmolotaya-ovsyanaya-muka.jpg</t>
  </si>
  <si>
    <t>https://naturevector.ru/wp-content/uploads/2023/12/TSelnosmolotaya-polbyanaya-muka.jpg</t>
  </si>
  <si>
    <t>https://naturevector.ru/wp-content/uploads/2023/12/TSelnosmolotaya-pshenichnaya-muka.jpg</t>
  </si>
  <si>
    <t>https://naturevector.ru/wp-content/uploads/2023/12/TSelnosmolotaya-rzhanaya-muka.jpg</t>
  </si>
  <si>
    <t>https://naturevector.ru/wp-content/uploads/2023/12/Risovaya-muka.jpg</t>
  </si>
  <si>
    <t>https://naturevector.ru/wp-content/uploads/2023/12/Risa-burogo-muka-tselnosmolotaya.jpg</t>
  </si>
  <si>
    <t>https://naturevector.ru/wp-content/uploads/2023/12/grecha_500.jpg</t>
  </si>
  <si>
    <t>https://naturevector.ru/wp-content/uploads/2023/12/len_500.jpg</t>
  </si>
  <si>
    <t>https://naturevector.ru/wp-content/uploads/2023/12/ovyos-v-obol_400.jpg</t>
  </si>
  <si>
    <t>https://naturevector.ru/wp-content/uploads/2023/12/oves-gol_rez.jpg</t>
  </si>
  <si>
    <t>https://naturevector.ru/wp-content/uploads/2023/12/polba_500.jpg</t>
  </si>
  <si>
    <t>https://naturevector.ru/wp-content/uploads/2023/12/polba_rez.jpg</t>
  </si>
  <si>
    <t>https://naturevector.ru/wp-content/uploads/2023/12/checha_500.jpg</t>
  </si>
  <si>
    <t>https://naturevector.ru/wp-content/uploads/2023/12/Balans.jpg</t>
  </si>
  <si>
    <t>https://naturevector.ru/wp-content/uploads/2023/12/Immunitet.jpg</t>
  </si>
  <si>
    <t>https://naturevector.ru/wp-content/uploads/2023/12/Intellekt.jpg</t>
  </si>
  <si>
    <t>https://naturevector.ru/wp-content/uploads/2023/12/Stroynost.jpg</t>
  </si>
  <si>
    <t>https://naturevector.ru/wp-content/uploads/2023/12/Zelyonaya-grechka-v-varochnyih-paketah.jpg</t>
  </si>
  <si>
    <t>https://naturevector.ru/wp-content/uploads/2023/12/Ovyos-golozyornyiy-rezanyiy-v-varochnyih-paketah.jpg</t>
  </si>
  <si>
    <t>https://naturevector.ru/wp-content/uploads/2023/12/Polba-rezanaya-v-varochnyih-paketah.jpg</t>
  </si>
  <si>
    <t>https://naturevector.ru/wp-content/uploads/2023/12/10bea72a91afaafeb2fbc36adbddec14.jpg</t>
  </si>
  <si>
    <t>https://naturevector.ru/wp-content/uploads/2023/12/694c84d6f938d20df5f0e97de7608454.jpg</t>
  </si>
  <si>
    <t>https://naturevector.ru/wp-content/uploads/2023/12/aebb9641f673712a1846d95dd5e9c36c.jpg</t>
  </si>
  <si>
    <t>https://naturevector.ru/wp-content/uploads/2023/12/9eb64c506c21c1dd40e487c6c7de6ad1.jpg</t>
  </si>
  <si>
    <t>https://naturevector.ru/wp-content/uploads/2023/12/04ad85a90996d9d17d18fe6860f60a3c.jpg</t>
  </si>
  <si>
    <t>https://naturevector.ru/wp-content/uploads/2023/12/krekery_ovsyanye_bite_s_kunzhutom_i_chia_-_200_gr_12_auto_auto_jpg_5_80.jpg</t>
  </si>
  <si>
    <t>https://naturevector.ru/wp-content/uploads/2023/12/krekery_ovsyanye_bite_s_morskoj_sol_yu_-_200_gr_12_auto_auto_jpg_5_80.jpg</t>
  </si>
  <si>
    <t>https://naturevector.ru/wp-content/uploads/2023/12/krekery_ovsyanye_bite_s_semenami_podsolnechnika_l_na_i_chia_-_200_gr_12_auto_auto_jpg_5_80.jpg</t>
  </si>
  <si>
    <t>https://naturevector.ru/wp-content/uploads/2023/12/cdf0b0ac6882b66ed15ce1355fa157f2-416x277-1.jpg</t>
  </si>
  <si>
    <t>https://naturevector.ru/wp-content/uploads/2023/12/e3edc17dd74c7348609f6581fd96b8e9.jpg</t>
  </si>
  <si>
    <t>https://naturevector.ru/wp-content/uploads/2023/12/ae19a5249c502e78c195b99223525ab4.jpg</t>
  </si>
  <si>
    <t>https://naturevector.ru/wp-content/uploads/2023/12/cdf0b0ac6882b66ed15ce1355fa157f2.jpg</t>
  </si>
  <si>
    <t>https://naturevector.ru/wp-content/uploads/2023/12/64add53133c0705a5ffc151418ddc818.jpg</t>
  </si>
  <si>
    <t>https://naturevector.ru/wp-content/uploads/2023/12/82617b766dc90b8cf379a65f928c8efe.jpg</t>
  </si>
  <si>
    <t>https://naturevector.ru/wp-content/uploads/2023/12/ad84c716748fc7e70a5a75e162a1bfb7.jpg</t>
  </si>
  <si>
    <t>https://naturevector.ru/wp-content/uploads/2023/12/kuPpGMyyoPI.jpg</t>
  </si>
  <si>
    <t>https://naturevector.ru/wp-content/uploads/2023/12/pes3mRGzzkM.jpg</t>
  </si>
  <si>
    <t>https://naturevector.ru/wp-content/uploads/2023/12/3c1GLBkWpH4.jpg</t>
  </si>
  <si>
    <t>https://naturevector.ru/wp-content/uploads/2023/12/201806271659141.jpg</t>
  </si>
  <si>
    <t>https://naturevector.ru/wp-content/uploads/2023/12/Ffp-ui5lHq8.jpg</t>
  </si>
  <si>
    <t>https://naturevector.ru/wp-content/uploads/2023/12/NpCV4eITNxg.jpg</t>
  </si>
  <si>
    <t>https://naturevector.ru/wp-content/uploads/2023/12/GWcYf5C7his.jpg</t>
  </si>
  <si>
    <t>https://naturevector.ru/wp-content/uploads/2023/12/AHxNXu3MDQ.jpg</t>
  </si>
  <si>
    <t>https://naturevector.ru/wp-content/uploads/2023/12/OyGUY4_w3aQ.jpg</t>
  </si>
  <si>
    <t>https://naturevector.ru/wp-content/uploads/2023/12/K-cwTANBeeU.jpg</t>
  </si>
  <si>
    <t>https://naturevector.ru/wp-content/uploads/2023/12/MoW1BlHlWVU.jpg</t>
  </si>
  <si>
    <t>https://naturevector.ru/wp-content/uploads/2023/12/wb19pVbwcnE.jpg</t>
  </si>
  <si>
    <t>https://naturevector.ru/wp-content/uploads/2023/12/1ywiV3M2Nqc.jpg</t>
  </si>
  <si>
    <t>https://naturevector.ru/wp-content/uploads/2023/12/2XM-iauUcMA.jpg</t>
  </si>
  <si>
    <t>https://naturevector.ru/wp-content/uploads/2023/12/HVdzJlqL4NA.jpg</t>
  </si>
  <si>
    <t>https://naturevector.ru/wp-content/uploads/2023/12/IcbdL9tYcIg.jpg</t>
  </si>
  <si>
    <t>https://naturevector.ru/wp-content/uploads/2023/12/CjxyZAJP2rA.jpg</t>
  </si>
  <si>
    <t>https://naturevector.ru/wp-content/uploads/2023/12/Sby8Bp5lAq8.jpg</t>
  </si>
  <si>
    <t>https://naturevector.ru/wp-content/uploads/2023/12/6210373.jpg</t>
  </si>
  <si>
    <t>https://naturevector.ru/wp-content/uploads/2023/12/6256539.jpg</t>
  </si>
  <si>
    <t>https://naturevector.ru/wp-content/uploads/2023/12/6256550.jpg</t>
  </si>
  <si>
    <t>https://naturevector.ru/wp-content/uploads/2023/12/6256545.jpg</t>
  </si>
  <si>
    <t>https://naturevector.ru/wp-content/uploads/2023/12/6256577.jpg</t>
  </si>
  <si>
    <t>https://naturevector.ru/wp-content/uploads/2023/12/6256566.jpg</t>
  </si>
  <si>
    <t>https://naturevector.ru/wp-content/uploads/2023/12/6256571.jpg</t>
  </si>
  <si>
    <t>https://naturevector.ru/wp-content/uploads/2023/12/6256553.jpg</t>
  </si>
  <si>
    <t>https://naturevector.ru/wp-content/uploads/2023/12/Chaokoh-042_65-Cocon.jpg</t>
  </si>
  <si>
    <t>https://naturevector.ru/wp-content/uploads/2023/12/Chaokoh-037_250-Coco.jpg</t>
  </si>
  <si>
    <t>https://naturevector.ru/wp-content/uploads/2023/12/22931012-1-big.jpg</t>
  </si>
  <si>
    <t>https://naturevector.ru/wp-content/uploads/2023/12/Chaokoh-coconut-milk.jpg</t>
  </si>
  <si>
    <t>https://naturevector.ru/wp-content/uploads/2023/12/King-Island-500.jpg</t>
  </si>
  <si>
    <t>https://naturevector.ru/wp-content/uploads/2023/12/1000.jpg</t>
  </si>
  <si>
    <t>https://naturevector.ru/wp-content/uploads/2023/12/27740247-1-big.jpg</t>
  </si>
  <si>
    <t>https://naturevector.ru/wp-content/uploads/2023/12/22931014-1-big.jpg</t>
  </si>
  <si>
    <t>https://naturevector.ru/wp-content/uploads/2023/12/IMG_1979-copy-600x600-1.jpg</t>
  </si>
  <si>
    <t>https://naturevector.ru/wp-content/uploads/2023/12/IMG_1989copy-600x600-1.jpg</t>
  </si>
  <si>
    <t>https://naturevector.ru/wp-content/uploads/2023/12/fish-sauce-white-600x600-1.jpg</t>
  </si>
  <si>
    <t>https://naturevector.ru/wp-content/uploads/2023/12/Oyster-sause-600x600-1.jpg</t>
  </si>
  <si>
    <t>https://naturevector.ru/wp-content/uploads/2023/12/sweeet-chilli-sauce-600x600-1.jpg</t>
  </si>
  <si>
    <t>https://naturevector.ru/wp-content/uploads/2023/12/27723884-1-big.jpg</t>
  </si>
  <si>
    <t>https://naturevector.ru/wp-content/uploads/2023/12/27724236-1-big.jpg</t>
  </si>
  <si>
    <t>https://naturevector.ru/wp-content/uploads/2023/12/zolotaya-lyna.jpg</t>
  </si>
  <si>
    <t>https://naturevector.ru/wp-content/uploads/2023/12/eaa12d5613c0b9daa6a4c71832449396.jpg</t>
  </si>
  <si>
    <t>https://naturevector.ru/wp-content/uploads/2023/12/de3190317eca38b274f4c82cb62afcea.jpg</t>
  </si>
  <si>
    <t>https://naturevector.ru/wp-content/uploads/2023/12/bacad9165f228fe212d1a036ba43ad4b.jpg</t>
  </si>
  <si>
    <t>https://naturevector.ru/wp-content/uploads/2023/12/9610b6fdac119ebae475b6d54babc668.jpg</t>
  </si>
  <si>
    <t>https://naturevector.ru/wp-content/uploads/2023/12/d2311351de13e5ed0318408aa5a78a89.jpg</t>
  </si>
  <si>
    <t>https://naturevector.ru/wp-content/uploads/2023/12/fec85cc159e89047f31eb4d5656e04fd.jpg</t>
  </si>
  <si>
    <t>https://naturevector.ru/wp-content/uploads/2023/12/f3fb206b9f954cf4513e4dbc416ce3ed.jpg</t>
  </si>
  <si>
    <t>https://naturevector.ru/wp-content/uploads/2023/12/fc2b9920fe51f228231493e258ebb92b.jpg</t>
  </si>
  <si>
    <t>https://naturevector.ru/wp-content/uploads/2023/12/70813684c41d50e13304a289145b80db.jpg</t>
  </si>
  <si>
    <t>https://naturevector.ru/wp-content/uploads/2023/12/1270e90906b3c813b09dbbc758a83959.jpg</t>
  </si>
  <si>
    <t>https://naturevector.ru/wp-content/uploads/2023/12/fedda2cd96a1fde406d31be4d4de8170.jpg</t>
  </si>
  <si>
    <t>https://naturevector.ru/wp-content/uploads/2023/12/4cbef949ae478028d227c795b70f2866.jpg</t>
  </si>
  <si>
    <t>https://naturevector.ru/wp-content/uploads/2023/12/5ac432dbc56e017af0dafefb7789182f.jpg</t>
  </si>
  <si>
    <t>https://naturevector.ru/wp-content/uploads/2023/12/f83a5822c6e5bd63cd0f8f22aa94caf8.jpg</t>
  </si>
  <si>
    <t>https://naturevector.ru/wp-content/uploads/2023/12/52df508aefc417a455872994b5870793.jpg</t>
  </si>
  <si>
    <t>https://naturevector.ru/wp-content/uploads/2023/12/53ba4329d1450eeddb99ccd331f647b5.jpg</t>
  </si>
  <si>
    <t>https://naturevector.ru/wp-content/uploads/2023/12/c7ecc3c3dabc76320873b8b2fc7840ab.jpg</t>
  </si>
  <si>
    <t>https://naturevector.ru/wp-content/uploads/2023/12/f21b5ab34579cf10687081b66e4adc08.jpg</t>
  </si>
  <si>
    <t>https://naturevector.ru/wp-content/uploads/2023/12/d08c178f49204498ac7e6998c4ac1da0.jpg</t>
  </si>
  <si>
    <t>https://naturevector.ru/wp-content/uploads/2023/12/67a57143fe21636ee4688c0643abe374.jpg</t>
  </si>
  <si>
    <t>https://naturevector.ru/wp-content/uploads/2023/12/afea298390f59c37083306258befcd69.jpg</t>
  </si>
  <si>
    <t>https://naturevector.ru/wp-content/uploads/2023/12/1721f47773833b975a6cb53eedad1f2b.jpg</t>
  </si>
  <si>
    <t>https://naturevector.ru/wp-content/uploads/2023/12/be995017ce3b7609846086f6e54fd5dd.jpg</t>
  </si>
  <si>
    <t>https://naturevector.ru/wp-content/uploads/2023/12/029cacfbfd1e379552f6d40535bd2dd0.jpg</t>
  </si>
  <si>
    <t>https://naturevector.ru/wp-content/uploads/2023/12/8dc993b8fecd181fe001aa0dbabe093f.jpg</t>
  </si>
  <si>
    <t>https://naturevector.ru/wp-content/uploads/2023/12/115b2951132f9b247b5ee72da9700072.jpg</t>
  </si>
  <si>
    <t>https://naturevector.ru/wp-content/uploads/2023/12/f73c5c427d6d251f7547ac6e3e53fb0a.jpg</t>
  </si>
  <si>
    <t>https://naturevector.ru/wp-content/uploads/2023/12/7977bb642834f44fa102c3b63cca3113.jpg</t>
  </si>
  <si>
    <t>https://naturevector.ru/wp-content/uploads/2023/12/e599d737f5dbfa712f346e7b0696e5d9.jpg</t>
  </si>
  <si>
    <t>https://naturevector.ru/wp-content/uploads/2023/12/1df1fa2aac31d35c4a9623d09400fc36.jpg</t>
  </si>
  <si>
    <t>https://naturevector.ru/wp-content/uploads/2023/12/65d633bba0f037eb46f222dc9bf93a5d.jpg</t>
  </si>
  <si>
    <t>https://naturevector.ru/wp-content/uploads/2023/12/0b9077c8b31d660bf62e36447c625c2e.jpg</t>
  </si>
  <si>
    <t>https://naturevector.ru/wp-content/uploads/2023/12/D0BED0B2D181D18FD0BDD18BD0B5-D185D0BBD0BED0BFD18CD18F-D0B1D0B5D0B7-D0B3D0BBD18ED182D0B5D0BDD0B0.jpg</t>
  </si>
  <si>
    <t>https://naturevector.ru/wp-content/uploads/2023/12/ovsyanye-hlopya-s-vishnej.jpg</t>
  </si>
  <si>
    <t>https://naturevector.ru/wp-content/uploads/2023/12/ovsyanye-hlopya-s-klubnikoj.jpg</t>
  </si>
  <si>
    <t>https://naturevector.ru/wp-content/uploads/2023/12/ovsyanye-hlopya-s-myodom.jpg</t>
  </si>
  <si>
    <t>https://naturevector.ru/wp-content/uploads/2023/12/ovsyanye-hlopya-s-shokoladom.jpg</t>
  </si>
  <si>
    <t>https://naturevector.ru/wp-content/uploads/2023/12/ovsyanye-hlopya-s-yablokom.jpg</t>
  </si>
  <si>
    <t>https://naturevector.ru/wp-content/uploads/2023/12/oil07.jpg</t>
  </si>
  <si>
    <t>https://naturevector.ru/wp-content/uploads/2023/12/oil05.jpg</t>
  </si>
  <si>
    <t>https://naturevector.ru/wp-content/uploads/2023/12/flour09.jpg</t>
  </si>
  <si>
    <t>https://naturevector.ru/wp-content/uploads/2023/12/malt.jpg</t>
  </si>
  <si>
    <t>https://naturevector.ru/wp-content/uploads/2023/12/bran_corn.jpg</t>
  </si>
  <si>
    <t>https://naturevector.ru/wp-content/uploads/2023/12/299_0.jpg</t>
  </si>
  <si>
    <t>https://naturevector.ru/wp-content/uploads/2023/12/301_0.jpg</t>
  </si>
  <si>
    <t>https://naturevector.ru/wp-content/uploads/2023/12/bran25.jpg</t>
  </si>
  <si>
    <t>https://naturevector.ru/wp-content/uploads/2023/12/tolokno.jpg</t>
  </si>
  <si>
    <t>https://naturevector.ru/wp-content/uploads/2023/12/ogxgm1qhlcg-565x416-1.jpg</t>
  </si>
  <si>
    <t>https://naturevector.ru/wp-content/uploads/2023/12/cc7ze00scnc-565x416-1.jpg</t>
  </si>
  <si>
    <t>https://naturevector.ru/wp-content/uploads/2023/12/69db98a2_dc81_11e6_8103_005056bb3d0d_0248127a_dc83_11e6_8103_005056bb3d0d.jpg</t>
  </si>
  <si>
    <t>https://naturevector.ru/wp-content/uploads/2023/12/oat01.jpg</t>
  </si>
  <si>
    <t>https://naturevector.ru/wp-content/uploads/2023/12/cereals01.jpg</t>
  </si>
  <si>
    <t>https://naturevector.ru/wp-content/uploads/2023/12/oat02.jpg</t>
  </si>
  <si>
    <t>https://naturevector.ru/wp-content/uploads/2023/12/kasha-lnyanaya.jpg</t>
  </si>
  <si>
    <t>https://naturevector.ru/wp-content/uploads/2023/12/kasha-lnyanaya-s-amarantom.jpg</t>
  </si>
  <si>
    <t>https://naturevector.ru/wp-content/uploads/2023/12/kasha-lnyanaya-s-zarodyshami-pshenicy.jpg</t>
  </si>
  <si>
    <t>https://naturevector.ru/wp-content/uploads/2023/12/kasha-lnyanaya-s-rastoropshej.jpg</t>
  </si>
  <si>
    <t>https://naturevector.ru/wp-content/uploads/2023/12/abrikosovoe-maslo.jpg</t>
  </si>
  <si>
    <t>https://naturevector.ru/wp-content/uploads/2023/12/3900-004940c8c7f4c0e24e6fd3fae932167f-420-315.jpg</t>
  </si>
  <si>
    <t>https://naturevector.ru/wp-content/uploads/2023/12/araxisovoe-maslo.jpg</t>
  </si>
  <si>
    <t>https://naturevector.ru/wp-content/uploads/2023/12/gorchichnoe-maslo.jpg</t>
  </si>
  <si>
    <t>https://naturevector.ru/wp-content/uploads/2023/12/maslo-iz-zarodyshej-kukuruzy.jpg</t>
  </si>
  <si>
    <t>https://naturevector.ru/wp-content/uploads/2023/12/3912-4a26d3af7100041b438d990129be6bb8-420-315.jpg</t>
  </si>
  <si>
    <t>https://naturevector.ru/wp-content/uploads/2023/12/3915-712d10a301b61db3c6c013711a36c0f8-420-315.jpg</t>
  </si>
  <si>
    <t>https://naturevector.ru/wp-content/uploads/2023/12/3918-14b9d901d3e47386099c70013e3656de-420-315.jpg</t>
  </si>
  <si>
    <t>https://naturevector.ru/wp-content/uploads/2023/12/kunzhutnoe-maslo.jpg</t>
  </si>
  <si>
    <t>https://naturevector.ru/wp-content/uploads/2023/12/3923-f1d94cebf43e289161198d95dd6d72c8-420-315.jpg</t>
  </si>
  <si>
    <t>https://naturevector.ru/wp-content/uploads/2023/12/maslo-lnyanoe.jpg</t>
  </si>
  <si>
    <t>https://naturevector.ru/wp-content/uploads/2023/12/maslo-oblepihovoe-1.jpg</t>
  </si>
  <si>
    <t>https://naturevector.ru/wp-content/uploads/2023/12/orehovoe-maslo.jpg</t>
  </si>
  <si>
    <t>https://naturevector.ru/wp-content/uploads/2023/12/maslo-podsolnechnoe-syrodavlennoe.jpg</t>
  </si>
  <si>
    <t>https://naturevector.ru/wp-content/uploads/2023/12/3929-b3e721d7d7a5cd60d26ed87f26bb9e10-420-315.jpg</t>
  </si>
  <si>
    <t>https://naturevector.ru/wp-content/uploads/2023/12/maslo-rastoropshi.jpg</t>
  </si>
  <si>
    <t>https://naturevector.ru/wp-content/uploads/2023/12/ryzhikovoe-maslo.jpg</t>
  </si>
  <si>
    <t>https://naturevector.ru/wp-content/uploads/2023/12/3941-41b4ec139f63ec2e567584ad08e9c27c-420-315.jpg</t>
  </si>
  <si>
    <t>https://naturevector.ru/wp-content/uploads/2023/12/tykvennoe-maslo.jpg</t>
  </si>
  <si>
    <t>https://naturevector.ru/wp-content/uploads/2023/12/3935-fb5e37e8b53956f27b72dca35d4fc7af-420-315.jpg</t>
  </si>
  <si>
    <t>https://naturevector.ru/wp-content/uploads/2023/12/shipovnikovoe-maslo.jpg</t>
  </si>
  <si>
    <t>https://naturevector.ru/wp-content/uploads/2023/12/muka-amarantovaya.jpg</t>
  </si>
  <si>
    <t>https://naturevector.ru/wp-content/uploads/2023/12/muka-kunzhutnaya.jpg</t>
  </si>
  <si>
    <t>https://naturevector.ru/wp-content/uploads/2023/12/muka-rastoropshi.jpg</t>
  </si>
  <si>
    <t>https://naturevector.ru/wp-content/uploads/2023/12/288e0bda9abaf6237587308780faf936.jpg</t>
  </si>
  <si>
    <t>https://naturevector.ru/wp-content/uploads/2023/12/c64dfa0f0fee3831c6595540bfdc1653.jpg</t>
  </si>
  <si>
    <t>https://naturevector.ru/wp-content/uploads/2023/12/65ad894e17021f2f1d55145c7285bbf5.jpg</t>
  </si>
  <si>
    <t>https://naturevector.ru/wp-content/uploads/2023/12/1412047e8ef95babb4d0d0d5190afe11.jpg</t>
  </si>
  <si>
    <t>https://naturevector.ru/wp-content/uploads/2023/12/fa54067e7587fb7cc4e69c8c0c191bd7.jpg</t>
  </si>
  <si>
    <t>https://naturevector.ru/wp-content/uploads/2023/12/a7ul58hnl7pzf7q61iin96rt74cnuj8t.jpg</t>
  </si>
  <si>
    <t>https://naturevector.ru/wp-content/uploads/2023/12/mrny0f8g1te7eo2atkcaa328ynb7y42h.jpg</t>
  </si>
  <si>
    <t>https://naturevector.ru/wp-content/uploads/2023/12/bl3y6dubexolq2mpezjotayoetvwe3hu.jpg</t>
  </si>
  <si>
    <t>https://naturevector.ru/wp-content/uploads/2023/12/8q7xky61ztg4nwj7w0c3suk3ck0nya68.jpg</t>
  </si>
  <si>
    <t>https://naturevector.ru/wp-content/uploads/2023/12/ti4cckbo3l0beavakvj1lox8n2gov6vd.jpg</t>
  </si>
  <si>
    <t>https://naturevector.ru/wp-content/uploads/2023/12/ffe20e558e1d802d89585f09ae40da2e.jpg</t>
  </si>
  <si>
    <t>https://naturevector.ru/wp-content/uploads/2023/12/ffda93611574689721fd721319e5726b.jpg</t>
  </si>
  <si>
    <t>https://naturevector.ru/wp-content/uploads/2023/12/22bd94c84963efb65f70de802e6327f3.jpg</t>
  </si>
  <si>
    <t>https://naturevector.ru/wp-content/uploads/2023/12/fe8ab4f4898d9ab47549d47db625573b.jpg</t>
  </si>
  <si>
    <t>https://naturevector.ru/wp-content/uploads/2023/12/o21xb0x3kw7n99j8w3cjiymaafw3miea.jpg</t>
  </si>
  <si>
    <t>https://naturevector.ru/wp-content/uploads/2023/12/26zw1e1cblipa33hmfhawm998e36dhr1.jpg</t>
  </si>
  <si>
    <t>https://naturevector.ru/wp-content/uploads/2023/12/jkx3vyujpnb4zwrdfd30bdg9vdxqzdoh.jpg</t>
  </si>
  <si>
    <t>https://naturevector.ru/wp-content/uploads/2023/12/4z22xt81vwqn0y2v3erebex3do43k2pu.jpg</t>
  </si>
  <si>
    <t>https://naturevector.ru/wp-content/uploads/2023/12/147mdm02qkg6ouo6svscp1r2d72z6vgi.jpg</t>
  </si>
  <si>
    <t>https://naturevector.ru/wp-content/uploads/2023/12/2v27qlq56dstgtcimxlak9rs63n1piv6.jpg</t>
  </si>
  <si>
    <t>https://naturevector.ru/wp-content/uploads/2023/12/ns46yy7rhl2xpz5f31sbfxtjpy7d9ti8.jpg</t>
  </si>
  <si>
    <t>https://naturevector.ru/wp-content/uploads/2023/12/mf20j01yvj5a95fczij5kjicm6low83k.jpg</t>
  </si>
  <si>
    <t>https://naturevector.ru/wp-content/uploads/2023/12/1l5gwr6vgv8harkx0gwdur4vybrrs1ru.jpg</t>
  </si>
  <si>
    <t>https://naturevector.ru/wp-content/uploads/2023/12/ekxafy0s4cajnwpf0q92o1iouepqmvs5.jpg</t>
  </si>
  <si>
    <t>https://naturevector.ru/wp-content/uploads/2023/12/x1h451utdrtaluud8l4jnkno2rhezr8k.jpg</t>
  </si>
  <si>
    <t>https://naturevector.ru/wp-content/uploads/2023/12/y6bmkk985ee5fia3qbweve185zprq0xc.jpg</t>
  </si>
  <si>
    <t>https://naturevector.ru/wp-content/uploads/2023/12/3emp1gxl7elk3sstcfkmhvg20yu467rv.jpg</t>
  </si>
  <si>
    <t>https://naturevector.ru/wp-content/uploads/2023/12/bvmv9281j0gisdb3umqehbi6fqh3zgoy.jpg</t>
  </si>
  <si>
    <t>https://naturevector.ru/wp-content/uploads/2023/12/pz8c1nxq9c39j04ul4a8wj6rjgsm924d.jpg</t>
  </si>
  <si>
    <t>https://naturevector.ru/wp-content/uploads/2023/12/dsc_0035-567x1024-1.jpg</t>
  </si>
  <si>
    <t>https://naturevector.ru/wp-content/uploads/2023/12/dsc_0389-2-578x1024-1.jpg</t>
  </si>
  <si>
    <t>https://naturevector.ru/wp-content/uploads/2023/12/dsc_0387-1-627x1024-1.jpg</t>
  </si>
  <si>
    <t>https://naturevector.ru/wp-content/uploads/2023/12/middle_2.jpg</t>
  </si>
  <si>
    <t>https://naturevector.ru/wp-content/uploads/2023/12/b1772a5750b39ab_0x350.jpg</t>
  </si>
  <si>
    <t>https://naturevector.ru/wp-content/uploads/2023/12/pastila-yabloko-1-683x1024-1.jpg</t>
  </si>
  <si>
    <t>https://naturevector.ru/wp-content/uploads/2023/12/crunchy.jpg</t>
  </si>
  <si>
    <t>https://naturevector.ru/wp-content/uploads/2023/12/izyum_koritsa.jpg</t>
  </si>
  <si>
    <t>https://naturevector.ru/wp-content/uploads/2023/12/date.jpg</t>
  </si>
  <si>
    <t>https://naturevector.ru/wp-content/uploads/2023/12/choco.jpg</t>
  </si>
  <si>
    <t>https://naturevector.ru/wp-content/uploads/2023/12/chainyi-napitok-1-fitokod.ru-380x380-1.jpg</t>
  </si>
  <si>
    <t>https://naturevector.ru/wp-content/uploads/2023/12/chainyi-napitok-2-fitokod.ru-800x800-1.jpg</t>
  </si>
  <si>
    <t>https://naturevector.ru/wp-content/uploads/2023/12/chainyi-napitok-3-fitokod.ru-380x380-1.jpg</t>
  </si>
  <si>
    <t>https://naturevector.ru/wp-content/uploads/2023/12/chainyi-napitok-4-fitokod.ru-380x380-1.jpg</t>
  </si>
  <si>
    <t>https://naturevector.ru/wp-content/uploads/2023/12/chainyi-napitok-5-fitokod.ru-380x380-1.jpg</t>
  </si>
  <si>
    <t>https://naturevector.ru/wp-content/uploads/2023/12/chainyi-napitok-6-fitokod.ru-380x380-1.jpg</t>
  </si>
  <si>
    <t>https://naturevector.ru/wp-content/uploads/2023/12/chainyi-napitok-7-fitokod.ru-380x380-1.jpg</t>
  </si>
  <si>
    <t>https://naturevector.ru/wp-content/uploads/2023/12/chainyi-napitok-8-fitokod.ru-380x380-1.jpg</t>
  </si>
  <si>
    <t>https://naturevector.ru/wp-content/uploads/2023/12/chainyi-napitok-9-fitokod.ru-380x380-1.jpg</t>
  </si>
  <si>
    <t>https://naturevector.ru/wp-content/uploads/2023/12/chainyi-napitok-10-fitokod.ru-380x380-1.jpg</t>
  </si>
  <si>
    <t>https://naturevector.ru/wp-content/uploads/2023/12/chainyi-napitok-11-fitokod.ru-380x380-1.jpg</t>
  </si>
  <si>
    <t>https://naturevector.ru/wp-content/uploads/2023/12/chainyi-napitok-12-fitokod.ru-380x380-1.jpg</t>
  </si>
  <si>
    <t>https://naturevector.ru/wp-content/uploads/2023/12/chainyi-napitok-13-fitokod.ru-380x380-1.jpg</t>
  </si>
  <si>
    <t>https://naturevector.ru/wp-content/uploads/2023/12/chainyi-napitok-14-fitokod.ru-380x380-1.jpg</t>
  </si>
  <si>
    <t>https://naturevector.ru/wp-content/uploads/2023/12/chainyi-napitok-15-fitokod.ru-380x380-1.jpg</t>
  </si>
  <si>
    <t>https://naturevector.ru/wp-content/uploads/2023/12/chainyi-napitok-16-fitokod.ru-380x380-1.jpg</t>
  </si>
  <si>
    <t>https://naturevector.ru/wp-content/uploads/2023/12/chainyi-napitok-17-fitokod.ru-380x380-1.jpg</t>
  </si>
  <si>
    <t>https://naturevector.ru/wp-content/uploads/2023/12/215cfa61498029efc571b5c312d8f48b.jpg</t>
  </si>
  <si>
    <t>https://naturevector.ru/wp-content/uploads/2023/12/ffcfe21d8c419cfee1654451948a2240.jpg</t>
  </si>
  <si>
    <t>https://naturevector.ru/wp-content/uploads/2023/12/5caafa19a014cd93ad515fe132a632bd.jpg</t>
  </si>
  <si>
    <t>https://naturevector.ru/wp-content/uploads/2023/12/5eb5040999c20249f3cdde24fb5085c4.jpg</t>
  </si>
  <si>
    <t>https://naturevector.ru/wp-content/uploads/2023/12/e8c70de42c7c29d7e5277f97a63b7aa7.jpg</t>
  </si>
  <si>
    <t>https://naturevector.ru/wp-content/uploads/2023/12/b5a3ab331fc8cbb053407296f17b4e91.jpg</t>
  </si>
  <si>
    <t>https://naturevector.ru/wp-content/uploads/2023/12/1da75c7cd52a15ce1bcefb1c82996885.jpg</t>
  </si>
  <si>
    <t>https://naturevector.ru/wp-content/uploads/2023/12/c0f3b33f6cd5668c4aecbe5b6bfe58ce.jpg</t>
  </si>
  <si>
    <t>https://naturevector.ru/wp-content/uploads/2023/12/dbcdb5b5553d16379ab9c291b1d4dca7.jpg</t>
  </si>
  <si>
    <t>https://naturevector.ru/wp-content/uploads/2023/12/20b090519a97d2286e4e50fd58e39e25.jpg</t>
  </si>
  <si>
    <t>https://naturevector.ru/wp-content/uploads/2023/12/8131d402862c701ce7b0d10a5e47dc9d.jpg</t>
  </si>
  <si>
    <t>https://naturevector.ru/wp-content/uploads/2023/12/42c6598257741acc7581d16c8d6ff976.jpg</t>
  </si>
  <si>
    <t>https://naturevector.ru/wp-content/uploads/2023/12/53237f4d808432d066b7a8c5ef7cd697.jpg</t>
  </si>
  <si>
    <t>https://naturevector.ru/wp-content/uploads/2023/12/449c9d9a738f3e70661529a0fb91e290.jpg</t>
  </si>
  <si>
    <t>https://naturevector.ru/wp-content/uploads/2023/12/8d934e5cf73bccc0e58b3f52de4a96e1.jpg</t>
  </si>
  <si>
    <t>https://naturevector.ru/wp-content/uploads/2023/12/aa6f585a56c98fd75789b1aa938ab5d5.jpg</t>
  </si>
  <si>
    <t>https://naturevector.ru/wp-content/uploads/2023/12/iyqbknfws89sur3wz5zjd33hf68eo1x6.jpg</t>
  </si>
  <si>
    <t>https://naturevector.ru/wp-content/uploads/2023/12/Zhiv_1.jpg</t>
  </si>
  <si>
    <t>https://naturevector.ru/wp-content/uploads/2023/12/Zhiv_7.jpg</t>
  </si>
  <si>
    <t>https://naturevector.ru/wp-content/uploads/2023/12/Zhiv_3.jpg</t>
  </si>
  <si>
    <t>https://naturevector.ru/wp-content/uploads/2023/12/irz86wjfenkt672l4oigusbdshjviyw5.jpg</t>
  </si>
  <si>
    <t>https://naturevector.ru/wp-content/uploads/2023/12/kedrica-01-3d.jpg</t>
  </si>
  <si>
    <t>https://naturevector.ru/wp-content/uploads/2023/12/listvica-01-3d.jpg</t>
  </si>
  <si>
    <t>https://naturevector.ru/wp-content/uploads/2023/12/smolka_myata2-900x900-1.jpg</t>
  </si>
  <si>
    <t>https://naturevector.ru/wp-content/uploads/2023/12/listvica-04-3d.jpg</t>
  </si>
  <si>
    <t>https://naturevector.ru/wp-content/uploads/2023/12/listvica-03-3d.jpg</t>
  </si>
  <si>
    <t>https://naturevector.ru/wp-content/uploads/2023/12/dh1m6znshdtjo856n7r44qejo1aafn9c.jpg</t>
  </si>
  <si>
    <t>https://naturevector.ru/wp-content/uploads/2023/12/eg8c8ey1u4hj0585en95mderbbq957k1.jpg</t>
  </si>
  <si>
    <t>https://naturevector.ru/wp-content/uploads/2023/12/propolis-tabletka.jpg</t>
  </si>
  <si>
    <t>https://naturevector.ru/wp-content/uploads/2023/12/5as8awiyth892a52gdkh3k7ygdox1z89.jpg</t>
  </si>
  <si>
    <t>https://naturevector.ru/wp-content/uploads/2023/12/spirulinanew_enl.jpg</t>
  </si>
  <si>
    <t>https://naturevector.ru/wp-content/uploads/2023/12/qLBmywzwSeQ-800x800-1.jpg</t>
  </si>
  <si>
    <t>https://naturevector.ru/wp-content/uploads/2023/12/844-1501_nuts_200g_greek_front.tn-570x900.75054a4ead.jpg</t>
  </si>
  <si>
    <t>https://naturevector.ru/wp-content/uploads/2023/12/930-1502_nuts_200g_cedar_face_1200x1200px.tn-570x900.ceeca4aa7d.jpg</t>
  </si>
  <si>
    <t>https://naturevector.ru/wp-content/uploads/2023/12/993-1503_nuts_200g_mindal_front.tn-570x900.69b361673a.jpg</t>
  </si>
  <si>
    <t>https://naturevector.ru/wp-content/uploads/2023/12/222-1504_nuts_200g_funduk_front.tn-570x900.53b4c9f1a1.jpg</t>
  </si>
  <si>
    <t>https://naturevector.ru/wp-content/uploads/2023/12/847-1036_tea_50g_green_l_1050x1400px.tn-570x900.d13e8e2a4e.jpg</t>
  </si>
  <si>
    <t>https://naturevector.ru/wp-content/uploads/2023/12/860-1043_tea_50g_ferment_l.tn-570x900.32f4c97ce4.jpg</t>
  </si>
  <si>
    <t>https://naturevector.ru/wp-content/uploads/2023/12/593-1052_tea_berry_50g_brusnika_l_1050x1400px.tn-570x900.3d9b3e7e10.jpg</t>
  </si>
  <si>
    <t>https://naturevector.ru/wp-content/uploads/2023/12/103-1054_tea_berry_50g_klukva_l_1050x1400px.tn-570x900.bde9afe536.jpg</t>
  </si>
  <si>
    <t>https://naturevector.ru/wp-content/uploads/2023/12/425-1038_tea_50g_lipa_l_1050x1400px.tn-570x900.d4fb09ea66.jpg</t>
  </si>
  <si>
    <t>https://naturevector.ru/wp-content/uploads/2023/12/137-1055_tea_berry_50g_malina_l_1050x1400px.tn-570x900.c90a105988.jpg</t>
  </si>
  <si>
    <t>https://naturevector.ru/wp-content/uploads/2023/12/149-1056_tea_berry_50g_oblepiha_l_1050x1400px.tn-570x900.2321cd79db.jpg</t>
  </si>
  <si>
    <t>https://naturevector.ru/wp-content/uploads/2023/12/438-1039_tea_50g_currant_l_1050x1400px.tn-570x900.b891873268.jpg</t>
  </si>
  <si>
    <t>https://naturevector.ru/wp-content/uploads/2023/12/907-1042_tea_50g_thyme_l_1050x1400px.tn-570x900.dfebfbbeb9.jpg</t>
  </si>
  <si>
    <t>https://naturevector.ru/wp-content/uploads/2023/12/569-ebf_glass_linden_50g_800x800px.tn-570x900.9e64233cba.jpg</t>
  </si>
  <si>
    <t>https://naturevector.ru/wp-content/uploads/2023/12/722-ebf_glass_kiprey_50g_800x800px.tn-570x900.e61dbb5b8e.jpg</t>
  </si>
  <si>
    <t>https://naturevector.ru/wp-content/uploads/2023/12/804-ebf_glass_currant_50g_800x800px.tn-570x900.d45e643bcd.jpg</t>
  </si>
  <si>
    <t>https://naturevector.ru/wp-content/uploads/2023/12/430-1118_herbs_40g_mint_r_1050x1400px.tn-570x900.b9ea6bd633.jpg</t>
  </si>
  <si>
    <t>https://naturevector.ru/wp-content/uploads/2023/12/160-1119_herbs_40g_romashka_r_1050x1400px.tn-570x900.f19690de65.jpg</t>
  </si>
  <si>
    <t>https://naturevector.ru/wp-content/uploads/2023/12/587-1106_herbs_40g_smorodina_r_1050x1400px.tn-570x900.06ec4df308.jpg</t>
  </si>
  <si>
    <t>https://naturevector.ru/wp-content/uploads/2023/12/439-1121_herbs_40g_chabretz_r_1050x1400px.tn-570x900.8e5269ac1f.jpg</t>
  </si>
  <si>
    <t>https://naturevector.ru/wp-content/uploads/2023/12/400-1022_tea_500g_ferm_face.jpg</t>
  </si>
  <si>
    <t>https://naturevector.ru/wp-content/uploads/2023/12/0oap9bufg2sofjvwd1nyt2dz6elmgjnm.jpg</t>
  </si>
  <si>
    <t>https://naturevector.ru/wp-content/uploads/2023/12/xzzw6agxxu6h1ici3ceq2o9sez388vcw.jpg</t>
  </si>
  <si>
    <t>https://naturevector.ru/wp-content/uploads/2023/12/z3j0qx2lncnjfqi29ygdqwc86cbkxlym.jpg</t>
  </si>
  <si>
    <t>https://naturevector.ru/wp-content/uploads/2023/12/vitaabric.jpg</t>
  </si>
  <si>
    <t>https://naturevector.ru/wp-content/uploads/2023/12/ml13mjdhk7y4ofllnzekv4pq0djrv1gq.jpg</t>
  </si>
  <si>
    <t>https://naturevector.ru/wp-content/uploads/2023/12/4t45pmf4tkt42289d1v68ln7j87yiyxr.jpg</t>
  </si>
  <si>
    <t>https://naturevector.ru/wp-content/uploads/2023/12/sggxqm0puikis4gvyp8hc4nw9pix65x3.jpg</t>
  </si>
  <si>
    <t>https://naturevector.ru/wp-content/uploads/2023/12/scul7v6ll5t1cf4nnfu0h49s5n7x5j0n.jpg</t>
  </si>
  <si>
    <t>https://naturevector.ru/wp-content/uploads/2023/12/2qyxcuxvidxgzt0l67nkcgs3fgzbh3da.jpg</t>
  </si>
  <si>
    <t>https://naturevector.ru/wp-content/uploads/2023/12/kasha-vita-ovsyanaya-600x600-1.jpg</t>
  </si>
  <si>
    <t>https://naturevector.ru/wp-content/uploads/2023/12/3t5s7h34fu9mugwpwn25hz6dq5pjk86o.jpg</t>
  </si>
  <si>
    <t>https://naturevector.ru/wp-content/uploads/2023/12/qijyowcn8fpbswmfmo9091ggnvjpu6mx.jpg</t>
  </si>
  <si>
    <t>https://naturevector.ru/wp-content/uploads/2023/12/qfsgyxq2a3bu6nt2d7m3oizcxjjpkhre.jpg</t>
  </si>
  <si>
    <t>https://naturevector.ru/wp-content/uploads/2023/12/kasha-vita-pshenichnaya-600x600-1.jpg</t>
  </si>
  <si>
    <t>https://naturevector.ru/wp-content/uploads/2023/12/u0desgcx8u53bc5w783af3ic3pqsm9za.jpg</t>
  </si>
  <si>
    <t>https://naturevector.ru/wp-content/uploads/2023/12/11y6a4l1bnh7dnx0jobzodr1elaruk6e.jpg</t>
  </si>
  <si>
    <t>https://naturevector.ru/wp-content/uploads/2023/12/kasha-vita-rzhanaya300g-600x600-1.jpg</t>
  </si>
  <si>
    <t>https://naturevector.ru/wp-content/uploads/2023/12/kasha-vita-yachmennaya-600x600-1.jpg</t>
  </si>
  <si>
    <t>https://naturevector.ru/wp-content/uploads/2023/12/8xmaws39n3mukffth812v7z45t1fd52m.jpg</t>
  </si>
  <si>
    <t>https://naturevector.ru/wp-content/uploads/2023/12/wcab0amp0z3ezgu76y64yqp4ig2fu55c.jpg</t>
  </si>
  <si>
    <t>https://naturevector.ru/wp-content/uploads/2023/12/mol9011.jpg</t>
  </si>
  <si>
    <t>https://naturevector.ru/wp-content/uploads/2023/12/b5f994c1e38bcc42b9daa7a1ed83b6e8.jpg</t>
  </si>
  <si>
    <t>https://naturevector.ru/wp-content/uploads/2023/12/1026748394.jpg</t>
  </si>
  <si>
    <t>https://naturevector.ru/wp-content/uploads/2023/12/mol9097.jpg</t>
  </si>
  <si>
    <t>https://naturevector.ru/wp-content/uploads/2023/12/mol9080.jpg</t>
  </si>
  <si>
    <t>https://naturevector.ru/wp-content/uploads/2023/12/mol9257.jpg</t>
  </si>
  <si>
    <t>https://naturevector.ru/wp-content/uploads/2023/12/mol9066.jpg</t>
  </si>
  <si>
    <t>https://naturevector.ru/wp-content/uploads/2023/12/mol9127.jpg</t>
  </si>
  <si>
    <t>https://naturevector.ru/wp-content/uploads/2023/12/mol9073.jpg</t>
  </si>
  <si>
    <t>https://naturevector.ru/wp-content/uploads/2023/12/mol9059.jpg</t>
  </si>
  <si>
    <t>https://naturevector.ru/wp-content/uploads/2023/12/mol9035.jpg</t>
  </si>
  <si>
    <t>https://naturevector.ru/wp-content/uploads/2023/12/sk_antidiabet-1735x975-f7a.jpg</t>
  </si>
  <si>
    <t>https://naturevector.ru/wp-content/uploads/2023/12/sk_sgr_ochishhayushhaya-1735x975-5b3.jpg</t>
  </si>
  <si>
    <t>https://naturevector.ru/wp-content/uploads/2023/12/cc2843a18533890439c60191bae75556.jpg</t>
  </si>
  <si>
    <t>https://naturevector.ru/wp-content/uploads/2023/12/6166cc0627737ea9a414d075d0c08c5e.jpg</t>
  </si>
  <si>
    <t>https://naturevector.ru/wp-content/uploads/2023/12/87b4e0a6c5fa47cfbf6af24b42dee396.jpg</t>
  </si>
  <si>
    <t>https://naturevector.ru/wp-content/uploads/2023/12/4e345bd8c027aa014841ec06278a544f.jpg</t>
  </si>
  <si>
    <t>https://naturevector.ru/wp-content/uploads/2023/12/e95963f81139b18708ba92f35c8be08e.jpg</t>
  </si>
  <si>
    <t>https://naturevector.ru/wp-content/uploads/2023/12/a38ec20649cc148c1a6485caf7fb7e57.jpg</t>
  </si>
  <si>
    <t>https://naturevector.ru/wp-content/uploads/2023/12/f5f27542902a7c01c76e3ad0569a61ca.jpg</t>
  </si>
  <si>
    <t>https://naturevector.ru/wp-content/uploads/2023/12/20ccc85626baa9431ab60c141f96feb5.jpg</t>
  </si>
  <si>
    <t>https://naturevector.ru/wp-content/uploads/2023/12/98fcec29ee2e7970a41dfef1dddabfff.jpg</t>
  </si>
  <si>
    <t>https://naturevector.ru/wp-content/uploads/2023/12/45181.0x200.jpg</t>
  </si>
  <si>
    <t>https://naturevector.ru/wp-content/uploads/2023/12/dsc9440.jpg</t>
  </si>
  <si>
    <t>https://naturevector.ru/wp-content/uploads/2023/12/dsc9441.jpg</t>
  </si>
  <si>
    <t>https://naturevector.ru/wp-content/uploads/2023/12/sesame_tahini.jpg</t>
  </si>
  <si>
    <t>https://naturevector.ru/wp-content/uploads/2023/12/vk_sesame_halva_cane_sugar_01_enl.jpg</t>
  </si>
  <si>
    <t>https://naturevector.ru/wp-content/uploads/2023/12/3WzHFs4iyUs-228x228-1.jpg</t>
  </si>
  <si>
    <t>https://naturevector.ru/wp-content/uploads/2023/12/halva2.jpg</t>
  </si>
  <si>
    <t>https://naturevector.ru/wp-content/uploads/2023/12/6276316.jpg</t>
  </si>
  <si>
    <t>https://naturevector.ru/wp-content/uploads/2023/12/nB-twyI68bg-228x228-1.jpg</t>
  </si>
  <si>
    <t>https://naturevector.ru/wp-content/uploads/2023/12/sushka-len-fr.jpg</t>
  </si>
  <si>
    <t>https://naturevector.ru/wp-content/uploads/2023/12/sushka-morkov-fr.jpg</t>
  </si>
  <si>
    <t>https://naturevector.ru/wp-content/uploads/2023/12/sushka-chesnok.jpg</t>
  </si>
  <si>
    <t>https://naturevector.ru/wp-content/uploads/2024/03/d0b1d0bed18fd180d0bad0b0.jpg</t>
  </si>
  <si>
    <t>https://naturevector.ru/wp-content/uploads/2024/03/d0b2d0b8d188d0bdd18f.jpg</t>
  </si>
  <si>
    <t>https://naturevector.ru/wp-content/uploads/2024/03/d0bed0b1d0bbd0b5d0bfd0b8d185d0b0-2.jpg</t>
  </si>
  <si>
    <t>https://naturevector.ru/wp-content/uploads/2024/03/d188d0b8d0bfd0bed0b2d0bdd0b8d0ba.jpg</t>
  </si>
  <si>
    <t>https://naturevector.ru/wp-content/uploads/2023/12/h6qgetm74xemjvk91fb5kgqzm4saoi24.jpg</t>
  </si>
  <si>
    <t>https://naturevector.ru/wp-content/uploads/2023/12/ovar2e62pfy96ykzmdevi9ss732ds5sy.jpg</t>
  </si>
  <si>
    <t>https://naturevector.ru/wp-content/uploads/2023/12/f3eb044e879a1c991d42a81bd3b676ce.jpg</t>
  </si>
  <si>
    <t>https://naturevector.ru/wp-content/uploads/2023/12/50bf0d513758329dbd94c28ad0573601.jpg</t>
  </si>
  <si>
    <t>https://naturevector.ru/wp-content/uploads/2023/12/3401.970.jpg</t>
  </si>
  <si>
    <t>https://naturevector.ru/wp-content/uploads/2023/12/3402.970.jpg</t>
  </si>
  <si>
    <t>https://naturevector.ru/wp-content/uploads/2023/12/56_1453637088.jpg</t>
  </si>
  <si>
    <t>https://naturevector.ru/wp-content/uploads/2023/12/1_1453345333.jpg</t>
  </si>
  <si>
    <t>https://naturevector.ru/wp-content/uploads/2023/12/2_1453345348.jpg</t>
  </si>
  <si>
    <t>https://naturevector.ru/wp-content/uploads/2023/12/3_1453345363.jpg</t>
  </si>
  <si>
    <t>https://naturevector.ru/wp-content/uploads/2023/12/4_1453345406.jpg</t>
  </si>
  <si>
    <t>https://naturevector.ru/wp-content/uploads/2023/12/6_1453345433.jpg</t>
  </si>
  <si>
    <t>https://naturevector.ru/wp-content/uploads/2023/12/57_1453637160.jpg</t>
  </si>
  <si>
    <t>https://naturevector.ru/wp-content/uploads/2023/12/7_1453345445.jpg</t>
  </si>
  <si>
    <t>https://naturevector.ru/wp-content/uploads/2023/12/natur.jpg</t>
  </si>
  <si>
    <t>https://naturevector.ru/wp-content/uploads/2023/12/apple.jpg</t>
  </si>
  <si>
    <t>https://naturevector.ru/wp-content/uploads/2023/12/large_8_D0BCD18FD181D0BE.jpg</t>
  </si>
  <si>
    <t>https://naturevector.ru/wp-content/uploads/2023/12/large_8_D184D0B0D180D188.jpg</t>
  </si>
  <si>
    <t>https://naturevector.ru/wp-content/uploads/2023/12/large_8_D188D0BDD0B8D186D0B5D0BBD18C.jpg</t>
  </si>
  <si>
    <t>https://naturevector.ru/wp-content/uploads/2023/12/Khlebtsi_mini_5.jpg</t>
  </si>
  <si>
    <t>https://naturevector.ru/wp-content/uploads/2023/12/Khlebtsi_mini_2.jpg</t>
  </si>
  <si>
    <t>https://naturevector.ru/wp-content/uploads/2023/12/Khlebtsi_mini_1000_1000.jpg</t>
  </si>
  <si>
    <t>https://naturevector.ru/wp-content/uploads/2023/12/02_Khlebtsi_grech_ris.jpg</t>
  </si>
  <si>
    <t>https://naturevector.ru/wp-content/uploads/2023/12/01_Khlebtsi_kukuruzn.jpg</t>
  </si>
  <si>
    <t>https://naturevector.ru/wp-content/uploads/2023/12/03_Khlebtsi_ris.jpg</t>
  </si>
  <si>
    <t>https://naturevector.ru/wp-content/uploads/2023/12/2_Shariki_grech-ris.jpg</t>
  </si>
  <si>
    <t>https://naturevector.ru/wp-content/uploads/2023/12/goods1.jpg</t>
  </si>
  <si>
    <t>https://naturevector.ru/wp-content/uploads/2023/12/1_Shariki_kukuruza.jpg</t>
  </si>
  <si>
    <t>https://naturevector.ru/wp-content/uploads/2023/12/4_Shariki_risovo_kukuruz-1.jpg</t>
  </si>
  <si>
    <t>https://naturevector.ru/wp-content/uploads/2023/12/3_Shariki_ris.jpg</t>
  </si>
  <si>
    <t>https://naturevector.ru/wp-content/uploads/2023/12/5219.970.jpg</t>
  </si>
  <si>
    <t>https://naturevector.ru/wp-content/uploads/2023/12/9.jpg</t>
  </si>
  <si>
    <t>https://naturevector.ru/wp-content/uploads/2023/12/obrabotka_03_rastoropsha_02_shrot.jpg</t>
  </si>
  <si>
    <t>https://naturevector.ru/wp-content/uploads/2023/12/DSC_5645.jpg</t>
  </si>
  <si>
    <t>https://naturevector.ru/wp-content/uploads/2023/12/steviya-kubiki-220-g.jpg</t>
  </si>
  <si>
    <t>https://naturevector.ru/wp-content/uploads/2023/12/stevia-sashe-25.jpg</t>
  </si>
  <si>
    <t>https://naturevector.ru/wp-content/uploads/2023/12/DSC_5619-300x451-1.jpg</t>
  </si>
  <si>
    <t>https://naturevector.ru/wp-content/uploads/2023/12/D182D0B0D0B1D0BBD0B5D182D0BAD0B8-400-300x422-1.jpg</t>
  </si>
  <si>
    <t>https://naturevector.ru/wp-content/uploads/2023/12/1016939066.jpg</t>
  </si>
  <si>
    <t>https://naturevector.ru/wp-content/uploads/2023/12/1017454793.jpg</t>
  </si>
  <si>
    <t>https://naturevector.ru/wp-content/uploads/2023/12/dzhemklubnika-800x800-1.jpg</t>
  </si>
  <si>
    <t>https://naturevector.ru/wp-content/uploads/2023/12/05132.jpg</t>
  </si>
  <si>
    <t>https://naturevector.ru/wp-content/uploads/2023/12/6362.970.jpg</t>
  </si>
  <si>
    <t>https://naturevector.ru/wp-content/uploads/2023/12/05131.jpg</t>
  </si>
  <si>
    <t>https://naturevector.ru/wp-content/uploads/2023/12/6359.970.jpg</t>
  </si>
  <si>
    <t>https://naturevector.ru/wp-content/uploads/2023/12/a39b2b82f1d13d20750460494c2ead59.jpg</t>
  </si>
  <si>
    <t>https://naturevector.ru/wp-content/uploads/2023/12/2fe45c607dae905fa28e93d2b221fa83.jpg</t>
  </si>
  <si>
    <t>https://naturevector.ru/wp-content/uploads/2023/12/quot-jeko-pastila-quot-smokva-fruktovaya-pastila-slivovaya-30gr.jpg</t>
  </si>
  <si>
    <t>https://naturevector.ru/wp-content/uploads/2023/12/quot-jeko-pastila-quot-smokva-fruktovaya-pastila-yablochnaya-s-vishnej-30gr.jpg</t>
  </si>
  <si>
    <t>https://naturevector.ru/wp-content/uploads/2023/12/quot-jeko-pastila-quot-smokva-fruktovaya-pastila-yablochnaya-s-klubnikoj-30gr.jpg</t>
  </si>
  <si>
    <t>https://naturevector.ru/wp-content/uploads/2023/12/quot-jeko-pastila-quot-smokva-fruktovaya-pastila-yablochnaya-s-malinoj-30gr.jpg</t>
  </si>
  <si>
    <t>https://naturevector.ru/wp-content/uploads/2023/12/819939744.jpg</t>
  </si>
  <si>
    <t>https://naturevector.ru/wp-content/uploads/2023/12/819939776.jpg</t>
  </si>
  <si>
    <t>https://naturevector.ru/wp-content/uploads/2023/12/819939796.jpg</t>
  </si>
  <si>
    <t>https://naturevector.ru/wp-content/uploads/2023/12/819939806.jpg</t>
  </si>
  <si>
    <t>https://naturevector.ru/wp-content/uploads/2023/12/819939380.jpg</t>
  </si>
  <si>
    <t>https://naturevector.ru/wp-content/uploads/2023/12/819939874.jpg</t>
  </si>
  <si>
    <t>https://naturevector.ru/wp-content/uploads/2023/12/t2g9o0t0edc40cgcwwc4ksc44wo4s8-900x900-1.jpg</t>
  </si>
  <si>
    <t>https://naturevector.ru/wp-content/uploads/2023/12/sol_krupnaya.jpg</t>
  </si>
  <si>
    <t>https://naturevector.ru/wp-content/uploads/2023/12/sol_r.jpg</t>
  </si>
  <si>
    <t>https://naturevector.ru/wp-content/uploads/2023/12/D091D0B5D0B7_D0B8D0BCD0B5D0BDD0B8-6.jpg</t>
  </si>
  <si>
    <t>https://naturevector.ru/wp-content/uploads/2023/12/D091D0B5D0B7_D0B8D0BCD0B5D0BDD0B8-9.jpg</t>
  </si>
  <si>
    <t>https://naturevector.ru/wp-content/uploads/2023/12/D091D0B5D0B7_D0B8D0BCD0B5D0BDD0B8-3.jpg</t>
  </si>
  <si>
    <t>https://naturevector.ru/wp-content/uploads/2023/12/D091D0B5D0B7_D0B8D0BCD0B5D0BDD0B8-11.jpg</t>
  </si>
  <si>
    <t>https://naturevector.ru/wp-content/uploads/2023/12/D0A4D0A7_3_D0A1D18BD180D0B0D09BD183D0BAD0A4D180D0BED0BDD182.jpg</t>
  </si>
  <si>
    <t>https://naturevector.ru/wp-content/uploads/2023/12/D0A4D0A7_3_D0A1D18BD180D0B0D0A2D0BED0BCD0B0D182D0A4D180D0BED0BDD182.jpg</t>
  </si>
  <si>
    <t>https://naturevector.ru/wp-content/uploads/2023/12/D091D0B5D0B7_D0B8D0BCD0B5D0BDD0B8-1.jpg</t>
  </si>
  <si>
    <t>https://naturevector.ru/wp-content/uploads/2023/12/D091D0B5D0B7_D0B8D0BCD0B5D0BDD0B8-4.jpg</t>
  </si>
  <si>
    <t>https://naturevector.ru/wp-content/uploads/2023/12/00-00001611.jpg</t>
  </si>
  <si>
    <t>https://naturevector.ru/wp-content/uploads/2023/12/00-00001614.jpg</t>
  </si>
  <si>
    <t>https://naturevector.ru/wp-content/uploads/2023/12/5_.jpg</t>
  </si>
  <si>
    <t>https://naturevector.ru/wp-content/uploads/2023/12/00-00001613.jpg</t>
  </si>
  <si>
    <t>https://naturevector.ru/wp-content/uploads/2023/12/00-00001612.jpg</t>
  </si>
  <si>
    <t>https://naturevector.ru/wp-content/uploads/2023/12/maslo-zarodyshey-pshenitsy-600x600-1.jpg</t>
  </si>
  <si>
    <t>https://naturevector.ru/wp-content/uploads/2023/12/410009898.jpg</t>
  </si>
  <si>
    <t>https://naturevector.ru/wp-content/uploads/2023/12/37137ad4bf93aec4797fff9da32a950f.jpg</t>
  </si>
  <si>
    <t>https://naturevector.ru/wp-content/uploads/2023/12/d2263f196ad9971cfe76f16106b1789c.jpg</t>
  </si>
  <si>
    <t>https://naturevector.ru/wp-content/uploads/2023/12/400085f66401765f2ee283713e5a932b.jpg</t>
  </si>
  <si>
    <t>https://naturevector.ru/wp-content/uploads/2023/12/99c8602d055a36841d1b7b02d1f22df1.jpg</t>
  </si>
  <si>
    <t>https://naturevector.ru/wp-content/uploads/2023/12/virosept-171x143-1.jpg</t>
  </si>
  <si>
    <t>https://naturevector.ru/wp-content/uploads/2023/12/D093D0BBD183D182D0B0D0BCD0BED0BB-D0B4D0B5D182D181D0BAD0B8D0B9-D181-D186D0B8D0BDD0BAD0BED0BC-171x143-1.jpg</t>
  </si>
  <si>
    <t>https://naturevector.ru/wp-content/uploads/2023/12/D09CD0B0D181D0BBD0BE-D181-D0B4D0BED0B7D0B0D182D0BED180D0BED0BC-4-73x300-1.jpg</t>
  </si>
  <si>
    <t>https://naturevector.ru/wp-content/uploads/2023/12/IMG_6451_1-300x282-1.jpg</t>
  </si>
  <si>
    <t>https://naturevector.ru/wp-content/uploads/2023/12/fundizol-300x284-1.jpg</t>
  </si>
  <si>
    <t>https://naturevector.ru/wp-content/uploads/2023/12/citralgin11-292x300-1.jpg</t>
  </si>
  <si>
    <t>https://naturevector.ru/wp-content/uploads/2023/12/fb4511184e509a704c8d81941567ce81.jpg</t>
  </si>
  <si>
    <t>https://naturevector.ru/wp-content/uploads/2023/12/82429d1858a85c3590ae5dc6fd83225f.jpg</t>
  </si>
  <si>
    <t>https://naturevector.ru/wp-content/uploads/2023/12/b850092eb2d2358ea70a4d1f6a64754b.jpg</t>
  </si>
  <si>
    <t>https://naturevector.ru/wp-content/uploads/2023/12/4b9b2021ee58df710b398fbf3de73be5.jpg</t>
  </si>
  <si>
    <t>https://naturevector.ru/wp-content/uploads/2023/12/d332b0ab215e3cfdc232bdf1b62dd6b3.jpg</t>
  </si>
  <si>
    <t>https://naturevector.ru/wp-content/uploads/2023/12/d8a6385a333285a871040fba271f8bb1.jpg</t>
  </si>
  <si>
    <t>https://naturevector.ru/wp-content/uploads/2023/12/0d2d896527d744a483a86f8ae4cfe1d4.jpg</t>
  </si>
  <si>
    <t>https://naturevector.ru/wp-content/uploads/2023/12/0fea0c2b79d6da901225050b72f4a574.jpg</t>
  </si>
  <si>
    <t>https://naturevector.ru/wp-content/uploads/2023/12/f3776817a0b7f19e8dbd7d0073886613.jpg</t>
  </si>
  <si>
    <t>https://naturevector.ru/wp-content/uploads/2023/12/3481666353fbf039ff6306df8ea7e358.jpg</t>
  </si>
  <si>
    <t>https://naturevector.ru/wp-content/uploads/2023/12/0f0c302f28abed8313dcbb0e1dd398f9.jpg</t>
  </si>
  <si>
    <t>https://naturevector.ru/wp-content/uploads/2023/12/c1225779369fb177dbc50289f4660891.jpg</t>
  </si>
  <si>
    <t>https://naturevector.ru/wp-content/uploads/2023/12/15bda02d7fb6d07018ea0220cdd91859.jpg</t>
  </si>
  <si>
    <t>https://naturevector.ru/wp-content/uploads/2023/12/b98d51aeffb8e70ba0ad9e4b3ac43ad9.jpg</t>
  </si>
  <si>
    <t>https://naturevector.ru/wp-content/uploads/2023/12/07d937cf63bd0cf22f8b62b011c8c763.jpg</t>
  </si>
  <si>
    <t>https://naturevector.ru/wp-content/uploads/2023/12/d0252fec1d68f497a4b4b52c3a6cd2aa.jpg</t>
  </si>
  <si>
    <t>https://naturevector.ru/wp-content/uploads/2023/12/b25da8c06813f513415ef546ad6ee61b.jpg</t>
  </si>
  <si>
    <t>https://naturevector.ru/wp-content/uploads/2023/12/94d5e73b04068e2d242cd37256d80abe.jpg</t>
  </si>
  <si>
    <t>https://naturevector.ru/wp-content/uploads/2023/12/71a2ef843c5f89f11ede984b9288e59f.jpg</t>
  </si>
  <si>
    <t>https://naturevector.ru/wp-content/uploads/2023/12/6b11bbb2e59ce8c64cea23aa83e1d807.jpg</t>
  </si>
  <si>
    <t>https://naturevector.ru/wp-content/uploads/2023/12/d2686a9dcd8dd46b86c1e5dd978199d3-324x324-1.jpg</t>
  </si>
  <si>
    <t>https://naturevector.ru/wp-content/uploads/2023/12/b1c546bcb1bb0d7b35c8805ad3a14e92.jpg</t>
  </si>
  <si>
    <t>https://naturevector.ru/wp-content/uploads/2023/12/3e99a7c35341f9518f5557fbbad973a0.jpg</t>
  </si>
  <si>
    <t>https://naturevector.ru/wp-content/uploads/2023/12/06947dd985ce4e215a65dc7aa935e025.jpg</t>
  </si>
  <si>
    <t>https://naturevector.ru/wp-content/uploads/2023/12/c74a2ee6b9d0e7f4e869001f3556f9a8.jpg</t>
  </si>
  <si>
    <t>https://naturevector.ru/wp-content/uploads/2023/12/dc384313f8de2d2e407681f7fbaf46b1.jpg</t>
  </si>
  <si>
    <t>https://naturevector.ru/wp-content/uploads/2023/12/4v3tvgm90mtzxl5ru7v6p2bwiq5uc56b.jpg</t>
  </si>
  <si>
    <t>https://naturevector.ru/wp-content/uploads/2024/03/d0b6d0b8d0bcd0bed0bbd0bed181d182d18c.jpg</t>
  </si>
  <si>
    <t>https://naturevector.ru/wp-content/uploads/2024/03/d181d0bcd0bed180d0bed0b4d0b8d0bdd0b0-1.jpg</t>
  </si>
  <si>
    <t>Дополнительная скидка 5% от первой колонки при закупке от 30.000 рублей</t>
  </si>
  <si>
    <t>https://naturevector.ru/wp-content/uploads/2023/09/b815ebf17da38e587ae43f661d875963.png</t>
  </si>
  <si>
    <t>https://naturevector.ru/wp-content/uploads/2023/09/914a898d45c0af0f86e849570609d50c.png</t>
  </si>
  <si>
    <t>https://naturevector.ru/wp-content/uploads/2023/09/908fd729138c408393fef26d3cccef41.png</t>
  </si>
  <si>
    <t>https://naturevector.ru/wp-content/uploads/2023/09/b622ffeb0aa73de5dca63f263e325ec7.png</t>
  </si>
  <si>
    <t>https://naturevector.ru/wp-content/uploads/2023/09/829974cbf134c0b73187c19ad7e47523.png</t>
  </si>
  <si>
    <t>https://naturevector.ru/wp-content/uploads/2023/09/cc54507480c744e802e5c60264e57347.png</t>
  </si>
  <si>
    <t>https://naturevector.ru/wp-content/uploads/2023/09/9eddb53875db51b295fdfed2ec637b6b.png</t>
  </si>
  <si>
    <t>https://naturevector.ru/wp-content/uploads/2023/09/dc2430d6eeb6d74fee73bd9ae0473c2b.png</t>
  </si>
  <si>
    <t>https://naturevector.ru/wp-content/uploads/2023/09/b30ef8378a024d692ad134f9db4d7b46.png</t>
  </si>
  <si>
    <t>https://naturevector.ru/wp-content/uploads/2023/09/8ee4189616c0d73c0e864507f6272303.png</t>
  </si>
  <si>
    <t>https://naturevector.ru/wp-content/uploads/2023/09/a3b2db9f272df3542ca05ead8d5b0ebd.png</t>
  </si>
  <si>
    <t>https://naturevector.ru/wp-content/uploads/2023/09/02e82ebd24099e54986a9d44b9d38c03.png</t>
  </si>
  <si>
    <t>https://naturevector.ru/wp-content/uploads/2023/09/ea023d5f85e86e95c8e79102b62b169a-1.png</t>
  </si>
  <si>
    <t>https://naturevector.ru/wp-content/uploads/2023/09/514a9a1df149e2af48a6a8b4ff8e9f3d.png</t>
  </si>
  <si>
    <t>https://naturevector.ru/wp-content/uploads/2023/09/4c5f4cc9a50bb44717ec61c06068d2cf.png</t>
  </si>
  <si>
    <t>https://naturevector.ru/wp-content/uploads/2023/09/97de809672319ad06c0964837b699888.png</t>
  </si>
  <si>
    <t>https://naturevector.ru/wp-content/uploads/2023/09/5865e9f95c2aad3532b97dc1902832f1.png</t>
  </si>
  <si>
    <t>https://naturevector.ru/wp-content/uploads/2023/09/f98ef91351597e909e117caf5faaf62c.png</t>
  </si>
  <si>
    <t>https://naturevector.ru/wp-content/uploads/2023/09/1878378a8d176f79fccabae217df84c9.png</t>
  </si>
  <si>
    <t>https://naturevector.ru/wp-content/uploads/2023/09/e093604fc644cc737db044f07596b8c1.png</t>
  </si>
  <si>
    <t>https://naturevector.ru/wp-content/uploads/2023/09/c00c8c7b0d1a83920ea32a8d5be4681b.png</t>
  </si>
  <si>
    <t>https://naturevector.ru/wp-content/uploads/2023/09/ae566c25de34ac6c2a5987d092c838b7.png</t>
  </si>
  <si>
    <t>https://naturevector.ru/wp-content/uploads/2023/09/31cef035407a42e6ab08d9ba1ee6a852.png</t>
  </si>
  <si>
    <t>https://naturevector.ru/wp-content/uploads/2023/09/uhod-i-krasota.png</t>
  </si>
  <si>
    <t>https://naturevector.ru/wp-content/uploads/2023/11/21.970.png</t>
  </si>
  <si>
    <t>https://naturevector.ru/wp-content/uploads/2023/11/26.970.png</t>
  </si>
  <si>
    <t>https://naturevector.ru/wp-content/uploads/2023/11/82f5534c895347bb38b553a1fff706ff.png</t>
  </si>
  <si>
    <t>https://naturevector.ru/wp-content/uploads/2023/11/29.970.png</t>
  </si>
  <si>
    <t>https://naturevector.ru/wp-content/uploads/2023/11/32674843dd81a55c275e3b042b798ad9.png</t>
  </si>
  <si>
    <t>https://naturevector.ru/wp-content/uploads/2023/11/39.970.png</t>
  </si>
  <si>
    <t>https://naturevector.ru/wp-content/uploads/2023/11/180.970.png</t>
  </si>
  <si>
    <t>https://naturevector.ru/wp-content/uploads/2023/11/id010547_00_w300.png</t>
  </si>
  <si>
    <t>https://naturevector.ru/wp-content/uploads/2023/11/32.970.png</t>
  </si>
  <si>
    <t>https://naturevector.ru/wp-content/uploads/2023/11/ed6ab46fdc44a7485481c91dcca1d1a5.png</t>
  </si>
  <si>
    <t>https://naturevector.ru/wp-content/uploads/2023/11/1516797661.png</t>
  </si>
  <si>
    <t>https://naturevector.ru/wp-content/uploads/2023/11/1528736065.png</t>
  </si>
  <si>
    <t>https://naturevector.ru/wp-content/uploads/2023/11/1528561580.png</t>
  </si>
  <si>
    <t>https://naturevector.ru/wp-content/uploads/2023/11/1528571195.png</t>
  </si>
  <si>
    <t>https://naturevector.ru/wp-content/uploads/2023/12/506163783639d01dc82f84fa94ce969b.png</t>
  </si>
  <si>
    <t>https://naturevector.ru/wp-content/uploads/2023/12/efe2b42067b289fa0a002f9d3006e985.png</t>
  </si>
  <si>
    <t>https://naturevector.ru/wp-content/uploads/2023/12/7b470cdcf83f41f51063d914cbdfa050.png</t>
  </si>
  <si>
    <t>https://naturevector.ru/wp-content/uploads/2023/12/c7d74b0c53d8837f2743528f9b1a035b.png</t>
  </si>
  <si>
    <t>https://naturevector.ru/wp-content/uploads/2023/12/0fb67b3899363ea3844704b01ed60da8.png</t>
  </si>
  <si>
    <t>https://naturevector.ru/wp-content/uploads/2023/12/00887ddb874d3f90f99a2cc651413b2e.png</t>
  </si>
  <si>
    <t>https://naturevector.ru/wp-content/uploads/2023/12/zhivica-kedrovaya-125_3_76f4920b42d3a32b9f41c1c4e6c5604d.png</t>
  </si>
  <si>
    <t>https://naturevector.ru/wp-content/uploads/2023/12/zhivica-kedrovaya-20_4_c262401e2697f48a27bb9164db57d858.png</t>
  </si>
  <si>
    <t>https://naturevector.ru/wp-content/uploads/2023/12/zhivica-kedrovaya-5_2_70f2ca06f1d6aaedb0ecc6b19238e55d.png</t>
  </si>
  <si>
    <t>https://naturevector.ru/wp-content/uploads/2023/12/8b79b46c5113ea8136d9df24e38f6e49.png</t>
  </si>
  <si>
    <t>https://naturevector.ru/wp-content/uploads/2023/12/487b2fce9b5c4c234fce80212c0dd3de.png</t>
  </si>
  <si>
    <t>https://naturevector.ru/wp-content/uploads/2023/12/blin_1.png</t>
  </si>
  <si>
    <t>https://naturevector.ru/wp-content/uploads/2023/12/eb988a23734559d7411185920d27d53d.png</t>
  </si>
  <si>
    <t>https://naturevector.ru/wp-content/uploads/2023/12/22cdcbe886ac0b32e9a4b53f75e3f8f8.png</t>
  </si>
  <si>
    <t>https://naturevector.ru/wp-content/uploads/2023/12/c8288489c157661b7bdad862e3a4878656686966.png</t>
  </si>
  <si>
    <t>https://naturevector.ru/wp-content/uploads/2023/12/5adb9d7842a36b0ad929394d28e2584b.png</t>
  </si>
  <si>
    <t>https://naturevector.ru/wp-content/uploads/2023/12/0032ca7f7d61ed8422316fbbe2dfeca1.png</t>
  </si>
  <si>
    <t>https://naturevector.ru/wp-content/uploads/2023/12/toplenoe-ghi-11.png</t>
  </si>
  <si>
    <t>https://naturevector.ru/wp-content/uploads/2023/12/D0BCD0B0D181D0BBD0BE-D182D0BED0BFD0BBD0B5D0BDD0BED0B5-D0B3D185D0B8.png</t>
  </si>
  <si>
    <t>https://naturevector.ru/wp-content/uploads/2023/12/image-4.png</t>
  </si>
  <si>
    <t>https://naturevector.ru/wp-content/uploads/2023/12/47c547ffd25ec95e595e4a0771dc5533.png</t>
  </si>
  <si>
    <t>https://naturevector.ru/wp-content/uploads/2023/12/352959452fbdf558a0ec2a7bca635570.png</t>
  </si>
  <si>
    <t>https://naturevector.ru/wp-content/uploads/2023/12/7e2f98fce245328fd34d0374567ec439.png</t>
  </si>
  <si>
    <t>https://naturevector.ru/wp-content/uploads/2023/12/2488059a8a2a1dde49dc092bb48c2574.png</t>
  </si>
  <si>
    <t>https://naturevector.ru/wp-content/uploads/2023/12/4135f044f91cae9e0edb37c6a366dc5f.png</t>
  </si>
  <si>
    <t>https://naturevector.ru/wp-content/uploads/2023/12/ddbfe9b97ed62b52d225104c45f4f1a8.png</t>
  </si>
  <si>
    <t>https://naturevector.ru/wp-content/uploads/2023/12/r0totldy2mk7bzjb0sx07o2ebopkpnvf.png</t>
  </si>
  <si>
    <t>https://naturevector.ru/wp-content/uploads/2023/12/007xua1dkll9zuc7uxyk8xpsiknrbxbm.png</t>
  </si>
  <si>
    <t>https://naturevector.ru/wp-content/uploads/2023/12/m8e6uiduc82nz8j6nab5pwocsi5dmykb.png</t>
  </si>
  <si>
    <t>https://naturevector.ru/wp-content/uploads/2023/12/maslo_kedrovoe_100_ml.png</t>
  </si>
  <si>
    <t>https://naturevector.ru/wp-content/uploads/2023/12/maslo_kedrovoe_250_ml.png</t>
  </si>
  <si>
    <t>https://naturevector.ru/wp-content/uploads/2023/12/maslo_konoplyanoe_100_ml.png</t>
  </si>
  <si>
    <t>https://naturevector.ru/wp-content/uploads/2023/12/maslo_konoplyanoe_250_ml.png</t>
  </si>
  <si>
    <t>https://naturevector.ru/wp-content/uploads/2023/12/maslo_kunzhutnoe_100_ml2.png</t>
  </si>
  <si>
    <t>https://naturevector.ru/wp-content/uploads/2023/12/maslo_kunzhutnoe_250_ml.png</t>
  </si>
  <si>
    <t>https://naturevector.ru/wp-content/uploads/2023/12/maslo_lna_100_ml.png</t>
  </si>
  <si>
    <t>https://naturevector.ru/wp-content/uploads/2023/12/maslo_lyanoe_250_ml.png</t>
  </si>
  <si>
    <t>https://naturevector.ru/wp-content/uploads/2023/12/maslo_oblepikhovoe_100_ml.png</t>
  </si>
  <si>
    <t>https://naturevector.ru/wp-content/uploads/2023/12/maslo_oblepikhovoe_250_ml.png</t>
  </si>
  <si>
    <t>https://naturevector.ru/wp-content/uploads/2023/12/maslo_rastoropshi_100_ml_jpg.png</t>
  </si>
  <si>
    <t>https://naturevector.ru/wp-content/uploads/2023/12/maslo_rastoropshi_250_ml_jpg.png</t>
  </si>
  <si>
    <t>https://naturevector.ru/wp-content/uploads/2023/12/maslo_chia_100ml.png</t>
  </si>
  <si>
    <t>https://naturevector.ru/wp-content/uploads/2023/12/4ai-batir-3.png</t>
  </si>
  <si>
    <t>https://naturevector.ru/wp-content/uploads/2023/12/4ai-gorni-reki-3.png</t>
  </si>
  <si>
    <t>https://naturevector.ru/wp-content/uploads/2023/12/4ai-gracia-3.png</t>
  </si>
  <si>
    <t>https://naturevector.ru/wp-content/uploads/2023/12/4ai-dobroe-ytro-3.png</t>
  </si>
  <si>
    <t>https://naturevector.ru/wp-content/uploads/2023/12/w480.png</t>
  </si>
  <si>
    <t>https://naturevector.ru/wp-content/uploads/2023/12/D0B0D0BBD182D18BD0BD-D0B1D0B0D0B9-D0BAD0BBD0B0D181D181D0B8D187D0B5D181D0BAD0B8D0B9.png</t>
  </si>
  <si>
    <t>https://naturevector.ru/wp-content/uploads/2023/12/4ai-letnaya-noch-3.png</t>
  </si>
  <si>
    <t>https://naturevector.ru/wp-content/uploads/2023/12/4ai-rodnikovi-3.png</t>
  </si>
  <si>
    <t>https://naturevector.ru/wp-content/uploads/2023/12/4ai-svobodnoe-dihanie-3.png</t>
  </si>
  <si>
    <t>https://naturevector.ru/wp-content/uploads/2023/12/4ai-snejni-vershini-3.png</t>
  </si>
  <si>
    <t>https://naturevector.ru/wp-content/uploads/2023/12/4ai-solne4ni-3.png</t>
  </si>
  <si>
    <t>https://naturevector.ru/wp-content/uploads/2023/12/milo-kedrovoe-2.png</t>
  </si>
  <si>
    <t>https://naturevector.ru/wp-content/uploads/2023/12/milo-mojjevel-2.png</t>
  </si>
  <si>
    <t>https://naturevector.ru/wp-content/uploads/2023/12/milo-pihtovoe-2.png</t>
  </si>
  <si>
    <t>https://naturevector.ru/wp-content/uploads/2023/12/mo4alka-gol-glina-2.png</t>
  </si>
  <si>
    <t>https://naturevector.ru/wp-content/uploads/2023/12/mo4alka-kedrovaya-2.png</t>
  </si>
  <si>
    <t>https://naturevector.ru/wp-content/uploads/2023/12/mo4alka-medovaya-2.png</t>
  </si>
  <si>
    <t>https://naturevector.ru/wp-content/uploads/2023/12/mo4alka-mojjevel-2.png</t>
  </si>
  <si>
    <t>https://naturevector.ru/wp-content/uploads/2023/12/mo4alka-mymie-2.png</t>
  </si>
  <si>
    <t>https://naturevector.ru/wp-content/uploads/2023/12/mo4alka-oblepiha-2.png</t>
  </si>
  <si>
    <t>https://naturevector.ru/wp-content/uploads/2023/12/mo4alka-pihtovaya-2.png</t>
  </si>
  <si>
    <t>https://naturevector.ru/wp-content/uploads/2023/12/6040900777.webp,,,,,,,,,0,Сташевское,Производитель,Сташевское,1,1,"Срок годности",12мес,1,1,Нумератор,1529,0,1,Коробка,10шт,1,1,Топ,572,0,1,ajax-product-importer,1,,,index,,,,</t>
  </si>
  <si>
    <t>https://naturevector.ru/wp-content/uploads/2023/12/16904c45c359cf9bad9d0a2d2ffd7a5d.png</t>
  </si>
  <si>
    <t>https://naturevector.ru/wp-content/uploads/2023/12/on3lbznpvwbj1lxzlo7vk2vmsygks89i.png</t>
  </si>
  <si>
    <t>https://naturevector.ru/wp-content/uploads/2023/12/a2opjjh06v5e4p446vz06si52nyuhesu.png</t>
  </si>
  <si>
    <t>https://naturevector.ru/wp-content/uploads/2023/12/xo71oppxiyvc5hjbwnwsgpbyogjsjrsg.png</t>
  </si>
  <si>
    <t>https://naturevector.ru/wp-content/uploads/2023/12/q13o8uwiq1xqf92ai32ny9yd8fwnasat.png</t>
  </si>
  <si>
    <t>https://naturevector.ru/wp-content/uploads/2023/12/027vmh7zzwm02sgwgtgae0ejqc4tav52.png</t>
  </si>
  <si>
    <t>https://naturevector.ru/wp-content/uploads/2023/12/abrikos_ZM_.png</t>
  </si>
  <si>
    <t>https://naturevector.ru/wp-content/uploads/2023/12/arahis_ZM_.png</t>
  </si>
  <si>
    <t>https://naturevector.ru/wp-content/uploads/2023/12/gretskiy_ZM_.png</t>
  </si>
  <si>
    <t>https://naturevector.ru/wp-content/uploads/2023/12/kesh_yu_ZM_.png</t>
  </si>
  <si>
    <t>https://naturevector.ru/wp-content/uploads/2023/12/len_bio_ZM__kokos__1.png</t>
  </si>
  <si>
    <t>https://naturevector.ru/wp-content/uploads/2023/12/kunzhut_ZM_.png</t>
  </si>
  <si>
    <t>https://naturevector.ru/wp-content/uploads/2023/12/len_bio_ZM_-240x324-1.png</t>
  </si>
  <si>
    <t>https://naturevector.ru/wp-content/uploads/2023/12/mindal__ZM_.png</t>
  </si>
  <si>
    <t>https://naturevector.ru/wp-content/uploads/2023/12/podsolnuh_ZM_.png</t>
  </si>
  <si>
    <t>https://naturevector.ru/wp-content/uploads/2023/12/tykva_ZM_.png</t>
  </si>
  <si>
    <t>https://naturevector.ru/wp-content/uploads/2023/12/large_Makaroshki_so_shpinatom_1000_png.png</t>
  </si>
  <si>
    <t>https://naturevector.ru/wp-content/uploads/2023/12/7d966dcc27e2c3a00bb84edda98056d1.png</t>
  </si>
  <si>
    <t>https://naturevector.ru/wp-content/uploads/2023/12/large_Makaroshki_trikolor_1000_png.png</t>
  </si>
  <si>
    <t>https://naturevector.ru/wp-content/uploads/2023/12/375-shishka.tn-570x900.e5d4685829.png</t>
  </si>
  <si>
    <t>https://naturevector.ru/wp-content/uploads/2023/12/9349.png</t>
  </si>
  <si>
    <t>https://naturevector.ru/wp-content/uploads/2023/12/9462.png</t>
  </si>
  <si>
    <t>https://naturevector.ru/wp-content/uploads/2023/12/70020.png</t>
  </si>
  <si>
    <t>https://naturevector.ru/wp-content/uploads/2023/12/universalniy-pyatnovivoditel-karandash-big.png</t>
  </si>
  <si>
    <t>https://naturevector.ru/wp-content/uploads/2023/12/milo-mango.png</t>
  </si>
  <si>
    <t>https://naturevector.ru/wp-content/uploads/2023/12/Detox-1735x975-251.png</t>
  </si>
  <si>
    <t>https://naturevector.ru/wp-content/uploads/2023/12/lnyanayafrukty-1735x975-4f6.png</t>
  </si>
  <si>
    <t>https://naturevector.ru/wp-content/uploads/2023/12/lnyanayachernika-1735x975-2dc.png</t>
  </si>
  <si>
    <t>https://naturevector.ru/wp-content/uploads/2023/12/lnyanayayagody-1735x975-a61.png</t>
  </si>
  <si>
    <t>https://naturevector.ru/wp-content/uploads/2023/12/vitaminnayapolyana-1735x975-407.png</t>
  </si>
  <si>
    <t>https://naturevector.ru/wp-content/uploads/2023/12/sk_zdorovayapechen-1735x975-21f.png</t>
  </si>
  <si>
    <t>https://naturevector.ru/wp-content/uploads/2023/12/zolotojvozrast-1735x975-f17.png</t>
  </si>
  <si>
    <t>https://naturevector.ru/wp-content/uploads/2023/12/sk_kedrovyjoreshek-1735x975-f73.png</t>
  </si>
  <si>
    <t>https://naturevector.ru/wp-content/uploads/2023/12/korzinkazdorovya-1735x975-053.png</t>
  </si>
  <si>
    <t>https://naturevector.ru/wp-content/uploads/2023/12/sk_srastoropshej-1735x975-7d6.png</t>
  </si>
  <si>
    <t>https://naturevector.ru/wp-content/uploads/2023/12/sk_sgr_stop-appetit-1735x975-016.png</t>
  </si>
  <si>
    <t>https://naturevector.ru/wp-content/uploads/2023/12/superbrusnika-1735x975-3c5.png</t>
  </si>
  <si>
    <t>https://naturevector.ru/wp-content/uploads/2023/12/superchernika-1735x975-f39.png</t>
  </si>
  <si>
    <t>https://naturevector.ru/wp-content/uploads/2023/12/yabloko-1735x975-2c1.png</t>
  </si>
  <si>
    <t>https://naturevector.ru/wp-content/uploads/2023/12/korobka-myata_klubnika_smorodina_2-1735x975-648.png</t>
  </si>
  <si>
    <t>https://naturevector.ru/wp-content/uploads/2023/12/SPORT_2-1735x975-f99.png</t>
  </si>
  <si>
    <t>https://naturevector.ru/wp-content/uploads/2023/12/D0BA5.png</t>
  </si>
  <si>
    <t>https://naturevector.ru/wp-content/uploads/2023/12/D0BA6-600x600-1.png</t>
  </si>
  <si>
    <t>https://naturevector.ru/wp-content/uploads/2023/12/D87B98FE-5276-4662-B0CB-06C259799D2A.png</t>
  </si>
  <si>
    <t>https://naturevector.ru/wp-content/uploads/2023/12/11.png</t>
  </si>
  <si>
    <t>https://naturevector.ru/wp-content/uploads/2023/12/8.png</t>
  </si>
  <si>
    <t>https://naturevector.ru/wp-content/uploads/2023/12/10.png</t>
  </si>
  <si>
    <t>https://naturevector.ru/wp-content/uploads/2023/12/D0BA2.png</t>
  </si>
  <si>
    <t>https://naturevector.ru/wp-content/uploads/2023/12/6na4pz88cb3oq6zxw4ghpdxtf0v2gzih.png</t>
  </si>
  <si>
    <t>https://naturevector.ru/wp-content/uploads/2023/12/a5i2w1b9ayqai5l69uwj24fsug9czi27.png</t>
  </si>
  <si>
    <t>https://naturevector.ru/wp-content/uploads/2023/12/h50csl8ni2lbj5nnfww9gx1zvvo4a51u.png</t>
  </si>
  <si>
    <t>https://naturevector.ru/wp-content/uploads/2023/12/zrvbrimvdn1zco7ahnau370mnerqb72t.png</t>
  </si>
  <si>
    <t>https://naturevector.ru/wp-content/uploads/2023/12/xzpuakusadxywkd0fycg9hifq0w94gnn.png</t>
  </si>
  <si>
    <t>https://naturevector.ru/wp-content/uploads/2023/12/5xcr9z2mubdxtzp5c2cmssxi8gbh7gex.png</t>
  </si>
  <si>
    <t>https://naturevector.ru/wp-content/uploads/2023/12/pi5g7khujhn4ra9oyy1zyayfn22xgghc.png</t>
  </si>
  <si>
    <t>https://naturevector.ru/wp-content/uploads/2023/12/92ncj1zgz4d8bdov7g4p5lpp16p2zx5b.png</t>
  </si>
  <si>
    <t>https://naturevector.ru/wp-content/uploads/2023/12/176.png</t>
  </si>
  <si>
    <t>https://naturevector.ru/wp-content/uploads/2023/12/190.png</t>
  </si>
  <si>
    <t>https://naturevector.ru/wp-content/uploads/2023/12/191.png</t>
  </si>
  <si>
    <t>https://naturevector.ru/wp-content/uploads/2023/12/186.png</t>
  </si>
  <si>
    <t>https://naturevector.ru/wp-content/uploads/2023/12/quot-jeko-pastila-quot-smokva-fruktovaya-pastila-yablochnaya-30gr.png</t>
  </si>
  <si>
    <t>https://naturevector.ru/wp-content/uploads/2023/12/quot-jeko-pastila-quot-smokva-fruktovaya-pastila-yablochno-abrikosovaya-30gr.png</t>
  </si>
  <si>
    <t>https://naturevector.ru/wp-content/uploads/2023/12/quot-jeko-pastila-quot-smokva-fruktovaya-pastila-yablochnaya-s-brusnikoj-30gr.png</t>
  </si>
  <si>
    <t>https://naturevector.ru/wp-content/uploads/2023/12/quot-jeko-pastila-quot-smokva-fruktovaya-pastila-yablochnaya-s-klyukvoj-30gr.png</t>
  </si>
  <si>
    <t>https://naturevector.ru/wp-content/uploads/2023/12/quot-jeko-pastila-quot-smokva-fruktovaya-pastila-yablochno-slivovaya-30gr.png</t>
  </si>
  <si>
    <t>https://naturevector.ru/wp-content/uploads/2023/12/quot-jeko-pastila-quot-smokva-fruktovaya-pastila-yablochnaya-so-smorodinoj-30gr.png</t>
  </si>
  <si>
    <t>https://naturevector.ru/wp-content/uploads/2023/12/D0A4D0A7_D0BFD0B0D0BFD180D0B8D0BAD0B0D0B6D0B5D0BBD182D0B0D18F.png</t>
  </si>
  <si>
    <t>https://naturevector.ru/wp-content/uploads/2023/12/Flajchipsy-zernovye-s-tomatom-i-italyanskimi-travami.png</t>
  </si>
  <si>
    <t>https://naturevector.ru/wp-content/uploads/2023/12/adovkoren.png</t>
  </si>
  <si>
    <t>https://naturevector.ru/wp-content/uploads/2023/12/sustavnik.png</t>
  </si>
  <si>
    <t>https://naturevector.ru/wp-content/uploads/2023/12/lavr-3.png</t>
  </si>
  <si>
    <t>https://naturevector.ru/wp-content/uploads/2023/12/barhat-3.png</t>
  </si>
  <si>
    <t>https://naturevector.ru/wp-content/uploads/2023/12/mk-3.png</t>
  </si>
  <si>
    <t>https://naturevector.ru/wp-content/uploads/2023/12/D090D09620barsuk-str.png</t>
  </si>
  <si>
    <t>https://naturevector.ru/wp-content/uploads/2023/12/5bc7405bbc6836e961579900_Almond-milk-coconut-p-1080.jpeg</t>
  </si>
  <si>
    <t>https://naturevector.ru/wp-content/uploads/2023/12/014b7e27-ac0f-11e6-82b5-08626636ef8e_f7bf4504-b707-11e7-82f0-08626636ef8e.jpeg</t>
  </si>
  <si>
    <t>https://naturevector.ru/wp-content/uploads/2023/12/0aa74a6d-9c6c-48c7-8a22-5b4ff70f6f57-681x1024-1.jpeg</t>
  </si>
  <si>
    <t>https://naturevector.ru/wp-content/uploads/2023/12/affac83b-39c9-4b02-bb0c-b61686485e4b-681x1024-1.jpeg</t>
  </si>
  <si>
    <t>https://naturevector.ru/wp-content/uploads/2023/12/bc218506-2758-479f-95d8-2ad792e3e97d-681x1024-1.jpeg</t>
  </si>
  <si>
    <t>Берестов</t>
  </si>
  <si>
    <t>Берестов А.С.</t>
  </si>
  <si>
    <t>Сибереко</t>
  </si>
  <si>
    <t>Сахарозаменитель</t>
  </si>
  <si>
    <t>Мука полбы цельнозерновая, масло кокосовое рафинированное дезодорированное, пищевая добавка мальтитол (Сахарозаменитель), какао порошок, эмульгатор (лецитин соевый), растительные пшеничные волокна, разрыхлитель (гидрокарбонат натрия (сода пищевая)), соль морская, экстракт стевии Ребаудиозид А</t>
  </si>
  <si>
    <t>https://naturevector.ru/wp-content/uploads/2023/12/62trrqlb4pjcob83w01xidk8mrt3tu34.webp</t>
  </si>
  <si>
    <t>https://naturevector.ru/wp-content/uploads/2023/12/87ed676113cd81ecddc2b68a3892458e.jpeg</t>
  </si>
  <si>
    <t>https://naturevector.ru/wp-content/uploads/2023/12/THaiSTyle_New_nov201.jpeg</t>
  </si>
  <si>
    <t>https://naturevector.ru/wp-content/uploads/2023/12/5bc740435634cc321bca4ac0_Almond-milk-p-1080.jpeg</t>
  </si>
  <si>
    <t>https://naturevector.ru/wp-content/uploads/2023/12/5e2590e42e290cf9a5dc0e2e_Rice-oil-500-p-1080.jpeg</t>
  </si>
  <si>
    <t>https://naturevector.ru/wp-content/uploads/2023/12/vietnam.jpeg</t>
  </si>
  <si>
    <t>https://naturevector.ru/wp-content/uploads/2023/12/dressing.jpeg</t>
  </si>
  <si>
    <t>https://naturevector.ru/wp-content/uploads/2023/12/306_0.jpeg</t>
  </si>
  <si>
    <t>https://naturevector.ru/wp-content/uploads/2023/12/zakvaska-bezdrozh.jpeg</t>
  </si>
  <si>
    <t>БАД</t>
  </si>
  <si>
    <t>Злаки Сибири</t>
  </si>
  <si>
    <t>Нутсы</t>
  </si>
  <si>
    <t>зеленый чай, бессмертник (цветки), репешок (трава), спорыш (трава), цикорий (трава), расторопша (плоды), отруби (пшеничные)</t>
  </si>
  <si>
    <t>зеленый чай, шиповник (плоды), крапива (лист), черная смородина (лист), рябина (плоды), мята (лист), каркаде (цветки), отруби (пшеничные)</t>
  </si>
  <si>
    <t>О самом главном</t>
  </si>
  <si>
    <t>О самом главном (Фитокод)</t>
  </si>
  <si>
    <t>Алтайский нектар</t>
  </si>
  <si>
    <t>Каса Кубана</t>
  </si>
  <si>
    <t>Каса Кубана (Casa Kubana)</t>
  </si>
  <si>
    <t>Фруктовый лаваш</t>
  </si>
  <si>
    <t>Фрутилад</t>
  </si>
  <si>
    <t>Nutvill</t>
  </si>
  <si>
    <t>Нутвилл (Nutvill)</t>
  </si>
  <si>
    <t>Я Стевия</t>
  </si>
  <si>
    <t>https://naturevector.ru/wp-content/uploads/2023/12/mukofitin-171x143-1.gif</t>
  </si>
  <si>
    <t>Пища богов (Theobroma)</t>
  </si>
  <si>
    <t>Пища_богов</t>
  </si>
  <si>
    <t>Белое_дерево</t>
  </si>
  <si>
    <t>Печенье "Брауни" Bezglutini 96г</t>
  </si>
  <si>
    <t>Bezglutini</t>
  </si>
  <si>
    <t>http://1.c8804.nichost.ru/pics/20933.jpg</t>
  </si>
  <si>
    <t>http://1.c8804.nichost.ru/pics/20914.jpg</t>
  </si>
  <si>
    <t>http://1.c8804.nichost.ru/pics/20916.jpg</t>
  </si>
  <si>
    <t>http://1.c8804.nichost.ru/pics/20915.jpg</t>
  </si>
  <si>
    <t>мука рисовая; сироп топинамбур; масло кокосовое рафинированное; какао порошок; напиток кокосовый (переработанная мякоть кокоса, вода); мука льняная; эмульгатор – лецитин подсолнечный; соль пищевая; разрыхлитель – гидрокарбонат натрия (сода пищевая); ароматизатор натуральный "Какао с экстрактом какао-бобов"</t>
  </si>
  <si>
    <t>мука рисовая; сироп топинамбур; масло кокосовое рафинированное; какао порошок; напиток кокосовый (переработанная мякоть кокоса, вода); клубника сублимированная; мука льняная; эмульгатор – лецитин подсолнечный; разрыхлитель – гидрокарбонат натрия (сода пищевая); загуститель - ксантановая камедь соль пищевая; ароматизатор натуральный "Клубника"</t>
  </si>
  <si>
    <t>мука рисовая; сироп топинамбур; масло кокосовое рафинированное; какао порошок; ядра фундука дробленые; напиток кокосовый (мякоть кокоса, вода); мука льняная; эмульгатор – лецитин подсолнечный; разрыхлитель – гидрокарбонат натрия (сода пищевая); загуститель - ксантановая камедь; соль пищевая; ароматизатор натуральный "Какао с экстрактом какао-бобов"; ароматизатор натуральный "Фундук"</t>
  </si>
  <si>
    <t>кокосовая стружка; сахар; масло кокосовое; патока крахмальная; какао порошок; сухой яичный белок; глюкоза</t>
  </si>
  <si>
    <t>http://1.c8804.nichost.ru/pics/20945.jpg</t>
  </si>
  <si>
    <t>Воздушное зерно риса, шоколад горький без сахара (какао тертое, подсластитель мальтит, какао- масло, какао- порошок, инулин, эмульгатор (лецитин соевый), экстракт ванили, подсластитель стевиолгликозид).</t>
  </si>
  <si>
    <r>
      <t xml:space="preserve">Воздушный рис в </t>
    </r>
    <r>
      <rPr>
        <b/>
        <sz val="10"/>
        <rFont val="Calibri"/>
        <family val="2"/>
        <charset val="204"/>
        <scheme val="minor"/>
      </rPr>
      <t>молочном</t>
    </r>
    <r>
      <rPr>
        <sz val="10"/>
        <rFont val="Calibri"/>
        <family val="2"/>
        <scheme val="minor"/>
      </rPr>
      <t xml:space="preserve"> шоколаде, без сахара 25г</t>
    </r>
  </si>
  <si>
    <t>Паста шоколадно-ореховая с маслом ГХИ и полбой без сахара 380г</t>
  </si>
  <si>
    <t>http://1.c8804.nichost.ru/pics/20946.jpg</t>
  </si>
  <si>
    <r>
      <t xml:space="preserve">Конфеты </t>
    </r>
    <r>
      <rPr>
        <sz val="10"/>
        <rFont val="Calibri"/>
        <family val="2"/>
        <charset val="204"/>
        <scheme val="minor"/>
      </rPr>
      <t>Ассорти</t>
    </r>
    <r>
      <rPr>
        <b/>
        <sz val="10"/>
        <rFont val="Calibri"/>
        <family val="2"/>
        <scheme val="minor"/>
      </rPr>
      <t xml:space="preserve"> 30 вкусов</t>
    </r>
    <r>
      <rPr>
        <sz val="10"/>
        <rFont val="Calibri"/>
        <family val="2"/>
        <scheme val="minor"/>
      </rPr>
      <t>, шоу-бокс (38 конфет) 585г</t>
    </r>
  </si>
  <si>
    <t>http://1.c8804.nichost.ru/pics/20947.jpg</t>
  </si>
  <si>
    <r>
      <t xml:space="preserve">Конфеты Ассорти </t>
    </r>
    <r>
      <rPr>
        <b/>
        <sz val="10"/>
        <rFont val="Calibri"/>
        <family val="2"/>
        <charset val="204"/>
        <scheme val="minor"/>
      </rPr>
      <t>5 вкусов</t>
    </r>
    <r>
      <rPr>
        <sz val="10"/>
        <rFont val="Calibri"/>
        <family val="2"/>
        <scheme val="minor"/>
      </rPr>
      <t xml:space="preserve"> "</t>
    </r>
    <r>
      <rPr>
        <b/>
        <sz val="10"/>
        <rFont val="Calibri"/>
        <family val="2"/>
        <charset val="204"/>
        <scheme val="minor"/>
      </rPr>
      <t>Чудо Сибири</t>
    </r>
    <r>
      <rPr>
        <sz val="10"/>
        <rFont val="Calibri"/>
        <family val="2"/>
        <scheme val="minor"/>
      </rPr>
      <t>" грильяж, марципан, ягодень 90г</t>
    </r>
  </si>
  <si>
    <t>5 вкусов, 6 конфет</t>
  </si>
  <si>
    <t>Урбеч и халва, орехи,клетчатка</t>
  </si>
  <si>
    <t>Конфеты "Фрутодень" финик в шоколаде с малиной, без сахара zip 100г</t>
  </si>
  <si>
    <t>Финики, шоколадная глазурь без добавления сахара (мальтитол (подсластитель), какао-масло, какао-порошок, лецитин подсолнечный (эмульгатор), экстракт ванили натуральный,сукралоза (подсластитель)), кофе молотый, малина сушеная порошок (ягоды малины быстрозамороженные, мальтодекстрин (носитель), аскорбиновая кислота (антиокислитель))</t>
  </si>
  <si>
    <t>http://1.c8804.nichost.ru/pics/20943.jpg</t>
  </si>
  <si>
    <t>http://1.c8804.nichost.ru/pics/20935.jpg</t>
  </si>
  <si>
    <t>Сиропы и топпинги</t>
  </si>
  <si>
    <t>сироп изомальтоолигосахарида, вода, молоко сухое обезжиренное массовой долей жира не более 1,5%, подсластители (эритрит, сукралоза), загустители (ксантановая камедь, гуаровая камедь), регулятор кислотности (лимонная кислота, янтарная кислота), ароматизатор “Малина”, краситель натуральный – кармин, консервант сорбиновая кислота</t>
  </si>
  <si>
    <t>http://1.c8804.nichost.ru/pics/20941.jpg</t>
  </si>
  <si>
    <t>http://1.c8804.nichost.ru/pics/20940.jpg</t>
  </si>
  <si>
    <t>сироп изомальтоолигосахарида, вода, молоко сухое обезжиренное массовой долей жира не более 1,5%, какао-порошок обезжиренный жирностью не более 1%, подсластители (эритрит, сукралоза), загустители (ксантановая камедь, гуаровая камедь), регулятор кислотности (лимонная кислота, янтарная кислота), консервант сорбиновая кислота</t>
  </si>
  <si>
    <t>Шоколад горький 70% на кокосовом сахаре 100г</t>
  </si>
  <si>
    <t>Шоколад горький 80% на тростниковом сахаре 100г</t>
  </si>
  <si>
    <t>какао тертое, кокосовый сахар, масло какао, натуральный экстракт ванили</t>
  </si>
  <si>
    <t>какао тертое натуральное, масло какао натуральное, кокосовый сахар, корица молотая, натуральный экстракт ванили</t>
  </si>
  <si>
    <t>какао тертое натуральное, кокосовый сахар, масло какао натуральное, кориандр молотый, натуральный экстракт ванили</t>
  </si>
  <si>
    <t>какао тертое, масло какао, тростниковый сахар, натуральный экстракт ванили</t>
  </si>
  <si>
    <t>http://1.c8804.nichost.ru/pics/20938.jpg</t>
  </si>
  <si>
    <t>http://1.c8804.nichost.ru/pics/20937.jpg</t>
  </si>
  <si>
    <t>http://1.c8804.nichost.ru/pics/20939.jpg</t>
  </si>
  <si>
    <t>http://1.c8804.nichost.ru/pics/20936.jpg</t>
  </si>
  <si>
    <t>http://1.c8804.nichost.ru/pics/17979_1.jpg</t>
  </si>
  <si>
    <t>http://1.c8804.nichost.ru/pics/17980_1.jpg</t>
  </si>
  <si>
    <t>Байт (Bite)</t>
  </si>
  <si>
    <r>
      <t>Масло капсулированное льняное "</t>
    </r>
    <r>
      <rPr>
        <b/>
        <sz val="10"/>
        <rFont val="Calibri"/>
        <family val="2"/>
        <scheme val="minor"/>
      </rPr>
      <t>Для почек - Омега 3</t>
    </r>
    <r>
      <rPr>
        <sz val="10"/>
        <rFont val="Calibri"/>
        <family val="2"/>
        <scheme val="minor"/>
      </rPr>
      <t>" 180капс. 54г</t>
    </r>
  </si>
  <si>
    <t>мука из твердой пшеницы в/с,  мука льняная 20%, пшеничная клетчатка 5%, фильтрованная вода</t>
  </si>
  <si>
    <t>https://naturevector.ru/wp-content/uploads/2023/12/279e5b6072cca9053fd3a42128c7e91d-225x300.jpg</t>
  </si>
  <si>
    <t>вновь в продаже</t>
  </si>
  <si>
    <t>Сахарозаменители</t>
  </si>
  <si>
    <t>Сахарозаменитель стевия Novasweet 200г</t>
  </si>
  <si>
    <t>Сахарозаменитель стевия Novasweet 650таб</t>
  </si>
  <si>
    <t>Сахарозаменитель стевия Novasweet 160 порций 80г</t>
  </si>
  <si>
    <t>http://1.c8804.nichost.ru/pics/18476_1.jpg</t>
  </si>
  <si>
    <t>Сахарозаменитель стевия Bionova 10х 200г</t>
  </si>
  <si>
    <t>экстракт листьев стевии</t>
  </si>
  <si>
    <t>Пшеница зерно для проращивания 500г</t>
  </si>
  <si>
    <t>зерно пшеницы</t>
  </si>
  <si>
    <t>https://naturevector.ru/wp-content/uploads/2023/12/pshenitsa_500.jpg</t>
  </si>
  <si>
    <t>Киноа семена 200г</t>
  </si>
  <si>
    <t>семена киноа</t>
  </si>
  <si>
    <t>http://1.c8804.nichost.ru/pics/17774.jpg</t>
  </si>
  <si>
    <t>http://1.c8804.nichost.ru/pics/19152_1.jpg</t>
  </si>
  <si>
    <t>http://1.c8804.nichost.ru/pics/19151_1.jpg</t>
  </si>
  <si>
    <t>http://1.c8804.nichost.ru/pics/19154_1.jpg</t>
  </si>
  <si>
    <t>http://1.c8804.nichost.ru/pics/19155_1.jpg</t>
  </si>
  <si>
    <t>http://1.c8804.nichost.ru/pics/19890_1.jpg</t>
  </si>
  <si>
    <t>Отборное кокосовое масло рафинированное дезодорированное, тимьян, розмарин.</t>
  </si>
  <si>
    <t>http://1.c8804.nichost.ru/pics/19940.jpg</t>
  </si>
  <si>
    <r>
      <t xml:space="preserve">Масло кокосовое </t>
    </r>
    <r>
      <rPr>
        <b/>
        <sz val="10"/>
        <rFont val="Calibri"/>
        <family val="2"/>
        <charset val="204"/>
        <scheme val="minor"/>
      </rPr>
      <t>для жарки</t>
    </r>
    <r>
      <rPr>
        <sz val="10"/>
        <rFont val="Calibri"/>
        <family val="2"/>
        <scheme val="minor"/>
      </rPr>
      <t xml:space="preserve"> рафинированное, банка 445мл</t>
    </r>
  </si>
  <si>
    <r>
      <t xml:space="preserve">Масло кокосовое </t>
    </r>
    <r>
      <rPr>
        <b/>
        <sz val="10"/>
        <color theme="1"/>
        <rFont val="Calibri"/>
        <family val="2"/>
        <charset val="204"/>
        <scheme val="minor"/>
      </rPr>
      <t>для жарки</t>
    </r>
    <r>
      <rPr>
        <sz val="10"/>
        <color theme="1"/>
        <rFont val="Calibri"/>
        <family val="2"/>
        <scheme val="minor"/>
      </rPr>
      <t xml:space="preserve"> "</t>
    </r>
    <r>
      <rPr>
        <b/>
        <sz val="10"/>
        <color theme="1"/>
        <rFont val="Calibri"/>
        <family val="2"/>
        <charset val="204"/>
        <scheme val="minor"/>
      </rPr>
      <t>Тимьян и Розмарин</t>
    </r>
    <r>
      <rPr>
        <sz val="10"/>
        <color theme="1"/>
        <rFont val="Calibri"/>
        <family val="2"/>
        <scheme val="minor"/>
      </rPr>
      <t>", банка 445мл</t>
    </r>
  </si>
  <si>
    <t>Масло кокосовое нерафинированное Extra virgin, банка 230мл</t>
  </si>
  <si>
    <t>100% кокосовое масло нерафинированное первого холодного отжима высочайшего качества (Extra Virgin). Содержание жира не менее 99,9 %</t>
  </si>
  <si>
    <t>http://1.c8804.nichost.ru/pics/19198.jpg</t>
  </si>
  <si>
    <r>
      <t>Смесь пряностей "</t>
    </r>
    <r>
      <rPr>
        <b/>
        <sz val="10"/>
        <rFont val="Calibri"/>
        <family val="2"/>
        <charset val="204"/>
        <scheme val="minor"/>
      </rPr>
      <t>Для кофе</t>
    </r>
    <r>
      <rPr>
        <sz val="10"/>
        <rFont val="Calibri"/>
        <family val="2"/>
        <charset val="204"/>
        <scheme val="minor"/>
      </rPr>
      <t>" 100г</t>
    </r>
  </si>
  <si>
    <t>Корица молотая, имбирь молотый, мускатный орех, перец черный молотый, гвоздика молотая, кардамон молотый, бадьян молотый</t>
  </si>
  <si>
    <t>полба резаная, морковь сушеная, шампиньоны сушеные, цукини сушеные, лук зеленый сушеный, чеснок сушеный. Продукт может содержать следы глютена, кунжута</t>
  </si>
  <si>
    <t>http://1.c8804.nichost.ru/pics/20489.jpg</t>
  </si>
  <si>
    <t>ядро подсолнечника</t>
  </si>
  <si>
    <t>https://lifeway.su/wp-content/uploads/2014/04/yadro_500.jpg</t>
  </si>
  <si>
    <t>Подсолнечник ядро для проращивания 500г</t>
  </si>
  <si>
    <t>сахар, глазурь шоколадная (сахар, какао-масло, какао-порошок, эмульгатор лецитин подсолнечный), патока, сироп из сосновой шишки (сахар, вода, патока, шишка сосновая), ягоды малины быстрозамороженные, пюре чёрной смородины, пюре черничное, пюре яблочное, пектин (желирующий агент), лимонная кислота (регулятор кислотности)</t>
  </si>
  <si>
    <t>http://1.c8804.nichost.ru/pics/20057.jpg</t>
  </si>
  <si>
    <t>http://1.c8804.nichost.ru/pics/17773.jpg</t>
  </si>
  <si>
    <t>Чиа чёрные семена 200г</t>
  </si>
  <si>
    <t>Конфеты "Фрутодень" драже фруктово-ореховое ассорти zip 100г</t>
  </si>
  <si>
    <t>финики, шоколадная глазурь без сахара, сукралоза, молочный шоколад без сахара, ядро кешью, шоколад белый без добавления сахара, ядро миндаля, чёрная смородина сублимированная, малина сушёная, кофе молотый</t>
  </si>
  <si>
    <t>http://1.c8804.nichost.ru/pics/20959.jpg</t>
  </si>
  <si>
    <t>мука из отборной твердой пшеницы (дурум) для макаронных изделий высшего сорта, специально подготовленные шпинат, морковь, фильтрованная вода</t>
  </si>
  <si>
    <t>http://1.c8804.nichost.ru/pics/20955.jpg</t>
  </si>
  <si>
    <t>http://1.c8804.nichost.ru/pics/20957.jpg</t>
  </si>
  <si>
    <t>http://1.c8804.nichost.ru/pics/20956.jpg</t>
  </si>
  <si>
    <t>http://1.c8804.nichost.ru/pics/20954.jpg</t>
  </si>
  <si>
    <t>Мука из зеленого гороха, фильтрованная вода</t>
  </si>
  <si>
    <t>Мука из красной чечевицы, фильтрованная вода</t>
  </si>
  <si>
    <t>Макароны, паста Pata la Bella</t>
  </si>
  <si>
    <t>Детская линейка, макароны, супчики, Pasta la Bella baby</t>
  </si>
  <si>
    <t>Макароны, паста Pata la Bella forFIT - фитнесс серия</t>
  </si>
  <si>
    <t>Супы мира</t>
  </si>
  <si>
    <t>мука из твердой пшеницы в/с, спирулина (порошок), фильтрованная вода</t>
  </si>
  <si>
    <t>мука из твердой пшеницы в/с, сывороточный белок (молочный), фильтрованная вода</t>
  </si>
  <si>
    <t>мука из красной чечевицы безглютеновая, фильтрованная вода</t>
  </si>
  <si>
    <t>мука из зеленого гороха безглютеновая, фильтрованная вода</t>
  </si>
  <si>
    <t>мука из нута безглютеновая, фильтрованная вода</t>
  </si>
  <si>
    <t>http://1.c8804.nichost.ru/pics/20952.jpg</t>
  </si>
  <si>
    <t>http://1.c8804.nichost.ru/pics/20949.jpg</t>
  </si>
  <si>
    <t>http://1.c8804.nichost.ru/pics/20951.jpg</t>
  </si>
  <si>
    <t>http://1.c8804.nichost.ru/pics/20950.jpg</t>
  </si>
  <si>
    <t>http://1.c8804.nichost.ru/pics/20953.jpg</t>
  </si>
  <si>
    <t>Масло кокосовое нерафинированное Extra virgin, банка 450мл</t>
  </si>
  <si>
    <t>http://1.c8804.nichost.ru/pics/20958.jpg</t>
  </si>
  <si>
    <r>
      <t xml:space="preserve">Конфеты "Кедровый марципан" </t>
    </r>
    <r>
      <rPr>
        <b/>
        <sz val="10"/>
        <rFont val="Calibri"/>
        <family val="2"/>
        <scheme val="minor"/>
      </rPr>
      <t xml:space="preserve">с облепихой </t>
    </r>
    <r>
      <rPr>
        <sz val="10"/>
        <rFont val="Calibri"/>
        <family val="2"/>
        <scheme val="minor"/>
      </rPr>
      <t>40г</t>
    </r>
  </si>
  <si>
    <r>
      <t xml:space="preserve">Конфеты "Кедровый марципан" </t>
    </r>
    <r>
      <rPr>
        <b/>
        <sz val="10"/>
        <rFont val="Calibri"/>
        <family val="2"/>
        <scheme val="minor"/>
      </rPr>
      <t xml:space="preserve">с чёрной смородиной </t>
    </r>
    <r>
      <rPr>
        <sz val="10"/>
        <rFont val="Calibri"/>
        <family val="2"/>
        <scheme val="minor"/>
      </rPr>
      <t>40г</t>
    </r>
  </si>
  <si>
    <r>
      <t xml:space="preserve">Кедрокофе "Коллекция вкуса" </t>
    </r>
    <r>
      <rPr>
        <b/>
        <sz val="10"/>
        <rFont val="Calibri"/>
        <family val="2"/>
        <scheme val="minor"/>
      </rPr>
      <t>ассорти</t>
    </r>
    <r>
      <rPr>
        <sz val="10"/>
        <rFont val="Calibri"/>
        <family val="2"/>
        <scheme val="minor"/>
      </rPr>
      <t xml:space="preserve"> 5*25г ш\б 125г</t>
    </r>
  </si>
  <si>
    <r>
      <t xml:space="preserve">Чипсы из ламинарии "Морские" с </t>
    </r>
    <r>
      <rPr>
        <b/>
        <sz val="10"/>
        <rFont val="Calibri"/>
        <family val="2"/>
        <scheme val="minor"/>
      </rPr>
      <t>куркумой + чили</t>
    </r>
    <r>
      <rPr>
        <sz val="10"/>
        <rFont val="Calibri"/>
        <family val="2"/>
        <scheme val="minor"/>
      </rPr>
      <t xml:space="preserve"> 90г</t>
    </r>
  </si>
  <si>
    <r>
      <t xml:space="preserve">Чипсы из ламинарии "Морские" с </t>
    </r>
    <r>
      <rPr>
        <b/>
        <sz val="10"/>
        <rFont val="Calibri"/>
        <family val="2"/>
        <scheme val="minor"/>
      </rPr>
      <t>луком</t>
    </r>
    <r>
      <rPr>
        <sz val="10"/>
        <rFont val="Calibri"/>
        <family val="2"/>
        <scheme val="minor"/>
      </rPr>
      <t xml:space="preserve"> 90г</t>
    </r>
  </si>
  <si>
    <r>
      <t xml:space="preserve">Чипсы из ламинарии "Морские" с </t>
    </r>
    <r>
      <rPr>
        <b/>
        <sz val="10"/>
        <rFont val="Calibri"/>
        <family val="2"/>
        <scheme val="minor"/>
      </rPr>
      <t>морковью</t>
    </r>
    <r>
      <rPr>
        <sz val="10"/>
        <rFont val="Calibri"/>
        <family val="2"/>
        <scheme val="minor"/>
      </rPr>
      <t xml:space="preserve">  90г</t>
    </r>
  </si>
  <si>
    <r>
      <t xml:space="preserve">Чипсы из ламинарии "Морские" с </t>
    </r>
    <r>
      <rPr>
        <b/>
        <sz val="10"/>
        <rFont val="Calibri"/>
        <family val="2"/>
        <scheme val="minor"/>
      </rPr>
      <t>паприкой</t>
    </r>
    <r>
      <rPr>
        <sz val="10"/>
        <rFont val="Calibri"/>
        <family val="2"/>
        <scheme val="minor"/>
      </rPr>
      <t xml:space="preserve">  90г</t>
    </r>
  </si>
  <si>
    <r>
      <t xml:space="preserve">Чипсы из ламинарии "Морские" с </t>
    </r>
    <r>
      <rPr>
        <b/>
        <sz val="10"/>
        <rFont val="Calibri"/>
        <family val="2"/>
        <scheme val="minor"/>
      </rPr>
      <t>свеклой и базилиом</t>
    </r>
    <r>
      <rPr>
        <sz val="10"/>
        <rFont val="Calibri"/>
        <family val="2"/>
        <scheme val="minor"/>
      </rPr>
      <t xml:space="preserve">  90г</t>
    </r>
  </si>
  <si>
    <t>Безглютини</t>
  </si>
  <si>
    <r>
      <t xml:space="preserve">Зефир </t>
    </r>
    <r>
      <rPr>
        <u/>
        <sz val="10"/>
        <rFont val="Calibri"/>
        <family val="2"/>
        <scheme val="minor"/>
      </rPr>
      <t>в шоколаде</t>
    </r>
    <r>
      <rPr>
        <sz val="10"/>
        <rFont val="Calibri"/>
        <family val="2"/>
        <scheme val="minor"/>
      </rPr>
      <t xml:space="preserve"> </t>
    </r>
    <r>
      <rPr>
        <b/>
        <sz val="10"/>
        <rFont val="Calibri"/>
        <family val="2"/>
        <scheme val="minor"/>
      </rPr>
      <t>манго-маракуйя и зелёный чай</t>
    </r>
    <r>
      <rPr>
        <sz val="10"/>
        <rFont val="Calibri"/>
        <family val="2"/>
        <scheme val="minor"/>
      </rPr>
      <t xml:space="preserve"> 155г </t>
    </r>
  </si>
  <si>
    <t>http://1.c8804.nichost.ru/pics/19673_1.jpg</t>
  </si>
  <si>
    <t>http://1.c8804.nichost.ru/pics/19674_1.jpg</t>
  </si>
  <si>
    <t>http://1.c8804.nichost.ru/pics/19675_2.jpg</t>
  </si>
  <si>
    <t>Мука пшеничная цельнозерновая, концентрат ячменного солода светлый (солод ячменный светлый, вода питьева), вода питьевая, масло подсолнечное рафинированное дезодорированное, виноград сушёный(изюм), яблоко сушёное дроблёное, отруби пшеничные,  клюква сушёная резаная; разрыхлитель гидрокарбонат натрия (сода пищевая), соль, регулятор кислотности: натуральный яблочный уксус 6%. Может содержать следы: орехов, арахиса, кунжута, сои,  сельдерея, горчицы.</t>
  </si>
  <si>
    <t>Мука пшеничная цельнозерновая, концентрат ячменного солода светлый (солод ячменный светлый, вода питьевая), вода питьевая, масло подсолнечное рафинированное дезодорированное, отруби пшеничные, корица молотая; разрыхлитель гидрокарбонат натрия (сода пищевая), соль, регулятор кислотности: натуральный яблочный уксус 6%; сушеный корень имбиря, гвоздика молотая. Может содержать следы: орехов, арахиса, кунжута, сои,  сельдерея, горчицы</t>
  </si>
  <si>
    <t>мука пшеничная цельнозерновая, концентрат ячменного солода светлый (солод ячменный светлый, вода питьевая), вода питьевая, масло подсолнечное  рафинированное дезодорированное, отруби пшеничные, семена льна, овсяные хлопья, семена кунжута, разрыхлитель - гидрокарбонат натрия (сода пищевая), соль гималайская, регулятор кислотности:  яблочный уксус 6%.  Может содержать следы: орехов, арахиса, сои, сельдерея, горчицы.</t>
  </si>
  <si>
    <t>мука пшеничная цельнозерновая, концентрат ячменного солода светлый (солод ячменный светлый, вода питьевая), вода питьевая, масло подсолнечное  рафинированное дезодорированное, кэроб,  отруби пшеничные,  разрыхлитель - гидрокарбонат натрия (сода пищевая), соль гималайская, регулятор кислотности:  яблочный уксус 6%.  Может содержать следы: орехов, арахиса, кунжута, сои, сельдерея, горчицы.</t>
  </si>
  <si>
    <t>Корица молотая, имбирь молотый, мускатный орех, гвоздика молотая, ароматизатор: Ванилин</t>
  </si>
  <si>
    <t>кэроб, какао-масло, ядро кедрового ореха</t>
  </si>
  <si>
    <t>https://sibtop.su/wp-content/uploads/2020/07/Chocolate_Neo_CedarNuts.png</t>
  </si>
  <si>
    <r>
      <t xml:space="preserve">Шоколад тёмный с </t>
    </r>
    <r>
      <rPr>
        <b/>
        <sz val="10"/>
        <color theme="1"/>
        <rFont val="Calibri"/>
        <family val="2"/>
        <charset val="204"/>
        <scheme val="minor"/>
      </rPr>
      <t>Ядром кедрового орех</t>
    </r>
    <r>
      <rPr>
        <sz val="10"/>
        <color theme="1"/>
        <rFont val="Calibri"/>
        <family val="2"/>
        <scheme val="minor"/>
      </rPr>
      <t>а, кэробом без сахара 30г</t>
    </r>
  </si>
  <si>
    <t>Обращаем Ваше внимание на сроки годности продукции, в связи с длительной (60 дней) и нерегулярной транспортировкой продукции из Тайланда некоторые позиции имеют остаточный срок годности менее 65%.</t>
  </si>
  <si>
    <t>Печенье и батончики</t>
  </si>
  <si>
    <t>зерновые хлопья (овсяные, ржаные), рис воздушный экструдированный с какао, патока, сгущенное цельное молоко, масло подсолнечное рафинированное дезодорированное, какао порошок, арахисовая паста (арахис тертый обжаренный), сливки питьевые.</t>
  </si>
  <si>
    <t>зерновые хлопья (овсяные, пшеничные, ржаные, ячменные), продукты экструдированных круп и зернового сырья: «ПЭК» «рис воздушный»; взорванные зерна пшеницы, патока, яблочное пюре, молоко сгущённое цельное с сахаром (молоко нормализованное, сахар (сахароза, лактоза), масло подсолнечное рафинированное дезодорированное, корица</t>
  </si>
  <si>
    <t>Зерновые хлопья (овсяные, пшеничные, ржаные, ячменные), рис воздушный экструдированный, пшеница воздушная, пюре банановое, яблочное пюре, патока, масло подсолнечное рафинированное дезодорированное, банан сушеный</t>
  </si>
  <si>
    <t>Зерновые хлопья (овсяные, пшеничные, ржаные, ячменные), рис и кукуруза воздушные экструдированные, пшеница воздушная, ягоды свежие: клубника, черная смородина; патока, масло подсолнечное рафинированное дезодорированное</t>
  </si>
  <si>
    <t>Зерновые хлопья (овсяные, пшеничные, ржаные, ячменные), рис и кукуруза воздушные экструдированные, пшеница воздушная, арахис жареный, орехи дробленые (фундук, миндаль, грецкий орех), кунжут, мед натуральный, питьевое молоко, патока, паста арахисовая (арахис тертый обжаренный), масло подсолнечное рафинированное дезодорированное, соль пищевая</t>
  </si>
  <si>
    <t>http://1.c8804.nichost.ru/pics/20981.jpg</t>
  </si>
  <si>
    <t>http://1.c8804.nichost.ru/pics/20984.jpg</t>
  </si>
  <si>
    <t>http://1.c8804.nichost.ru/pics/20982.jpg</t>
  </si>
  <si>
    <t>http://1.c8804.nichost.ru/pics/20985.jpg</t>
  </si>
  <si>
    <t>http://1.c8804.nichost.ru/pics/20986.jpg</t>
  </si>
  <si>
    <t>http://1.c8804.nichost.ru/pics/20973.jpg</t>
  </si>
  <si>
    <t>http://1.c8804.nichost.ru/pics/20976.jpg</t>
  </si>
  <si>
    <t>http://1.c8804.nichost.ru/pics/20977.jpg</t>
  </si>
  <si>
    <t>http://1.c8804.nichost.ru/pics/20978.jpg</t>
  </si>
  <si>
    <t>яблочная начинка; яблочное пюре; сахар-песок; патока; консервант сорбат калия; мука рисовая; масло подсолнечное; порошок яичный; мука кукурузная; мука амарантовая; молоко сухое обезжиренное; гидрокарбонат натрия; пирофосфат натрия; мальтодекстрин; соль пищевая; загуститель ксантановая камедь; мука топинамбура</t>
  </si>
  <si>
    <t>мука рисовая; масло подсолнечное; порошок яичный; мука кукурузная; мука амарантовая; молоко сухое обезжиренное; гидрокарбонат натрия; пирофосфат натрия; мальтодекстрин; соль пищевая; загуститель ксантановая камедь; мука топинамбур; абрикосовый джем, сахар</t>
  </si>
  <si>
    <t>мука рисовая; масло подсолнечное; порошок яичный; мука кукурузная; мука амарантовая; молоко сухое обезжиренное; гидрокарбонат натрия; пирофосфат натрия; мальтодекстрин; соль пищевая; загуститель ксантановая камедь; мука топинамбур; джем малиновый, сахар</t>
  </si>
  <si>
    <t>мука рисовая; масло подсолнечное; порошок яичный; мука кукурузная; мука амарантовая; молоко сухое обезжиренное; гидрокарбонат натрия; пирофосфат натрия; мальтодекстрин; соль пищевая; загуститель ксантановая камедь; мука топинамбур; глазурь кондитерская; джем вишневый, сахар</t>
  </si>
  <si>
    <t>Печенье Хурабие с шоколадом Missis Pickez 100г</t>
  </si>
  <si>
    <t>Печенье «Дамские шляпки» с яблочной начинкой Dr. Amaranth 200г</t>
  </si>
  <si>
    <t>Печенье бисквитное с абрикосовой начинкой Dr. Amaranth 200г</t>
  </si>
  <si>
    <t>Печенье бисквитное с вишнёвой начинкой Dr. Amaranth 200г</t>
  </si>
  <si>
    <t>Печенье бисквитное с малиновой начинкой Dr. Amaranth 200г</t>
  </si>
  <si>
    <t>Подушечки амарантовые какао и ваниль Dr. Amaranth пак 100г</t>
  </si>
  <si>
    <t>Подушечки амарантовые клубника Dr. Amaranth пак 100г</t>
  </si>
  <si>
    <t>Подушечки амарантовые бананово-шоколадные Dr. Amaranth 100г</t>
  </si>
  <si>
    <t>овсяные хлопья, сироп топинамбура (клубни топинамбура, вода), масло кокосовое рафинированное, молоко кокосовое, вода, арахис жареный, разрыхлитель сода пищевая, соль морская пищевая, сахарозаменитель аллюлоза</t>
  </si>
  <si>
    <t>http://1.c8804.nichost.ru/pics/20979.jpg</t>
  </si>
  <si>
    <t>http://1.c8804.nichost.ru/pics/20980.jpg</t>
  </si>
  <si>
    <t>http://1.c8804.nichost.ru/pics/20983.jpg</t>
  </si>
  <si>
    <t>https://naturevector.ru/wp-content/uploads/2023/11/6021077153.webp</t>
  </si>
  <si>
    <t>Товары с коротким сроком годности</t>
  </si>
  <si>
    <t>Годен до | % остаточного срока годности</t>
  </si>
  <si>
    <t>скидка %</t>
  </si>
  <si>
    <t>новая 
цена</t>
  </si>
  <si>
    <t>старая 
цена</t>
  </si>
  <si>
    <r>
      <t xml:space="preserve">Зефир </t>
    </r>
    <r>
      <rPr>
        <u/>
        <sz val="10"/>
        <rFont val="Calibri"/>
        <family val="2"/>
        <scheme val="minor"/>
      </rPr>
      <t>в шоколаде</t>
    </r>
    <r>
      <rPr>
        <sz val="10"/>
        <rFont val="Calibri"/>
        <family val="2"/>
        <scheme val="minor"/>
      </rPr>
      <t xml:space="preserve"> </t>
    </r>
    <r>
      <rPr>
        <b/>
        <sz val="10"/>
        <rFont val="Calibri"/>
        <family val="2"/>
        <scheme val="minor"/>
      </rPr>
      <t>дыня, манго, лайм</t>
    </r>
    <r>
      <rPr>
        <sz val="10"/>
        <rFont val="Calibri"/>
        <family val="2"/>
        <scheme val="minor"/>
      </rPr>
      <t xml:space="preserve"> 155г</t>
    </r>
  </si>
  <si>
    <r>
      <t xml:space="preserve">Завтрак сухой "Хлебцы хрустящие </t>
    </r>
    <r>
      <rPr>
        <b/>
        <sz val="10"/>
        <rFont val="Calibri"/>
        <family val="2"/>
        <scheme val="minor"/>
      </rPr>
      <t>гречишно-рисовые МИНИ</t>
    </r>
    <r>
      <rPr>
        <sz val="10"/>
        <rFont val="Calibri"/>
        <family val="2"/>
        <scheme val="minor"/>
      </rPr>
      <t>" 100г</t>
    </r>
  </si>
  <si>
    <t>Какао-порошок</t>
  </si>
  <si>
    <t>Какао-порошок со сниженным содержанием жира</t>
  </si>
  <si>
    <t>http://1.c8804.nichost.ru/pics/20995.jpg</t>
  </si>
  <si>
    <t>http://1.c8804.nichost.ru/pics/20994.jpg</t>
  </si>
  <si>
    <t>обжаренные семена гречихи татарской</t>
  </si>
  <si>
    <t>http://1.c8804.nichost.ru/pics/20996.jpg</t>
  </si>
  <si>
    <t>http://1.c8804.nichost.ru/pics/20993.jpg</t>
  </si>
  <si>
    <t>цикорий растворимый порошкообразный 100%</t>
  </si>
  <si>
    <t>пюре яблочное, апельсины, вода, краситель каротины</t>
  </si>
  <si>
    <t>пюре яблочное, гранатовый концентрированный сок, регулятор кислотности лимонная кислота, краситель кармины</t>
  </si>
  <si>
    <t>пюре яблочное, сок дынный концентрированный, краситель каротины</t>
  </si>
  <si>
    <t>апельсиновая пастила, лимонная пастила</t>
  </si>
  <si>
    <t>гранатовая пастила, банановая пастила, дынная пастила, апельсиновая пастила</t>
  </si>
  <si>
    <t>http://1.c8804.nichost.ru/pics/20962.jpg</t>
  </si>
  <si>
    <t>http://1.c8804.nichost.ru/pics/20960.jpg</t>
  </si>
  <si>
    <t>http://1.c8804.nichost.ru/pics/20961.jpg</t>
  </si>
  <si>
    <t>http://1.c8804.nichost.ru/pics/20964.jpg</t>
  </si>
  <si>
    <t>http://1.c8804.nichost.ru/pics/20963.jpg</t>
  </si>
  <si>
    <t>Ягоды (малина, клубника, черника), вода, подсластитель эритрит, пребиотик инулин (пищевые волокна цикория), загуститель пектин, регулятор кислотности лимонная кислота, регулятор кислотности цитрат кальция, стабилизатор гуаровая камедь, ароматизатор лесная ягода, консервант сорбиновая кислота, подсластитель сукралоза</t>
  </si>
  <si>
    <t>http://1.c8804.nichost.ru/pics/20987.jpg</t>
  </si>
  <si>
    <t>http://1.c8804.nichost.ru/pics/20992.jpg</t>
  </si>
  <si>
    <t>Вода, подсластитель эритрит, сок черники концентрированный, сок малины концентрированный, черника, малина, загуститель ксантановая камедь, регулятор кислотности лимонная кислота, натуральный ароматизатор (лесная ягода, ваниль), консервант сорбиновая кислота, подсластитель сукралоза</t>
  </si>
  <si>
    <t>Ячмень с киноа и тыквой 250г</t>
  </si>
  <si>
    <t>ячмень шелушенный резаный, крупа киноа белое, морковь сушеная, тыква сушеная, лук зеленый сушеный, петрушка сушеная</t>
  </si>
  <si>
    <t>http://1.c8804.nichost.ru/pics/20965.jpg</t>
  </si>
  <si>
    <t>http://1.c8804.nichost.ru/pics/20988.jpg</t>
  </si>
  <si>
    <t>http://1.c8804.nichost.ru/pics/20989.jpg</t>
  </si>
  <si>
    <t>http://1.c8804.nichost.ru/pics/20990.jpg</t>
  </si>
  <si>
    <r>
      <t>Эликсир "</t>
    </r>
    <r>
      <rPr>
        <b/>
        <sz val="10"/>
        <rFont val="Calibri"/>
        <family val="2"/>
        <scheme val="minor"/>
      </rPr>
      <t>Для Сосудов - Омега 3</t>
    </r>
    <r>
      <rPr>
        <sz val="10"/>
        <rFont val="Calibri"/>
        <family val="2"/>
        <scheme val="minor"/>
      </rPr>
      <t>"на льняном масле 200мл</t>
    </r>
  </si>
  <si>
    <r>
      <t>Масло капсулированное льняное "</t>
    </r>
    <r>
      <rPr>
        <b/>
        <sz val="10"/>
        <rFont val="Calibri"/>
        <family val="2"/>
        <scheme val="minor"/>
      </rPr>
      <t>Для сосудов - Омега 3</t>
    </r>
    <r>
      <rPr>
        <sz val="10"/>
        <rFont val="Calibri"/>
        <family val="2"/>
        <scheme val="minor"/>
      </rPr>
      <t>" 180капс. 54г</t>
    </r>
  </si>
  <si>
    <r>
      <t>Батончик "KICK energy" арахисовый</t>
    </r>
    <r>
      <rPr>
        <b/>
        <sz val="10"/>
        <rFont val="Calibri"/>
        <family val="2"/>
        <scheme val="minor"/>
      </rPr>
      <t xml:space="preserve"> с изюмом и черносливом</t>
    </r>
    <r>
      <rPr>
        <sz val="10"/>
        <rFont val="Calibri"/>
        <family val="2"/>
        <scheme val="minor"/>
      </rPr>
      <t xml:space="preserve"> в карамельном шоколаде 45г</t>
    </r>
  </si>
  <si>
    <r>
      <t xml:space="preserve">Иван-чай с </t>
    </r>
    <r>
      <rPr>
        <b/>
        <sz val="10"/>
        <rFont val="Calibri"/>
        <family val="2"/>
        <charset val="204"/>
        <scheme val="minor"/>
      </rPr>
      <t>листьями смородины</t>
    </r>
    <r>
      <rPr>
        <sz val="10"/>
        <rFont val="Calibri"/>
        <family val="2"/>
        <scheme val="minor"/>
      </rPr>
      <t xml:space="preserve"> ферментированный, пакетик 20*1,5г </t>
    </r>
  </si>
  <si>
    <t>листья иван-чая ферментированные, лист смородины</t>
  </si>
  <si>
    <t>http://1.c8804.nichost.ru/pics/19846.jpg</t>
  </si>
  <si>
    <t>http://1.c8804.nichost.ru/pics/20972.jpg</t>
  </si>
  <si>
    <t>Кедровый марципан шоколадный 4шт, кедровое золото 2шт, кедровый марципан клюква 2шт, кедровый марципан черника 2шт, кедровый марципан облепиха 2шт, кедровая метилица 2шт</t>
  </si>
  <si>
    <t>Кэроб порошок сильной обжарки 200г</t>
  </si>
  <si>
    <t>100% натуральный порошок плодов рожкового дерева, кэроб, сильной обжарки</t>
  </si>
  <si>
    <t>http://1.c8804.nichost.ru/pics/20997.jpg</t>
  </si>
  <si>
    <t>Новая упаковка</t>
  </si>
  <si>
    <t>масло льняное пищевое нерафинированное, экстракт чеснока</t>
  </si>
  <si>
    <r>
      <t xml:space="preserve">Мармелад "Ягодень" ассорти: </t>
    </r>
    <r>
      <rPr>
        <b/>
        <sz val="10"/>
        <rFont val="Calibri"/>
        <family val="2"/>
        <scheme val="minor"/>
      </rPr>
      <t>малина, шишка, черника, смордина</t>
    </r>
    <r>
      <rPr>
        <sz val="10"/>
        <rFont val="Calibri"/>
        <family val="2"/>
        <scheme val="minor"/>
      </rPr>
      <t xml:space="preserve"> глазури кор 200г</t>
    </r>
  </si>
  <si>
    <r>
      <t>Смесь пряностей "</t>
    </r>
    <r>
      <rPr>
        <b/>
        <sz val="10"/>
        <rFont val="Calibri"/>
        <family val="2"/>
        <scheme val="minor"/>
      </rPr>
      <t>Чай масала</t>
    </r>
    <r>
      <rPr>
        <sz val="10"/>
        <rFont val="Calibri"/>
        <family val="2"/>
        <scheme val="minor"/>
      </rPr>
      <t>" 100г</t>
    </r>
  </si>
  <si>
    <r>
      <t xml:space="preserve">Суп полбяной с </t>
    </r>
    <r>
      <rPr>
        <b/>
        <sz val="10"/>
        <rFont val="Calibri"/>
        <family val="2"/>
        <scheme val="minor"/>
      </rPr>
      <t>грибами и овощами</t>
    </r>
    <r>
      <rPr>
        <sz val="10"/>
        <rFont val="Calibri"/>
        <family val="2"/>
        <scheme val="minor"/>
      </rPr>
      <t xml:space="preserve"> 180г</t>
    </r>
  </si>
  <si>
    <r>
      <t>Коллаген говяжий Beauty of life "</t>
    </r>
    <r>
      <rPr>
        <b/>
        <sz val="10"/>
        <rFont val="Calibri"/>
        <family val="2"/>
        <scheme val="minor"/>
      </rPr>
      <t>Вишнёвый фреш</t>
    </r>
    <r>
      <rPr>
        <sz val="10"/>
        <rFont val="Calibri"/>
        <family val="2"/>
        <scheme val="minor"/>
      </rPr>
      <t>" банка 180г</t>
    </r>
  </si>
  <si>
    <r>
      <t>Коллаген говяжий Beauty of life "</t>
    </r>
    <r>
      <rPr>
        <b/>
        <sz val="10"/>
        <rFont val="Calibri"/>
        <family val="2"/>
        <scheme val="minor"/>
      </rPr>
      <t>Мохито</t>
    </r>
    <r>
      <rPr>
        <sz val="10"/>
        <rFont val="Calibri"/>
        <family val="2"/>
        <scheme val="minor"/>
      </rPr>
      <t>" банка 180г</t>
    </r>
  </si>
  <si>
    <r>
      <t>Коллаген говяжий Classic "</t>
    </r>
    <r>
      <rPr>
        <b/>
        <sz val="10"/>
        <rFont val="Calibri"/>
        <family val="2"/>
        <scheme val="minor"/>
      </rPr>
      <t>Вишня</t>
    </r>
    <r>
      <rPr>
        <sz val="10"/>
        <rFont val="Calibri"/>
        <family val="2"/>
        <scheme val="minor"/>
      </rPr>
      <t>" 180г</t>
    </r>
  </si>
  <si>
    <r>
      <t>Коллаген говяжий Freedom of life "</t>
    </r>
    <r>
      <rPr>
        <b/>
        <sz val="10"/>
        <rFont val="Calibri"/>
        <family val="2"/>
        <scheme val="minor"/>
      </rPr>
      <t>Лимон-лайм</t>
    </r>
    <r>
      <rPr>
        <sz val="10"/>
        <rFont val="Calibri"/>
        <family val="2"/>
        <scheme val="minor"/>
      </rPr>
      <t>" 190г</t>
    </r>
  </si>
  <si>
    <r>
      <t>Коллаген говяжий Freedom of life "</t>
    </r>
    <r>
      <rPr>
        <b/>
        <sz val="10"/>
        <rFont val="Calibri"/>
        <family val="2"/>
        <scheme val="minor"/>
      </rPr>
      <t>Сочная вишня</t>
    </r>
    <r>
      <rPr>
        <sz val="10"/>
        <rFont val="Calibri"/>
        <family val="2"/>
        <scheme val="minor"/>
      </rPr>
      <t>" 190г</t>
    </r>
  </si>
  <si>
    <r>
      <t xml:space="preserve">Макароны forFIT с </t>
    </r>
    <r>
      <rPr>
        <b/>
        <sz val="10"/>
        <rFont val="Calibri"/>
        <family val="2"/>
        <scheme val="minor"/>
      </rPr>
      <t>льняным семенем</t>
    </r>
    <r>
      <rPr>
        <sz val="10"/>
        <rFont val="Calibri"/>
        <family val="2"/>
        <scheme val="minor"/>
      </rPr>
      <t xml:space="preserve"> 300г</t>
    </r>
  </si>
  <si>
    <r>
      <t>Снеки протеиновые "</t>
    </r>
    <r>
      <rPr>
        <b/>
        <sz val="10"/>
        <rFont val="Calibri"/>
        <family val="2"/>
        <scheme val="minor"/>
      </rPr>
      <t>Сыр Чеддер</t>
    </r>
    <r>
      <rPr>
        <sz val="10"/>
        <rFont val="Calibri"/>
        <family val="2"/>
        <scheme val="minor"/>
      </rPr>
      <t>" 80г</t>
    </r>
  </si>
  <si>
    <r>
      <t>Снеки протеиновые "</t>
    </r>
    <r>
      <rPr>
        <b/>
        <sz val="10"/>
        <rFont val="Calibri"/>
        <family val="2"/>
        <scheme val="minor"/>
      </rPr>
      <t>Томат спайси</t>
    </r>
    <r>
      <rPr>
        <sz val="10"/>
        <rFont val="Calibri"/>
        <family val="2"/>
        <scheme val="minor"/>
      </rPr>
      <t>"  80г</t>
    </r>
  </si>
  <si>
    <r>
      <t xml:space="preserve">Напиток </t>
    </r>
    <r>
      <rPr>
        <b/>
        <sz val="10"/>
        <rFont val="Calibri"/>
        <family val="2"/>
        <scheme val="minor"/>
      </rPr>
      <t>Некофе</t>
    </r>
    <r>
      <rPr>
        <sz val="10"/>
        <rFont val="Calibri"/>
        <family val="2"/>
        <scheme val="minor"/>
      </rPr>
      <t xml:space="preserve"> ГХИ с</t>
    </r>
    <r>
      <rPr>
        <b/>
        <sz val="10"/>
        <rFont val="Calibri"/>
        <family val="2"/>
        <scheme val="minor"/>
      </rPr>
      <t xml:space="preserve"> чагой и кокосовым молоком</t>
    </r>
    <r>
      <rPr>
        <sz val="10"/>
        <rFont val="Calibri"/>
        <family val="2"/>
        <scheme val="minor"/>
      </rPr>
      <t xml:space="preserve"> растворимый 280г</t>
    </r>
  </si>
  <si>
    <r>
      <t xml:space="preserve">Салатная заправка с </t>
    </r>
    <r>
      <rPr>
        <b/>
        <sz val="10"/>
        <rFont val="Calibri"/>
        <family val="2"/>
        <scheme val="minor"/>
      </rPr>
      <t>базиликом</t>
    </r>
    <r>
      <rPr>
        <sz val="10"/>
        <rFont val="Calibri"/>
        <family val="2"/>
        <scheme val="minor"/>
      </rPr>
      <t xml:space="preserve"> Olivia, стекло 250мл</t>
    </r>
  </si>
  <si>
    <r>
      <t xml:space="preserve">Салатная заправка с </t>
    </r>
    <r>
      <rPr>
        <b/>
        <sz val="10"/>
        <rFont val="Calibri"/>
        <family val="2"/>
        <scheme val="minor"/>
      </rPr>
      <t>орегано</t>
    </r>
    <r>
      <rPr>
        <sz val="10"/>
        <rFont val="Calibri"/>
        <family val="2"/>
        <scheme val="minor"/>
      </rPr>
      <t xml:space="preserve"> Olivia, стекло 250мл</t>
    </r>
  </si>
  <si>
    <r>
      <t xml:space="preserve">Салатная заправка с </t>
    </r>
    <r>
      <rPr>
        <b/>
        <sz val="10"/>
        <rFont val="Calibri"/>
        <family val="2"/>
        <scheme val="minor"/>
      </rPr>
      <t>перцем чили</t>
    </r>
    <r>
      <rPr>
        <sz val="10"/>
        <rFont val="Calibri"/>
        <family val="2"/>
        <scheme val="minor"/>
      </rPr>
      <t xml:space="preserve"> Olivia, стекло 250мл</t>
    </r>
  </si>
  <si>
    <r>
      <t xml:space="preserve">Салатная заправка с </t>
    </r>
    <r>
      <rPr>
        <b/>
        <sz val="10"/>
        <rFont val="Calibri"/>
        <family val="2"/>
        <scheme val="minor"/>
      </rPr>
      <t>розмарином</t>
    </r>
    <r>
      <rPr>
        <sz val="10"/>
        <rFont val="Calibri"/>
        <family val="2"/>
        <scheme val="minor"/>
      </rPr>
      <t xml:space="preserve"> Olivia, стекло 250мл</t>
    </r>
  </si>
  <si>
    <r>
      <t xml:space="preserve">Салатная заправка с </t>
    </r>
    <r>
      <rPr>
        <b/>
        <sz val="10"/>
        <rFont val="Calibri"/>
        <family val="2"/>
        <scheme val="minor"/>
      </rPr>
      <t>цедрой лимона</t>
    </r>
    <r>
      <rPr>
        <sz val="10"/>
        <rFont val="Calibri"/>
        <family val="2"/>
        <scheme val="minor"/>
      </rPr>
      <t xml:space="preserve"> Olivia, стекло 250мл</t>
    </r>
  </si>
  <si>
    <r>
      <t xml:space="preserve">Салатная заправка с </t>
    </r>
    <r>
      <rPr>
        <b/>
        <sz val="10"/>
        <rFont val="Calibri"/>
        <family val="2"/>
        <scheme val="minor"/>
      </rPr>
      <t>чёрным тмином</t>
    </r>
    <r>
      <rPr>
        <sz val="10"/>
        <rFont val="Calibri"/>
        <family val="2"/>
        <scheme val="minor"/>
      </rPr>
      <t xml:space="preserve"> Olivia, стекло 250мл</t>
    </r>
  </si>
  <si>
    <r>
      <t xml:space="preserve">Салатная заправка с </t>
    </r>
    <r>
      <rPr>
        <b/>
        <sz val="10"/>
        <rFont val="Calibri"/>
        <family val="2"/>
        <scheme val="minor"/>
      </rPr>
      <t>чесноком</t>
    </r>
    <r>
      <rPr>
        <sz val="10"/>
        <rFont val="Calibri"/>
        <family val="2"/>
        <scheme val="minor"/>
      </rPr>
      <t xml:space="preserve"> Olivia, стекло 250мл</t>
    </r>
  </si>
  <si>
    <r>
      <t xml:space="preserve">Пастила </t>
    </r>
    <r>
      <rPr>
        <b/>
        <sz val="10"/>
        <rFont val="Calibri"/>
        <family val="2"/>
        <scheme val="minor"/>
      </rPr>
      <t>фруктовый микс</t>
    </r>
    <r>
      <rPr>
        <sz val="10"/>
        <rFont val="Calibri"/>
        <family val="2"/>
        <scheme val="minor"/>
      </rPr>
      <t xml:space="preserve"> натуральная ш\б Pastilab </t>
    </r>
    <r>
      <rPr>
        <b/>
        <sz val="10"/>
        <rFont val="Calibri"/>
        <family val="2"/>
        <scheme val="minor"/>
      </rPr>
      <t>250г</t>
    </r>
  </si>
  <si>
    <r>
      <t xml:space="preserve">Пастила </t>
    </r>
    <r>
      <rPr>
        <b/>
        <sz val="10"/>
        <rFont val="Calibri"/>
        <family val="2"/>
        <scheme val="minor"/>
      </rPr>
      <t>ягодный микс</t>
    </r>
    <r>
      <rPr>
        <sz val="10"/>
        <rFont val="Calibri"/>
        <family val="2"/>
        <scheme val="minor"/>
      </rPr>
      <t xml:space="preserve"> натуральная ш\б Pastilab </t>
    </r>
    <r>
      <rPr>
        <b/>
        <sz val="10"/>
        <rFont val="Calibri"/>
        <family val="2"/>
        <scheme val="minor"/>
      </rPr>
      <t>250г</t>
    </r>
  </si>
  <si>
    <r>
      <t xml:space="preserve">Паста арахисовая </t>
    </r>
    <r>
      <rPr>
        <b/>
        <sz val="10"/>
        <rFont val="Calibri"/>
        <family val="2"/>
        <scheme val="minor"/>
      </rPr>
      <t>кремовая без соли</t>
    </r>
    <r>
      <rPr>
        <sz val="10"/>
        <rFont val="Calibri"/>
        <family val="2"/>
        <scheme val="minor"/>
      </rPr>
      <t xml:space="preserve"> CREAMY 200г</t>
    </r>
  </si>
  <si>
    <r>
      <t xml:space="preserve">Паста кокосовая </t>
    </r>
    <r>
      <rPr>
        <b/>
        <sz val="10"/>
        <rFont val="Calibri"/>
        <family val="2"/>
        <scheme val="minor"/>
      </rPr>
      <t>кремовая</t>
    </r>
    <r>
      <rPr>
        <sz val="10"/>
        <rFont val="Calibri"/>
        <family val="2"/>
        <scheme val="minor"/>
      </rPr>
      <t xml:space="preserve"> COCONUT BUTTER CREAMY 235г</t>
    </r>
  </si>
  <si>
    <r>
      <t>Фруктовое смузи Чиа "</t>
    </r>
    <r>
      <rPr>
        <b/>
        <sz val="10"/>
        <rFont val="Calibri"/>
        <family val="2"/>
        <scheme val="minor"/>
      </rPr>
      <t>Грейпфрут+Банан</t>
    </r>
    <r>
      <rPr>
        <sz val="10"/>
        <rFont val="Calibri"/>
        <family val="2"/>
        <scheme val="minor"/>
      </rPr>
      <t>" дой-пак, 250г</t>
    </r>
  </si>
  <si>
    <r>
      <t>Фруктовый снек Чиа "</t>
    </r>
    <r>
      <rPr>
        <b/>
        <sz val="10"/>
        <rFont val="Calibri"/>
        <family val="2"/>
        <scheme val="minor"/>
      </rPr>
      <t>Тропик</t>
    </r>
    <r>
      <rPr>
        <sz val="10"/>
        <rFont val="Calibri"/>
        <family val="2"/>
        <scheme val="minor"/>
      </rPr>
      <t>", Магия Чиа дой-пак, 200г</t>
    </r>
  </si>
  <si>
    <r>
      <t>Фруктовый снек Чиа "</t>
    </r>
    <r>
      <rPr>
        <b/>
        <sz val="10"/>
        <rFont val="Calibri"/>
        <family val="2"/>
        <scheme val="minor"/>
      </rPr>
      <t>Цитрус</t>
    </r>
    <r>
      <rPr>
        <sz val="10"/>
        <rFont val="Calibri"/>
        <family val="2"/>
        <scheme val="minor"/>
      </rPr>
      <t>", Магия Чиа дой-пак, 200г</t>
    </r>
  </si>
  <si>
    <r>
      <t xml:space="preserve">Флайчипсы зерновые с </t>
    </r>
    <r>
      <rPr>
        <b/>
        <sz val="10"/>
        <rFont val="Calibri"/>
        <family val="2"/>
        <scheme val="minor"/>
      </rPr>
      <t>паприкой</t>
    </r>
    <r>
      <rPr>
        <sz val="10"/>
        <rFont val="Calibri"/>
        <family val="2"/>
        <scheme val="minor"/>
      </rPr>
      <t xml:space="preserve"> 40г</t>
    </r>
  </si>
  <si>
    <r>
      <t xml:space="preserve">Флайчипсы зерновые с </t>
    </r>
    <r>
      <rPr>
        <b/>
        <sz val="10"/>
        <rFont val="Calibri"/>
        <family val="2"/>
        <scheme val="minor"/>
      </rPr>
      <t>паприкой и чесноком</t>
    </r>
    <r>
      <rPr>
        <sz val="10"/>
        <rFont val="Calibri"/>
        <family val="2"/>
        <scheme val="minor"/>
      </rPr>
      <t xml:space="preserve"> 40г</t>
    </r>
  </si>
  <si>
    <r>
      <t xml:space="preserve">Флайчипсы зерновые с </t>
    </r>
    <r>
      <rPr>
        <b/>
        <sz val="10"/>
        <rFont val="Calibri"/>
        <family val="2"/>
        <scheme val="minor"/>
      </rPr>
      <t>томатом и итальянскими травами</t>
    </r>
    <r>
      <rPr>
        <sz val="10"/>
        <rFont val="Calibri"/>
        <family val="2"/>
        <scheme val="minor"/>
      </rPr>
      <t xml:space="preserve"> 40г</t>
    </r>
  </si>
  <si>
    <r>
      <t xml:space="preserve">Флайчипсы кукурузно-рисовые </t>
    </r>
    <r>
      <rPr>
        <b/>
        <sz val="10"/>
        <rFont val="Calibri"/>
        <family val="2"/>
        <scheme val="minor"/>
      </rPr>
      <t>3 сыра и зеленый лук</t>
    </r>
    <r>
      <rPr>
        <sz val="10"/>
        <rFont val="Calibri"/>
        <family val="2"/>
        <scheme val="minor"/>
      </rPr>
      <t xml:space="preserve"> 40г</t>
    </r>
  </si>
  <si>
    <r>
      <t xml:space="preserve">Флайчипсы кукурузно-рисовые с </t>
    </r>
    <r>
      <rPr>
        <b/>
        <sz val="10"/>
        <rFont val="Calibri"/>
        <family val="2"/>
        <scheme val="minor"/>
      </rPr>
      <t xml:space="preserve">ламинарией и морской солью </t>
    </r>
    <r>
      <rPr>
        <sz val="10"/>
        <rFont val="Calibri"/>
        <family val="2"/>
        <scheme val="minor"/>
      </rPr>
      <t>40г</t>
    </r>
  </si>
  <si>
    <t>рисовая мука, тапиоковый крахмал, вода питьевая</t>
  </si>
  <si>
    <t>кукурузная мука, кукурузный крахмал, вода питьевая</t>
  </si>
  <si>
    <t>гречневая мука, кукурузный крахмал, рисовая мука, вода питьевая</t>
  </si>
  <si>
    <r>
      <t xml:space="preserve">Макароны Вермишель </t>
    </r>
    <r>
      <rPr>
        <b/>
        <sz val="10"/>
        <rFont val="Calibri"/>
        <family val="2"/>
        <charset val="204"/>
        <scheme val="minor"/>
      </rPr>
      <t>кукурузная</t>
    </r>
    <r>
      <rPr>
        <sz val="10"/>
        <rFont val="Calibri"/>
        <family val="2"/>
        <scheme val="minor"/>
      </rPr>
      <t xml:space="preserve"> без глютена "Диетика" 300г</t>
    </r>
  </si>
  <si>
    <t>рисовая мука, рафинированные и дезодорированные растительные масла кокосовое, подсолнечное, вода питьевая, кукурузная мука, кукурузный крахмал, кокосовая стужка, комплексная пищевая добавка смесь подсластителей(эритрит, сукролоза, стевиозид), растительные пищевые волокна, разрыхлитель: гидрокарбонат натрия,соль,комплексная пищевая добавка (эмульгатор моно- и диглицериды жирных кислот), комплексная пищевая добавка (эмульгатор соевый лецитин),краситель Е160d-ликопин, лимонная кислота.</t>
  </si>
  <si>
    <t>рисовая мука, рафинированные и дезодорированные растительные масла кокосовое, подсолнечное, вода питьевая, кукурузная мука, кукурузный крахмал, комплексная пищевая добавка смесь подсластителей(эритрит, сукролоза, стевиозид),растительные пищевые волокна, ванилин, разрыхлитель: гидрокарбонат натрия,соль,комплексная пищевая добавка (эмульгатор моно- и диглицериды жирных кислот),комплексная пищевая добавка (эмульгатор соевый лецитин),краситель Е160d-ликопин, лимонная кислота</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</si>
  <si>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растительные пищевые волокна (бамбуковые), соль, разрыхлитель гидрокарбонат натрия E500, ароматизатор "Ванильный"</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</si>
  <si>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хлопья овсяные, сахарный колер, корица, растительные пищевые волокна (бамбуковые), соль, разрыхлитель гидрокарбонат натрия E500</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</si>
  <si>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какао-порошок, растительные пищевые волокна (бамбуковые), соль, разрыхлитель гидрокарбонат натрия E500, ароматизатор "Ванильный"</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</si>
  <si>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конфитюр «Брусника с яблоком», растительные пищевые волокна (бамбуковые), соль, разрыхлитель гидрокарбонат натрия E500, ароматизатор "Ванильный"</t>
  </si>
  <si>
    <t>хлопья рисовые</t>
  </si>
  <si>
    <t>хлопья кукурузные</t>
  </si>
  <si>
    <t>хлопья пшенные</t>
  </si>
  <si>
    <t>хлопья гречневые</t>
  </si>
  <si>
    <t>хлопья овсяные</t>
  </si>
  <si>
    <t>http://1.c8804.nichost.ru/pics/21013.jpg</t>
  </si>
  <si>
    <t>http://1.c8804.nichost.ru/pics/21019.jpg</t>
  </si>
  <si>
    <t>http://1.c8804.nichost.ru/pics/21012.jpg</t>
  </si>
  <si>
    <t>http://1.c8804.nichost.ru/pics/21018.jpg</t>
  </si>
  <si>
    <t>http://1.c8804.nichost.ru/pics/21014.jpg</t>
  </si>
  <si>
    <t>http://1.c8804.nichost.ru/pics/21017.jpg</t>
  </si>
  <si>
    <t>http://1.c8804.nichost.ru/pics/21015.jpg</t>
  </si>
  <si>
    <t>http://1.c8804.nichost.ru/pics/21016.jpg</t>
  </si>
  <si>
    <t>http://1.c8804.nichost.ru/pics/21025.jpg</t>
  </si>
  <si>
    <t>http://1.c8804.nichost.ru/pics/21026.jpg</t>
  </si>
  <si>
    <t>http://1.c8804.nichost.ru/pics/21024.jpg</t>
  </si>
  <si>
    <t>http://1.c8804.nichost.ru/pics/21020.jpg</t>
  </si>
  <si>
    <t>http://1.c8804.nichost.ru/pics/21021.jpg</t>
  </si>
  <si>
    <t>http://1.c8804.nichost.ru/pics/21022.jpg</t>
  </si>
  <si>
    <t>http://1.c8804.nichost.ru/pics/21023.jpg</t>
  </si>
  <si>
    <t>http://1.c8804.nichost.ru/pics/21008.jpg</t>
  </si>
  <si>
    <t>http://1.c8804.nichost.ru/pics/21009.jpg</t>
  </si>
  <si>
    <t>http://1.c8804.nichost.ru/pics/21007.jpg</t>
  </si>
  <si>
    <t>http://1.c8804.nichost.ru/pics/21010.jpg</t>
  </si>
  <si>
    <t>http://1.c8804.nichost.ru/pics/21011.jpg</t>
  </si>
  <si>
    <t>кукурузная мука, кукурузный крахмал, томат сушёный порошок, шпинат сушёный порошок, свекла сушёная порошок, вода</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</si>
  <si>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конфитюр "чёрная смородина с яблоком" (сахар-песок, яблоко, чёрная смородина, стабилизатор-пектин, регулятор кислотности-лимонная кислота, консервант-сорбат калия, ароматизатор идентичный натуральному, вода питьевая), растительные пищевые волокна (бамбуковые), разрыхлитель гидрокарбонат натрия Е500, ароматизатор "Ванильный", соль</t>
  </si>
  <si>
    <t>Диетика</t>
  </si>
  <si>
    <t>продукция без глютена</t>
  </si>
  <si>
    <t>Какао продукция</t>
  </si>
  <si>
    <t>Какао масло натуральное "Оргтиум" 100г</t>
  </si>
  <si>
    <t>Какао порошок "Оргтиум" 100г</t>
  </si>
  <si>
    <t>Какао-тертое "Оргтиум" 100г</t>
  </si>
  <si>
    <t>Какао масло натуральное "Оргтиум" 200г</t>
  </si>
  <si>
    <t>Какао-тертое "Оргтиум" 200г</t>
  </si>
  <si>
    <t>Какао порошок "Оргтиум" 200г</t>
  </si>
  <si>
    <t>какао порошок</t>
  </si>
  <si>
    <t>какар тёртое</t>
  </si>
  <si>
    <t>какао масло</t>
  </si>
  <si>
    <t>http://1.c8804.nichost.ru/pics/21032.jpg</t>
  </si>
  <si>
    <t>http://1.c8804.nichost.ru/pics/21033.jpg</t>
  </si>
  <si>
    <t>http://1.c8804.nichost.ru/pics/21028.jpg</t>
  </si>
  <si>
    <t>http://1.c8804.nichost.ru/pics/21029.jpg</t>
  </si>
  <si>
    <t>http://1.c8804.nichost.ru/pics/21030.jpg</t>
  </si>
  <si>
    <t>http://1.c8804.nichost.ru/pics/21031.jpg</t>
  </si>
  <si>
    <t>http://1.c8804.nichost.ru/pics/21040.jpg</t>
  </si>
  <si>
    <t>Торт вафельный со сливочной начиной в глазури 105г</t>
  </si>
  <si>
    <t>http://1.c8804.nichost.ru/pics/21037.jpg</t>
  </si>
  <si>
    <t>Вафли амарантовые со сливочной начинкой в глазури 50г</t>
  </si>
  <si>
    <t>http://1.c8804.nichost.ru/pics/21038.jpg</t>
  </si>
  <si>
    <t>http://1.c8804.nichost.ru/pics/21042.jpg</t>
  </si>
  <si>
    <t>Фото &gt;&gt;</t>
  </si>
  <si>
    <t>вода, пюре манго, апельсиновый сок, семена Чиа, киноа хлопья, сок манго, овсяные хлопья, ананасовый сок, регулятор кислотности – лимонная кислота, витаминный премикс EM28304</t>
  </si>
  <si>
    <t>http://1.c8804.nichost.ru/pics/19907.jpg</t>
  </si>
  <si>
    <r>
      <t xml:space="preserve">Супер-завтрак Чиа </t>
    </r>
    <r>
      <rPr>
        <b/>
        <sz val="10"/>
        <color theme="1"/>
        <rFont val="Calibri"/>
        <family val="2"/>
        <charset val="204"/>
        <scheme val="minor"/>
      </rPr>
      <t>ОМЕГА-3</t>
    </r>
    <r>
      <rPr>
        <sz val="10"/>
        <color theme="1"/>
        <rFont val="Calibri"/>
        <family val="2"/>
        <scheme val="minor"/>
      </rPr>
      <t xml:space="preserve"> "</t>
    </r>
    <r>
      <rPr>
        <b/>
        <sz val="10"/>
        <color theme="1"/>
        <rFont val="Calibri"/>
        <family val="2"/>
        <charset val="204"/>
        <scheme val="minor"/>
      </rPr>
      <t>Тропические фрукты</t>
    </r>
    <r>
      <rPr>
        <sz val="10"/>
        <color theme="1"/>
        <rFont val="Calibri"/>
        <family val="2"/>
        <scheme val="minor"/>
      </rPr>
      <t>" дой-пак, 220г</t>
    </r>
  </si>
  <si>
    <t>вода,коко глюкозид, коко бетаин, глицерил олеат, экстракт ромашки, экстракт календулы, экстракт шалфея, экстракт клевера, дегидроацетат натрия, лимонная кислота, масло льняное, масло лаванды</t>
  </si>
  <si>
    <t>http://1.c8804.nichost.ru/pics/17996.jpg</t>
  </si>
  <si>
    <r>
      <t>Мыло для рук жидкое "</t>
    </r>
    <r>
      <rPr>
        <b/>
        <sz val="10"/>
        <rFont val="Calibri"/>
        <family val="2"/>
        <charset val="204"/>
        <scheme val="minor"/>
      </rPr>
      <t>Лён и Ромашка</t>
    </r>
    <r>
      <rPr>
        <sz val="10"/>
        <rFont val="Calibri"/>
        <family val="2"/>
        <scheme val="minor"/>
      </rPr>
      <t>" 500мл</t>
    </r>
  </si>
  <si>
    <t>дистиллированная вода, экстракт ромашки, экстракт брусники, экстракт солодки, экстракт шалфея, д-пантенол, мочевина, сорбитол, гидролизованные протеины пшеницы, аллантоин, дегидроацетат натрия, феноксиэтанол.</t>
  </si>
  <si>
    <t>http://1.c8804.nichost.ru/pics/20561.jpg</t>
  </si>
  <si>
    <r>
      <t>Тоник "</t>
    </r>
    <r>
      <rPr>
        <b/>
        <sz val="10"/>
        <rFont val="Calibri"/>
        <family val="2"/>
        <charset val="204"/>
        <scheme val="minor"/>
      </rPr>
      <t>Увлажняющий</t>
    </r>
    <r>
      <rPr>
        <sz val="10"/>
        <rFont val="Calibri"/>
        <family val="2"/>
        <scheme val="minor"/>
      </rPr>
      <t>" для сухой кожи 200мл</t>
    </r>
  </si>
  <si>
    <t>http://1.c8804.nichost.ru/pics/21002.jpg</t>
  </si>
  <si>
    <t>зерно кукурузы, тростниковый сахар, высокоолеиновое подсолнечное масло, молотая корица, ванильный сахар, натуральный ароматизатор яблочный пирог.</t>
  </si>
  <si>
    <r>
      <t xml:space="preserve">Флайчипсы зерновые с </t>
    </r>
    <r>
      <rPr>
        <b/>
        <sz val="10"/>
        <rFont val="Calibri"/>
        <family val="2"/>
        <scheme val="minor"/>
      </rPr>
      <t>томатом и базиликом</t>
    </r>
    <r>
      <rPr>
        <sz val="10"/>
        <rFont val="Calibri"/>
        <family val="2"/>
        <scheme val="minor"/>
      </rPr>
      <t xml:space="preserve"> 40г</t>
    </r>
  </si>
  <si>
    <r>
      <t>Эликсир "</t>
    </r>
    <r>
      <rPr>
        <b/>
        <sz val="10"/>
        <rFont val="Calibri"/>
        <family val="2"/>
        <scheme val="minor"/>
      </rPr>
      <t>Для Суставов - Омега 3</t>
    </r>
    <r>
      <rPr>
        <sz val="10"/>
        <rFont val="Calibri"/>
        <family val="2"/>
        <scheme val="minor"/>
      </rPr>
      <t>" на льняном масле 200мл</t>
    </r>
  </si>
  <si>
    <r>
      <t>Масло капсулированное льняное "</t>
    </r>
    <r>
      <rPr>
        <b/>
        <sz val="10"/>
        <rFont val="Calibri"/>
        <family val="2"/>
        <scheme val="minor"/>
      </rPr>
      <t>Для суставов - Омега 3</t>
    </r>
    <r>
      <rPr>
        <sz val="10"/>
        <rFont val="Calibri"/>
        <family val="2"/>
        <scheme val="minor"/>
      </rPr>
      <t>" 180капс. 54г</t>
    </r>
  </si>
  <si>
    <r>
      <t xml:space="preserve">Пастила диетическая "УмСладости" со стевией </t>
    </r>
    <r>
      <rPr>
        <b/>
        <sz val="10"/>
        <rFont val="Calibri"/>
        <family val="2"/>
        <scheme val="minor"/>
      </rPr>
      <t>в глазури</t>
    </r>
    <r>
      <rPr>
        <sz val="10"/>
        <rFont val="Calibri"/>
        <family val="2"/>
        <scheme val="minor"/>
      </rPr>
      <t xml:space="preserve"> 175г</t>
    </r>
  </si>
  <si>
    <t>Клетчатка пшеничная бум.пакет 300г</t>
  </si>
  <si>
    <t>http://1.c8804.nichost.ru/pics/17640_1.jpg</t>
  </si>
  <si>
    <t xml:space="preserve">Рыбий жир капс. 300мг </t>
  </si>
  <si>
    <t>http://1.c8804.nichost.ru/pics/21043.jpg</t>
  </si>
  <si>
    <t>рыбий жир, капсула желатиновая (вода дистиллированная, желатин пищевой, глицерин Е422 (агент влагоудерживающий),сорбат калия Е202 (консервант))</t>
  </si>
  <si>
    <r>
      <t xml:space="preserve">Стиральный порошок </t>
    </r>
    <r>
      <rPr>
        <b/>
        <sz val="10"/>
        <rFont val="Calibri"/>
        <family val="2"/>
        <scheme val="minor"/>
      </rPr>
      <t>для белого белья</t>
    </r>
    <r>
      <rPr>
        <sz val="10"/>
        <rFont val="Calibri"/>
        <family val="2"/>
        <scheme val="minor"/>
      </rPr>
      <t xml:space="preserve"> с растительными энзимами 1,2кг</t>
    </r>
  </si>
  <si>
    <r>
      <t xml:space="preserve">Стиральный порошок </t>
    </r>
    <r>
      <rPr>
        <b/>
        <sz val="10"/>
        <rFont val="Calibri"/>
        <family val="2"/>
        <scheme val="minor"/>
      </rPr>
      <t>для белого и цветного детского белья</t>
    </r>
    <r>
      <rPr>
        <sz val="10"/>
        <rFont val="Calibri"/>
        <family val="2"/>
        <scheme val="minor"/>
      </rPr>
      <t xml:space="preserve"> 1,2кг</t>
    </r>
  </si>
  <si>
    <r>
      <t xml:space="preserve">Стиральный порошок </t>
    </r>
    <r>
      <rPr>
        <b/>
        <sz val="10"/>
        <rFont val="Calibri"/>
        <family val="2"/>
        <scheme val="minor"/>
      </rPr>
      <t xml:space="preserve">для детского белья </t>
    </r>
    <r>
      <rPr>
        <sz val="10"/>
        <rFont val="Calibri"/>
        <family val="2"/>
        <scheme val="minor"/>
      </rPr>
      <t>1кг</t>
    </r>
  </si>
  <si>
    <r>
      <t>Стиральный порошок</t>
    </r>
    <r>
      <rPr>
        <b/>
        <sz val="10"/>
        <rFont val="Calibri"/>
        <family val="2"/>
        <scheme val="minor"/>
      </rPr>
      <t xml:space="preserve"> для цветного белья </t>
    </r>
    <r>
      <rPr>
        <sz val="10"/>
        <rFont val="Calibri"/>
        <family val="2"/>
        <scheme val="minor"/>
      </rPr>
      <t>с растительными энзимами 1,2кг</t>
    </r>
  </si>
  <si>
    <r>
      <t xml:space="preserve">Конфеты "Нежное суфле" </t>
    </r>
    <r>
      <rPr>
        <b/>
        <sz val="10"/>
        <rFont val="Calibri"/>
        <family val="2"/>
        <scheme val="minor"/>
      </rPr>
      <t>грейпфрут, смородина, алоэ и вера</t>
    </r>
    <r>
      <rPr>
        <sz val="10"/>
        <rFont val="Calibri"/>
        <family val="2"/>
        <scheme val="minor"/>
      </rPr>
      <t xml:space="preserve"> 155г</t>
    </r>
  </si>
  <si>
    <r>
      <t xml:space="preserve">Пастила "Маленькие радости" </t>
    </r>
    <r>
      <rPr>
        <b/>
        <sz val="10"/>
        <rFont val="Calibri"/>
        <family val="2"/>
        <scheme val="minor"/>
      </rPr>
      <t>Черешня и мёд</t>
    </r>
    <r>
      <rPr>
        <sz val="10"/>
        <rFont val="Calibri"/>
        <family val="2"/>
        <scheme val="minor"/>
      </rPr>
      <t xml:space="preserve"> 95г</t>
    </r>
  </si>
  <si>
    <r>
      <t>Нуга Туррон батончик с</t>
    </r>
    <r>
      <rPr>
        <b/>
        <sz val="10"/>
        <rFont val="Calibri"/>
        <family val="2"/>
        <scheme val="minor"/>
      </rPr>
      <t xml:space="preserve"> миндалём и фундуком</t>
    </r>
    <r>
      <rPr>
        <sz val="10"/>
        <rFont val="Calibri"/>
        <family val="2"/>
        <scheme val="minor"/>
      </rPr>
      <t xml:space="preserve"> 50г</t>
    </r>
  </si>
  <si>
    <r>
      <t xml:space="preserve">Нуга L'apetit батончик с </t>
    </r>
    <r>
      <rPr>
        <b/>
        <sz val="10"/>
        <rFont val="Calibri"/>
        <family val="2"/>
        <scheme val="minor"/>
      </rPr>
      <t>миндалем и манго</t>
    </r>
    <r>
      <rPr>
        <sz val="10"/>
        <rFont val="Calibri"/>
        <family val="2"/>
        <scheme val="minor"/>
      </rPr>
      <t xml:space="preserve"> в молочном шок 40г</t>
    </r>
  </si>
  <si>
    <r>
      <t xml:space="preserve">Нуга L'apetit батончик с </t>
    </r>
    <r>
      <rPr>
        <b/>
        <sz val="10"/>
        <rFont val="Calibri"/>
        <family val="2"/>
        <scheme val="minor"/>
      </rPr>
      <t>миндалем и фундуком</t>
    </r>
    <r>
      <rPr>
        <sz val="10"/>
        <rFont val="Calibri"/>
        <family val="2"/>
        <scheme val="minor"/>
      </rPr>
      <t xml:space="preserve"> в молочном шок 40г</t>
    </r>
  </si>
  <si>
    <t>http://1.c8804.nichost.ru/pics/21054.jpg</t>
  </si>
  <si>
    <t>Миндаль, мед натуральный цветочный, клюква сушеная, яичный белок жидкий пастеризованный, сахар, вафельная бумага пищевая</t>
  </si>
  <si>
    <t>протеиновый комплекс, изомальтоолигосахарид, сухое обезжиренное молоко, кокосовое масло, стружка кокосовая, подсластитель мальтит, какао-порошок, сухая молочная сыворотка, натуральный эмульгатор, плоды манго сушеные, агент влагоудерживающий (глицерин), ароматизаторы, антиокислитель (кислота аскорбиновая), регулятор кислотности (кислота лимонная), консервант (сорбат калия), премикс витаминный, подсластитель натуральный (стевиолгликозиды)</t>
  </si>
  <si>
    <t>протеиновый комплекс, изомальтоолигосахарид, сухое обезжиренное молоко, кокосовое масло, подсластитель мальтит, какао-порошок, ядро миндаля дробленое, сухая молочная сыворотка, натуральный эмульгатор, малина сублимационной сушки, агент влагоудерживающий (глицерин), ароматизаторы, антиокислитель (кислота аскорбиновая), регулятор кислотности (кислота лимонная), консервант (сорбат калия), премикс витаминный, краситель (порошок сока красной свеклы), подсластитель натуральный (стевиолгликозиды)</t>
  </si>
  <si>
    <t>протеиновый комплекс, изомальтоолигосахарид, сухое обезжиренное молоко, кокосовое масло, подсластитель мальтит, какао-порошок, мука пшеничная, сухая молочная сыворотка, натуральный эмульгатор (соевый лецитин), агент влагоудерживающий (глицерин), ароматизаторы, антиокислитель, регулятор кислотности, разрыхлитель (гидрокарбонат натрия), консервант (сорбат калия), премикс витаминный, соль пищевая, подсластитель натуральный (стевиолгликозиды)</t>
  </si>
  <si>
    <t>протеиновый комплекс, изомальтоолигосахарид , сухое обезжиренное молоко, какао-порошок, кокосовое масло, подсластитель мальтит, сухая молочная сыворотка, натуральный эмульгатор, банан сушеный, агент влагоудерживающий (глицерин), ароматизаторы, антиокислитель (кислота аскорбиновая), регулятор кислотности (кислота лимонная), консервант (сорбат калия), премикс витаминный, подсластитель натуральный (стевиолгликозиды)</t>
  </si>
  <si>
    <t>протеиновый комплекс, изомальтоолигосахарид, сухое обезжиренное молоко, кокосовое масло, подсластитель мальтит, какао-порошок, сухая молочная сыворотка, натуральный эмульгатор (соевый лецитин), плоды манго сушеные, агент влагоудерживающий (глицерин), порошок персика сублимационной сушки, ароматизаторы, антиокислитель (кислота аскорбиновая), регулятор кислотности (кислота лимонная), консервант (сорбат калия), премикс витаминный, подсластитель натуральный (стевиолгликозиды).</t>
  </si>
  <si>
    <t>http://1.c8804.nichost.ru/pics/21050.jpg</t>
  </si>
  <si>
    <t>http://1.c8804.nichost.ru/pics/21051.jpg</t>
  </si>
  <si>
    <t>http://1.c8804.nichost.ru/pics/21049.jpg</t>
  </si>
  <si>
    <t>http://1.c8804.nichost.ru/pics/21047.jpg</t>
  </si>
  <si>
    <t>http://1.c8804.nichost.ru/pics/21048.jpg</t>
  </si>
  <si>
    <t>кукурузная мука, рисовая мука, кукурузный крахмал, вода питьевая</t>
  </si>
  <si>
    <t>http://1.c8804.nichost.ru/pics/21061.jpg</t>
  </si>
  <si>
    <t>Кукурузная мука, рисовая мука кукурузный крахмал, вода питьевая</t>
  </si>
  <si>
    <t>http://1.c8804.nichost.ru/pics/21069.jpg</t>
  </si>
  <si>
    <t>http://1.c8804.nichost.ru/pics/21060.jpg</t>
  </si>
  <si>
    <t>http://1.c8804.nichost.ru/pics/21062.jpg</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</si>
  <si>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корица, растительные пищевые волокна (бамбуковые), соль, разрыхлитель гидрокарбонат натрия E500.</t>
  </si>
  <si>
    <t xml:space="preserve">рисовая мука, рафинированные и дезодорированные растительные масла кокосовое, подсолнечное, кукурузная мука, вода питьевая, сахар, кукурузный крахмал, какао-порошок, растительные пищевые волокна (бамбуковые), соль, разрыхлитель гидрокарбонат натрия E500, </t>
  </si>
  <si>
    <t xml:space="preserve">Рисовая мука, рафинированные и дезодорированные растительные масла (кокосовое, подсолнечное), кукурузная мука, вода питьевая, сахар-песок, кукурузный крахмал, фруктово-ягодный наполнитель "кленовый сироп" (сахар, патока, вода, стабилизатор Е1442 (крахмал </t>
  </si>
  <si>
    <t>http://1.c8804.nichost.ru/pics/21068.jpg</t>
  </si>
  <si>
    <t>http://1.c8804.nichost.ru/pics/21066.jpg</t>
  </si>
  <si>
    <t>http://1.c8804.nichost.ru/pics/21064.jpg</t>
  </si>
  <si>
    <t>http://1.c8804.nichost.ru/pics/21063.jpg</t>
  </si>
  <si>
    <t>Кедрокофе Антиоксидантный Apic 125г</t>
  </si>
  <si>
    <t>http://1.c8804.nichost.ru/pics/21057.jpg</t>
  </si>
  <si>
    <t>оболочка пшеничного зерна, клюква ягода сушеная, яблоко плоды сушеные, травяной сбор сушеный (пижма цветы, мята трава, календула цветы, тысячелистник трава, ромашка цветы, зверобой трава, череда трава, лопух корень, шиповник плоды)</t>
  </si>
  <si>
    <t>http://1.c8804.nichost.ru/pics/21052.jpg</t>
  </si>
  <si>
    <t>Напиток Золотое молоко "Immunity" Eleo 150г</t>
  </si>
  <si>
    <t>Заменитель сухого молочного продукта (кукурузный сироп, кокосовое масло, казеинат натрия, калия фосфаты), куркума, имбирь, перец черный, корица, кардамон, перец красный</t>
  </si>
  <si>
    <t>http://1.c8804.nichost.ru/pics/21070.jpg</t>
  </si>
  <si>
    <t>http://1.c8804.nichost.ru/pics/21056.jpg</t>
  </si>
  <si>
    <t>http://1.c8804.nichost.ru/pics/21053.jpg</t>
  </si>
  <si>
    <t>Зерно кукурузы, высокоолеиновое подсолнечное масло, натуральный ароматизатор грибы</t>
  </si>
  <si>
    <t>Зерно кукурузы, высокоолеиновое подсолнечное масло, тростниковый сахар, морская соль.</t>
  </si>
  <si>
    <t>Шампунь детский 0+ Nativica baby 180мл</t>
  </si>
  <si>
    <t>Вода, кокоил глуматат натрия, коко сульфат натрия, коко глюкозид, глицерил олеат, репейное масло, д-пантенол, экстракт ромашки, гидролизованные протеины пшеницы, молочная кислота, дегидроацетат натрия, масло ванили</t>
  </si>
  <si>
    <t>http://1.c8804.nichost.ru/pics/20497.jpg</t>
  </si>
  <si>
    <t>Патока крахмальная, масло кокосовое рафинированное, глицериды жирных кислот, калия фосфаты, казеинат натрия.</t>
  </si>
  <si>
    <t>Сливки на растительной основе, кокосовые 35% жирности 150г</t>
  </si>
  <si>
    <t>http://1.c8804.nichost.ru/pics/21041.jpg</t>
  </si>
  <si>
    <r>
      <t>Мармелад "</t>
    </r>
    <r>
      <rPr>
        <b/>
        <sz val="10"/>
        <rFont val="Calibri"/>
        <family val="2"/>
        <scheme val="minor"/>
      </rPr>
      <t>Кислый чел</t>
    </r>
    <r>
      <rPr>
        <sz val="10"/>
        <rFont val="Calibri"/>
        <family val="2"/>
        <scheme val="minor"/>
      </rPr>
      <t xml:space="preserve">" Holy Jelly 65г </t>
    </r>
  </si>
  <si>
    <r>
      <t>Мармелад "</t>
    </r>
    <r>
      <rPr>
        <b/>
        <sz val="10"/>
        <rFont val="Calibri"/>
        <family val="2"/>
        <scheme val="minor"/>
      </rPr>
      <t>Фруктовые лапки</t>
    </r>
    <r>
      <rPr>
        <sz val="10"/>
        <rFont val="Calibri"/>
        <family val="2"/>
        <scheme val="minor"/>
      </rPr>
      <t xml:space="preserve">" Holy Jelly 65г </t>
    </r>
  </si>
  <si>
    <r>
      <t xml:space="preserve">Драже амарантовые "УмСладости" в </t>
    </r>
    <r>
      <rPr>
        <b/>
        <sz val="10"/>
        <rFont val="Calibri"/>
        <family val="2"/>
        <scheme val="minor"/>
      </rPr>
      <t>белой</t>
    </r>
    <r>
      <rPr>
        <sz val="10"/>
        <rFont val="Calibri"/>
        <family val="2"/>
        <scheme val="minor"/>
      </rPr>
      <t xml:space="preserve"> глазури 50г</t>
    </r>
  </si>
  <si>
    <r>
      <t xml:space="preserve">Драже амарантовые "УмСладости" в </t>
    </r>
    <r>
      <rPr>
        <b/>
        <sz val="10"/>
        <rFont val="Calibri"/>
        <family val="2"/>
        <scheme val="minor"/>
      </rPr>
      <t>молочно-шоколадной</t>
    </r>
    <r>
      <rPr>
        <sz val="10"/>
        <rFont val="Calibri"/>
        <family val="2"/>
        <scheme val="minor"/>
      </rPr>
      <t xml:space="preserve"> глазури 50г</t>
    </r>
  </si>
  <si>
    <r>
      <t xml:space="preserve">Драже амарантовые "УмСладости" в </t>
    </r>
    <r>
      <rPr>
        <b/>
        <sz val="10"/>
        <rFont val="Calibri"/>
        <family val="2"/>
        <scheme val="minor"/>
      </rPr>
      <t>шоколадной</t>
    </r>
    <r>
      <rPr>
        <sz val="10"/>
        <rFont val="Calibri"/>
        <family val="2"/>
        <scheme val="minor"/>
      </rPr>
      <t xml:space="preserve"> глазури 50г</t>
    </r>
  </si>
  <si>
    <r>
      <t xml:space="preserve">Печенье "УмСладости" </t>
    </r>
    <r>
      <rPr>
        <b/>
        <sz val="10"/>
        <rFont val="Calibri"/>
        <family val="2"/>
        <scheme val="minor"/>
      </rPr>
      <t>курабье</t>
    </r>
    <r>
      <rPr>
        <sz val="10"/>
        <rFont val="Calibri"/>
        <family val="2"/>
        <scheme val="minor"/>
      </rPr>
      <t xml:space="preserve"> с амарантовой мукой 200г</t>
    </r>
  </si>
  <si>
    <r>
      <t xml:space="preserve">Колечки амарантовые </t>
    </r>
    <r>
      <rPr>
        <b/>
        <sz val="10"/>
        <rFont val="Calibri"/>
        <family val="2"/>
        <scheme val="minor"/>
      </rPr>
      <t>Апельсиновые</t>
    </r>
    <r>
      <rPr>
        <sz val="10"/>
        <rFont val="Calibri"/>
        <family val="2"/>
        <scheme val="minor"/>
      </rPr>
      <t xml:space="preserve"> "Амарантик" 150г</t>
    </r>
  </si>
  <si>
    <r>
      <t xml:space="preserve">Колечки амарантовые </t>
    </r>
    <r>
      <rPr>
        <b/>
        <sz val="10"/>
        <rFont val="Calibri"/>
        <family val="2"/>
        <scheme val="minor"/>
      </rPr>
      <t>Землячинчные</t>
    </r>
    <r>
      <rPr>
        <sz val="10"/>
        <rFont val="Calibri"/>
        <family val="2"/>
        <scheme val="minor"/>
      </rPr>
      <t xml:space="preserve"> "Амарантик" 150г</t>
    </r>
  </si>
  <si>
    <r>
      <t xml:space="preserve">Колечки амарантовые </t>
    </r>
    <r>
      <rPr>
        <b/>
        <sz val="10"/>
        <rFont val="Calibri"/>
        <family val="2"/>
        <scheme val="minor"/>
      </rPr>
      <t>Какао</t>
    </r>
    <r>
      <rPr>
        <sz val="10"/>
        <rFont val="Calibri"/>
        <family val="2"/>
        <scheme val="minor"/>
      </rPr>
      <t xml:space="preserve"> "Амарантик" 150г</t>
    </r>
  </si>
  <si>
    <r>
      <t xml:space="preserve">Батончик "KICK energy" арахисовый </t>
    </r>
    <r>
      <rPr>
        <b/>
        <sz val="10"/>
        <rFont val="Calibri"/>
        <family val="2"/>
        <scheme val="minor"/>
      </rPr>
      <t>в карамельном</t>
    </r>
    <r>
      <rPr>
        <sz val="10"/>
        <rFont val="Calibri"/>
        <family val="2"/>
        <scheme val="minor"/>
      </rPr>
      <t xml:space="preserve"> шоколаде 45г</t>
    </r>
  </si>
  <si>
    <r>
      <t>Батончик "KICK energy" арахисовый</t>
    </r>
    <r>
      <rPr>
        <b/>
        <sz val="10"/>
        <rFont val="Calibri"/>
        <family val="2"/>
        <scheme val="minor"/>
      </rPr>
      <t xml:space="preserve"> в темном</t>
    </r>
    <r>
      <rPr>
        <sz val="10"/>
        <rFont val="Calibri"/>
        <family val="2"/>
        <scheme val="minor"/>
      </rPr>
      <t xml:space="preserve"> шоколаде 45г</t>
    </r>
  </si>
  <si>
    <r>
      <t>Батончик "KICK energy" арахисовый с</t>
    </r>
    <r>
      <rPr>
        <b/>
        <sz val="10"/>
        <rFont val="Calibri"/>
        <family val="2"/>
        <scheme val="minor"/>
      </rPr>
      <t xml:space="preserve"> соленой карамелью</t>
    </r>
    <r>
      <rPr>
        <sz val="10"/>
        <rFont val="Calibri"/>
        <family val="2"/>
        <scheme val="minor"/>
      </rPr>
      <t xml:space="preserve"> в карамельном шоколаде 45г, НОВИНКА 12 мес, 1/10</t>
    </r>
  </si>
  <si>
    <r>
      <t>Эликсир "</t>
    </r>
    <r>
      <rPr>
        <b/>
        <sz val="10"/>
        <rFont val="Calibri"/>
        <family val="2"/>
        <scheme val="minor"/>
      </rPr>
      <t>Красный Рубин</t>
    </r>
    <r>
      <rPr>
        <sz val="10"/>
        <rFont val="Calibri"/>
        <family val="2"/>
        <scheme val="minor"/>
      </rPr>
      <t>" на льняном масле 200мл</t>
    </r>
  </si>
  <si>
    <r>
      <t>Масло капсулированное льняное "</t>
    </r>
    <r>
      <rPr>
        <b/>
        <sz val="10"/>
        <rFont val="Calibri"/>
        <family val="2"/>
        <scheme val="minor"/>
      </rPr>
      <t>Красный Рубин</t>
    </r>
    <r>
      <rPr>
        <sz val="10"/>
        <rFont val="Calibri"/>
        <family val="2"/>
        <scheme val="minor"/>
      </rPr>
      <t>" 180капс. 54г</t>
    </r>
  </si>
  <si>
    <r>
      <t xml:space="preserve">Флаксы с </t>
    </r>
    <r>
      <rPr>
        <b/>
        <sz val="10"/>
        <rFont val="Calibri"/>
        <family val="2"/>
        <scheme val="minor"/>
      </rPr>
      <t>томатом</t>
    </r>
    <r>
      <rPr>
        <sz val="10"/>
        <rFont val="Calibri"/>
        <family val="2"/>
        <scheme val="minor"/>
      </rPr>
      <t xml:space="preserve"> 120г</t>
    </r>
  </si>
  <si>
    <r>
      <t xml:space="preserve">Мюсли запеченные Bionova </t>
    </r>
    <r>
      <rPr>
        <b/>
        <sz val="10"/>
        <rFont val="Calibri"/>
        <family val="2"/>
        <scheme val="minor"/>
      </rPr>
      <t xml:space="preserve">ореховые </t>
    </r>
    <r>
      <rPr>
        <sz val="10"/>
        <rFont val="Calibri"/>
        <family val="2"/>
        <scheme val="minor"/>
      </rPr>
      <t>400г</t>
    </r>
  </si>
  <si>
    <r>
      <t xml:space="preserve">Мюсли запеченные Bionova </t>
    </r>
    <r>
      <rPr>
        <b/>
        <sz val="10"/>
        <rFont val="Calibri"/>
        <family val="2"/>
        <scheme val="minor"/>
      </rPr>
      <t>тропические</t>
    </r>
    <r>
      <rPr>
        <sz val="10"/>
        <rFont val="Calibri"/>
        <family val="2"/>
        <scheme val="minor"/>
      </rPr>
      <t xml:space="preserve"> 400г</t>
    </r>
  </si>
  <si>
    <r>
      <t xml:space="preserve">Мюсли запеченные Bionova </t>
    </r>
    <r>
      <rPr>
        <b/>
        <sz val="10"/>
        <rFont val="Calibri"/>
        <family val="2"/>
        <scheme val="minor"/>
      </rPr>
      <t>шоколадные с клубникой и бананом</t>
    </r>
    <r>
      <rPr>
        <sz val="10"/>
        <rFont val="Calibri"/>
        <family val="2"/>
        <scheme val="minor"/>
      </rPr>
      <t xml:space="preserve"> 400г</t>
    </r>
  </si>
  <si>
    <r>
      <t xml:space="preserve">Мюсли запеченные Bionova </t>
    </r>
    <r>
      <rPr>
        <b/>
        <sz val="10"/>
        <rFont val="Calibri"/>
        <family val="2"/>
        <scheme val="minor"/>
      </rPr>
      <t>яблочные</t>
    </r>
    <r>
      <rPr>
        <sz val="10"/>
        <rFont val="Calibri"/>
        <family val="2"/>
        <scheme val="minor"/>
      </rPr>
      <t xml:space="preserve"> 400г</t>
    </r>
  </si>
  <si>
    <r>
      <t xml:space="preserve">Мюсли запеченные Bionova </t>
    </r>
    <r>
      <rPr>
        <b/>
        <sz val="10"/>
        <rFont val="Calibri"/>
        <family val="2"/>
        <scheme val="minor"/>
      </rPr>
      <t>ягодные</t>
    </r>
    <r>
      <rPr>
        <sz val="10"/>
        <rFont val="Calibri"/>
        <family val="2"/>
        <scheme val="minor"/>
      </rPr>
      <t xml:space="preserve"> 400г</t>
    </r>
  </si>
  <si>
    <r>
      <t xml:space="preserve">Цикорий натуральный </t>
    </r>
    <r>
      <rPr>
        <b/>
        <sz val="10"/>
        <rFont val="Calibri"/>
        <family val="2"/>
        <scheme val="minor"/>
      </rPr>
      <t>традицонный</t>
    </r>
    <r>
      <rPr>
        <sz val="10"/>
        <rFont val="Calibri"/>
        <family val="2"/>
        <scheme val="minor"/>
      </rPr>
      <t xml:space="preserve"> Bionova дой-пак 100г</t>
    </r>
  </si>
  <si>
    <r>
      <t>Цикорий натуральный</t>
    </r>
    <r>
      <rPr>
        <b/>
        <sz val="10"/>
        <rFont val="Calibri"/>
        <family val="2"/>
        <scheme val="minor"/>
      </rPr>
      <t xml:space="preserve"> с черникой</t>
    </r>
    <r>
      <rPr>
        <sz val="10"/>
        <rFont val="Calibri"/>
        <family val="2"/>
        <scheme val="minor"/>
      </rPr>
      <t xml:space="preserve"> Bionova 100г</t>
    </r>
  </si>
  <si>
    <r>
      <t xml:space="preserve">Дрессинг для </t>
    </r>
    <r>
      <rPr>
        <b/>
        <sz val="10"/>
        <rFont val="Calibri"/>
        <family val="2"/>
        <scheme val="minor"/>
      </rPr>
      <t>салата в Тайском стиле</t>
    </r>
    <r>
      <rPr>
        <sz val="10"/>
        <rFont val="Calibri"/>
        <family val="2"/>
        <scheme val="minor"/>
      </rPr>
      <t xml:space="preserve"> Mae Ploy 285мл</t>
    </r>
  </si>
  <si>
    <r>
      <t xml:space="preserve">Соус </t>
    </r>
    <r>
      <rPr>
        <b/>
        <sz val="10"/>
        <rFont val="Calibri"/>
        <family val="2"/>
        <scheme val="minor"/>
      </rPr>
      <t>Ананас</t>
    </r>
    <r>
      <rPr>
        <sz val="10"/>
        <rFont val="Calibri"/>
        <family val="2"/>
        <scheme val="minor"/>
      </rPr>
      <t xml:space="preserve"> тайский Mae Ploy 285мл</t>
    </r>
  </si>
  <si>
    <r>
      <t xml:space="preserve">Соус </t>
    </r>
    <r>
      <rPr>
        <b/>
        <sz val="10"/>
        <rFont val="Calibri"/>
        <family val="2"/>
        <scheme val="minor"/>
      </rPr>
      <t>Манго</t>
    </r>
    <r>
      <rPr>
        <sz val="10"/>
        <rFont val="Calibri"/>
        <family val="2"/>
        <scheme val="minor"/>
      </rPr>
      <t xml:space="preserve"> тайский Mae Ploy 285мл</t>
    </r>
  </si>
  <si>
    <r>
      <t xml:space="preserve">Соус </t>
    </r>
    <r>
      <rPr>
        <b/>
        <sz val="10"/>
        <rFont val="Calibri"/>
        <family val="2"/>
        <scheme val="minor"/>
      </rPr>
      <t>Устричный</t>
    </r>
    <r>
      <rPr>
        <sz val="10"/>
        <rFont val="Calibri"/>
        <family val="2"/>
        <scheme val="minor"/>
      </rPr>
      <t xml:space="preserve"> Good life 200мл</t>
    </r>
  </si>
  <si>
    <r>
      <t xml:space="preserve">Соус </t>
    </r>
    <r>
      <rPr>
        <b/>
        <sz val="10"/>
        <rFont val="Calibri"/>
        <family val="2"/>
        <scheme val="minor"/>
      </rPr>
      <t>Чили сладкий</t>
    </r>
    <r>
      <rPr>
        <sz val="10"/>
        <rFont val="Calibri"/>
        <family val="2"/>
        <scheme val="minor"/>
      </rPr>
      <t xml:space="preserve"> Good life 200мл</t>
    </r>
  </si>
  <si>
    <t>Подушечки амарантовые ваниль Dr. Amaranth пак 180г</t>
  </si>
  <si>
    <r>
      <t xml:space="preserve">Мёд "Берестов А.С." </t>
    </r>
    <r>
      <rPr>
        <b/>
        <sz val="10"/>
        <rFont val="Calibri"/>
        <family val="2"/>
        <scheme val="minor"/>
      </rPr>
      <t>Гречишный</t>
    </r>
    <r>
      <rPr>
        <sz val="10"/>
        <rFont val="Calibri"/>
        <family val="2"/>
        <scheme val="minor"/>
      </rPr>
      <t xml:space="preserve"> ст.банка 500г</t>
    </r>
  </si>
  <si>
    <r>
      <t>Бальзам "</t>
    </r>
    <r>
      <rPr>
        <b/>
        <sz val="10"/>
        <rFont val="Calibri"/>
        <family val="2"/>
        <charset val="204"/>
        <scheme val="minor"/>
      </rPr>
      <t>Сахар в норме</t>
    </r>
    <r>
      <rPr>
        <sz val="10"/>
        <rFont val="Calibri"/>
        <family val="2"/>
        <scheme val="minor"/>
      </rPr>
      <t>" (без сахара) 100мл</t>
    </r>
  </si>
  <si>
    <t>водная вытяжка растительного сырья (шиповника плоды, галеги трава, одуванчика корень, черники побеги, женьшеня корень, лимонника китайского плоды), фруктоза, L-аскорбиновая кислота (витамин С), сорбат калия (консервант)</t>
  </si>
  <si>
    <t>http://1.c8804.nichost.ru/pics/21081.jpg</t>
  </si>
  <si>
    <t>под заказ, квант 8шт</t>
  </si>
  <si>
    <r>
      <t xml:space="preserve">Каша овсяная </t>
    </r>
    <r>
      <rPr>
        <b/>
        <sz val="10"/>
        <rFont val="Calibri"/>
        <family val="2"/>
        <scheme val="minor"/>
      </rPr>
      <t>банан и чиа</t>
    </r>
    <r>
      <rPr>
        <sz val="10"/>
        <rFont val="Calibri"/>
        <family val="2"/>
        <scheme val="minor"/>
      </rPr>
      <t xml:space="preserve"> порционная 30г</t>
    </r>
  </si>
  <si>
    <t>Продукция в упаковке "Коробка-телевизор" (упаковка с окном)</t>
  </si>
  <si>
    <t>клубника,манго,курага,йогурт</t>
  </si>
  <si>
    <t>шоколад (сахар, какао тёртое,  масло какао,  лецитин соевый (натуральный эмульгатор), антиокислитель токоферол (витамин Е), ароматизатор ванилин), арахис жареный дроблёный, семена подсолнечника, мёд натуральный, семена льна, семена кунжута, цукаты апельсина,</t>
  </si>
  <si>
    <t>http://1.c8804.nichost.ru/pics/21083.jpg</t>
  </si>
  <si>
    <t>http://1.c8804.nichost.ru/pics/21084.jpg</t>
  </si>
  <si>
    <t>http://1.c8804.nichost.ru/pics/21085.jpg</t>
  </si>
  <si>
    <t>кокосовая стружка; патока мальтозная; концентрированный сок клубничный; шоколадная глазурь; кокосовое масло; сорбат калия</t>
  </si>
  <si>
    <t>кокосовая стружка; патока мальтозная; концентрированный сок малиновый; сублимированная малина порошок; кокосовое масло; сорбат калия</t>
  </si>
  <si>
    <t>кокосовая стружка; патока мальтозная; яблочное повидло; концентрированный сок черничный; шоколадная глазурь; кокосовое масло; сорбат калия</t>
  </si>
  <si>
    <t>толокно овсяное, фруктоза, ванилин, не содержит ГМО</t>
  </si>
  <si>
    <t>http://1.c8804.nichost.ru/pics/21099.jpg</t>
  </si>
  <si>
    <t>http://1.c8804.nichost.ru/pics/21093.jpg</t>
  </si>
  <si>
    <r>
      <t>Батончик фруктово-ореховый Ол`Лайт</t>
    </r>
    <r>
      <rPr>
        <b/>
        <sz val="10"/>
        <rFont val="Calibri"/>
        <family val="2"/>
        <scheme val="minor"/>
      </rPr>
      <t xml:space="preserve"> абрикосовый</t>
    </r>
    <r>
      <rPr>
        <sz val="10"/>
        <rFont val="Calibri"/>
        <family val="2"/>
        <scheme val="minor"/>
      </rPr>
      <t xml:space="preserve"> 30г</t>
    </r>
  </si>
  <si>
    <r>
      <t xml:space="preserve">Батончик фруктово-ореховый Ол`Лайт </t>
    </r>
    <r>
      <rPr>
        <b/>
        <sz val="10"/>
        <rFont val="Calibri"/>
        <family val="2"/>
        <scheme val="minor"/>
      </rPr>
      <t xml:space="preserve">инжирный </t>
    </r>
    <r>
      <rPr>
        <sz val="10"/>
        <rFont val="Calibri"/>
        <family val="2"/>
        <scheme val="minor"/>
      </rPr>
      <t>30г</t>
    </r>
  </si>
  <si>
    <r>
      <t xml:space="preserve">Батончик фруктово-ореховый Ол`Лайт </t>
    </r>
    <r>
      <rPr>
        <b/>
        <sz val="10"/>
        <rFont val="Calibri"/>
        <family val="2"/>
        <scheme val="minor"/>
      </rPr>
      <t>клубничный</t>
    </r>
    <r>
      <rPr>
        <sz val="10"/>
        <rFont val="Calibri"/>
        <family val="2"/>
        <scheme val="minor"/>
      </rPr>
      <t xml:space="preserve"> 30г</t>
    </r>
  </si>
  <si>
    <r>
      <t xml:space="preserve">Батончик фруктово-ореховый Ол`Лайт </t>
    </r>
    <r>
      <rPr>
        <b/>
        <sz val="10"/>
        <rFont val="Calibri"/>
        <family val="2"/>
        <scheme val="minor"/>
      </rPr>
      <t>клюквенный</t>
    </r>
    <r>
      <rPr>
        <sz val="10"/>
        <rFont val="Calibri"/>
        <family val="2"/>
        <scheme val="minor"/>
      </rPr>
      <t xml:space="preserve"> 30г</t>
    </r>
  </si>
  <si>
    <r>
      <t xml:space="preserve">Батончик фруктово-ореховый Ол`Лайт </t>
    </r>
    <r>
      <rPr>
        <b/>
        <sz val="10"/>
        <rFont val="Calibri"/>
        <family val="2"/>
        <scheme val="minor"/>
      </rPr>
      <t>шоколад с кокосом</t>
    </r>
    <r>
      <rPr>
        <sz val="10"/>
        <rFont val="Calibri"/>
        <family val="2"/>
        <scheme val="minor"/>
      </rPr>
      <t xml:space="preserve"> 30г</t>
    </r>
  </si>
  <si>
    <t>http://1.c8804.nichost.ru/pics/21077.jpg</t>
  </si>
  <si>
    <t>http://1.c8804.nichost.ru/pics/21080.jpg</t>
  </si>
  <si>
    <t>http://1.c8804.nichost.ru/pics/21078.jpg</t>
  </si>
  <si>
    <t>http://1.c8804.nichost.ru/pics/21079.jpg</t>
  </si>
  <si>
    <t>http://1.c8804.nichost.ru/pics/21076.jpg</t>
  </si>
  <si>
    <t>хлопья цельнозерновые; крупа экструдированная; патока; сахар; банан сушеный; масло растительное; шоколад; глицерин; соевый лецитин; кислота лимонная; соль пищевая; ароматизатор; сорбат калия</t>
  </si>
  <si>
    <t>хлопья цельнозерновые (овсяные, пшеничные); крупа экструдированная (рисовая, кукурузная); патока; сахар; масло растительное; Ягоды клюквы сушеные; глицерин; Соевый лецитин; ароматизатор; кислота лимонная; соль пищевая; сорбат калия</t>
  </si>
  <si>
    <t>крупа экструдированная (рисовая, кукурузная); хлопья цельнозерновые (овсяные, пшеничные); патока; сахар; стружка кокосовая; масло растительное; ядра ореха миндаля; глицерин; Соевый лецитин; кислота лимонная; ароматизатор; соль пищевая; сорбат калия</t>
  </si>
  <si>
    <t>крупа экструдированная (рисовая, кукурузная); хлопья цельнозерновые (овсяные, пшеничные); патока; сахар; масло растительное; ягоды малины сушеные; глицерин; Соевый лецитин; кислота лимонная; соль пищевая; ароматизатор; сорбат калия</t>
  </si>
  <si>
    <t>масло растительное; Ягоды черники сушеные; глицерин; Соевый лецитин; кислота лимонная; ароматизатор; соль пищевая; сорбат калия; хлопья цельнозерновые (овсяные, пшеничные); крупа экструдированная (рисовая, кукурузная); патока; сахар</t>
  </si>
  <si>
    <t>Коллаген рыбный гидролизованный, L-аскорбат натрия, диоксид кремния, ароматизатор "Вишня"</t>
  </si>
  <si>
    <t>Коллаген рыбный гидролизованный, L-аскорбат натрия, диоксид кремния, ароматизатор "Печенье"</t>
  </si>
  <si>
    <t>http://1.c8804.nichost.ru/pics/21091.jpg</t>
  </si>
  <si>
    <t>http://1.c8804.nichost.ru/pics/21092.jpg</t>
  </si>
  <si>
    <t>http://1.c8804.nichost.ru/pics/21089.jpg</t>
  </si>
  <si>
    <t>Экстракт плодов барбариса (экстракт плодов барбариса, мальтодекстрин), носитель – целлюлоза микрокристаллическая, оболочка капсулы (желатин), агенты антислеживающие: кальциевая соль стеариновой кислоты и диоксид кремния аморфный, хрома пиколинат, экстракт кассии (корицы)</t>
  </si>
  <si>
    <t>Коллаген гидролизованный говяжий; гиалуроновая кислота; аскорбат натрия; дигидрокверцетин сибирский; подсластитель сукралоза; ароматизатор пищевой натуральный Пина колада; пептиды коллагена</t>
  </si>
  <si>
    <t>http://1.c8804.nichost.ru/pics/21090.jpg</t>
  </si>
  <si>
    <t>Смузи и кисель</t>
  </si>
  <si>
    <t>пищевые волокна: инулин, полидекстроза; мука из семян чиа, яблоко сушёное плоды, клубника ягода сушёная, смородина ягода сушёная, пектин, стабилизаторы: альгинат натрия (экстракт морских водорослей), ксантановая камедь (природное пищевое волокно), гуаровая камедь; поливитаминный комплекс (С, В3, В5, В6, В1, В9, Н, В12), подсластитель (инулин, сукралоза).</t>
  </si>
  <si>
    <t>http://1.c8804.nichost.ru/pics/21088.jpg</t>
  </si>
  <si>
    <t>Экстракт эврикомы, экстракт горянки, цинка цитрат, МКЦ, витамины С, Е, В3, А, В5, В6, В2, D3, В1, Н, В12, капсула желатиновая твердая</t>
  </si>
  <si>
    <t>Мужская Формула, натуральный состав 60*500мг</t>
  </si>
  <si>
    <t>Женская Формула, натуральный состав 60*500мг</t>
  </si>
  <si>
    <t>Экстракт маки перуанской, экстракт эврикомы, экстракт дикого ямса, цинка цитрат, МКЦ, витамины С, Е, В3, А,В5, В6, В2, D3, В1, Н, В12, капсула желатиновая твердая</t>
  </si>
  <si>
    <t>http://1.c8804.nichost.ru/pics/21101.jpg</t>
  </si>
  <si>
    <t>http://1.c8804.nichost.ru/pics/21102.jpg</t>
  </si>
  <si>
    <r>
      <t>Макароны детские "Смешарики" с</t>
    </r>
    <r>
      <rPr>
        <b/>
        <sz val="10"/>
        <rFont val="Calibri"/>
        <family val="2"/>
        <scheme val="minor"/>
      </rPr>
      <t xml:space="preserve"> Морковью</t>
    </r>
    <r>
      <rPr>
        <sz val="10"/>
        <rFont val="Calibri"/>
        <family val="2"/>
        <scheme val="minor"/>
      </rPr>
      <t xml:space="preserve"> 250г</t>
    </r>
  </si>
  <si>
    <r>
      <t xml:space="preserve">Макароны детские "Смешарики" с </t>
    </r>
    <r>
      <rPr>
        <b/>
        <sz val="10"/>
        <rFont val="Calibri"/>
        <family val="2"/>
        <scheme val="minor"/>
      </rPr>
      <t>Шпинатом</t>
    </r>
    <r>
      <rPr>
        <sz val="10"/>
        <rFont val="Calibri"/>
        <family val="2"/>
        <scheme val="minor"/>
      </rPr>
      <t xml:space="preserve"> 250г</t>
    </r>
  </si>
  <si>
    <r>
      <t xml:space="preserve">Макароны детские "Смешарики" с </t>
    </r>
    <r>
      <rPr>
        <b/>
        <sz val="10"/>
        <rFont val="Calibri"/>
        <family val="2"/>
        <scheme val="minor"/>
      </rPr>
      <t>Яичным Желтком</t>
    </r>
    <r>
      <rPr>
        <sz val="10"/>
        <rFont val="Calibri"/>
        <family val="2"/>
        <scheme val="minor"/>
      </rPr>
      <t xml:space="preserve"> 250г</t>
    </r>
  </si>
  <si>
    <r>
      <t xml:space="preserve">Макароны детские "Смешарики" </t>
    </r>
    <r>
      <rPr>
        <b/>
        <sz val="10"/>
        <rFont val="Calibri"/>
        <family val="2"/>
        <scheme val="minor"/>
      </rPr>
      <t>Триколор</t>
    </r>
    <r>
      <rPr>
        <sz val="10"/>
        <rFont val="Calibri"/>
        <family val="2"/>
        <scheme val="minor"/>
      </rPr>
      <t xml:space="preserve"> 250г</t>
    </r>
  </si>
  <si>
    <r>
      <t xml:space="preserve">Подушечки амарантовые "УмСладости" с </t>
    </r>
    <r>
      <rPr>
        <b/>
        <sz val="10"/>
        <color theme="1"/>
        <rFont val="Calibri"/>
        <family val="2"/>
        <scheme val="minor"/>
      </rPr>
      <t xml:space="preserve">клубничной </t>
    </r>
    <r>
      <rPr>
        <sz val="10"/>
        <color theme="1"/>
        <rFont val="Calibri"/>
        <family val="2"/>
        <scheme val="minor"/>
      </rPr>
      <t>начинкой 220г</t>
    </r>
  </si>
  <si>
    <r>
      <t xml:space="preserve">Подушечки амарантовые "УмСладости" с </t>
    </r>
    <r>
      <rPr>
        <b/>
        <sz val="10"/>
        <color theme="1"/>
        <rFont val="Calibri"/>
        <family val="2"/>
        <scheme val="minor"/>
      </rPr>
      <t>шоколадной</t>
    </r>
    <r>
      <rPr>
        <sz val="10"/>
        <color theme="1"/>
        <rFont val="Calibri"/>
        <family val="2"/>
        <scheme val="minor"/>
      </rPr>
      <t xml:space="preserve"> начинкой 150г</t>
    </r>
  </si>
  <si>
    <r>
      <t xml:space="preserve">Батончик "KICK energy" кокос в </t>
    </r>
    <r>
      <rPr>
        <b/>
        <sz val="10"/>
        <rFont val="Calibri"/>
        <family val="2"/>
        <scheme val="minor"/>
      </rPr>
      <t>карамельном шоколаде</t>
    </r>
    <r>
      <rPr>
        <sz val="10"/>
        <rFont val="Calibri"/>
        <family val="2"/>
        <scheme val="minor"/>
      </rPr>
      <t xml:space="preserve"> 45г</t>
    </r>
  </si>
  <si>
    <r>
      <t xml:space="preserve">Батончик "KICK energy" кокос с </t>
    </r>
    <r>
      <rPr>
        <b/>
        <sz val="10"/>
        <rFont val="Calibri"/>
        <family val="2"/>
        <scheme val="minor"/>
      </rPr>
      <t>мандарином</t>
    </r>
    <r>
      <rPr>
        <sz val="10"/>
        <rFont val="Calibri"/>
        <family val="2"/>
        <scheme val="minor"/>
      </rPr>
      <t xml:space="preserve"> 45</t>
    </r>
  </si>
  <si>
    <r>
      <t xml:space="preserve">Батончик "KICK beauty" </t>
    </r>
    <r>
      <rPr>
        <b/>
        <sz val="10"/>
        <rFont val="Calibri"/>
        <family val="2"/>
        <scheme val="minor"/>
      </rPr>
      <t xml:space="preserve">кокос-ананас, </t>
    </r>
    <r>
      <rPr>
        <sz val="10"/>
        <rFont val="Calibri"/>
        <family val="2"/>
        <scheme val="minor"/>
      </rPr>
      <t xml:space="preserve">коллаген и витамины </t>
    </r>
    <r>
      <rPr>
        <u/>
        <sz val="10"/>
        <rFont val="Calibri"/>
        <family val="2"/>
        <scheme val="minor"/>
      </rPr>
      <t>без сахара</t>
    </r>
    <r>
      <rPr>
        <sz val="10"/>
        <rFont val="Calibri"/>
        <family val="2"/>
        <scheme val="minor"/>
      </rPr>
      <t xml:space="preserve"> 38г</t>
    </r>
  </si>
  <si>
    <r>
      <t xml:space="preserve">Батончик "KICK beauty" </t>
    </r>
    <r>
      <rPr>
        <b/>
        <sz val="10"/>
        <rFont val="Calibri"/>
        <family val="2"/>
        <scheme val="minor"/>
      </rPr>
      <t>кокос</t>
    </r>
    <r>
      <rPr>
        <sz val="10"/>
        <rFont val="Calibri"/>
        <family val="2"/>
        <scheme val="minor"/>
      </rPr>
      <t>-</t>
    </r>
    <r>
      <rPr>
        <b/>
        <sz val="10"/>
        <rFont val="Calibri"/>
        <family val="2"/>
        <scheme val="minor"/>
      </rPr>
      <t xml:space="preserve">клубника, </t>
    </r>
    <r>
      <rPr>
        <sz val="10"/>
        <rFont val="Calibri"/>
        <family val="2"/>
        <scheme val="minor"/>
      </rPr>
      <t xml:space="preserve">коллагени витамины </t>
    </r>
    <r>
      <rPr>
        <u/>
        <sz val="10"/>
        <rFont val="Calibri"/>
        <family val="2"/>
        <scheme val="minor"/>
      </rPr>
      <t>без сахара</t>
    </r>
    <r>
      <rPr>
        <sz val="10"/>
        <rFont val="Calibri"/>
        <family val="2"/>
        <scheme val="minor"/>
      </rPr>
      <t xml:space="preserve"> 38г</t>
    </r>
  </si>
  <si>
    <t>минимальный квант 45шт</t>
  </si>
  <si>
    <t>минимальный квант 60шт</t>
  </si>
  <si>
    <t>минимальный квант 120шт</t>
  </si>
  <si>
    <t>минимальный квант 96шт</t>
  </si>
  <si>
    <t>Легкоусвояемое Железо хелат, банка 90капс, 13,5г</t>
  </si>
  <si>
    <t>Бисглицинат железа, оболочка капсулы (желатин), носитель(микрокристалическая целлюлоза), стабилизатор (стеарат магния), агент антислеживающий (диоксид кремния аморфный (аэросил)</t>
  </si>
  <si>
    <t>http://1.c8804.nichost.ru/pics/21109.jpg</t>
  </si>
  <si>
    <t>http://1.c8804.nichost.ru/pics/21110.jpg</t>
  </si>
  <si>
    <t>сироп клубней топинамбура, вода дистиллированная, L-аскорбиновая кислота (витамин С), лактат цинка, регулятор кислотности – лимонная кислота, никотинамид (ниацин), ретинола ацетат (витамин А), ароматизатор натуральный «Мультифрукты», пиридоксина гидрохлорид (витамин В6), рибофлавин (витамин В2), фолиевая кислота, цианкобаламин (витамин В12)</t>
  </si>
  <si>
    <t>Канихуа семена 150г</t>
  </si>
  <si>
    <t>канихуа семена</t>
  </si>
  <si>
    <t>http://1.c8804.nichost.ru/pics/21114.jpg</t>
  </si>
  <si>
    <t>http://1.c8804.nichost.ru/pics/19859_1.jpg</t>
  </si>
  <si>
    <t>http://1.c8804.nichost.ru/pics/19723_1.jpg</t>
  </si>
  <si>
    <t>http://1.c8804.nichost.ru/pics/19726_1.jpg</t>
  </si>
  <si>
    <t>http://1.c8804.nichost.ru/pics/19725_1.jpg</t>
  </si>
  <si>
    <t>http://1.c8804.nichost.ru/pics/19727_1.jpg</t>
  </si>
  <si>
    <t>http://1.c8804.nichost.ru/pics/19724_1.jpg</t>
  </si>
  <si>
    <t>http://1.c8804.nichost.ru/pics/19722_1.jpg</t>
  </si>
  <si>
    <t>http://1.c8804.nichost.ru/pics/19728_1.jpg</t>
  </si>
  <si>
    <t>http://1.c8804.nichost.ru/pics/20477_1.jpg</t>
  </si>
  <si>
    <t>http://1.c8804.nichost.ru/pics/20515_1.jpg</t>
  </si>
  <si>
    <t>http://1.c8804.nichost.ru/pics/20485_1.jpg</t>
  </si>
  <si>
    <t>http://1.c8804.nichost.ru/pics/16130_1.jpg</t>
  </si>
  <si>
    <r>
      <t xml:space="preserve">Батончик "KICK energy" </t>
    </r>
    <r>
      <rPr>
        <b/>
        <sz val="10"/>
        <rFont val="Calibri"/>
        <family val="2"/>
        <scheme val="minor"/>
      </rPr>
      <t>апельсин</t>
    </r>
    <r>
      <rPr>
        <sz val="10"/>
        <rFont val="Calibri"/>
        <family val="2"/>
        <scheme val="minor"/>
      </rPr>
      <t>, орех, пребиотики 35г</t>
    </r>
  </si>
  <si>
    <r>
      <t xml:space="preserve">Батончик "KICK energy" </t>
    </r>
    <r>
      <rPr>
        <b/>
        <sz val="10"/>
        <rFont val="Calibri"/>
        <family val="2"/>
        <scheme val="minor"/>
      </rPr>
      <t>инжир</t>
    </r>
    <r>
      <rPr>
        <sz val="10"/>
        <rFont val="Calibri"/>
        <family val="2"/>
        <scheme val="minor"/>
      </rPr>
      <t>, орех, пребиотики 35г</t>
    </r>
  </si>
  <si>
    <r>
      <t xml:space="preserve">Батончик "KICK energy" </t>
    </r>
    <r>
      <rPr>
        <b/>
        <sz val="10"/>
        <rFont val="Calibri"/>
        <family val="2"/>
        <scheme val="minor"/>
      </rPr>
      <t>лимон</t>
    </r>
    <r>
      <rPr>
        <sz val="10"/>
        <rFont val="Calibri"/>
        <family val="2"/>
        <scheme val="minor"/>
      </rPr>
      <t>, орех, пребиотики 35г</t>
    </r>
  </si>
  <si>
    <r>
      <t xml:space="preserve">Батончик "KICK energy" кокос с </t>
    </r>
    <r>
      <rPr>
        <b/>
        <sz val="10"/>
        <rFont val="Calibri"/>
        <family val="2"/>
        <scheme val="minor"/>
      </rPr>
      <t>клубникой</t>
    </r>
    <r>
      <rPr>
        <sz val="10"/>
        <rFont val="Calibri"/>
        <family val="2"/>
        <scheme val="minor"/>
      </rPr>
      <t xml:space="preserve"> в карамельном шоколаде 45г</t>
    </r>
  </si>
  <si>
    <r>
      <t xml:space="preserve">Батончик "KICK energy" кокос с </t>
    </r>
    <r>
      <rPr>
        <b/>
        <sz val="10"/>
        <rFont val="Calibri"/>
        <family val="2"/>
        <scheme val="minor"/>
      </rPr>
      <t>матчей и коллагеном</t>
    </r>
    <r>
      <rPr>
        <sz val="10"/>
        <rFont val="Calibri"/>
        <family val="2"/>
        <scheme val="minor"/>
      </rPr>
      <t xml:space="preserve"> в карамельном шоколаде 45г</t>
    </r>
  </si>
  <si>
    <r>
      <t>Батончик "KICK brain" финик-</t>
    </r>
    <r>
      <rPr>
        <b/>
        <sz val="10"/>
        <rFont val="Calibri"/>
        <family val="2"/>
        <scheme val="minor"/>
      </rPr>
      <t>ириска</t>
    </r>
    <r>
      <rPr>
        <sz val="10"/>
        <rFont val="Calibri"/>
        <family val="2"/>
        <scheme val="minor"/>
      </rPr>
      <t xml:space="preserve"> в шоколаде 45г</t>
    </r>
  </si>
  <si>
    <r>
      <t>Батончик "KICK brain" финик-</t>
    </r>
    <r>
      <rPr>
        <b/>
        <sz val="10"/>
        <rFont val="Calibri"/>
        <family val="2"/>
        <scheme val="minor"/>
      </rPr>
      <t>фундук</t>
    </r>
    <r>
      <rPr>
        <sz val="10"/>
        <rFont val="Calibri"/>
        <family val="2"/>
        <scheme val="minor"/>
      </rPr>
      <t xml:space="preserve"> в шоколаде 45г</t>
    </r>
  </si>
  <si>
    <r>
      <t>Батончик "KICK brain" финик-</t>
    </r>
    <r>
      <rPr>
        <b/>
        <sz val="10"/>
        <rFont val="Calibri"/>
        <family val="2"/>
        <scheme val="minor"/>
      </rPr>
      <t>яблоко</t>
    </r>
    <r>
      <rPr>
        <sz val="10"/>
        <rFont val="Calibri"/>
        <family val="2"/>
        <scheme val="minor"/>
      </rPr>
      <t xml:space="preserve"> в шоколаде 45г</t>
    </r>
  </si>
  <si>
    <t>http://1.c8804.nichost.ru/pics/21120.jpg</t>
  </si>
  <si>
    <t>http://1.c8804.nichost.ru/pics/21119.jpg</t>
  </si>
  <si>
    <t>http://1.c8804.nichost.ru/pics/21117.jpg</t>
  </si>
  <si>
    <t>http://1.c8804.nichost.ru/pics/21121.jpg</t>
  </si>
  <si>
    <t>http://1.c8804.nichost.ru/pics/21123.jpg</t>
  </si>
  <si>
    <t>Чечевичная мука, кукурузная мука, тапиоковый крахмал, масло подсолнечного высокоолеиновое рафинированное дезодорированное, приправа натуральная «Оливковое масло с розмарином» (Соль поваренная пищевая молотая(пудра), декстроза, сыворотка молочная сухая, сахарная пудра, дрожжевой экстракт, чеснок порошок, розмарин зелень сушеная, петрушка зелень сушеная, куркума молотая, оливковое масло, ароматические компоненты, базилик зелень сушеная, орегано зелень сушеная, экстракт розмарина, белый перец порошок), соль морская пищевая</t>
  </si>
  <si>
    <t>Чечевичная мука, кукурузная мука, тапиоковый крахмал, масло подсолнечного высокоолеиновое рафинированное дезодорированное, ароматизатор пищевой натуральный «Гималайская соль с черным перцем» (мальтодекстрин, соль гималайская розовая, декстроза, лук порошок, ароматические компоненты, дрожжевой экстракт, чеснок порошок, перец черный молотый), соль морская пищевая</t>
  </si>
  <si>
    <t>Чечевичная мука, кукурузная мука, тапиоковый крахмал, масло подсолнечного высокоолеиновое рафинированное дезодорированное, приправа вкусовая «Томат, чеснок и травы» (Томаты порошок, соль, чеснок порошок, глюкоза, мальтодекстрин, сахар, зелень сушеная, специи, экстракты специй, крахмал), соль морская пищевая</t>
  </si>
  <si>
    <t>http://1.c8804.nichost.ru/pics/21126.jpg</t>
  </si>
  <si>
    <t>http://1.c8804.nichost.ru/pics/21124.jpg</t>
  </si>
  <si>
    <t>http://1.c8804.nichost.ru/pics/21125.jpg</t>
  </si>
  <si>
    <t>Мука овсяная 100%</t>
  </si>
  <si>
    <t>http://1.c8804.nichost.ru/pics/21135.jpg</t>
  </si>
  <si>
    <t>нектар кокосовых соцветий 90%, морская соль 10%</t>
  </si>
  <si>
    <t>Соус из Морского гребешка Healthy Dragon 330мл</t>
  </si>
  <si>
    <t>экстракт гребешка, соевый соус, тростниковый сахар, соль, сушеный кальмар, креветки, ягоды годжи, китайский ямс, черный перец, регулятор кислотности: лимонная кислота, загуститель: модифицированный крахмал, консерванты: сорбат калия, бензоат натрия</t>
  </si>
  <si>
    <t>http://1.c8804.nichost.ru/pics/21134.jpg</t>
  </si>
  <si>
    <t>Кокосовый сахар 36%, тамариндовая паста 33%, кокосовая вода 20%, рыбный соус (анчоусы, соль)6%, лук шалот 2%, креветки 1%,загуститель: модифицированный крахмал Е1442 1%, ксантовая камедб (Е415) 0,5%, регулятор кислотности: уксусная кислота (Е260) 0,5%</t>
  </si>
  <si>
    <t>http://1.c8804.nichost.ru/pics/21133.jpg</t>
  </si>
  <si>
    <t>Кукурузная крупа, высокоолеиновое подсолнечное масло, тростниковый сахар, сушеная клубника, натуральные ароматизаторы, натуральный краситель красный свекольный</t>
  </si>
  <si>
    <t>http://1.c8804.nichost.ru/pics/21115.jpg</t>
  </si>
  <si>
    <t>Вода, рис длиннозерный, миндаль, масло подсолнечное высокоолеиновое холодного отжима, витаминно-минеральный премикс, натуральный ароматизатор, соль морская, стабилизатор: каррагинан из водорослей</t>
  </si>
  <si>
    <t>http://1.c8804.nichost.ru/pics/20031.jpg</t>
  </si>
  <si>
    <t>дистиллированная вода, динатрия кокоамфоацетат, динатрия кокоил глутамат, кокамидопропилбетаин, коко глюкозид, гидролизованные протеины пшеницы, экстракт березы, экстракт девясила, экстракт лимонника, экстракт хвоща полевого, экстракт мать-и-мачехи, экстракт череды, экстракт облепихи, масло лаванды, цитрат натрия, дегидроацетат натрия.</t>
  </si>
  <si>
    <t>http://1.c8804.nichost.ru/pics/13299.jpg</t>
  </si>
  <si>
    <r>
      <t>Шампунь "</t>
    </r>
    <r>
      <rPr>
        <b/>
        <sz val="10"/>
        <rFont val="Calibri"/>
        <family val="2"/>
        <charset val="204"/>
        <scheme val="minor"/>
      </rPr>
      <t>Укрепляющий</t>
    </r>
    <r>
      <rPr>
        <sz val="10"/>
        <rFont val="Calibri"/>
        <family val="2"/>
        <scheme val="minor"/>
      </rPr>
      <t xml:space="preserve">" для поврежденных волос 250мл </t>
    </r>
  </si>
  <si>
    <t>Марципаны</t>
  </si>
  <si>
    <t>Марципан: (сахар, миндаль, вода, влагоудерживающий агент (глицерин), коньяк, лимонный сок)</t>
  </si>
  <si>
    <t>http://1.c8804.nichost.ru/pics/19970.jpg</t>
  </si>
  <si>
    <t>Марципан: (сахар, миндаль, вода, влагоудерживающий агент (глицерин), коньяк, лимонный сок), шоколад темный (какао тертое, сахар, какао - масло, эмульгатор (подсолнечный лецитин), ваниль натуральная)</t>
  </si>
  <si>
    <t>http://1.c8804.nichost.ru/pics/19971.jpg</t>
  </si>
  <si>
    <t>Марципан (сахар, миндаль, вода, влагоудерживающий агент (глицерин), коньяк, лимонный сок), паста маракуйя, шоколад темный (какао тертое, сахар, какао - масло, эмульгатор (подсолнечный лецитин), ваниль натуральная)</t>
  </si>
  <si>
    <t>http://1.c8804.nichost.ru/pics/19972.jpg</t>
  </si>
  <si>
    <t>Марципан (сахар, миндаль, вода, влагоудерживающий агент (глицерин), коньяк, лимонный сок), паста из сухофруктов (банан, абрикос, финики, изюм, чернослив, лимон), шоколад темный</t>
  </si>
  <si>
    <t>http://1.c8804.nichost.ru/pics/20410.jpg</t>
  </si>
  <si>
    <t>Марципан (сахар, миндаль, вода, влагоудерживающий агент (глицерин), коньяк, лимонный сок), фисташковая паста, шоколад тёмный</t>
  </si>
  <si>
    <t>http://1.c8804.nichost.ru/pics/19973.jpg</t>
  </si>
  <si>
    <r>
      <t xml:space="preserve">Марципан </t>
    </r>
    <r>
      <rPr>
        <b/>
        <sz val="10"/>
        <rFont val="Calibri"/>
        <family val="2"/>
        <charset val="204"/>
        <scheme val="minor"/>
      </rPr>
      <t>классический</t>
    </r>
    <r>
      <rPr>
        <sz val="10"/>
        <rFont val="Calibri"/>
        <family val="2"/>
        <scheme val="minor"/>
      </rPr>
      <t xml:space="preserve"> батончик ГОСТ 45г</t>
    </r>
  </si>
  <si>
    <r>
      <t>Марципан в</t>
    </r>
    <r>
      <rPr>
        <b/>
        <sz val="10"/>
        <rFont val="Calibri"/>
        <family val="2"/>
        <charset val="204"/>
        <scheme val="minor"/>
      </rPr>
      <t xml:space="preserve"> темном шоколаде</t>
    </r>
    <r>
      <rPr>
        <sz val="10"/>
        <rFont val="Calibri"/>
        <family val="2"/>
        <scheme val="minor"/>
      </rPr>
      <t xml:space="preserve"> батончик ГОСТ 45г</t>
    </r>
  </si>
  <si>
    <r>
      <t xml:space="preserve">Марципан с </t>
    </r>
    <r>
      <rPr>
        <b/>
        <sz val="10"/>
        <rFont val="Calibri"/>
        <family val="2"/>
        <charset val="204"/>
        <scheme val="minor"/>
      </rPr>
      <t>маракуйей</t>
    </r>
    <r>
      <rPr>
        <sz val="10"/>
        <rFont val="Calibri"/>
        <family val="2"/>
        <scheme val="minor"/>
      </rPr>
      <t xml:space="preserve"> в темном шоколаде батончик ГОСТ 45г</t>
    </r>
  </si>
  <si>
    <r>
      <t xml:space="preserve">Марципан с </t>
    </r>
    <r>
      <rPr>
        <b/>
        <sz val="10"/>
        <rFont val="Calibri"/>
        <family val="2"/>
        <charset val="204"/>
        <scheme val="minor"/>
      </rPr>
      <t>сушеными фруктами</t>
    </r>
    <r>
      <rPr>
        <sz val="10"/>
        <rFont val="Calibri"/>
        <family val="2"/>
        <scheme val="minor"/>
      </rPr>
      <t xml:space="preserve"> в темном шоколаде батончик ГОСТ 45г</t>
    </r>
  </si>
  <si>
    <r>
      <t xml:space="preserve">Марципан с </t>
    </r>
    <r>
      <rPr>
        <b/>
        <sz val="10"/>
        <rFont val="Calibri"/>
        <family val="2"/>
        <charset val="204"/>
        <scheme val="minor"/>
      </rPr>
      <t>фисташкой</t>
    </r>
    <r>
      <rPr>
        <sz val="10"/>
        <rFont val="Calibri"/>
        <family val="2"/>
        <scheme val="minor"/>
      </rPr>
      <t xml:space="preserve"> в темном шоколаде батончик ГОСТ 45г</t>
    </r>
  </si>
  <si>
    <t>http://1.c8804.nichost.ru/pics/19964.jpg</t>
  </si>
  <si>
    <t>Пралине с кедровым орехом в темном шоколаде, Молочный трюфель с малиной и мармеладными каплями в темном шоколаде, Трюфель с крыжовником в темном шоколаде</t>
  </si>
  <si>
    <t>http://1.c8804.nichost.ru/pics/20794.jpg</t>
  </si>
  <si>
    <t>Чипсы</t>
  </si>
  <si>
    <t>Чипсы кокосовые King island 40г</t>
  </si>
  <si>
    <t>мякоть кокоса 94,97%, кокосовый сахар 5%, соль</t>
  </si>
  <si>
    <t>https://naturevector.ru/wp-content/uploads/2023/12/5bc7513404324b1333d0.jpeg</t>
  </si>
  <si>
    <t>Вода, наполнитель кукурузные волокна, наполнитель полидекстроза, подсластитель эритрит, концентрированный сок ананаса, абрикосовое пюре, загуститель картофельный крахмал, соль, соевый соус (вода, соя, пшеница, соль), уксус, имбирь свежий, концентрированный сок томата, загуститель ксантановая камедь, чеснок, паприка, смесь специй, консервант сорбиновая кислота, подсластитель растительный экстракт Луо Хан Гуо. 
 Содержит подсластитель.</t>
  </si>
  <si>
    <t>http://1.c8804.nichost.ru/pics/19142.jpg</t>
  </si>
  <si>
    <t>Вода, пюре яблочное, загуститель крахмал кукурузный, томатная паста, смесь специй карри, подсластитель эритрит, соль, уксус натуральный спиртовой, масло оливковое, смесь специй, горчичный порошок, консервант сорбиновая кислота, регулятор кислотности лимонная кислота, растительный Луо Хан Гуо</t>
  </si>
  <si>
    <t>http://1.c8804.nichost.ru/pics/17155.jpg</t>
  </si>
  <si>
    <t>Вода, наполнитель кукурузные волокна, наполнитель полидекстроза, подсластитель эритрит, концентрированный сок ананаса, уксус винный, кунжутное масло, соль, загуститель крахмал картофельный, лук, чеснок, паприка копченая, смесь специй, имбирь свежий, загуститель ксантановая камедь, ароматизатор жидкий дым (водный раствор натурального древесного дыма), консервант сорбиновая кислота, концентрированный сок томата, растительный экстракт Луо Хан Гуо</t>
  </si>
  <si>
    <t>http://1.c8804.nichost.ru/pics/19143.jpg</t>
  </si>
  <si>
    <t>Масла капсулированные</t>
  </si>
  <si>
    <r>
      <t xml:space="preserve">Сушки </t>
    </r>
    <r>
      <rPr>
        <b/>
        <sz val="10"/>
        <color theme="1"/>
        <rFont val="Calibri"/>
        <family val="2"/>
        <charset val="204"/>
        <scheme val="minor"/>
      </rPr>
      <t>конопляные</t>
    </r>
    <r>
      <rPr>
        <sz val="10"/>
        <color theme="1"/>
        <rFont val="Calibri"/>
        <family val="2"/>
        <scheme val="minor"/>
      </rPr>
      <t xml:space="preserve"> ц\з на закваске без сахара 150г</t>
    </r>
  </si>
  <si>
    <t>мука пшеничная цельнозерновая, мука конопляная, закваска пшеничная (мука 1сорт), масло растительное(кукурузное, подсолнечное), соль поваренная</t>
  </si>
  <si>
    <t>http://1.c8804.nichost.ru/pics/15727.jpg</t>
  </si>
  <si>
    <t>http://1.c8804.nichost.ru/pics/15730.jpg</t>
  </si>
  <si>
    <t>http://1.c8804.nichost.ru/pics/16107.jpg</t>
  </si>
  <si>
    <t>мука пшеничная цельнозерновая, мука пшеничная 1 сорт, закваска пшеничная (мука 1 сорт), масло растительное(кукурузное, подсолнечное), фруктоза, ванилин, корица, соль поваренная</t>
  </si>
  <si>
    <r>
      <t xml:space="preserve">Плитка шоколадная "УмСладости" с </t>
    </r>
    <r>
      <rPr>
        <b/>
        <sz val="10"/>
        <rFont val="Calibri"/>
        <family val="2"/>
        <scheme val="minor"/>
      </rPr>
      <t>фундуком</t>
    </r>
    <r>
      <rPr>
        <sz val="10"/>
        <rFont val="Calibri"/>
        <family val="2"/>
        <scheme val="minor"/>
      </rPr>
      <t xml:space="preserve"> без сахара 90г</t>
    </r>
  </si>
  <si>
    <t>http://1.c8804.nichost.ru/pics/16267_1.jpg</t>
  </si>
  <si>
    <t>http://1.c8804.nichost.ru/pics/16266_1.jpg</t>
  </si>
  <si>
    <t>мука полбы цельнозерновая, масло кокосовое рафинированное дезодорированное, подсластитель мальтит, арахис жареный, ядра миндаля жареные, ядра фундука жареные, какао-порошок, эмульгатор (лецитин соевый), растительные пшеничные волокна, разрыхлитель (гидрокарбонат натрия (сода пищевая)), соль морская, подсластитель экстракт стевии Ребаудиозид А</t>
  </si>
  <si>
    <t>Шоколад темный без сахара (какао тертое, подсластитель (мальтит), сыворотка молочная сухая, какао- масло, какао- порошок, пребиотик (инулин), эмульгатор (лецитин соевый), натуральная ваниль, подсластитель - стевиолгликозиды), мука полбы цельнозерновая, сок апельсиновый натуральный концентрированный, апельсиновое масло натуральное, кокосовое масло, мальтитол, растительные пшеничные волокна, эмульгатор (лецитин соевый), разрыхлитель гидрокарбонат натрия (сода пищевая), соль морская</t>
  </si>
  <si>
    <t>http://1.c8804.nichost.ru/pics/19778_1.jpg</t>
  </si>
  <si>
    <t>Слива (чернослив) сушеная, шоколад горький без сахара, мука полбы цельнозерновая, патока, растительные пшеничные волокна, ецитин соевый, разрыхлитель гидрокарбонат натрия (сода пищевая), соль морская, натуральные подсластители мальтит и экстракт стевии</t>
  </si>
  <si>
    <t>http://1.c8804.nichost.ru/pics/21149.jpg</t>
  </si>
  <si>
    <t>http://1.c8804.nichost.ru/pics/21154.jpg</t>
  </si>
  <si>
    <t>Масло кокосовое нерафинированное</t>
  </si>
  <si>
    <t>http://1.c8804.nichost.ru/pics/21146.jpg</t>
  </si>
  <si>
    <t>http://1.c8804.nichost.ru/pics/21147.jpg</t>
  </si>
  <si>
    <t>ячмень</t>
  </si>
  <si>
    <t>http://1.c8804.nichost.ru/pics/21142.jpg</t>
  </si>
  <si>
    <t>http://1.c8804.nichost.ru/pics/21143.jpg</t>
  </si>
  <si>
    <t>99мес</t>
  </si>
  <si>
    <t>гималайская розовая соль</t>
  </si>
  <si>
    <t>http://1.c8804.nichost.ru/pics/21145.jpg</t>
  </si>
  <si>
    <t>http://1.c8804.nichost.ru/pics/21144.jpg</t>
  </si>
  <si>
    <t>шоколадная масса (какао тёртое, сахар, какао-масло, эмульгатор лецитин соевый, ваниль натуральная), ядро кедрового ореха цельное, масло кокосовое, какао-порошок</t>
  </si>
  <si>
    <t>ядро кедрового ореха, шоколадная глазурь (сахар, какао-масло, какао-порошок, лецитин подсолнечный (эмульгатор)), мёд натуральный липовый, пастила клубничная (пюре яблочное, ягоды клубники), патока, какао-масло, водка (вода питьевая, спирт ректификованный «Люкс» из пищевого сырья (зерно), сахар, настой спиртованный кедровых орехов очищенных), ароматизатор натуральный клубника, ароматизатор пищевой шампанское</t>
  </si>
  <si>
    <t>ядро кедрового ореха, шоколадная глазурь (сахар, какао-масло, какао-порошок, лецитин подсолнечный (эмульгатор)), мёд натуральный липовый, пастила черничная (пюре яблочное, ягоды черники), патока, какао-масло, ароматизатор натуральный черника</t>
  </si>
  <si>
    <t>батончик кедровый, клубника с шампанским, черника</t>
  </si>
  <si>
    <t>http://1.c8804.nichost.ru/pics/21140.jpg</t>
  </si>
  <si>
    <t>http://1.c8804.nichost.ru/pics/21136.jpg</t>
  </si>
  <si>
    <t>http://1.c8804.nichost.ru/pics/21137.jpg</t>
  </si>
  <si>
    <t>http://1.c8804.nichost.ru/pics/21138.jpg</t>
  </si>
  <si>
    <t>http://1.c8804.nichost.ru/pics/21139.jpg</t>
  </si>
  <si>
    <t>http://1.c8804.nichost.ru/pics/16892.jpg</t>
  </si>
  <si>
    <t>мука полбы цельнозерновая, масло кокосовое рафинированное дезодорированное, подсластитель мальтит, арахис жареный, ядра миндаля жареные, ядра фундука жареные, какао-порошок, лецитин соевый, растительные пшеничные волокна, сода пищевая, соль морская, подсластитель экстракт стевии Ребаудиозид А</t>
  </si>
  <si>
    <t>https://greenberi.ru/wp-content/uploads/2020/11/вафли-шоколадорехи.png</t>
  </si>
  <si>
    <t>шоколад горький без сахара, мука полбы цельнозерновая, кокосовое масло рафинированное дезодорированное, подсластитель мальтитол, сухое обезжиренное молоко, растительные пшеничные волокна, лецитин соевый, сода пищевая, соль морская.</t>
  </si>
  <si>
    <t>http://1.c8804.nichost.ru/pics/19921.jpg</t>
  </si>
  <si>
    <t>http://1.c8804.nichost.ru/pics/19696.jpg</t>
  </si>
  <si>
    <r>
      <t xml:space="preserve">Сироп из </t>
    </r>
    <r>
      <rPr>
        <b/>
        <sz val="10"/>
        <rFont val="Calibri"/>
        <family val="2"/>
        <charset val="204"/>
        <scheme val="minor"/>
      </rPr>
      <t>кедровой шишки</t>
    </r>
    <r>
      <rPr>
        <sz val="10"/>
        <rFont val="Calibri"/>
        <family val="2"/>
        <scheme val="minor"/>
      </rPr>
      <t xml:space="preserve"> ст. бутылка 240мл</t>
    </r>
  </si>
  <si>
    <t>вода, овес</t>
  </si>
  <si>
    <t>https://naturevector.ru/wp-content/uploads/2023/12/33a4070baf272419c600c49ed71635af.jpg</t>
  </si>
  <si>
    <r>
      <t xml:space="preserve">Топпинг "Сгущенное молоко" </t>
    </r>
    <r>
      <rPr>
        <b/>
        <sz val="10"/>
        <rFont val="Calibri"/>
        <family val="2"/>
        <scheme val="minor"/>
      </rPr>
      <t>малина</t>
    </r>
    <r>
      <rPr>
        <sz val="10"/>
        <rFont val="Calibri"/>
        <family val="2"/>
        <scheme val="minor"/>
      </rPr>
      <t xml:space="preserve"> дой-пак 200г</t>
    </r>
  </si>
  <si>
    <r>
      <t xml:space="preserve">Топпинг "Сгущенное молоко" </t>
    </r>
    <r>
      <rPr>
        <b/>
        <sz val="10"/>
        <rFont val="Calibri"/>
        <family val="2"/>
        <scheme val="minor"/>
      </rPr>
      <t>шоколад</t>
    </r>
    <r>
      <rPr>
        <sz val="10"/>
        <rFont val="Calibri"/>
        <family val="2"/>
        <scheme val="minor"/>
      </rPr>
      <t xml:space="preserve"> дой-пак 200г</t>
    </r>
  </si>
  <si>
    <r>
      <t xml:space="preserve">Леденцы карамель с </t>
    </r>
    <r>
      <rPr>
        <b/>
        <sz val="10"/>
        <rFont val="Calibri"/>
        <family val="2"/>
        <scheme val="minor"/>
      </rPr>
      <t>анисом и солодкой</t>
    </r>
    <r>
      <rPr>
        <sz val="10"/>
        <rFont val="Calibri"/>
        <family val="2"/>
        <scheme val="minor"/>
      </rPr>
      <t xml:space="preserve"> (блистер) 19г</t>
    </r>
  </si>
  <si>
    <r>
      <t xml:space="preserve">Леденцы карамель с </t>
    </r>
    <r>
      <rPr>
        <b/>
        <sz val="10"/>
        <rFont val="Calibri"/>
        <family val="2"/>
        <scheme val="minor"/>
      </rPr>
      <t>гвоздникой и куркумой</t>
    </r>
    <r>
      <rPr>
        <sz val="10"/>
        <rFont val="Calibri"/>
        <family val="2"/>
        <scheme val="minor"/>
      </rPr>
      <t xml:space="preserve"> (блистер) 19г</t>
    </r>
  </si>
  <si>
    <r>
      <t xml:space="preserve">Леденцы карамель с </t>
    </r>
    <r>
      <rPr>
        <b/>
        <sz val="10"/>
        <rFont val="Calibri"/>
        <family val="2"/>
        <scheme val="minor"/>
      </rPr>
      <t>цикорием и солёной карамелью</t>
    </r>
    <r>
      <rPr>
        <sz val="10"/>
        <rFont val="Calibri"/>
        <family val="2"/>
        <scheme val="minor"/>
      </rPr>
      <t xml:space="preserve"> (блистер) 19г</t>
    </r>
  </si>
  <si>
    <r>
      <t xml:space="preserve">Леденцы карамель с </t>
    </r>
    <r>
      <rPr>
        <b/>
        <sz val="10"/>
        <rFont val="Calibri"/>
        <family val="2"/>
        <scheme val="minor"/>
      </rPr>
      <t>цикорием, лаймом и корицей</t>
    </r>
    <r>
      <rPr>
        <sz val="10"/>
        <rFont val="Calibri"/>
        <family val="2"/>
        <scheme val="minor"/>
      </rPr>
      <t xml:space="preserve"> (блистер) 19г</t>
    </r>
  </si>
  <si>
    <r>
      <t xml:space="preserve">Леденцы карамель с </t>
    </r>
    <r>
      <rPr>
        <b/>
        <sz val="10"/>
        <rFont val="Calibri"/>
        <family val="2"/>
        <scheme val="minor"/>
      </rPr>
      <t>чабрецом и смородиной</t>
    </r>
    <r>
      <rPr>
        <sz val="10"/>
        <rFont val="Calibri"/>
        <family val="2"/>
        <scheme val="minor"/>
      </rPr>
      <t xml:space="preserve"> (блистер) 19г</t>
    </r>
  </si>
  <si>
    <r>
      <t xml:space="preserve">Кисель льняное "витаминный" с </t>
    </r>
    <r>
      <rPr>
        <b/>
        <sz val="10"/>
        <rFont val="Calibri"/>
        <family val="2"/>
        <scheme val="minor"/>
      </rPr>
      <t>лесными ягодами</t>
    </r>
    <r>
      <rPr>
        <sz val="10"/>
        <rFont val="Calibri"/>
        <family val="2"/>
        <scheme val="minor"/>
      </rPr>
      <t xml:space="preserve"> и псиллиумом 150г</t>
    </r>
  </si>
  <si>
    <r>
      <t xml:space="preserve">Кисель льняной "витаминный" с </t>
    </r>
    <r>
      <rPr>
        <b/>
        <sz val="10"/>
        <rFont val="Calibri"/>
        <family val="2"/>
        <scheme val="minor"/>
      </rPr>
      <t>шпинатом</t>
    </r>
    <r>
      <rPr>
        <sz val="10"/>
        <rFont val="Calibri"/>
        <family val="2"/>
        <scheme val="minor"/>
      </rPr>
      <t xml:space="preserve"> и псиллиумом 150г</t>
    </r>
  </si>
  <si>
    <r>
      <t>Конфеты набор "</t>
    </r>
    <r>
      <rPr>
        <b/>
        <sz val="10"/>
        <rFont val="Calibri"/>
        <family val="2"/>
        <scheme val="minor"/>
      </rPr>
      <t>Из сибири  с любовью</t>
    </r>
    <r>
      <rPr>
        <sz val="10"/>
        <rFont val="Calibri"/>
        <family val="2"/>
        <scheme val="minor"/>
      </rPr>
      <t>" 190г</t>
    </r>
  </si>
  <si>
    <r>
      <t xml:space="preserve">Воздушный рис в </t>
    </r>
    <r>
      <rPr>
        <b/>
        <sz val="10"/>
        <rFont val="Calibri"/>
        <family val="2"/>
        <scheme val="minor"/>
      </rPr>
      <t>горьком</t>
    </r>
    <r>
      <rPr>
        <sz val="10"/>
        <rFont val="Calibri"/>
        <family val="2"/>
        <scheme val="minor"/>
      </rPr>
      <t xml:space="preserve"> шоколаде, без сахара 27г</t>
    </r>
  </si>
  <si>
    <r>
      <t xml:space="preserve">Гречка зеленая </t>
    </r>
    <r>
      <rPr>
        <b/>
        <sz val="10"/>
        <rFont val="Calibri"/>
        <family val="2"/>
        <scheme val="minor"/>
      </rPr>
      <t>с грибами и овощами</t>
    </r>
    <r>
      <rPr>
        <sz val="10"/>
        <rFont val="Calibri"/>
        <family val="2"/>
        <scheme val="minor"/>
      </rPr>
      <t xml:space="preserve"> 300г</t>
    </r>
  </si>
  <si>
    <r>
      <t>Соус мексиканский "</t>
    </r>
    <r>
      <rPr>
        <b/>
        <sz val="10"/>
        <rFont val="Calibri"/>
        <family val="2"/>
        <scheme val="minor"/>
      </rPr>
      <t>Сальса</t>
    </r>
    <r>
      <rPr>
        <sz val="10"/>
        <rFont val="Calibri"/>
        <family val="2"/>
        <scheme val="minor"/>
      </rPr>
      <t>" стекло 150г</t>
    </r>
  </si>
  <si>
    <r>
      <t>Соус мексиканский "</t>
    </r>
    <r>
      <rPr>
        <b/>
        <sz val="10"/>
        <rFont val="Calibri"/>
        <family val="2"/>
        <scheme val="minor"/>
      </rPr>
      <t>Сырный</t>
    </r>
    <r>
      <rPr>
        <sz val="10"/>
        <rFont val="Calibri"/>
        <family val="2"/>
        <scheme val="minor"/>
      </rPr>
      <t>" с халапеньо стекло 150г</t>
    </r>
  </si>
  <si>
    <r>
      <t>Соус "</t>
    </r>
    <r>
      <rPr>
        <b/>
        <sz val="10"/>
        <rFont val="Calibri"/>
        <family val="2"/>
        <scheme val="minor"/>
      </rPr>
      <t>Бер-блан</t>
    </r>
    <r>
      <rPr>
        <sz val="10"/>
        <rFont val="Calibri"/>
        <family val="2"/>
        <scheme val="minor"/>
      </rPr>
      <t>" с лимоном и шалфеем, бутылка стекло 230г</t>
    </r>
  </si>
  <si>
    <r>
      <t>Соус азиатский "</t>
    </r>
    <r>
      <rPr>
        <b/>
        <sz val="10"/>
        <rFont val="Calibri"/>
        <family val="2"/>
        <scheme val="minor"/>
      </rPr>
      <t>Манго-Чили</t>
    </r>
    <r>
      <rPr>
        <sz val="10"/>
        <rFont val="Calibri"/>
        <family val="2"/>
        <scheme val="minor"/>
      </rPr>
      <t>" бутылка стекло 230г</t>
    </r>
  </si>
  <si>
    <r>
      <t>Соус азиатский "</t>
    </r>
    <r>
      <rPr>
        <b/>
        <sz val="10"/>
        <rFont val="Calibri"/>
        <family val="2"/>
        <scheme val="minor"/>
      </rPr>
      <t>Острый Чили</t>
    </r>
    <r>
      <rPr>
        <sz val="10"/>
        <rFont val="Calibri"/>
        <family val="2"/>
        <scheme val="minor"/>
      </rPr>
      <t>" бутылка стекло 230г</t>
    </r>
  </si>
  <si>
    <r>
      <t>Соус английский "</t>
    </r>
    <r>
      <rPr>
        <b/>
        <sz val="10"/>
        <rFont val="Calibri"/>
        <family val="2"/>
        <scheme val="minor"/>
      </rPr>
      <t>Перечный</t>
    </r>
    <r>
      <rPr>
        <sz val="10"/>
        <rFont val="Calibri"/>
        <family val="2"/>
        <scheme val="minor"/>
      </rPr>
      <t>" бутылка стекло 230г</t>
    </r>
  </si>
  <si>
    <r>
      <t>Соус индийский "</t>
    </r>
    <r>
      <rPr>
        <b/>
        <sz val="10"/>
        <rFont val="Calibri"/>
        <family val="2"/>
        <scheme val="minor"/>
      </rPr>
      <t>Карри</t>
    </r>
    <r>
      <rPr>
        <sz val="10"/>
        <rFont val="Calibri"/>
        <family val="2"/>
        <scheme val="minor"/>
      </rPr>
      <t>" бутылка стекло 230г</t>
    </r>
  </si>
  <si>
    <r>
      <t>Соус майонезный "</t>
    </r>
    <r>
      <rPr>
        <b/>
        <sz val="10"/>
        <rFont val="Calibri"/>
        <family val="2"/>
        <scheme val="minor"/>
      </rPr>
      <t>Тар Тар</t>
    </r>
    <r>
      <rPr>
        <sz val="10"/>
        <rFont val="Calibri"/>
        <family val="2"/>
        <scheme val="minor"/>
      </rPr>
      <t>" бутылка стекло 230г</t>
    </r>
  </si>
  <si>
    <r>
      <t>Соус майонезный "</t>
    </r>
    <r>
      <rPr>
        <b/>
        <sz val="10"/>
        <rFont val="Calibri"/>
        <family val="2"/>
        <scheme val="minor"/>
      </rPr>
      <t>Шримайо</t>
    </r>
    <r>
      <rPr>
        <sz val="10"/>
        <rFont val="Calibri"/>
        <family val="2"/>
        <scheme val="minor"/>
      </rPr>
      <t>" острый, бутылка стекло 220г</t>
    </r>
  </si>
  <si>
    <r>
      <t>Соус техасский "</t>
    </r>
    <r>
      <rPr>
        <b/>
        <sz val="10"/>
        <rFont val="Calibri"/>
        <family val="2"/>
        <scheme val="minor"/>
      </rPr>
      <t>Барбекю</t>
    </r>
    <r>
      <rPr>
        <sz val="10"/>
        <rFont val="Calibri"/>
        <family val="2"/>
        <scheme val="minor"/>
      </rPr>
      <t>" бутылка стекло 230г</t>
    </r>
  </si>
  <si>
    <r>
      <t xml:space="preserve">Макароны пшеничные </t>
    </r>
    <r>
      <rPr>
        <b/>
        <sz val="10"/>
        <rFont val="Calibri"/>
        <family val="2"/>
        <scheme val="minor"/>
      </rPr>
      <t>Космос</t>
    </r>
    <r>
      <rPr>
        <sz val="10"/>
        <rFont val="Calibri"/>
        <family val="2"/>
        <scheme val="minor"/>
      </rPr>
      <t xml:space="preserve"> "триколор" 250г</t>
    </r>
  </si>
  <si>
    <r>
      <t xml:space="preserve">Макароны Сердечки из </t>
    </r>
    <r>
      <rPr>
        <b/>
        <sz val="10"/>
        <rFont val="Calibri"/>
        <family val="2"/>
        <scheme val="minor"/>
      </rPr>
      <t>красной чечевицы</t>
    </r>
    <r>
      <rPr>
        <sz val="10"/>
        <rFont val="Calibri"/>
        <family val="2"/>
        <scheme val="minor"/>
      </rPr>
      <t xml:space="preserve"> 250г</t>
    </r>
  </si>
  <si>
    <r>
      <t xml:space="preserve">Макароны Сердечки из </t>
    </r>
    <r>
      <rPr>
        <b/>
        <sz val="10"/>
        <rFont val="Calibri"/>
        <family val="2"/>
        <scheme val="minor"/>
      </rPr>
      <t>гороха</t>
    </r>
    <r>
      <rPr>
        <sz val="10"/>
        <rFont val="Calibri"/>
        <family val="2"/>
        <scheme val="minor"/>
      </rPr>
      <t xml:space="preserve"> 250г</t>
    </r>
  </si>
  <si>
    <r>
      <t xml:space="preserve">Макароны Сердечки </t>
    </r>
    <r>
      <rPr>
        <b/>
        <sz val="10"/>
        <rFont val="Calibri"/>
        <family val="2"/>
        <scheme val="minor"/>
      </rPr>
      <t>"триколор"</t>
    </r>
    <r>
      <rPr>
        <sz val="10"/>
        <rFont val="Calibri"/>
        <family val="2"/>
        <scheme val="minor"/>
      </rPr>
      <t xml:space="preserve"> 250г</t>
    </r>
  </si>
  <si>
    <r>
      <t xml:space="preserve">Макароны forFIT с </t>
    </r>
    <r>
      <rPr>
        <b/>
        <sz val="10"/>
        <rFont val="Calibri"/>
        <family val="2"/>
        <scheme val="minor"/>
      </rPr>
      <t>cпирулиной</t>
    </r>
    <r>
      <rPr>
        <sz val="10"/>
        <rFont val="Calibri"/>
        <family val="2"/>
        <scheme val="minor"/>
      </rPr>
      <t xml:space="preserve"> 300г</t>
    </r>
  </si>
  <si>
    <r>
      <t xml:space="preserve">Макароны forFIT с </t>
    </r>
    <r>
      <rPr>
        <b/>
        <sz val="10"/>
        <rFont val="Calibri"/>
        <family val="2"/>
        <scheme val="minor"/>
      </rPr>
      <t>протеином</t>
    </r>
    <r>
      <rPr>
        <sz val="10"/>
        <rFont val="Calibri"/>
        <family val="2"/>
        <scheme val="minor"/>
      </rPr>
      <t xml:space="preserve"> 300г</t>
    </r>
  </si>
  <si>
    <r>
      <t xml:space="preserve">Спирали forFIT из </t>
    </r>
    <r>
      <rPr>
        <b/>
        <sz val="10"/>
        <rFont val="Calibri"/>
        <family val="2"/>
        <scheme val="minor"/>
      </rPr>
      <t>зеленого гороха</t>
    </r>
    <r>
      <rPr>
        <sz val="10"/>
        <rFont val="Calibri"/>
        <family val="2"/>
        <scheme val="minor"/>
      </rPr>
      <t xml:space="preserve"> 300г</t>
    </r>
  </si>
  <si>
    <r>
      <t xml:space="preserve">Спирали forFIT из </t>
    </r>
    <r>
      <rPr>
        <b/>
        <sz val="10"/>
        <rFont val="Calibri"/>
        <family val="2"/>
        <scheme val="minor"/>
      </rPr>
      <t>нута</t>
    </r>
    <r>
      <rPr>
        <sz val="10"/>
        <rFont val="Calibri"/>
        <family val="2"/>
        <scheme val="minor"/>
      </rPr>
      <t xml:space="preserve"> 300г</t>
    </r>
  </si>
  <si>
    <r>
      <t xml:space="preserve">Спирали fotFIT из </t>
    </r>
    <r>
      <rPr>
        <b/>
        <sz val="10"/>
        <rFont val="Calibri"/>
        <family val="2"/>
        <scheme val="minor"/>
      </rPr>
      <t>красной чечевицы</t>
    </r>
    <r>
      <rPr>
        <sz val="10"/>
        <rFont val="Calibri"/>
        <family val="2"/>
        <scheme val="minor"/>
      </rPr>
      <t xml:space="preserve"> 300г</t>
    </r>
  </si>
  <si>
    <r>
      <t>Пудинг "</t>
    </r>
    <r>
      <rPr>
        <b/>
        <sz val="10"/>
        <rFont val="Calibri"/>
        <family val="2"/>
        <scheme val="minor"/>
      </rPr>
      <t>Шоколадный</t>
    </r>
    <r>
      <rPr>
        <sz val="10"/>
        <rFont val="Calibri"/>
        <family val="2"/>
        <scheme val="minor"/>
      </rPr>
      <t>" стекло 90г</t>
    </r>
  </si>
  <si>
    <r>
      <t xml:space="preserve">Батончик "Фрутилад" финиковый с </t>
    </r>
    <r>
      <rPr>
        <b/>
        <sz val="10"/>
        <rFont val="Calibri"/>
        <family val="2"/>
        <scheme val="minor"/>
      </rPr>
      <t>вешней и кешью</t>
    </r>
    <r>
      <rPr>
        <sz val="10"/>
        <rFont val="Calibri"/>
        <family val="2"/>
        <scheme val="minor"/>
      </rPr>
      <t xml:space="preserve"> 42г</t>
    </r>
  </si>
  <si>
    <t>Цукаты апельсина в тёмном шоколаде, туба 150г</t>
  </si>
  <si>
    <t>Засахаренная апельсиновая корочка : (апельсиновая корка, глюкозно-фруктозный сироп, сахароза, регулятор кислотности: лимонная кислота, консервант : диоксид серы), шоколад тёмный (какао тертое, сахар, какао-масло, эмульгатор (подсолнечный лецитин), ваниль натуральная)</t>
  </si>
  <si>
    <t>http://1.c8804.nichost.ru/pics/19997.jpg</t>
  </si>
  <si>
    <t>http://1.c8804.nichost.ru/pics/21141.jpg</t>
  </si>
  <si>
    <t>Новинка! Квант 18шт</t>
  </si>
  <si>
    <t>пюре яблочное концентрированне, барбарис сушеный, ароматизатор натуральный, мука рисовая</t>
  </si>
  <si>
    <t>пюре яблочное концетрированные, сок манго, ароматизатор натуральный, мука рисовая</t>
  </si>
  <si>
    <t>пюре яблочное концетрированные,пюре грушевое, ароматизатор натуральный, мука рисовая</t>
  </si>
  <si>
    <t>пюре яблочное концетрированные, сок малиновый, ароматизатор натуральный, мука рисовая</t>
  </si>
  <si>
    <t>http://1.c8804.nichost.ru/pics/21122.jpg</t>
  </si>
  <si>
    <t>хлопья овсяные, масло кукурузное, финиковый сироп, крахмал кукурузный, какао порошок, соль, гидрокарбонат натрия, карбонат кальция, ароматизаторы натуральные, лецитин соевй, ксантовая камедь, витамины</t>
  </si>
  <si>
    <t>хлопья овсяные, масло кукурузное, финиковый сироп, крахмал кукурузный, мука рисовая, мука кукурузная, соль, гидрокарбонат натрия, карбонат кальция, ароматизаторы натуральные, лецитин соевй, ксантовая камедь, витамины. Не содержит ингредиентов животного происхождения</t>
  </si>
  <si>
    <t>хлопья овсяные, масло кукурузное, финиковый сироп, крахмал кукурузный, черника сушёная (порошок), свекламолотая, соль, гидрокарбонат натрия, карбонат кальция, ароматизаторы натуральные, лецитин соевй, ксантовая камедь, витамины</t>
  </si>
  <si>
    <r>
      <t xml:space="preserve">Мармелад </t>
    </r>
    <r>
      <rPr>
        <b/>
        <sz val="10"/>
        <rFont val="Calibri"/>
        <family val="2"/>
        <scheme val="minor"/>
      </rPr>
      <t>апельсин</t>
    </r>
    <r>
      <rPr>
        <sz val="10"/>
        <rFont val="Calibri"/>
        <family val="2"/>
        <scheme val="minor"/>
      </rPr>
      <t xml:space="preserve"> желейно-формовой крафт 155г</t>
    </r>
  </si>
  <si>
    <r>
      <t xml:space="preserve">Мармелад </t>
    </r>
    <r>
      <rPr>
        <b/>
        <sz val="10"/>
        <rFont val="Calibri"/>
        <family val="2"/>
        <scheme val="minor"/>
      </rPr>
      <t>чёрная</t>
    </r>
    <r>
      <rPr>
        <sz val="10"/>
        <rFont val="Calibri"/>
        <family val="2"/>
        <scheme val="minor"/>
      </rPr>
      <t xml:space="preserve"> </t>
    </r>
    <r>
      <rPr>
        <b/>
        <sz val="10"/>
        <rFont val="Calibri"/>
        <family val="2"/>
        <scheme val="minor"/>
      </rPr>
      <t>смородина</t>
    </r>
    <r>
      <rPr>
        <sz val="10"/>
        <rFont val="Calibri"/>
        <family val="2"/>
        <scheme val="minor"/>
      </rPr>
      <t xml:space="preserve"> желейно-формовой крафт 155г</t>
    </r>
  </si>
  <si>
    <t>Финиковая паста, груши свежие, апельсины свежие, сироп топинамбура</t>
  </si>
  <si>
    <t>Финиковая паста, ананасы свежие, апельсины свежие, сироп топинамбура</t>
  </si>
  <si>
    <t>Финиковая паста, ананасы свежие, бананы сушеные, сироп топинамбура</t>
  </si>
  <si>
    <t>Финиковая паста, темный шоколад (подсластитель мальтит, какао тертое, какао масло, эмульгатор подсолнечный лецитин, натуральный ароматизатор «Ваниль»), груши свежие, апельсины свежие, сироп топинамбура</t>
  </si>
  <si>
    <t>Финиковая паста, темный шоколад (подсластитель мальтит, какао тертое, какао масло, эмульгатор подсолнечный лецитин, натуральный ароматизатор «Ваниль»), ананасы свежие, апельсины свежие, сироп топинамбура</t>
  </si>
  <si>
    <t>Финиковая паста, темный шоколад (подсластитель мальтит, какао тертое, какао масло, эмульгатор подсолнечный лецитин, натуральный ароматизатор «Ваниль»), ананасы свежие, бананы сушеные, сироп топинамбура</t>
  </si>
  <si>
    <t>http://1.c8804.nichost.ru/pics/21167.jpg</t>
  </si>
  <si>
    <t>http://1.c8804.nichost.ru/pics/21168.jpg</t>
  </si>
  <si>
    <t>http://1.c8804.nichost.ru/pics/21166.jpg</t>
  </si>
  <si>
    <t>http://1.c8804.nichost.ru/pics/21163.jpg</t>
  </si>
  <si>
    <t>http://1.c8804.nichost.ru/pics/21164.jpg</t>
  </si>
  <si>
    <t>http://1.c8804.nichost.ru/pics/21165.jpg</t>
  </si>
  <si>
    <t>Миндальная мука, сироп топинамбура, миндаль, кокосовая мука, натуральный ароматизатор «Ваниль»</t>
  </si>
  <si>
    <t>Миндальная мука, темный шоколад (подсластитель мальтит, какао тертое, какао масло, эмульгатор подсолнечный лецитин, натуральный ароматизатор «Ваниль»), сироп топинамбура, кокосовая мука, апельсины сушеные</t>
  </si>
  <si>
    <t>Миндальная мука, темный шоколад (подсластитель мальтит, какао тертое, какао масло, эмульгатор подсолнечный лецитин, натуральный ароматизатор «Ваниль»), сироп топинамбура, миндаль, кокосовая мука, натуральный ароматизатор «Ваниль»</t>
  </si>
  <si>
    <t>Миндальная мука, темный шоколад (подсластитель мальтит, какао тертое, какао масло, эмульгатор подсолнечный лецитин, натуральный ароматизатор «Ваниль»), сироп топинамбура, ананасы сушеные, кокосовая мука</t>
  </si>
  <si>
    <t>Миндальная мука, сироп топинамбура, ананасы сушеные, кокосовая мука</t>
  </si>
  <si>
    <t>Миндальная мука, темный шоколад (подсластитель мальтит, какао тертое, какао масло, эмульгатор подсолнечный лецитин, натуральный ароматизатор «Ваниль»), сироп топинамбура, клюква сушеная, кокосовая мука</t>
  </si>
  <si>
    <t>Миндальная мука, сироп топинамбура, кокосовая мука, апельсины сушеные</t>
  </si>
  <si>
    <t>Миндальная мука, сироп топинамбура, клюква сушеная, кокосовая мука</t>
  </si>
  <si>
    <t>http://1.c8804.nichost.ru/pics/21171.jpg</t>
  </si>
  <si>
    <t>http://1.c8804.nichost.ru/pics/21170.jpg</t>
  </si>
  <si>
    <t>http://1.c8804.nichost.ru/pics/21169.jpg</t>
  </si>
  <si>
    <t>http://1.c8804.nichost.ru/pics/21172.jpg</t>
  </si>
  <si>
    <t>http://1.c8804.nichost.ru/pics/21175.jpg</t>
  </si>
  <si>
    <t>http://1.c8804.nichost.ru/pics/21174.jpg</t>
  </si>
  <si>
    <t>http://1.c8804.nichost.ru/pics/21173.jpg</t>
  </si>
  <si>
    <t>http://1.c8804.nichost.ru/pics/21176.jpg</t>
  </si>
  <si>
    <t>Батончики без сахара</t>
  </si>
  <si>
    <t>мед, клюква, душица, липа, воск пчелиный</t>
  </si>
  <si>
    <t>мед, смородина, чабрец, корень солодки, воск пчелиный</t>
  </si>
  <si>
    <t>мёд, шалфей, чабрец, корень аира, корень алтеи, липа, ромашка, душица, подорожник, мать-и-мачеха, хвоя пихтовая, воск пчелиный</t>
  </si>
  <si>
    <t>http://1.c8804.nichost.ru/pics/21177.jpg</t>
  </si>
  <si>
    <t>http://1.c8804.nichost.ru/pics/21178.jpg</t>
  </si>
  <si>
    <t>http://1.c8804.nichost.ru/pics/21179.jpg</t>
  </si>
  <si>
    <t>ядра арахиса жареные, концентрат (экстракт) ячменно-солодовый, сироп топинамбура (клубни топинамбура, вода), соль розовая гималайская, кайенский перец молотый, шоколад (масло какао дезодорированное, мука кокосовая, молоко сухое обезжиренное, ядра орехов кешью, масло ши рафинированное, сыр пармезан сухой</t>
  </si>
  <si>
    <t>стружка кокосовая, патока крахмальная карамельная кислотная (патока кукурузная), сироп топинамбура (клубни топинамбура, вода), масло кокосовое, глицерин пищевой, черная смородина сублимированная, ароматизатор натуральный, экстракт свеклы, шоколад (масло какао дезодорированное, сахар тростниковый нерафинированный, ядра орехов кешью, мука кокосовая)</t>
  </si>
  <si>
    <t>http://1.c8804.nichost.ru/pics/21128.jpg</t>
  </si>
  <si>
    <t>http://1.c8804.nichost.ru/pics/21131.jpg</t>
  </si>
  <si>
    <t>мицелий Ежовика гребенчатого, выращенный на буром нешлифованном рисе</t>
  </si>
  <si>
    <t>http://1.c8804.nichost.ru/pics/21182.jpg</t>
  </si>
  <si>
    <t>http://1.c8804.nichost.ru/pics/21183.jpg</t>
  </si>
  <si>
    <t>Зерномицелий кордицепса военного молотый</t>
  </si>
  <si>
    <t>Лецитин подсолнечный, дойпак 150г</t>
  </si>
  <si>
    <t>Ежовик гребенчатый зерномицелий молотый, дойпак 150г</t>
  </si>
  <si>
    <t>Кордицепс военный зерномицелий молотый, дойпак 150г</t>
  </si>
  <si>
    <t>лецитин из подсолнечника (фосфолипиды подсолнечника) 100 г продукта содержат: фосфолипиды (лецитин) - 98,6%, моноглицериды - 0,8%, влага - 0,6%</t>
  </si>
  <si>
    <t>Шелуха семян подорожника 100%</t>
  </si>
  <si>
    <t>http://1.c8804.nichost.ru/pics/21184.jpg</t>
  </si>
  <si>
    <t>http://1.c8804.nichost.ru/pics/21181.jpg</t>
  </si>
  <si>
    <t>Псиллиум (шелуха семян подорожника), дойпак 120г</t>
  </si>
  <si>
    <t>Цикорий растворимый, овес ферментированный, какао-порошок, ароматизатор "Капучино", ароматизатор "Сгущеное молоко"</t>
  </si>
  <si>
    <t>http://1.c8804.nichost.ru/pics/21185.jpg</t>
  </si>
  <si>
    <r>
      <t>Иван-чай с</t>
    </r>
    <r>
      <rPr>
        <b/>
        <sz val="10"/>
        <color theme="1"/>
        <rFont val="Calibri"/>
        <family val="2"/>
        <charset val="204"/>
        <scheme val="minor"/>
      </rPr>
      <t xml:space="preserve"> брусникой</t>
    </r>
    <r>
      <rPr>
        <sz val="10"/>
        <color theme="1"/>
        <rFont val="Calibri"/>
        <family val="2"/>
        <scheme val="minor"/>
      </rPr>
      <t>, крафт пакет 40г</t>
    </r>
  </si>
  <si>
    <r>
      <t xml:space="preserve">Иван-чай с </t>
    </r>
    <r>
      <rPr>
        <b/>
        <sz val="10"/>
        <color theme="1"/>
        <rFont val="Calibri"/>
        <family val="2"/>
        <charset val="204"/>
        <scheme val="minor"/>
      </rPr>
      <t>брусникой</t>
    </r>
    <r>
      <rPr>
        <sz val="10"/>
        <color theme="1"/>
        <rFont val="Calibri"/>
        <family val="2"/>
        <scheme val="minor"/>
      </rPr>
      <t>, стекло 60г</t>
    </r>
  </si>
  <si>
    <r>
      <t xml:space="preserve">Иван-чай с </t>
    </r>
    <r>
      <rPr>
        <b/>
        <sz val="10"/>
        <color theme="1"/>
        <rFont val="Calibri"/>
        <family val="2"/>
        <charset val="204"/>
        <scheme val="minor"/>
      </rPr>
      <t>малиной</t>
    </r>
    <r>
      <rPr>
        <sz val="10"/>
        <color theme="1"/>
        <rFont val="Calibri"/>
        <family val="2"/>
        <scheme val="minor"/>
      </rPr>
      <t>, стекло 60г</t>
    </r>
  </si>
  <si>
    <r>
      <t xml:space="preserve">Иван-чай с </t>
    </r>
    <r>
      <rPr>
        <b/>
        <sz val="10"/>
        <rFont val="Calibri"/>
        <family val="2"/>
        <charset val="204"/>
        <scheme val="minor"/>
      </rPr>
      <t>облепихой</t>
    </r>
    <r>
      <rPr>
        <sz val="10"/>
        <rFont val="Calibri"/>
        <family val="2"/>
        <scheme val="minor"/>
      </rPr>
      <t>, стекло 70г</t>
    </r>
  </si>
  <si>
    <r>
      <t xml:space="preserve">Иван-чай с </t>
    </r>
    <r>
      <rPr>
        <b/>
        <sz val="10"/>
        <color theme="1"/>
        <rFont val="Calibri"/>
        <family val="2"/>
        <charset val="204"/>
        <scheme val="minor"/>
      </rPr>
      <t>мятой</t>
    </r>
    <r>
      <rPr>
        <sz val="10"/>
        <color theme="1"/>
        <rFont val="Calibri"/>
        <family val="2"/>
        <scheme val="minor"/>
      </rPr>
      <t>, крафт пакет 40г</t>
    </r>
  </si>
  <si>
    <r>
      <t xml:space="preserve">Иван-чай с </t>
    </r>
    <r>
      <rPr>
        <b/>
        <sz val="10"/>
        <color theme="1"/>
        <rFont val="Calibri"/>
        <family val="2"/>
        <charset val="204"/>
        <scheme val="minor"/>
      </rPr>
      <t>облепихой</t>
    </r>
    <r>
      <rPr>
        <sz val="10"/>
        <color theme="1"/>
        <rFont val="Calibri"/>
        <family val="2"/>
        <scheme val="minor"/>
      </rPr>
      <t>, крафт пакет 40г</t>
    </r>
  </si>
  <si>
    <t>иван-чай крупнолистовой ферментированный, хвоя пихтовая, хвоя еловая, душица (трава), мандарин сушёный, ягоды облепихи</t>
  </si>
  <si>
    <t>иван-чай крупнолистовой ферментированный, чабрец (трава), цветки кипрея, экстракт чабреца</t>
  </si>
  <si>
    <t>http://1.c8804.nichost.ru/pics/21188.jpg</t>
  </si>
  <si>
    <t>http://1.c8804.nichost.ru/pics/21189.jpg</t>
  </si>
  <si>
    <r>
      <t>Конфеты "</t>
    </r>
    <r>
      <rPr>
        <sz val="10"/>
        <rFont val="Calibri"/>
        <family val="2"/>
        <charset val="204"/>
        <scheme val="minor"/>
      </rPr>
      <t>Кедровое золото</t>
    </r>
    <r>
      <rPr>
        <sz val="10"/>
        <rFont val="Calibri"/>
        <family val="2"/>
        <scheme val="minor"/>
      </rPr>
      <t xml:space="preserve">" </t>
    </r>
    <r>
      <rPr>
        <sz val="10"/>
        <rFont val="Calibri"/>
        <family val="2"/>
        <charset val="204"/>
        <scheme val="minor"/>
      </rPr>
      <t>мягкий грильяж</t>
    </r>
    <r>
      <rPr>
        <sz val="10"/>
        <rFont val="Calibri"/>
        <family val="2"/>
        <scheme val="minor"/>
      </rPr>
      <t xml:space="preserve"> 85г</t>
    </r>
  </si>
  <si>
    <t>http://1.c8804.nichost.ru/pics/20060_1.jpg</t>
  </si>
  <si>
    <t>http://1.c8804.nichost.ru/pics/21186.jpg</t>
  </si>
  <si>
    <t>молочная шоколадная глазурь без добавления сахара (мальтит, какао-масло, молоко сухое цельное, какао-порошок, эмульгатор (лецитин соевый), ванилин), ядро кедрового ореха, мёд липовый, клюква сублимированная</t>
  </si>
  <si>
    <t>http://1.c8804.nichost.ru/pics/21190.jpg</t>
  </si>
  <si>
    <r>
      <t xml:space="preserve">Макароны Зоопарк </t>
    </r>
    <r>
      <rPr>
        <b/>
        <sz val="10"/>
        <rFont val="Calibri"/>
        <family val="2"/>
        <scheme val="minor"/>
      </rPr>
      <t>кукурузные</t>
    </r>
    <r>
      <rPr>
        <sz val="10"/>
        <rFont val="Calibri"/>
        <family val="2"/>
        <scheme val="minor"/>
      </rPr>
      <t xml:space="preserve"> без глютена "Диетика" 300г</t>
    </r>
  </si>
  <si>
    <t>кукурузная мука, кукурузный крахмал, вода</t>
  </si>
  <si>
    <t>http://1.c8804.nichost.ru/pics/21198.jpg</t>
  </si>
  <si>
    <t>Злаково-овощные палочки</t>
  </si>
  <si>
    <t>крупа рисовая, паприка копченая, крупа кукурузная, отруби пшеничные, крупа ячменная, соль пищевая «Морская», красный острый перец, чеснок, специи (базилик, тимьян, орегано, розмарин, майоран, чабер садовый, душица)</t>
  </si>
  <si>
    <t>крупа рисовая (девзира), отруби пшеничные, морковь свежая, крупа кукурузная, тыква свежая, соль пищевая «Морская», лук репчатый, чеснок, специи (базилик, тимьян, орегано, розмарин, майоран, чабер садовый, душица)</t>
  </si>
  <si>
    <t>крупа гречневая, крупа рисовая, помидоры свежие, отруби пшеничные, паприка копченая, соль пищевая «Морская», базилик сушеный, укроп свежий, лук репчатый, чеснок, специи (тимьян, орегано, розмарин, майоран, чабер садовый, душица)</t>
  </si>
  <si>
    <t>http://1.c8804.nichost.ru/pics/21195.jpg</t>
  </si>
  <si>
    <t>http://1.c8804.nichost.ru/pics/21197.jpg</t>
  </si>
  <si>
    <t>http://1.c8804.nichost.ru/pics/21196.jpg</t>
  </si>
  <si>
    <t>яблочное и клубничное пюре, натуральный ароматизатор «Клубника»</t>
  </si>
  <si>
    <t>яблочное пюре, концентрированный сок черники, натуральный ароматизатор «Черника»</t>
  </si>
  <si>
    <t>яблоко пюре, ананасовое пюре, натуральный ароматизатор «Ананас»</t>
  </si>
  <si>
    <t>яблочное пюре, концентрированный натуральный сок вишни, питьевая вода, лимонная кислота</t>
  </si>
  <si>
    <t>Яблочное пюре</t>
  </si>
  <si>
    <t>http://1.c8804.nichost.ru/pics/21212.jpg</t>
  </si>
  <si>
    <t>http://1.c8804.nichost.ru/pics/21213.jpg</t>
  </si>
  <si>
    <t>http://1.c8804.nichost.ru/pics/21211.jpg</t>
  </si>
  <si>
    <t>http://1.c8804.nichost.ru/pics/21214.jpg</t>
  </si>
  <si>
    <t>http://1.c8804.nichost.ru/pics/21216.jpg</t>
  </si>
  <si>
    <t>http://1.c8804.nichost.ru/pics/21215.jpg</t>
  </si>
  <si>
    <t>Земляника в молочной шоколадной глазури (без сахара) 100г</t>
  </si>
  <si>
    <t>молочная шоколадная глазурь без добавления сахара; (мальтит (подсластитель); какао масло; молоко сухое цельное; какао-порошок; эмульгатор; (лецитин соевый), ванилин); ягода сублимационной сушки земляника</t>
  </si>
  <si>
    <t>http://1.c8804.nichost.ru/pics/21205.jpg</t>
  </si>
  <si>
    <r>
      <t xml:space="preserve">Печенье </t>
    </r>
    <r>
      <rPr>
        <b/>
        <sz val="10"/>
        <rFont val="Calibri"/>
        <family val="2"/>
        <scheme val="minor"/>
      </rPr>
      <t>ванильное</t>
    </r>
    <r>
      <rPr>
        <sz val="10"/>
        <rFont val="Calibri"/>
        <family val="2"/>
        <scheme val="minor"/>
      </rPr>
      <t xml:space="preserve"> "Ну очень вкусное" безглютеновое 150г</t>
    </r>
  </si>
  <si>
    <r>
      <t xml:space="preserve">Печенье </t>
    </r>
    <r>
      <rPr>
        <b/>
        <sz val="10"/>
        <rFont val="Calibri"/>
        <family val="2"/>
        <scheme val="minor"/>
      </rPr>
      <t>шоколадное</t>
    </r>
    <r>
      <rPr>
        <sz val="10"/>
        <rFont val="Calibri"/>
        <family val="2"/>
        <scheme val="minor"/>
      </rPr>
      <t xml:space="preserve"> "Ну очень вкусное" безглютеновое 150г</t>
    </r>
  </si>
  <si>
    <t>http://1.c8804.nichost.ru/pics/21180.jpg</t>
  </si>
  <si>
    <r>
      <t xml:space="preserve">Хлебцы льняные </t>
    </r>
    <r>
      <rPr>
        <b/>
        <sz val="10"/>
        <rFont val="Calibri"/>
        <family val="2"/>
        <scheme val="minor"/>
      </rPr>
      <t xml:space="preserve">с чесноком и перцем чили </t>
    </r>
    <r>
      <rPr>
        <sz val="10"/>
        <rFont val="Calibri"/>
        <family val="2"/>
        <charset val="204"/>
        <scheme val="minor"/>
      </rPr>
      <t>8</t>
    </r>
    <r>
      <rPr>
        <sz val="10"/>
        <rFont val="Calibri"/>
        <family val="2"/>
        <scheme val="minor"/>
      </rPr>
      <t>0г</t>
    </r>
  </si>
  <si>
    <r>
      <t>Макароны полбяные "</t>
    </r>
    <r>
      <rPr>
        <b/>
        <sz val="10"/>
        <rFont val="Calibri"/>
        <family val="2"/>
        <scheme val="minor"/>
      </rPr>
      <t>Вермишель</t>
    </r>
    <r>
      <rPr>
        <sz val="10"/>
        <rFont val="Calibri"/>
        <family val="2"/>
        <scheme val="minor"/>
      </rPr>
      <t>" ц/з 350г</t>
    </r>
  </si>
  <si>
    <t>вода очищенная, раствор природного Бишофит (магния хлорид; бромид магния; сульфат кальция; хлорид кальция; гидрокарбонат кальция; хлорид калия; хлорид натрия, микроэлементы: Br, B, I, Cu, Fe, Si, Ru, Mg, Ti, Li), сорбитол, целлосайз, микрокер, витамин РР, триэтаноламин (ТЭА)</t>
  </si>
  <si>
    <t>вода очищенная, вазелин, пентол, окись цинка, ланолин, масло растительное, экстракт травы чистотела, эмульсионный воск, сорбитол, эмульгатор ПГ-3, 2,4-Дигидрокси-6-метилпиримидин, мономульс 90-018, йодистый калий, салициловая кислота, нипагин, отдушка, нипазол, витамин Е, масло облепиховое, L-лизин</t>
  </si>
  <si>
    <t>горный кварц камень</t>
  </si>
  <si>
    <r>
      <t>Крем для лица "</t>
    </r>
    <r>
      <rPr>
        <b/>
        <sz val="10"/>
        <rFont val="Calibri"/>
        <family val="2"/>
        <scheme val="minor"/>
      </rPr>
      <t>Лифтинг</t>
    </r>
    <r>
      <rPr>
        <sz val="10"/>
        <rFont val="Calibri"/>
        <family val="2"/>
        <scheme val="minor"/>
      </rPr>
      <t xml:space="preserve">" и </t>
    </r>
    <r>
      <rPr>
        <b/>
        <sz val="10"/>
        <rFont val="Calibri"/>
        <family val="2"/>
        <scheme val="minor"/>
      </rPr>
      <t>кедровое масло</t>
    </r>
    <r>
      <rPr>
        <sz val="10"/>
        <rFont val="Calibri"/>
        <family val="2"/>
        <scheme val="minor"/>
      </rPr>
      <t>, баночка 50мл</t>
    </r>
  </si>
  <si>
    <r>
      <t xml:space="preserve">Печенье льняное с </t>
    </r>
    <r>
      <rPr>
        <b/>
        <sz val="10"/>
        <rFont val="Calibri"/>
        <family val="2"/>
        <scheme val="minor"/>
      </rPr>
      <t>расторопшей на фруктозе</t>
    </r>
    <r>
      <rPr>
        <sz val="10"/>
        <rFont val="Calibri"/>
        <family val="2"/>
        <scheme val="minor"/>
      </rPr>
      <t xml:space="preserve"> 300г</t>
    </r>
  </si>
  <si>
    <r>
      <t xml:space="preserve">Печенье овсяное ц/з </t>
    </r>
    <r>
      <rPr>
        <b/>
        <sz val="10"/>
        <rFont val="Calibri"/>
        <family val="2"/>
        <scheme val="minor"/>
      </rPr>
      <t>с изюмом</t>
    </r>
    <r>
      <rPr>
        <sz val="10"/>
        <rFont val="Calibri"/>
        <family val="2"/>
        <scheme val="minor"/>
      </rPr>
      <t xml:space="preserve"> 300г</t>
    </r>
  </si>
  <si>
    <r>
      <t xml:space="preserve">Печенье овсяное ц/з с </t>
    </r>
    <r>
      <rPr>
        <b/>
        <sz val="10"/>
        <rFont val="Calibri"/>
        <family val="2"/>
        <scheme val="minor"/>
      </rPr>
      <t>льном, отрубями и черникой</t>
    </r>
    <r>
      <rPr>
        <sz val="10"/>
        <rFont val="Calibri"/>
        <family val="2"/>
        <scheme val="minor"/>
      </rPr>
      <t xml:space="preserve"> на фруктозе 300г</t>
    </r>
  </si>
  <si>
    <r>
      <t xml:space="preserve">Печенье овсяное ц/з </t>
    </r>
    <r>
      <rPr>
        <b/>
        <sz val="10"/>
        <rFont val="Calibri"/>
        <family val="2"/>
        <scheme val="minor"/>
      </rPr>
      <t>с льном и топинамбуром</t>
    </r>
    <r>
      <rPr>
        <sz val="10"/>
        <rFont val="Calibri"/>
        <family val="2"/>
        <scheme val="minor"/>
      </rPr>
      <t xml:space="preserve"> на фруктозе 300г</t>
    </r>
  </si>
  <si>
    <r>
      <t>Смесь семян "</t>
    </r>
    <r>
      <rPr>
        <b/>
        <sz val="10"/>
        <color theme="1"/>
        <rFont val="Calibri"/>
        <family val="2"/>
        <charset val="204"/>
        <scheme val="minor"/>
      </rPr>
      <t>В йогурт или выпечку</t>
    </r>
    <r>
      <rPr>
        <sz val="10"/>
        <color theme="1"/>
        <rFont val="Calibri"/>
        <family val="2"/>
        <scheme val="minor"/>
      </rPr>
      <t>" 400г</t>
    </r>
  </si>
  <si>
    <r>
      <t xml:space="preserve">Хлебцы льняные </t>
    </r>
    <r>
      <rPr>
        <b/>
        <sz val="10"/>
        <rFont val="Calibri"/>
        <family val="2"/>
        <scheme val="minor"/>
      </rPr>
      <t>с кунжутом</t>
    </r>
    <r>
      <rPr>
        <sz val="10"/>
        <rFont val="Calibri"/>
        <family val="2"/>
        <scheme val="minor"/>
      </rPr>
      <t xml:space="preserve"> солёные 80г</t>
    </r>
  </si>
  <si>
    <r>
      <t xml:space="preserve">Хлебцы льняные </t>
    </r>
    <r>
      <rPr>
        <b/>
        <sz val="10"/>
        <rFont val="Calibri"/>
        <family val="2"/>
        <scheme val="minor"/>
      </rPr>
      <t>с луком</t>
    </r>
    <r>
      <rPr>
        <sz val="10"/>
        <rFont val="Calibri"/>
        <family val="2"/>
        <scheme val="minor"/>
      </rPr>
      <t xml:space="preserve"> 80г</t>
    </r>
  </si>
  <si>
    <r>
      <t xml:space="preserve">Хлебцы льняные </t>
    </r>
    <r>
      <rPr>
        <b/>
        <sz val="10"/>
        <rFont val="Calibri"/>
        <family val="2"/>
        <scheme val="minor"/>
      </rPr>
      <t>с чёрной смородиной</t>
    </r>
    <r>
      <rPr>
        <sz val="10"/>
        <rFont val="Calibri"/>
        <family val="2"/>
        <scheme val="minor"/>
      </rPr>
      <t xml:space="preserve"> 80г</t>
    </r>
  </si>
  <si>
    <r>
      <t xml:space="preserve">Конфеты "Shoco Rolls" </t>
    </r>
    <r>
      <rPr>
        <b/>
        <sz val="10"/>
        <rFont val="Calibri"/>
        <family val="2"/>
        <scheme val="minor"/>
      </rPr>
      <t>с арахисом, изюмом, цукаты апельсина и медом</t>
    </r>
    <r>
      <rPr>
        <sz val="10"/>
        <rFont val="Calibri"/>
        <family val="2"/>
        <scheme val="minor"/>
      </rPr>
      <t xml:space="preserve"> 135г</t>
    </r>
  </si>
  <si>
    <r>
      <t xml:space="preserve">Брускетта из </t>
    </r>
    <r>
      <rPr>
        <b/>
        <sz val="10"/>
        <rFont val="Calibri"/>
        <family val="2"/>
        <scheme val="minor"/>
      </rPr>
      <t>Вяленых томатов</t>
    </r>
    <r>
      <rPr>
        <sz val="10"/>
        <rFont val="Calibri"/>
        <family val="2"/>
        <scheme val="minor"/>
      </rPr>
      <t xml:space="preserve"> с прованскими травами 150г</t>
    </r>
  </si>
  <si>
    <r>
      <t xml:space="preserve">Макароны Вермишель </t>
    </r>
    <r>
      <rPr>
        <b/>
        <sz val="10"/>
        <rFont val="Calibri"/>
        <family val="2"/>
        <scheme val="minor"/>
      </rPr>
      <t>рисовая</t>
    </r>
    <r>
      <rPr>
        <sz val="10"/>
        <rFont val="Calibri"/>
        <family val="2"/>
        <scheme val="minor"/>
      </rPr>
      <t xml:space="preserve"> без глютена "Диетика" 250г</t>
    </r>
  </si>
  <si>
    <r>
      <t xml:space="preserve">Макароны Рожки большие </t>
    </r>
    <r>
      <rPr>
        <b/>
        <sz val="10"/>
        <rFont val="Calibri"/>
        <family val="2"/>
        <scheme val="minor"/>
      </rPr>
      <t xml:space="preserve">овощные </t>
    </r>
    <r>
      <rPr>
        <sz val="10"/>
        <rFont val="Calibri"/>
        <family val="2"/>
        <scheme val="minor"/>
      </rPr>
      <t>(шпинат, томат, свекла) 300г</t>
    </r>
  </si>
  <si>
    <r>
      <t xml:space="preserve">Макароны Рожки средние </t>
    </r>
    <r>
      <rPr>
        <b/>
        <sz val="10"/>
        <rFont val="Calibri"/>
        <family val="2"/>
        <scheme val="minor"/>
      </rPr>
      <t>рисовые</t>
    </r>
    <r>
      <rPr>
        <sz val="10"/>
        <rFont val="Calibri"/>
        <family val="2"/>
        <scheme val="minor"/>
      </rPr>
      <t xml:space="preserve"> "Диетика" 300г</t>
    </r>
  </si>
  <si>
    <r>
      <t xml:space="preserve">Макароны Рожки средние </t>
    </r>
    <r>
      <rPr>
        <b/>
        <sz val="10"/>
        <rFont val="Calibri"/>
        <family val="2"/>
        <scheme val="minor"/>
      </rPr>
      <t xml:space="preserve">кукурузные </t>
    </r>
    <r>
      <rPr>
        <sz val="10"/>
        <rFont val="Calibri"/>
        <family val="2"/>
        <scheme val="minor"/>
      </rPr>
      <t>"Диетика" 300г</t>
    </r>
  </si>
  <si>
    <r>
      <t xml:space="preserve">Макароны Спираль из </t>
    </r>
    <r>
      <rPr>
        <b/>
        <sz val="10"/>
        <rFont val="Calibri"/>
        <family val="2"/>
        <scheme val="minor"/>
      </rPr>
      <t>гречневой</t>
    </r>
    <r>
      <rPr>
        <sz val="10"/>
        <rFont val="Calibri"/>
        <family val="2"/>
        <scheme val="minor"/>
      </rPr>
      <t xml:space="preserve"> муки "Диетика" 250г</t>
    </r>
  </si>
  <si>
    <r>
      <t xml:space="preserve">Макароны Спираль </t>
    </r>
    <r>
      <rPr>
        <b/>
        <sz val="10"/>
        <rFont val="Calibri"/>
        <family val="2"/>
        <scheme val="minor"/>
      </rPr>
      <t>кукурузная</t>
    </r>
    <r>
      <rPr>
        <sz val="10"/>
        <rFont val="Calibri"/>
        <family val="2"/>
        <scheme val="minor"/>
      </rPr>
      <t xml:space="preserve"> "Диетика" 300г</t>
    </r>
  </si>
  <si>
    <r>
      <t xml:space="preserve">Макароны Спираль </t>
    </r>
    <r>
      <rPr>
        <b/>
        <sz val="10"/>
        <rFont val="Calibri"/>
        <family val="2"/>
        <scheme val="minor"/>
      </rPr>
      <t>кукурузно-рисовая</t>
    </r>
    <r>
      <rPr>
        <sz val="10"/>
        <rFont val="Calibri"/>
        <family val="2"/>
        <scheme val="minor"/>
      </rPr>
      <t xml:space="preserve"> "Диетика" 300г</t>
    </r>
  </si>
  <si>
    <r>
      <t xml:space="preserve">Макароны Спираль </t>
    </r>
    <r>
      <rPr>
        <b/>
        <sz val="10"/>
        <rFont val="Calibri"/>
        <family val="2"/>
        <scheme val="minor"/>
      </rPr>
      <t>рисовая</t>
    </r>
    <r>
      <rPr>
        <sz val="10"/>
        <rFont val="Calibri"/>
        <family val="2"/>
        <scheme val="minor"/>
      </rPr>
      <t xml:space="preserve"> "Диетика" 250г</t>
    </r>
  </si>
  <si>
    <r>
      <t xml:space="preserve">Макароны Трубочка из </t>
    </r>
    <r>
      <rPr>
        <b/>
        <sz val="10"/>
        <rFont val="Calibri"/>
        <family val="2"/>
        <scheme val="minor"/>
      </rPr>
      <t xml:space="preserve">гречневой </t>
    </r>
    <r>
      <rPr>
        <sz val="10"/>
        <rFont val="Calibri"/>
        <family val="2"/>
        <scheme val="minor"/>
      </rPr>
      <t>муки "Диетика" 250г</t>
    </r>
  </si>
  <si>
    <r>
      <t xml:space="preserve">Макароны Трубочка из </t>
    </r>
    <r>
      <rPr>
        <b/>
        <sz val="10"/>
        <rFont val="Calibri"/>
        <family val="2"/>
        <scheme val="minor"/>
      </rPr>
      <t xml:space="preserve">кукурузной </t>
    </r>
    <r>
      <rPr>
        <sz val="10"/>
        <rFont val="Calibri"/>
        <family val="2"/>
        <scheme val="minor"/>
      </rPr>
      <t>муки "Диетика" 250г</t>
    </r>
  </si>
  <si>
    <r>
      <t xml:space="preserve">Макароны Трубочка </t>
    </r>
    <r>
      <rPr>
        <b/>
        <sz val="10"/>
        <rFont val="Calibri"/>
        <family val="2"/>
        <scheme val="minor"/>
      </rPr>
      <t>кукурузно-рисовая</t>
    </r>
    <r>
      <rPr>
        <sz val="10"/>
        <rFont val="Calibri"/>
        <family val="2"/>
        <scheme val="minor"/>
      </rPr>
      <t xml:space="preserve"> "Диетика" 300г</t>
    </r>
  </si>
  <si>
    <r>
      <t>Печенье рисовое "</t>
    </r>
    <r>
      <rPr>
        <b/>
        <sz val="10"/>
        <rFont val="Calibri"/>
        <family val="2"/>
        <scheme val="minor"/>
      </rPr>
      <t>Ванильное утро</t>
    </r>
    <r>
      <rPr>
        <sz val="10"/>
        <rFont val="Calibri"/>
        <family val="2"/>
        <scheme val="minor"/>
      </rPr>
      <t>" без сахара "Диетика" 120г</t>
    </r>
  </si>
  <si>
    <r>
      <t xml:space="preserve">Печенье сдобное </t>
    </r>
    <r>
      <rPr>
        <b/>
        <sz val="10"/>
        <rFont val="Calibri"/>
        <family val="2"/>
        <scheme val="minor"/>
      </rPr>
      <t>классическое</t>
    </r>
    <r>
      <rPr>
        <sz val="10"/>
        <rFont val="Calibri"/>
        <family val="2"/>
        <scheme val="minor"/>
      </rPr>
      <t xml:space="preserve"> "Диетика" 170г</t>
    </r>
  </si>
  <si>
    <r>
      <t xml:space="preserve">Печенье сдобное </t>
    </r>
    <r>
      <rPr>
        <b/>
        <sz val="10"/>
        <rFont val="Calibri"/>
        <family val="2"/>
        <scheme val="minor"/>
      </rPr>
      <t>овсяное</t>
    </r>
    <r>
      <rPr>
        <sz val="10"/>
        <rFont val="Calibri"/>
        <family val="2"/>
        <scheme val="minor"/>
      </rPr>
      <t xml:space="preserve">  "Диетика" 200г</t>
    </r>
  </si>
  <si>
    <r>
      <t xml:space="preserve">Печенье сдобное </t>
    </r>
    <r>
      <rPr>
        <b/>
        <sz val="10"/>
        <rFont val="Calibri"/>
        <family val="2"/>
        <scheme val="minor"/>
      </rPr>
      <t xml:space="preserve">с корицей </t>
    </r>
    <r>
      <rPr>
        <sz val="10"/>
        <rFont val="Calibri"/>
        <family val="2"/>
        <scheme val="minor"/>
      </rPr>
      <t>"Диетика" 200г</t>
    </r>
  </si>
  <si>
    <r>
      <t xml:space="preserve">Печенье сдобное </t>
    </r>
    <r>
      <rPr>
        <b/>
        <sz val="10"/>
        <rFont val="Calibri"/>
        <family val="2"/>
        <scheme val="minor"/>
      </rPr>
      <t xml:space="preserve">шоколадная </t>
    </r>
    <r>
      <rPr>
        <sz val="10"/>
        <rFont val="Calibri"/>
        <family val="2"/>
        <scheme val="minor"/>
      </rPr>
      <t>"Диетика" 200г</t>
    </r>
  </si>
  <si>
    <r>
      <t xml:space="preserve">Печенье сдобное </t>
    </r>
    <r>
      <rPr>
        <b/>
        <sz val="10"/>
        <rFont val="Calibri"/>
        <family val="2"/>
        <scheme val="minor"/>
      </rPr>
      <t>чайное</t>
    </r>
    <r>
      <rPr>
        <sz val="10"/>
        <rFont val="Calibri"/>
        <family val="2"/>
        <scheme val="minor"/>
      </rPr>
      <t xml:space="preserve"> "Диетика" 200г</t>
    </r>
  </si>
  <si>
    <r>
      <t xml:space="preserve">Хлопья </t>
    </r>
    <r>
      <rPr>
        <b/>
        <sz val="10"/>
        <rFont val="Calibri"/>
        <family val="2"/>
        <scheme val="minor"/>
      </rPr>
      <t>гречневые</t>
    </r>
    <r>
      <rPr>
        <sz val="10"/>
        <rFont val="Calibri"/>
        <family val="2"/>
        <scheme val="minor"/>
      </rPr>
      <t xml:space="preserve"> "Диетика" 300г</t>
    </r>
  </si>
  <si>
    <t>http://1.c8804.nichost.ru/pics/21236.jpg</t>
  </si>
  <si>
    <t>пчелиный воск, канделильский воск, Масло какао, масло кокоса, масло кедра, масло пихты сибирской, живица кедровая, д-пантенол, витамин е</t>
  </si>
  <si>
    <t>пчелиный воск, канделильский воск, Масло какао, масло кокоса, прополис, д-пантенол, витамин е, натуральная ароматическая композиция</t>
  </si>
  <si>
    <t>http://1.c8804.nichost.ru/pics/21238.jpg</t>
  </si>
  <si>
    <t>http://1.c8804.nichost.ru/pics/21239.jpg</t>
  </si>
  <si>
    <t>http://1.c8804.nichost.ru/pics/21234.jpg</t>
  </si>
  <si>
    <t>Мука рисовая, овсяные хлопья, сироп топинамбура (клубни топинамбура, вода), масло кокосовое рафинированное, вода, молоко кокосовое, семена льна, сублимированная морковь, сублимированный апельсин, разрыхлитель - гидрокарбонат натрия (сода пищевая), соль морская пищевая, сахарозаменитель аллюлоза</t>
  </si>
  <si>
    <t>Мука рисовая, овсяные хлопья, сироп топинамбура (клубни топинамбура, вода), масло кокосовое рафинированное, вода, молоко кокосовое, семена льна, сублимированный банан, разрыхлитель - гидрокарбонат натрия (сода пищевая), соль морская пищевая, сахарозаменитель аллюлоза</t>
  </si>
  <si>
    <t>Мука рисовая, сироп топинамбура, масло кокосовое рафинированное, масло подсолнечное рафинированное дезодорированное, соль морская пищевая, мука льняная, разрыхлитель сода пищевая, пищевой краситель — сахарный колер, корица, ароматизатор пищевой натуральный «Имбирный пряник», аллюлоза</t>
  </si>
  <si>
    <t>мука рисовая, сироп топинамбура, масло кокосовое рафинированное, стружка кокосовая, разрыхлитель сода пищевая, соль морская пищевая</t>
  </si>
  <si>
    <t>Мука рисовая, сироп топинамбура, масло кокосовое рафинированное, миндаль, разрыхлитель сода пищевая, соль морская пищевая</t>
  </si>
  <si>
    <t>Мука рисовая, сироп топинамбура, масло кокосовое рафинированное, овсяные хлопья, мука из овсяных отрубей, мука льняная, мука гречневая, яблоко сублимированное, соль морская пищевая, разрыхлитель сода пищевая, корица молотая</t>
  </si>
  <si>
    <t>http://1.c8804.nichost.ru/pics/21224.jpg</t>
  </si>
  <si>
    <t>http://1.c8804.nichost.ru/pics/21219.jpg</t>
  </si>
  <si>
    <t>http://1.c8804.nichost.ru/pics/21227.jpg</t>
  </si>
  <si>
    <t>http://1.c8804.nichost.ru/pics/21225.jpg</t>
  </si>
  <si>
    <t>http://1.c8804.nichost.ru/pics/21226.jpg</t>
  </si>
  <si>
    <t>http://1.c8804.nichost.ru/pics/21228.jpg</t>
  </si>
  <si>
    <r>
      <t xml:space="preserve">Пряники </t>
    </r>
    <r>
      <rPr>
        <b/>
        <sz val="10"/>
        <color theme="1"/>
        <rFont val="Calibri"/>
        <family val="2"/>
        <charset val="204"/>
        <scheme val="minor"/>
      </rPr>
      <t>шоколадные</t>
    </r>
    <r>
      <rPr>
        <sz val="10"/>
        <color theme="1"/>
        <rFont val="Calibri"/>
        <family val="2"/>
        <scheme val="minor"/>
      </rPr>
      <t xml:space="preserve"> на мальтите и стевии Vitlen 150г</t>
    </r>
  </si>
  <si>
    <t>http://1.c8804.nichost.ru/pics/21132.jpg</t>
  </si>
  <si>
    <t>Масло кокосовое "МСТ 70%" в порошке 200г</t>
  </si>
  <si>
    <t>Среднецепочечные триглицериды кокосового масла, пищевое волокно акации</t>
  </si>
  <si>
    <t>http://1.c8804.nichost.ru/pics/21233.jpg</t>
  </si>
  <si>
    <t>http://1.c8804.nichost.ru/pics/21230.jpg</t>
  </si>
  <si>
    <t>30 видов конфет, Кедровая халва, Кедровое золото, Кедровые палочки, Кедровый грильяж, Кедровый марципан, Кедровый трюфель</t>
  </si>
  <si>
    <t>http://1.c8804.nichost.ru/pics/21237.jpg</t>
  </si>
  <si>
    <t>http://1.c8804.nichost.ru/pics/18279.jpg</t>
  </si>
  <si>
    <t>финики, ядро кешью тёртое, какао-порошок, взорванные зёрна риса, какао-масло, ядро миндаля, экстракт апельсина</t>
  </si>
  <si>
    <t>финики, кокосовая стружка, экстракт манго</t>
  </si>
  <si>
    <t>финики, взорванные зёрна риса, ядро арахиса бланшированное, жареное, тёртое, ядро кешью тёртое, какао-порошок, кофе молотый</t>
  </si>
  <si>
    <t>http://1.c8804.nichost.ru/pics/21206.jpg</t>
  </si>
  <si>
    <t>http://1.c8804.nichost.ru/pics/21207.jpg</t>
  </si>
  <si>
    <t>http://1.c8804.nichost.ru/pics/21208.jpg</t>
  </si>
  <si>
    <t>Заменитель сухого молочного продукта (кукурузный сироп, кокосовое масло, казеинат натрия, калия фосфаты), мука из ядер абрикоса, цикорий, какао порошок, ванилин (ароматизатор идентичный натуральному)</t>
  </si>
  <si>
    <t>http://1.c8804.nichost.ru/pics/21270.jpg</t>
  </si>
  <si>
    <t>Семена льна, горох, томат, базилик, соль пищевая. Может содержать следы семян кунжута и орехов</t>
  </si>
  <si>
    <t>http://1.c8804.nichost.ru/pics/21199.jpg</t>
  </si>
  <si>
    <r>
      <t>Снэки гороховые с</t>
    </r>
    <r>
      <rPr>
        <b/>
        <sz val="10"/>
        <rFont val="Calibri"/>
        <family val="2"/>
        <scheme val="minor"/>
      </rPr>
      <t xml:space="preserve"> семенем льна, томатом и базиликом</t>
    </r>
    <r>
      <rPr>
        <sz val="10"/>
        <rFont val="Calibri"/>
        <family val="2"/>
        <scheme val="minor"/>
      </rPr>
      <t xml:space="preserve"> 80г</t>
    </r>
  </si>
  <si>
    <t>живица, витаминный комплекс, исландский мох, кедровая живица, экстракты багульника, зверобоя, кедровое масло</t>
  </si>
  <si>
    <t>http://1.c8804.nichost.ru/pics/21201.jpg</t>
  </si>
  <si>
    <t>Леденцы с исландским мхом и солодкой 10*3,2г</t>
  </si>
  <si>
    <t>сахар, патока, экстракт соловищ, цетрарии, регулятор кислотности лимонная кислота, экстракт корней солодки, ароматизатор Ментол</t>
  </si>
  <si>
    <t>http://1.c8804.nichost.ru/pics/21191.jpg</t>
  </si>
  <si>
    <t>БАД экстракт барбариса + хром 60капс*0,5г</t>
  </si>
  <si>
    <r>
      <t xml:space="preserve">Хлопья овсяные </t>
    </r>
    <r>
      <rPr>
        <b/>
        <sz val="10"/>
        <rFont val="Calibri"/>
        <family val="2"/>
        <scheme val="minor"/>
      </rPr>
      <t>классические</t>
    </r>
    <r>
      <rPr>
        <sz val="10"/>
        <rFont val="Calibri"/>
        <family val="2"/>
        <scheme val="minor"/>
      </rPr>
      <t>, стаканчик с ложкой 45г</t>
    </r>
  </si>
  <si>
    <r>
      <t xml:space="preserve">Каша кунжутная с </t>
    </r>
    <r>
      <rPr>
        <b/>
        <sz val="10"/>
        <rFont val="Calibri"/>
        <family val="2"/>
        <scheme val="minor"/>
      </rPr>
      <t>апельсином и корицей</t>
    </r>
    <r>
      <rPr>
        <sz val="10"/>
        <rFont val="Calibri"/>
        <family val="2"/>
        <scheme val="minor"/>
      </rPr>
      <t xml:space="preserve"> 200г</t>
    </r>
  </si>
  <si>
    <r>
      <t xml:space="preserve">Каша кунжутная с </t>
    </r>
    <r>
      <rPr>
        <b/>
        <sz val="10"/>
        <rFont val="Calibri"/>
        <family val="2"/>
        <scheme val="minor"/>
      </rPr>
      <t>клубникой и семенами чиа</t>
    </r>
    <r>
      <rPr>
        <sz val="10"/>
        <rFont val="Calibri"/>
        <family val="2"/>
        <scheme val="minor"/>
      </rPr>
      <t xml:space="preserve"> 200г</t>
    </r>
  </si>
  <si>
    <r>
      <t xml:space="preserve">Каша кунжутная со </t>
    </r>
    <r>
      <rPr>
        <b/>
        <sz val="10"/>
        <rFont val="Calibri"/>
        <family val="2"/>
        <scheme val="minor"/>
      </rPr>
      <t>шпинатом и зелёной гречкой</t>
    </r>
    <r>
      <rPr>
        <sz val="10"/>
        <rFont val="Calibri"/>
        <family val="2"/>
        <scheme val="minor"/>
      </rPr>
      <t xml:space="preserve"> 200г</t>
    </r>
  </si>
  <si>
    <r>
      <t xml:space="preserve">Напиток </t>
    </r>
    <r>
      <rPr>
        <b/>
        <sz val="10"/>
        <rFont val="Calibri"/>
        <family val="2"/>
        <scheme val="minor"/>
      </rPr>
      <t>Какао</t>
    </r>
    <r>
      <rPr>
        <sz val="10"/>
        <rFont val="Calibri"/>
        <family val="2"/>
        <scheme val="minor"/>
      </rPr>
      <t xml:space="preserve"> натуральный без сахара, стекло 200г</t>
    </r>
  </si>
  <si>
    <r>
      <t xml:space="preserve">Напиток </t>
    </r>
    <r>
      <rPr>
        <b/>
        <sz val="10"/>
        <rFont val="Calibri"/>
        <family val="2"/>
        <scheme val="minor"/>
      </rPr>
      <t>Какао с пониженным содержанием жира</t>
    </r>
    <r>
      <rPr>
        <sz val="10"/>
        <rFont val="Calibri"/>
        <family val="2"/>
        <scheme val="minor"/>
      </rPr>
      <t>, стекло 200г</t>
    </r>
  </si>
  <si>
    <r>
      <t xml:space="preserve">Цикорий натуральный растворимый, стекло </t>
    </r>
    <r>
      <rPr>
        <b/>
        <sz val="10"/>
        <rFont val="Calibri"/>
        <family val="2"/>
        <scheme val="minor"/>
      </rPr>
      <t>220г</t>
    </r>
  </si>
  <si>
    <r>
      <t xml:space="preserve">Чай </t>
    </r>
    <r>
      <rPr>
        <b/>
        <sz val="10"/>
        <rFont val="Calibri"/>
        <family val="2"/>
        <scheme val="minor"/>
      </rPr>
      <t>гречишный</t>
    </r>
    <r>
      <rPr>
        <sz val="10"/>
        <rFont val="Calibri"/>
        <family val="2"/>
        <scheme val="minor"/>
      </rPr>
      <t xml:space="preserve"> "Ку Цяо" гранулированный, стекло 450г</t>
    </r>
  </si>
  <si>
    <r>
      <t xml:space="preserve">Батончики-мюсли </t>
    </r>
    <r>
      <rPr>
        <b/>
        <sz val="10"/>
        <rFont val="Calibri"/>
        <family val="2"/>
        <scheme val="minor"/>
      </rPr>
      <t>банан</t>
    </r>
    <r>
      <rPr>
        <sz val="10"/>
        <rFont val="Calibri"/>
        <family val="2"/>
        <scheme val="minor"/>
      </rPr>
      <t xml:space="preserve"> "Здоровый Перекус" ш/б 55г</t>
    </r>
  </si>
  <si>
    <r>
      <t xml:space="preserve">Батончики-мюсли </t>
    </r>
    <r>
      <rPr>
        <b/>
        <sz val="10"/>
        <rFont val="Calibri"/>
        <family val="2"/>
        <scheme val="minor"/>
      </rPr>
      <t>какао и сливки</t>
    </r>
    <r>
      <rPr>
        <sz val="10"/>
        <rFont val="Calibri"/>
        <family val="2"/>
        <scheme val="minor"/>
      </rPr>
      <t xml:space="preserve"> "Здоровый Перекус" ш/б 55г</t>
    </r>
  </si>
  <si>
    <r>
      <t>Батончики-мюсли</t>
    </r>
    <r>
      <rPr>
        <b/>
        <sz val="10"/>
        <rFont val="Calibri"/>
        <family val="2"/>
        <scheme val="minor"/>
      </rPr>
      <t xml:space="preserve"> клубника</t>
    </r>
    <r>
      <rPr>
        <sz val="10"/>
        <rFont val="Calibri"/>
        <family val="2"/>
        <scheme val="minor"/>
      </rPr>
      <t xml:space="preserve"> "Здоровый Перекус" ш/б 55г</t>
    </r>
  </si>
  <si>
    <r>
      <t xml:space="preserve">Батончики-мюсли </t>
    </r>
    <r>
      <rPr>
        <b/>
        <sz val="10"/>
        <rFont val="Calibri"/>
        <family val="2"/>
        <scheme val="minor"/>
      </rPr>
      <t>орехи и мёд</t>
    </r>
    <r>
      <rPr>
        <sz val="10"/>
        <rFont val="Calibri"/>
        <family val="2"/>
        <scheme val="minor"/>
      </rPr>
      <t xml:space="preserve"> "Здоровый Перекус" ш/б 55г</t>
    </r>
  </si>
  <si>
    <r>
      <t xml:space="preserve">Батончики-мюсли </t>
    </r>
    <r>
      <rPr>
        <b/>
        <sz val="10"/>
        <rFont val="Calibri"/>
        <family val="2"/>
        <scheme val="minor"/>
      </rPr>
      <t>яблоко в карамели, корица</t>
    </r>
    <r>
      <rPr>
        <sz val="10"/>
        <rFont val="Calibri"/>
        <family val="2"/>
        <scheme val="minor"/>
      </rPr>
      <t xml:space="preserve"> "Здоровый Перекус" ш/б 55г</t>
    </r>
  </si>
  <si>
    <r>
      <t xml:space="preserve">Джем </t>
    </r>
    <r>
      <rPr>
        <b/>
        <sz val="10"/>
        <rFont val="Calibri"/>
        <family val="2"/>
        <scheme val="minor"/>
      </rPr>
      <t>Лесные ягоды</t>
    </r>
    <r>
      <rPr>
        <sz val="10"/>
        <rFont val="Calibri"/>
        <family val="2"/>
        <scheme val="minor"/>
      </rPr>
      <t xml:space="preserve"> низкокалорийный 270г</t>
    </r>
  </si>
  <si>
    <r>
      <t xml:space="preserve">Сироп </t>
    </r>
    <r>
      <rPr>
        <b/>
        <sz val="10"/>
        <rFont val="Calibri"/>
        <family val="2"/>
        <scheme val="minor"/>
      </rPr>
      <t>Лесные ягоды</t>
    </r>
    <r>
      <rPr>
        <sz val="10"/>
        <rFont val="Calibri"/>
        <family val="2"/>
        <scheme val="minor"/>
      </rPr>
      <t xml:space="preserve"> низкокалорийный 330г</t>
    </r>
  </si>
  <si>
    <r>
      <t xml:space="preserve">Пастила </t>
    </r>
    <r>
      <rPr>
        <b/>
        <sz val="10"/>
        <rFont val="Calibri"/>
        <family val="2"/>
        <scheme val="minor"/>
      </rPr>
      <t>апельсиновая</t>
    </r>
    <r>
      <rPr>
        <sz val="10"/>
        <rFont val="Calibri"/>
        <family val="2"/>
        <scheme val="minor"/>
      </rPr>
      <t xml:space="preserve"> натуральная Pastilab 50г</t>
    </r>
  </si>
  <si>
    <r>
      <t xml:space="preserve">Пастила </t>
    </r>
    <r>
      <rPr>
        <b/>
        <sz val="10"/>
        <rFont val="Calibri"/>
        <family val="2"/>
        <scheme val="minor"/>
      </rPr>
      <t>гранатовая</t>
    </r>
    <r>
      <rPr>
        <sz val="10"/>
        <rFont val="Calibri"/>
        <family val="2"/>
        <scheme val="minor"/>
      </rPr>
      <t xml:space="preserve"> натуральная Pastilab 50г</t>
    </r>
  </si>
  <si>
    <r>
      <t xml:space="preserve">Пастила </t>
    </r>
    <r>
      <rPr>
        <b/>
        <sz val="10"/>
        <rFont val="Calibri"/>
        <family val="2"/>
        <scheme val="minor"/>
      </rPr>
      <t>дынная</t>
    </r>
    <r>
      <rPr>
        <sz val="10"/>
        <rFont val="Calibri"/>
        <family val="2"/>
        <scheme val="minor"/>
      </rPr>
      <t xml:space="preserve"> натуральная Pastilab 50г</t>
    </r>
  </si>
  <si>
    <r>
      <t xml:space="preserve">Пастила </t>
    </r>
    <r>
      <rPr>
        <b/>
        <sz val="10"/>
        <rFont val="Calibri"/>
        <family val="2"/>
        <scheme val="minor"/>
      </rPr>
      <t>тропический микс</t>
    </r>
    <r>
      <rPr>
        <sz val="10"/>
        <rFont val="Calibri"/>
        <family val="2"/>
        <scheme val="minor"/>
      </rPr>
      <t xml:space="preserve"> натуральная Pastilab 50г</t>
    </r>
  </si>
  <si>
    <r>
      <t xml:space="preserve">Пастила </t>
    </r>
    <r>
      <rPr>
        <b/>
        <sz val="10"/>
        <rFont val="Calibri"/>
        <family val="2"/>
        <scheme val="minor"/>
      </rPr>
      <t>цитрусовый микс</t>
    </r>
    <r>
      <rPr>
        <sz val="10"/>
        <rFont val="Calibri"/>
        <family val="2"/>
        <scheme val="minor"/>
      </rPr>
      <t xml:space="preserve"> натуральная Pastilab 50г</t>
    </r>
  </si>
  <si>
    <r>
      <t xml:space="preserve">Батончик протеиновый Shiny </t>
    </r>
    <r>
      <rPr>
        <b/>
        <sz val="10"/>
        <rFont val="Calibri"/>
        <family val="2"/>
        <scheme val="minor"/>
      </rPr>
      <t>Печенье с кремом</t>
    </r>
    <r>
      <rPr>
        <sz val="10"/>
        <rFont val="Calibri"/>
        <family val="2"/>
        <scheme val="minor"/>
      </rPr>
      <t xml:space="preserve"> с коллагеном, глазурь 40г</t>
    </r>
  </si>
  <si>
    <r>
      <t xml:space="preserve">Батончик протеиновый Shiny </t>
    </r>
    <r>
      <rPr>
        <b/>
        <sz val="10"/>
        <rFont val="Calibri"/>
        <family val="2"/>
        <scheme val="minor"/>
      </rPr>
      <t>Малина и Миндаль</t>
    </r>
    <r>
      <rPr>
        <sz val="10"/>
        <rFont val="Calibri"/>
        <family val="2"/>
        <scheme val="minor"/>
      </rPr>
      <t xml:space="preserve"> с коллагеном, глазурь 40г</t>
    </r>
  </si>
  <si>
    <r>
      <t xml:space="preserve">Батончик протеиновый Shiny </t>
    </r>
    <r>
      <rPr>
        <b/>
        <sz val="10"/>
        <rFont val="Calibri"/>
        <family val="2"/>
        <scheme val="minor"/>
      </rPr>
      <t xml:space="preserve">Манго и Кокос </t>
    </r>
    <r>
      <rPr>
        <sz val="10"/>
        <rFont val="Calibri"/>
        <family val="2"/>
        <scheme val="minor"/>
      </rPr>
      <t>с коллагеном, глазурь 40г</t>
    </r>
  </si>
  <si>
    <r>
      <t>Попкорн "</t>
    </r>
    <r>
      <rPr>
        <b/>
        <sz val="10"/>
        <rFont val="Calibri"/>
        <family val="2"/>
        <scheme val="minor"/>
      </rPr>
      <t>шарлотка</t>
    </r>
    <r>
      <rPr>
        <sz val="10"/>
        <rFont val="Calibri"/>
        <family val="2"/>
        <scheme val="minor"/>
      </rPr>
      <t>" 35г</t>
    </r>
  </si>
  <si>
    <r>
      <t>Попкорн "</t>
    </r>
    <r>
      <rPr>
        <b/>
        <sz val="10"/>
        <rFont val="Calibri"/>
        <family val="2"/>
        <scheme val="minor"/>
      </rPr>
      <t>сыр</t>
    </r>
    <r>
      <rPr>
        <sz val="10"/>
        <rFont val="Calibri"/>
        <family val="2"/>
        <scheme val="minor"/>
      </rPr>
      <t>" 60г</t>
    </r>
  </si>
  <si>
    <r>
      <t xml:space="preserve">ФитПарад № 11 - </t>
    </r>
    <r>
      <rPr>
        <b/>
        <sz val="10"/>
        <color theme="1"/>
        <rFont val="Calibri"/>
        <family val="2"/>
        <scheme val="minor"/>
      </rPr>
      <t>150г</t>
    </r>
    <r>
      <rPr>
        <sz val="10"/>
        <color theme="1"/>
        <rFont val="Calibri"/>
        <family val="2"/>
        <scheme val="minor"/>
      </rPr>
      <t xml:space="preserve"> инулин, сукралоза, стевиозид БАНКА</t>
    </r>
  </si>
  <si>
    <r>
      <t xml:space="preserve">Нуга Туррон батончик с </t>
    </r>
    <r>
      <rPr>
        <b/>
        <sz val="10"/>
        <rFont val="Calibri"/>
        <family val="2"/>
        <scheme val="minor"/>
      </rPr>
      <t>миндалём и клюквой</t>
    </r>
    <r>
      <rPr>
        <sz val="10"/>
        <rFont val="Calibri"/>
        <family val="2"/>
        <scheme val="minor"/>
      </rPr>
      <t xml:space="preserve"> 50г</t>
    </r>
  </si>
  <si>
    <r>
      <t>Коллаген говяжий Beauty of life "</t>
    </r>
    <r>
      <rPr>
        <b/>
        <sz val="10"/>
        <rFont val="Calibri"/>
        <family val="2"/>
        <scheme val="minor"/>
      </rPr>
      <t>Пина Колада</t>
    </r>
    <r>
      <rPr>
        <sz val="10"/>
        <rFont val="Calibri"/>
        <family val="2"/>
        <scheme val="minor"/>
      </rPr>
      <t>" 180г</t>
    </r>
  </si>
  <si>
    <r>
      <t>Коллаген морской "</t>
    </r>
    <r>
      <rPr>
        <b/>
        <sz val="10"/>
        <rFont val="Calibri"/>
        <family val="2"/>
        <scheme val="minor"/>
      </rPr>
      <t>Вишня</t>
    </r>
    <r>
      <rPr>
        <sz val="10"/>
        <rFont val="Calibri"/>
        <family val="2"/>
        <scheme val="minor"/>
      </rPr>
      <t xml:space="preserve"> 150г</t>
    </r>
  </si>
  <si>
    <r>
      <t>Коллаген морской "</t>
    </r>
    <r>
      <rPr>
        <b/>
        <sz val="10"/>
        <rFont val="Calibri"/>
        <family val="2"/>
        <scheme val="minor"/>
      </rPr>
      <t>Печенье</t>
    </r>
    <r>
      <rPr>
        <sz val="10"/>
        <rFont val="Calibri"/>
        <family val="2"/>
        <scheme val="minor"/>
      </rPr>
      <t>" 150г</t>
    </r>
  </si>
  <si>
    <r>
      <t xml:space="preserve">Батончик протеиновый Shiny </t>
    </r>
    <r>
      <rPr>
        <b/>
        <sz val="10"/>
        <rFont val="Calibri"/>
        <family val="2"/>
        <scheme val="minor"/>
      </rPr>
      <t>Шоколад и Банан</t>
    </r>
    <r>
      <rPr>
        <sz val="10"/>
        <rFont val="Calibri"/>
        <family val="2"/>
        <scheme val="minor"/>
      </rPr>
      <t xml:space="preserve"> с коллагеном, глазурь 40г</t>
    </r>
  </si>
  <si>
    <r>
      <t xml:space="preserve">Батончик протеиновый Shiny </t>
    </r>
    <r>
      <rPr>
        <b/>
        <sz val="10"/>
        <rFont val="Calibri"/>
        <family val="2"/>
        <scheme val="minor"/>
      </rPr>
      <t>Персик и Манго</t>
    </r>
    <r>
      <rPr>
        <sz val="10"/>
        <rFont val="Calibri"/>
        <family val="2"/>
        <scheme val="minor"/>
      </rPr>
      <t xml:space="preserve"> с коллагеном, глазурь 40г</t>
    </r>
  </si>
  <si>
    <r>
      <t xml:space="preserve">Батончик Sportberry глазированный Кокос </t>
    </r>
    <r>
      <rPr>
        <b/>
        <sz val="10"/>
        <rFont val="Calibri"/>
        <family val="2"/>
        <scheme val="minor"/>
      </rPr>
      <t>Клубника</t>
    </r>
    <r>
      <rPr>
        <sz val="10"/>
        <rFont val="Calibri"/>
        <family val="2"/>
        <scheme val="minor"/>
      </rPr>
      <t xml:space="preserve"> 40г</t>
    </r>
  </si>
  <si>
    <r>
      <t xml:space="preserve">Батончик Sportberry глазированный Кокос </t>
    </r>
    <r>
      <rPr>
        <b/>
        <sz val="10"/>
        <rFont val="Calibri"/>
        <family val="2"/>
        <scheme val="minor"/>
      </rPr>
      <t>Малина</t>
    </r>
    <r>
      <rPr>
        <sz val="10"/>
        <rFont val="Calibri"/>
        <family val="2"/>
        <scheme val="minor"/>
      </rPr>
      <t xml:space="preserve"> 40г</t>
    </r>
  </si>
  <si>
    <r>
      <t xml:space="preserve">Батончик Sportberry глазированный Кокос </t>
    </r>
    <r>
      <rPr>
        <b/>
        <sz val="10"/>
        <rFont val="Calibri"/>
        <family val="2"/>
        <scheme val="minor"/>
      </rPr>
      <t>Черника</t>
    </r>
    <r>
      <rPr>
        <sz val="10"/>
        <rFont val="Calibri"/>
        <family val="2"/>
        <scheme val="minor"/>
      </rPr>
      <t xml:space="preserve"> 40г</t>
    </r>
  </si>
  <si>
    <r>
      <t xml:space="preserve">Клетчатка пшеничная </t>
    </r>
    <r>
      <rPr>
        <b/>
        <sz val="10"/>
        <rFont val="Calibri"/>
        <family val="2"/>
        <scheme val="minor"/>
      </rPr>
      <t>Желчегонная</t>
    </r>
    <r>
      <rPr>
        <sz val="10"/>
        <rFont val="Calibri"/>
        <family val="2"/>
        <scheme val="minor"/>
      </rPr>
      <t xml:space="preserve"> 170г</t>
    </r>
  </si>
  <si>
    <r>
      <t>Кисель "</t>
    </r>
    <r>
      <rPr>
        <b/>
        <sz val="10"/>
        <rFont val="Calibri"/>
        <family val="2"/>
        <scheme val="minor"/>
      </rPr>
      <t>Витаминный</t>
    </r>
    <r>
      <rPr>
        <sz val="10"/>
        <rFont val="Calibri"/>
        <family val="2"/>
        <scheme val="minor"/>
      </rPr>
      <t xml:space="preserve">" из растворимой клетчатки 5*12г </t>
    </r>
  </si>
  <si>
    <t>Мука кукурузная, крахмал кукурузный, масло рапсовое, сахар тросниковый, молоко сухое обезжиренное, яичный порошок, натуральный ароматизатор, соль, разрыхлитель гидрокарбонат натрия (сода пищевая), эмульгатор лецитин соевый, загуститель - ксантановая камедь.</t>
  </si>
  <si>
    <t>Мука кукурузная, крахмал кукурузный, масло рапсовое, сахар тросниковый, молоко сухое обезжиренное, яичный порошок, соль, натуральный ароматизатор «Сливки»*, краситель карамельный колер, корица, разрыхлитель гидрокарбонат натрия (сода пищевая), эмульгатор лецитин соевый, загуститель - ксантановая камедь.
*не содержит следов молока</t>
  </si>
  <si>
    <t>http://1.c8804.nichost.ru/pics/21235.jpg</t>
  </si>
  <si>
    <t>http://1.c8804.nichost.ru/pics/16149.jpg</t>
  </si>
  <si>
    <t>http://1.c8804.nichost.ru/pics/16150.jpg</t>
  </si>
  <si>
    <t>Только натуральные составы</t>
  </si>
  <si>
    <t>Зефир</t>
  </si>
  <si>
    <t>Натуральный зефир</t>
  </si>
  <si>
    <t>http://1.c8804.nichost.ru/pics/21299.jpg</t>
  </si>
  <si>
    <r>
      <t>Зефир в глазури "</t>
    </r>
    <r>
      <rPr>
        <b/>
        <sz val="10"/>
        <rFont val="Calibri"/>
        <family val="2"/>
        <charset val="204"/>
        <scheme val="minor"/>
      </rPr>
      <t>Ванильный</t>
    </r>
    <r>
      <rPr>
        <sz val="10"/>
        <rFont val="Calibri"/>
        <family val="2"/>
        <scheme val="minor"/>
      </rPr>
      <t>" с ароматом ванили, кор. с окном 260г</t>
    </r>
  </si>
  <si>
    <r>
      <t>Зефир в глазури "</t>
    </r>
    <r>
      <rPr>
        <b/>
        <sz val="10"/>
        <rFont val="Calibri"/>
        <family val="2"/>
        <charset val="204"/>
        <scheme val="minor"/>
      </rPr>
      <t>Клубника и Базилик</t>
    </r>
    <r>
      <rPr>
        <sz val="10"/>
        <rFont val="Calibri"/>
        <family val="2"/>
        <scheme val="minor"/>
      </rPr>
      <t>" ароматизированный, кор. 225г</t>
    </r>
  </si>
  <si>
    <t>сахар, глазурь (сахар, заменитель масла какао нетемперируемый лауринового типа, какао-порошок, эмульгатор: лецитин, ароматизаторы: "Шоколад", "Ваниль"), патока, пюре яблочное (яблоки, консервант E220), белок яичный, желирующий агент: пектин, регулятор кислотности: кислота молочная, влагоудерживающий агент: лактат натрия, ароматизаторы: "Клубника", "Базилик", краситель: кармин</t>
  </si>
  <si>
    <t>сахар, глазурь (сахар, заменитель какао масла, какао порошок, эмульгатор: лецитин, ароматизаторы: «Шоколад», «Ваниль»), патока, пюре яблочное (яблоки, консервант E220), белок яичный, желирующий агент: пектин, регулятор кислотности: кислота молочная, влагоудерживающий агент: лактат натрия, ароматизатор: «Ваниль» аллюлоза</t>
  </si>
  <si>
    <t>cахар, глазурь (сахар, заменитель какао масла, какао порошок, эмульгатор: лецитин, ароматизаторы: «Шоколад», «Ваниль»), патока, пюре яблочное (яблоки, консервант E220), белок яичный, желирующий агент: пектин, регулятор кислотности: кислота молочная, влагоудерживающий агент: лактат натрия, ароматизатор «Апельсин», красители: сок черной моркови, куркумин</t>
  </si>
  <si>
    <t>cахар, патока, пюре яблочное (яблоки, консервант E220), белок яичный, натуральные ягоды малины, желирующий агент: пектин, регулятор кислотности: кислота молочная, влагоудерживающий агент: лактат натрия</t>
  </si>
  <si>
    <t>cахар, патока, пюре яблочное (яблоки, консервант E220), белок яичный, натуральные ягоды клюквы, желирующий агент: пектин, регулятор кислотности: кислота молочная, влагоудерживающий агент: лактат натрия</t>
  </si>
  <si>
    <t>cахар, патока, пюре яблочное (яблоки, консервант E220), белок яичный, натуральные ягоды смородины, желирующий агент: пектин, регулятор кислотности: кислота молочная, влагоудерживающий агент: лактат натрия</t>
  </si>
  <si>
    <t>сахар, глазурь (сахар, заменитель какао масла, какао порошок, эмульгатор: лецитин, ароматизаторы: «Шоколад», «Ваниль»), патока, пюре яблочное (яблоки, консервант E220), белок яичный, желирующий агент: пектин, регулятор кислотности: кислота молочная, влагоудерживающий агент: лактат натрия, ароматизатор: «Сливки»</t>
  </si>
  <si>
    <r>
      <t>Зефир в глазури "</t>
    </r>
    <r>
      <rPr>
        <b/>
        <sz val="10"/>
        <rFont val="Calibri"/>
        <family val="2"/>
        <charset val="204"/>
        <scheme val="minor"/>
      </rPr>
      <t>Сливочный</t>
    </r>
    <r>
      <rPr>
        <sz val="10"/>
        <rFont val="Calibri"/>
        <family val="2"/>
        <scheme val="minor"/>
      </rPr>
      <t>"  ароматизированный, кор. с окном 260г</t>
    </r>
  </si>
  <si>
    <r>
      <t>Зефир "</t>
    </r>
    <r>
      <rPr>
        <b/>
        <sz val="10"/>
        <rFont val="Calibri"/>
        <family val="2"/>
        <charset val="204"/>
        <scheme val="minor"/>
      </rPr>
      <t>Сладкая клюква</t>
    </r>
    <r>
      <rPr>
        <sz val="10"/>
        <rFont val="Calibri"/>
        <family val="2"/>
        <scheme val="minor"/>
      </rPr>
      <t>" с ягодами клюквы, кор. с окном 200г</t>
    </r>
  </si>
  <si>
    <r>
      <t>Зефир "</t>
    </r>
    <r>
      <rPr>
        <b/>
        <sz val="10"/>
        <rFont val="Calibri"/>
        <family val="2"/>
        <charset val="204"/>
        <scheme val="minor"/>
      </rPr>
      <t>Лесная малина</t>
    </r>
    <r>
      <rPr>
        <sz val="10"/>
        <rFont val="Calibri"/>
        <family val="2"/>
        <scheme val="minor"/>
      </rPr>
      <t>" с ягодами малины, кор. с окном 200г</t>
    </r>
  </si>
  <si>
    <r>
      <t>Зефир в глазури "</t>
    </r>
    <r>
      <rPr>
        <b/>
        <sz val="10"/>
        <rFont val="Calibri"/>
        <family val="2"/>
        <charset val="204"/>
        <scheme val="minor"/>
      </rPr>
      <t>Апельсин</t>
    </r>
    <r>
      <rPr>
        <sz val="10"/>
        <rFont val="Calibri"/>
        <family val="2"/>
        <scheme val="minor"/>
      </rPr>
      <t>" со вкусом апельсина, кор. с окном 260г</t>
    </r>
  </si>
  <si>
    <r>
      <t>Зефир в глазури "</t>
    </r>
    <r>
      <rPr>
        <b/>
        <sz val="10"/>
        <rFont val="Calibri"/>
        <family val="2"/>
        <charset val="204"/>
        <scheme val="minor"/>
      </rPr>
      <t>Фисташка</t>
    </r>
    <r>
      <rPr>
        <sz val="10"/>
        <rFont val="Calibri"/>
        <family val="2"/>
        <scheme val="minor"/>
      </rPr>
      <t>" ароматизированный декорированный 205г</t>
    </r>
  </si>
  <si>
    <t>cахар, патока, пюре яблочное (яблоки, консервант E220), белок яичный, кусочки натурального абрикоса, желирующий агент: пектин, регулятор кислотности: кислота молочная, влагоудерживающий агент: лактат натрия</t>
  </si>
  <si>
    <t>http://1.c8804.nichost.ru/pics/21298.jpg</t>
  </si>
  <si>
    <t>http://1.c8804.nichost.ru/pics/21293.jpg</t>
  </si>
  <si>
    <t>http://1.c8804.nichost.ru/pics/21295.jpg</t>
  </si>
  <si>
    <t>http://1.c8804.nichost.ru/pics/21296.jpg</t>
  </si>
  <si>
    <t>http://1.c8804.nichost.ru/pics/21300.jpg</t>
  </si>
  <si>
    <t>http://1.c8804.nichost.ru/pics/21294.jpg</t>
  </si>
  <si>
    <t>http://1.c8804.nichost.ru/pics/21292.jpg</t>
  </si>
  <si>
    <t>http://1.c8804.nichost.ru/pics/21297.jpg</t>
  </si>
  <si>
    <r>
      <t>Зефир "</t>
    </r>
    <r>
      <rPr>
        <b/>
        <sz val="10"/>
        <rFont val="Calibri"/>
        <family val="2"/>
        <charset val="204"/>
        <scheme val="minor"/>
      </rPr>
      <t>Чёрная смородина</t>
    </r>
    <r>
      <rPr>
        <sz val="10"/>
        <rFont val="Calibri"/>
        <family val="2"/>
        <scheme val="minor"/>
      </rPr>
      <t>" с натуральными ягодами 200г</t>
    </r>
  </si>
  <si>
    <r>
      <t>Зефир в глазури "</t>
    </r>
    <r>
      <rPr>
        <b/>
        <sz val="10"/>
        <rFont val="Calibri"/>
        <family val="2"/>
        <charset val="204"/>
        <scheme val="minor"/>
      </rPr>
      <t>Солнечный абрикос</t>
    </r>
    <r>
      <rPr>
        <sz val="10"/>
        <rFont val="Calibri"/>
        <family val="2"/>
        <scheme val="minor"/>
      </rPr>
      <t>" с кусочками абрикоса, кор. 225г</t>
    </r>
  </si>
  <si>
    <t>Петербургский кондитер</t>
  </si>
  <si>
    <t>нут, вода питьевая, кунжутная паста (тахина), масло подсолнечное, масло оливковое, соль, томаты, чеснок, регулятор кислотности лимонная кислота,  базилик, петрушка, прованские травы, перец красный молотый</t>
  </si>
  <si>
    <t>http://1.c8804.nichost.ru/pics/21309.jpg</t>
  </si>
  <si>
    <t>http://1.c8804.nichost.ru/pics/21308.jpg</t>
  </si>
  <si>
    <t>Am food</t>
  </si>
  <si>
    <r>
      <t xml:space="preserve">Петербургский кондитер </t>
    </r>
    <r>
      <rPr>
        <b/>
        <i/>
        <u/>
        <sz val="11"/>
        <color theme="9" tint="-0.249977111117893"/>
        <rFont val="Calibri"/>
        <family val="2"/>
        <charset val="204"/>
        <scheme val="minor"/>
      </rPr>
      <t>NEW</t>
    </r>
  </si>
  <si>
    <t>Безглютини (Bezglutini)</t>
  </si>
  <si>
    <t>Живые соки (Absolute nature)</t>
  </si>
  <si>
    <t>нут, вода питьевая, тахини, масло подсолнечное, масло оливковое, соль, крахмал кукурузный, семя кунжута, регулятор кислотности (лимонная кислота), чеснок, укроп, петрушка, перец красный молотый.</t>
  </si>
  <si>
    <t>нут, вода питьевая, кунжутная паста (тахина), масло подсолнечное, масло оливковое, орех кедровый жареный, соль, чеснок, регулятор кислотности лимонная кислота, паприка, перец красный молотый</t>
  </si>
  <si>
    <t>нут, вода питьевая, кунжутная паста (тахина), масло подсолнечное, масло оливковое, соль, чеснок, регулятор кислотности лимонная кислота, грибы шампиньоны, петрушка, перец красный молотый</t>
  </si>
  <si>
    <t>нут, вода питьевая, тахини, масло подсолнечное, масло оливковое, соль, крахмал кукурузный, чеснок, перец чили, регулятор кислотности (лимонная кислота), паприка, перец красный молотый</t>
  </si>
  <si>
    <t>нут, вода питьевая, кунжутная паста (тахина), масло подсолнечное, масло оливковое, соль,семя кунжута, регулятор кислотности (лимонная кислота), чеснок,  перец красный молотый</t>
  </si>
  <si>
    <t>+2…+25</t>
  </si>
  <si>
    <t>бобы соевые, вода питьевая, масло подсолнечное, кунжутная паста (тахина), соль, консерванты (сорбат калия, бензоат натрия), регулятор кислотности лимонная кислота, перец чили дроблёный, перец красный острый молотый</t>
  </si>
  <si>
    <t>бобы соевые, вода питьевая, масло подсолнечное, кунжутная паста (тахина), соль, томаты сушёные, консерванты (сорбат калия, бензоат натрия), регулятор кислотности лимонная кислота, чеснок сушёный, базилик сушёный, прованские травы, перец красный острый молотый</t>
  </si>
  <si>
    <t>нyт,вода, кунжутная паста (тахина) масло подсолнечное, масло оливковое, соус песто (масло подсолнечное, базилик, соль, орех кедровый, чеснок),соль, регулятор кислотности лимонная кислота, чеснок сушёный, перец красный молотый</t>
  </si>
  <si>
    <t>нут, вода питьевая, топпинг( паприка красная сушеная, баклажаны сушеные, томаты сушеные, масло подсолнечное рафинированное дезодорированное, соль), кунжутная паста (тахина), масло подсолнечное, масло оливковое, соль, чеснок сушеный, регулятор кислотности лимонная кислота, паприка красная молотая, перец красный молотый</t>
  </si>
  <si>
    <t>нут, вода питьевая, топпинг (томаты сушеные, масло подсолнечное, соль, чеснок сушеный, кинза, регулятор кислотности лимонная кислота, укроп сушеный, перец черный дробленый, кориандр молотый), кунжутная паста (тахина), масло подсолнечное, масло оливковое, соль, чеснок сушеный, регулятор кислотности лимонная кислота, паприка красная молотая, перец красный молотый</t>
  </si>
  <si>
    <t>http://1.c8804.nichost.ru/pics/21307.jpg</t>
  </si>
  <si>
    <t>http://1.c8804.nichost.ru/pics/21306.jpg</t>
  </si>
  <si>
    <t>http://1.c8804.nichost.ru/pics/21313.jpg</t>
  </si>
  <si>
    <t>http://1.c8804.nichost.ru/pics/21305.jpg</t>
  </si>
  <si>
    <t>http://1.c8804.nichost.ru/pics/21304.jpg</t>
  </si>
  <si>
    <t>http://1.c8804.nichost.ru/pics/21303.jpg</t>
  </si>
  <si>
    <t>http://1.c8804.nichost.ru/pics/21302.jpg</t>
  </si>
  <si>
    <t>http://1.c8804.nichost.ru/pics/21311.jpg</t>
  </si>
  <si>
    <t>http://1.c8804.nichost.ru/pics/21312.jpg</t>
  </si>
  <si>
    <t>Создано из натуральных продуктов</t>
  </si>
  <si>
    <t>Не создержит ГМО, химию, консерванты</t>
  </si>
  <si>
    <t>Подходит для веганов, не содержит сахар</t>
  </si>
  <si>
    <t>Хумусы и тофу паштет</t>
  </si>
  <si>
    <t>красочная упаковка</t>
  </si>
  <si>
    <t>Без ГМО</t>
  </si>
  <si>
    <t>Сироп топинамбура (клубни топинамбура, вода питьевая), ядра арахиса обжаренные, соль морская пищевая, эмульгатор - лецитин подсолнечный</t>
  </si>
  <si>
    <t>http://1.c8804.nichost.ru/pics/21284.jpg</t>
  </si>
  <si>
    <r>
      <t xml:space="preserve">Am Food </t>
    </r>
    <r>
      <rPr>
        <b/>
        <i/>
        <u/>
        <sz val="11"/>
        <color theme="9" tint="-0.249977111117893"/>
        <rFont val="Calibri"/>
        <family val="2"/>
        <charset val="204"/>
        <scheme val="minor"/>
      </rPr>
      <t>NEW</t>
    </r>
  </si>
  <si>
    <t>Таёжный тайник</t>
  </si>
  <si>
    <t>Варенье и конфитюр</t>
  </si>
  <si>
    <t>Сиропы и сбитень</t>
  </si>
  <si>
    <t>Цукаты и орехи</t>
  </si>
  <si>
    <t>сахар,вода,кедровая шишка,лимонная кислота</t>
  </si>
  <si>
    <t>сахар,вода,сосновая шишка, грецкий орех, фундук, миндаль, семена тыквы</t>
  </si>
  <si>
    <t>сахар,вода,сосновые шишки</t>
  </si>
  <si>
    <t>сахар,вода,лепестки роз,лимонная кислота</t>
  </si>
  <si>
    <r>
      <t xml:space="preserve">Варенье из </t>
    </r>
    <r>
      <rPr>
        <b/>
        <sz val="10"/>
        <rFont val="Calibri"/>
        <family val="2"/>
        <charset val="204"/>
        <scheme val="minor"/>
      </rPr>
      <t>лепестков роз</t>
    </r>
    <r>
      <rPr>
        <sz val="10"/>
        <rFont val="Calibri"/>
        <family val="2"/>
        <charset val="204"/>
        <scheme val="minor"/>
      </rPr>
      <t>,</t>
    </r>
    <r>
      <rPr>
        <sz val="10"/>
        <rFont val="Calibri"/>
        <family val="2"/>
        <scheme val="minor"/>
      </rPr>
      <t xml:space="preserve"> стекло 240г</t>
    </r>
  </si>
  <si>
    <t>сахар,луговая клубника,лимонная кислота</t>
  </si>
  <si>
    <t>сахар,малина,лимонная кислота</t>
  </si>
  <si>
    <t>мякоть шиповника,сахар,вода,лимонная кислота</t>
  </si>
  <si>
    <r>
      <t xml:space="preserve">Конфитюр из </t>
    </r>
    <r>
      <rPr>
        <b/>
        <sz val="10"/>
        <rFont val="Calibri"/>
        <family val="2"/>
        <charset val="204"/>
        <scheme val="minor"/>
      </rPr>
      <t>аронии сибирской с таволгой и размарином</t>
    </r>
    <r>
      <rPr>
        <sz val="10"/>
        <rFont val="Calibri"/>
        <family val="2"/>
        <scheme val="minor"/>
      </rPr>
      <t xml:space="preserve"> 240г</t>
    </r>
  </si>
  <si>
    <r>
      <t xml:space="preserve">Варенье из </t>
    </r>
    <r>
      <rPr>
        <b/>
        <sz val="10"/>
        <rFont val="Calibri"/>
        <family val="2"/>
        <charset val="204"/>
        <scheme val="minor"/>
      </rPr>
      <t>шиповника</t>
    </r>
    <r>
      <rPr>
        <sz val="10"/>
        <rFont val="Calibri"/>
        <family val="2"/>
        <charset val="204"/>
        <scheme val="minor"/>
      </rPr>
      <t>, стекло</t>
    </r>
    <r>
      <rPr>
        <sz val="10"/>
        <rFont val="Calibri"/>
        <family val="2"/>
        <scheme val="minor"/>
      </rPr>
      <t xml:space="preserve"> 240г</t>
    </r>
  </si>
  <si>
    <r>
      <t xml:space="preserve">Варенье из </t>
    </r>
    <r>
      <rPr>
        <b/>
        <sz val="10"/>
        <rFont val="Calibri"/>
        <family val="2"/>
        <charset val="204"/>
        <scheme val="minor"/>
      </rPr>
      <t>таёжной малины</t>
    </r>
    <r>
      <rPr>
        <sz val="10"/>
        <rFont val="Calibri"/>
        <family val="2"/>
        <scheme val="minor"/>
      </rPr>
      <t>, стекло 240г</t>
    </r>
  </si>
  <si>
    <r>
      <t xml:space="preserve">Варенье из </t>
    </r>
    <r>
      <rPr>
        <b/>
        <sz val="10"/>
        <rFont val="Calibri"/>
        <family val="2"/>
        <charset val="204"/>
        <scheme val="minor"/>
      </rPr>
      <t>таёжной</t>
    </r>
    <r>
      <rPr>
        <sz val="10"/>
        <rFont val="Calibri"/>
        <family val="2"/>
        <scheme val="minor"/>
      </rPr>
      <t xml:space="preserve"> </t>
    </r>
    <r>
      <rPr>
        <b/>
        <sz val="10"/>
        <rFont val="Calibri"/>
        <family val="2"/>
        <charset val="204"/>
        <scheme val="minor"/>
      </rPr>
      <t>клубники</t>
    </r>
    <r>
      <rPr>
        <sz val="10"/>
        <rFont val="Calibri"/>
        <family val="2"/>
        <scheme val="minor"/>
      </rPr>
      <t>, стекло 240г</t>
    </r>
  </si>
  <si>
    <t>сахар, арония (черноплодная рябина), таволга, пектин яблочный, розмарин, лимонная кислота</t>
  </si>
  <si>
    <r>
      <t xml:space="preserve">Конфитюр из </t>
    </r>
    <r>
      <rPr>
        <b/>
        <sz val="10"/>
        <rFont val="Calibri"/>
        <family val="2"/>
        <charset val="204"/>
        <scheme val="minor"/>
      </rPr>
      <t>красной смородины с имбирем</t>
    </r>
    <r>
      <rPr>
        <sz val="10"/>
        <rFont val="Calibri"/>
        <family val="2"/>
        <scheme val="minor"/>
      </rPr>
      <t xml:space="preserve"> 240г</t>
    </r>
  </si>
  <si>
    <t>сахар, красная смородина, имбирь, пектин яблочный, лимонная кислота</t>
  </si>
  <si>
    <t>сахар,облепиха без косточки,пектин натуральный яблочный</t>
  </si>
  <si>
    <r>
      <t xml:space="preserve">Конфитюр из </t>
    </r>
    <r>
      <rPr>
        <b/>
        <sz val="10"/>
        <rFont val="Calibri"/>
        <family val="2"/>
        <charset val="204"/>
        <scheme val="minor"/>
      </rPr>
      <t>облепихи</t>
    </r>
    <r>
      <rPr>
        <sz val="10"/>
        <rFont val="Calibri"/>
        <family val="2"/>
        <scheme val="minor"/>
      </rPr>
      <t xml:space="preserve"> (без косточки) 240г</t>
    </r>
  </si>
  <si>
    <r>
      <t xml:space="preserve">Конфитюр из </t>
    </r>
    <r>
      <rPr>
        <b/>
        <sz val="10"/>
        <rFont val="Calibri"/>
        <family val="2"/>
        <charset val="204"/>
        <scheme val="minor"/>
      </rPr>
      <t>таежной калины</t>
    </r>
    <r>
      <rPr>
        <sz val="10"/>
        <rFont val="Calibri"/>
        <family val="2"/>
        <scheme val="minor"/>
      </rPr>
      <t xml:space="preserve"> (без косточки) 240г</t>
    </r>
  </si>
  <si>
    <t>сахар, калина, пектин натуральный яблочный, лимонная кислота</t>
  </si>
  <si>
    <t>сахар,клюква,брусника,пектин натуральный яблочный</t>
  </si>
  <si>
    <r>
      <t xml:space="preserve">Конфитюр из </t>
    </r>
    <r>
      <rPr>
        <b/>
        <sz val="10"/>
        <rFont val="Calibri"/>
        <family val="2"/>
        <charset val="204"/>
        <scheme val="minor"/>
      </rPr>
      <t>клюквы с брусникой</t>
    </r>
    <r>
      <rPr>
        <sz val="10"/>
        <rFont val="Calibri"/>
        <family val="2"/>
        <scheme val="minor"/>
      </rPr>
      <t xml:space="preserve"> 240г</t>
    </r>
  </si>
  <si>
    <t>сахар,калина,лимонная кислота</t>
  </si>
  <si>
    <t>черемуха,сахар</t>
  </si>
  <si>
    <t>сахар,вода,сосновые шишки,грецкий орех,фундук,миндаль,лимонная кислота</t>
  </si>
  <si>
    <t>http://1.c8804.nichost.ru/pics/21242.jpg</t>
  </si>
  <si>
    <t>http://1.c8804.nichost.ru/pics/21241.jpg</t>
  </si>
  <si>
    <t>http://1.c8804.nichost.ru/pics/21243.jpg</t>
  </si>
  <si>
    <t>http://1.c8804.nichost.ru/pics/21244.jpg</t>
  </si>
  <si>
    <t>http://1.c8804.nichost.ru/pics/21246.jpg</t>
  </si>
  <si>
    <t>http://1.c8804.nichost.ru/pics/21247.jpg</t>
  </si>
  <si>
    <t>http://1.c8804.nichost.ru/pics/21245.jpg</t>
  </si>
  <si>
    <t>http://1.c8804.nichost.ru/pics/21248.jpg</t>
  </si>
  <si>
    <t>http://1.c8804.nichost.ru/pics/21250.jpg</t>
  </si>
  <si>
    <t>http://1.c8804.nichost.ru/pics/21271.jpg</t>
  </si>
  <si>
    <t>http://1.c8804.nichost.ru/pics/21251.jpg</t>
  </si>
  <si>
    <t>http://1.c8804.nichost.ru/pics/21249.jpg</t>
  </si>
  <si>
    <t>http://1.c8804.nichost.ru/pics/21283.jpg</t>
  </si>
  <si>
    <t>http://1.c8804.nichost.ru/pics/21252.jpg</t>
  </si>
  <si>
    <t>http://1.c8804.nichost.ru/pics/21253.jpg</t>
  </si>
  <si>
    <t>Таёжная калина пареная, с сахаром 240г</t>
  </si>
  <si>
    <t>Таёжная черемуха протёртая, с сахаром 240г</t>
  </si>
  <si>
    <r>
      <t xml:space="preserve">Мармелад из </t>
    </r>
    <r>
      <rPr>
        <b/>
        <sz val="10"/>
        <rFont val="Calibri"/>
        <family val="2"/>
        <charset val="204"/>
        <scheme val="minor"/>
      </rPr>
      <t>соснового сиропа с шишкой</t>
    </r>
    <r>
      <rPr>
        <sz val="10"/>
        <rFont val="Calibri"/>
        <family val="2"/>
        <scheme val="minor"/>
      </rPr>
      <t xml:space="preserve"> на шпажке 28г</t>
    </r>
  </si>
  <si>
    <t>сосновый сироп, патока, сахар, пектин яблочный, сосновая шишка, кислота лимонная, карнаубский воск</t>
  </si>
  <si>
    <t>сосновый сироп, патока, сахар, пектин яблочный, кедровый орех (ядро), кислота лимонная, карнаубский воск</t>
  </si>
  <si>
    <r>
      <t xml:space="preserve">Мармелад из </t>
    </r>
    <r>
      <rPr>
        <b/>
        <sz val="10"/>
        <rFont val="Calibri"/>
        <family val="2"/>
        <charset val="204"/>
        <scheme val="minor"/>
      </rPr>
      <t>сосновой шишки с кедровым орехом</t>
    </r>
    <r>
      <rPr>
        <sz val="10"/>
        <rFont val="Calibri"/>
        <family val="2"/>
        <scheme val="minor"/>
      </rPr>
      <t xml:space="preserve"> на шпажке 28г</t>
    </r>
  </si>
  <si>
    <t>Мармеладная шишка в натуральном шоколаде, деревянная кор. 40г</t>
  </si>
  <si>
    <t>желейная начинка: (сосновый сироп: (сахар, отвар сосновой шишки, лимонная кислота), ядро кедрового ореха), шоколад молочный 34%: (сахар, какао-масло, цельное сухое молоко, какао тертое, соевый лецитин, натуральный ароматизатор ванилин</t>
  </si>
  <si>
    <t>шоколад белый (сахар, какао-масло, цельное сухое молоко, лецитин, ванилин), солёный арахис, семечки тыквы ядро, лепестки роз</t>
  </si>
  <si>
    <t>Шоколад на деревянной подложке</t>
  </si>
  <si>
    <r>
      <t xml:space="preserve">Шоколад белый с </t>
    </r>
    <r>
      <rPr>
        <b/>
        <sz val="10"/>
        <rFont val="Calibri"/>
        <family val="2"/>
        <charset val="204"/>
        <scheme val="minor"/>
      </rPr>
      <t>маком и вяленой клюквой</t>
    </r>
    <r>
      <rPr>
        <sz val="10"/>
        <rFont val="Calibri"/>
        <family val="2"/>
        <scheme val="minor"/>
      </rPr>
      <t xml:space="preserve"> 50г</t>
    </r>
  </si>
  <si>
    <t>шоколад белый (сахар, какао-масло, цельное сухое молоко, лецитин, ванилин), мак. вяленвя клюква</t>
  </si>
  <si>
    <r>
      <t xml:space="preserve">Шоколад белый </t>
    </r>
    <r>
      <rPr>
        <b/>
        <sz val="10"/>
        <rFont val="Calibri"/>
        <family val="2"/>
        <charset val="204"/>
        <scheme val="minor"/>
      </rPr>
      <t>солёный арахисом, семечки тыквы, лепестки роз</t>
    </r>
    <r>
      <rPr>
        <sz val="10"/>
        <rFont val="Calibri"/>
        <family val="2"/>
        <scheme val="minor"/>
      </rPr>
      <t xml:space="preserve"> 100г</t>
    </r>
  </si>
  <si>
    <r>
      <t xml:space="preserve">Шоколад белый </t>
    </r>
    <r>
      <rPr>
        <b/>
        <sz val="10"/>
        <rFont val="Calibri"/>
        <family val="2"/>
        <charset val="204"/>
        <scheme val="minor"/>
      </rPr>
      <t>солёный арахисом, семечки тыквы, лепестки роз</t>
    </r>
    <r>
      <rPr>
        <sz val="10"/>
        <rFont val="Calibri"/>
        <family val="2"/>
        <scheme val="minor"/>
      </rPr>
      <t xml:space="preserve"> 50г</t>
    </r>
  </si>
  <si>
    <r>
      <t xml:space="preserve">Шоколад белый </t>
    </r>
    <r>
      <rPr>
        <b/>
        <sz val="10"/>
        <rFont val="Calibri"/>
        <family val="2"/>
        <charset val="204"/>
        <scheme val="minor"/>
      </rPr>
      <t>сосновая шишка, вяленая клюква, кокос</t>
    </r>
    <r>
      <rPr>
        <sz val="10"/>
        <rFont val="Calibri"/>
        <family val="2"/>
        <scheme val="minor"/>
      </rPr>
      <t xml:space="preserve"> 100г </t>
    </r>
  </si>
  <si>
    <t>шоколад белый (сахар, какао-масло, цельное сухое молоко, лецитин, ванилин), сосновая шишка, вяленая клюква, кокосовая стружка</t>
  </si>
  <si>
    <t>шоколад молочный 34%(сахар, какао-масло, цельное сухое молоко, какао-тертое, лецитин, ванилин), сосновым мармеладом, красной смородиной сублимированной, цедрой апельсина</t>
  </si>
  <si>
    <t>шоколад молочный 34%(сахар, какао-масло, цельное сухое молоко, какао-тертое, лецитин, ванилин), вяленая клюква, сосновая шишка, жмых кедрового ореха</t>
  </si>
  <si>
    <r>
      <t xml:space="preserve">Шоколад молочный </t>
    </r>
    <r>
      <rPr>
        <b/>
        <sz val="10"/>
        <rFont val="Calibri"/>
        <family val="2"/>
        <charset val="204"/>
        <scheme val="minor"/>
      </rPr>
      <t>клюква, сосновая шишка, кедровый орех</t>
    </r>
    <r>
      <rPr>
        <sz val="10"/>
        <rFont val="Calibri"/>
        <family val="2"/>
        <scheme val="minor"/>
      </rPr>
      <t xml:space="preserve"> 100г</t>
    </r>
  </si>
  <si>
    <r>
      <t xml:space="preserve">Шоколад молочный </t>
    </r>
    <r>
      <rPr>
        <b/>
        <sz val="10"/>
        <rFont val="Calibri"/>
        <family val="2"/>
        <charset val="204"/>
        <scheme val="minor"/>
      </rPr>
      <t>сосн. мармелад, кр. смородина, цедра апельсина</t>
    </r>
    <r>
      <rPr>
        <sz val="10"/>
        <rFont val="Calibri"/>
        <family val="2"/>
        <scheme val="minor"/>
      </rPr>
      <t xml:space="preserve"> 100г</t>
    </r>
  </si>
  <si>
    <r>
      <t xml:space="preserve">Шоколад молочный </t>
    </r>
    <r>
      <rPr>
        <b/>
        <sz val="10"/>
        <rFont val="Calibri"/>
        <family val="2"/>
        <charset val="204"/>
        <scheme val="minor"/>
      </rPr>
      <t>сосн. мармелад, кр. смородина, цедра апельсина</t>
    </r>
    <r>
      <rPr>
        <sz val="10"/>
        <rFont val="Calibri"/>
        <family val="2"/>
        <scheme val="minor"/>
      </rPr>
      <t xml:space="preserve"> 50г</t>
    </r>
  </si>
  <si>
    <t>http://1.c8804.nichost.ru/pics/21276.jpg</t>
  </si>
  <si>
    <t>http://1.c8804.nichost.ru/pics/21274.jpg</t>
  </si>
  <si>
    <t>http://1.c8804.nichost.ru/pics/21260.jpg</t>
  </si>
  <si>
    <t>http://1.c8804.nichost.ru/pics/21262.jpg</t>
  </si>
  <si>
    <t>http://1.c8804.nichost.ru/pics/21263.jpg</t>
  </si>
  <si>
    <t>http://1.c8804.nichost.ru/pics/21264.jpg</t>
  </si>
  <si>
    <t>http://1.c8804.nichost.ru/pics/21265.jpg</t>
  </si>
  <si>
    <t>http://1.c8804.nichost.ru/pics/21266.jpg</t>
  </si>
  <si>
    <t>http://1.c8804.nichost.ru/pics/21273.jpg</t>
  </si>
  <si>
    <t>http://1.c8804.nichost.ru/pics/21285.jpg</t>
  </si>
  <si>
    <t>сахар,настой мяты,лимонная кислота,лапа пихты</t>
  </si>
  <si>
    <t>сахар,вода,отвар сосновой шишки,лимонная кислота</t>
  </si>
  <si>
    <r>
      <t xml:space="preserve">Сироп </t>
    </r>
    <r>
      <rPr>
        <b/>
        <sz val="10"/>
        <rFont val="Calibri"/>
        <family val="2"/>
        <charset val="204"/>
        <scheme val="minor"/>
      </rPr>
      <t>мятный с веточкой пихты</t>
    </r>
    <r>
      <rPr>
        <sz val="10"/>
        <rFont val="Calibri"/>
        <family val="2"/>
        <scheme val="minor"/>
      </rPr>
      <t>, бутылка 240г</t>
    </r>
  </si>
  <si>
    <r>
      <t xml:space="preserve">Сироп </t>
    </r>
    <r>
      <rPr>
        <b/>
        <sz val="10"/>
        <rFont val="Calibri"/>
        <family val="2"/>
        <charset val="204"/>
        <scheme val="minor"/>
      </rPr>
      <t>сосновый</t>
    </r>
    <r>
      <rPr>
        <sz val="10"/>
        <rFont val="Calibri"/>
        <family val="2"/>
        <scheme val="minor"/>
      </rPr>
      <t>, бутылка 240г</t>
    </r>
  </si>
  <si>
    <t>сироп из сосновых шишек (сахар,отвар сосновых шишек,лимонная кислота),сок облепихи,корица,бадьян,кардамон</t>
  </si>
  <si>
    <t>Цукаты из сосновой шишки, пластик 150г</t>
  </si>
  <si>
    <t>сахар, сосновые шишки, вода, лимонная кислота</t>
  </si>
  <si>
    <t>Цукаты из сосновой шишки, кор. с окном 100г</t>
  </si>
  <si>
    <t>клюква, сахар, сахарная пудра, подсолнечное масло</t>
  </si>
  <si>
    <t>Цукаты из клюквы, дер. подложка 100г</t>
  </si>
  <si>
    <r>
      <t>Цукаты из сосновой шишки "</t>
    </r>
    <r>
      <rPr>
        <b/>
        <sz val="10"/>
        <rFont val="Calibri"/>
        <family val="2"/>
        <charset val="204"/>
        <scheme val="minor"/>
      </rPr>
      <t>шашлычки</t>
    </r>
    <r>
      <rPr>
        <sz val="10"/>
        <rFont val="Calibri"/>
        <family val="2"/>
        <scheme val="minor"/>
      </rPr>
      <t>" 25г</t>
    </r>
  </si>
  <si>
    <t>http://1.c8804.nichost.ru/pics/21254.jpg</t>
  </si>
  <si>
    <t>http://1.c8804.nichost.ru/pics/21267.jpg</t>
  </si>
  <si>
    <t>http://1.c8804.nichost.ru/pics/21268.jpg</t>
  </si>
  <si>
    <t>http://1.c8804.nichost.ru/pics/21256.jpg</t>
  </si>
  <si>
    <t>http://1.c8804.nichost.ru/pics/21257.jpg</t>
  </si>
  <si>
    <t>http://1.c8804.nichost.ru/pics/21258.jpg</t>
  </si>
  <si>
    <t>http://1.c8804.nichost.ru/pics/21259.jpg</t>
  </si>
  <si>
    <t>Не содержит глютен, лактозу</t>
  </si>
  <si>
    <t>Крафтовый дизайн</t>
  </si>
  <si>
    <t>Собрано в экологически чистых местах</t>
  </si>
  <si>
    <t>Сибирио</t>
  </si>
  <si>
    <r>
      <t xml:space="preserve">Таёжный тайник </t>
    </r>
    <r>
      <rPr>
        <b/>
        <i/>
        <u/>
        <sz val="11"/>
        <color theme="9" tint="-0.249977111117893"/>
        <rFont val="Calibri"/>
        <family val="2"/>
        <charset val="204"/>
        <scheme val="minor"/>
      </rPr>
      <t>NEW</t>
    </r>
  </si>
  <si>
    <t>яблочный сок, сок белого винограда, сахар, глюкозно-фруктозный сироп (глюкоза, мальтоза, фруктоза), регулятор кислотности — лимонная кислота, антиокислитель: аскорбиновая кислота, подготовленная артезианская вода</t>
  </si>
  <si>
    <t>http://1.c8804.nichost.ru/pics/20742.jpg</t>
  </si>
  <si>
    <t>яблочный сок, грушевый сок, сахар белый, глюкозно-фруктозный сироп (глюкоза, мальтоза, фруктоза), регулятор кислотности — лимонная кислота, антиокислитель: аскорбиновая кислота, подготовленная артезианская вода</t>
  </si>
  <si>
    <t>http://1.c8804.nichost.ru/pics/20743.jpg</t>
  </si>
  <si>
    <t>яблочный сок, апельсиновый сок, сахар-песок, глюкозно-фруктозный сироп (глюкоза, мальтоза, фруктоза), регулятор кислотности — лимонная кислота, антиокислитель: аскорбиновая кислота, подготовленная артезианская вода</t>
  </si>
  <si>
    <t>http://1.c8804.nichost.ru/pics/20745.jpg</t>
  </si>
  <si>
    <t>яблочный сок, земляничный сок, сахар, глюкозно-фруктозный сироп (глюкоза, мальтоза, фруктоза), регулятор кислотности — лимонная кислота, антиокислитель: аскорбиновая кислота, подготовленная артезианская вода</t>
  </si>
  <si>
    <t>http://1.c8804.nichost.ru/pics/20744.jpg</t>
  </si>
  <si>
    <t>Зефир "УмСладости" глазированный диетический ванильный 180г</t>
  </si>
  <si>
    <t>Зефир "УмСладости" глазированный диетический ванильный 60г</t>
  </si>
  <si>
    <r>
      <t xml:space="preserve">Печенье Superfood </t>
    </r>
    <r>
      <rPr>
        <b/>
        <sz val="10"/>
        <rFont val="Calibri"/>
        <family val="2"/>
        <scheme val="minor"/>
      </rPr>
      <t>апельсин и морковь</t>
    </r>
    <r>
      <rPr>
        <sz val="10"/>
        <rFont val="Calibri"/>
        <family val="2"/>
        <scheme val="minor"/>
      </rPr>
      <t xml:space="preserve"> Missis Pickez 100г</t>
    </r>
  </si>
  <si>
    <r>
      <t xml:space="preserve">Печенье Superfood </t>
    </r>
    <r>
      <rPr>
        <b/>
        <sz val="10"/>
        <rFont val="Calibri"/>
        <family val="2"/>
        <scheme val="minor"/>
      </rPr>
      <t>банановое</t>
    </r>
    <r>
      <rPr>
        <sz val="10"/>
        <rFont val="Calibri"/>
        <family val="2"/>
        <scheme val="minor"/>
      </rPr>
      <t xml:space="preserve"> Missis Pickez 100г</t>
    </r>
  </si>
  <si>
    <r>
      <t xml:space="preserve">Печенье Superfood </t>
    </r>
    <r>
      <rPr>
        <b/>
        <sz val="10"/>
        <rFont val="Calibri"/>
        <family val="2"/>
        <scheme val="minor"/>
      </rPr>
      <t>кунжутное</t>
    </r>
    <r>
      <rPr>
        <sz val="10"/>
        <rFont val="Calibri"/>
        <family val="2"/>
        <scheme val="minor"/>
      </rPr>
      <t xml:space="preserve"> Missis Pickez 100г</t>
    </r>
  </si>
  <si>
    <r>
      <t xml:space="preserve">Печенье Мюсли </t>
    </r>
    <r>
      <rPr>
        <b/>
        <sz val="10"/>
        <rFont val="Calibri"/>
        <family val="2"/>
        <scheme val="minor"/>
      </rPr>
      <t>Лемонграсс с цедрой лимона и лемонграссом</t>
    </r>
    <r>
      <rPr>
        <sz val="10"/>
        <rFont val="Calibri"/>
        <family val="2"/>
        <scheme val="minor"/>
      </rPr>
      <t xml:space="preserve"> 100г</t>
    </r>
  </si>
  <si>
    <r>
      <t xml:space="preserve">Печенье Мюсли </t>
    </r>
    <r>
      <rPr>
        <b/>
        <sz val="10"/>
        <rFont val="Calibri"/>
        <family val="2"/>
        <scheme val="minor"/>
      </rPr>
      <t>Льняное с семенами льна и гибискусом</t>
    </r>
    <r>
      <rPr>
        <sz val="10"/>
        <rFont val="Calibri"/>
        <family val="2"/>
        <scheme val="minor"/>
      </rPr>
      <t xml:space="preserve"> 100г</t>
    </r>
  </si>
  <si>
    <r>
      <t xml:space="preserve">Печенье Мюсли </t>
    </r>
    <r>
      <rPr>
        <b/>
        <sz val="10"/>
        <rFont val="Calibri"/>
        <family val="2"/>
        <scheme val="minor"/>
      </rPr>
      <t>Пряная вишня с кусочками вишни</t>
    </r>
    <r>
      <rPr>
        <sz val="10"/>
        <rFont val="Calibri"/>
        <family val="2"/>
        <scheme val="minor"/>
      </rPr>
      <t xml:space="preserve"> 100г</t>
    </r>
  </si>
  <si>
    <r>
      <t xml:space="preserve">Печенье Мюсли </t>
    </r>
    <r>
      <rPr>
        <b/>
        <sz val="10"/>
        <rFont val="Calibri"/>
        <family val="2"/>
        <scheme val="minor"/>
      </rPr>
      <t>Штрудель с яблоком и корицей</t>
    </r>
    <r>
      <rPr>
        <sz val="10"/>
        <rFont val="Calibri"/>
        <family val="2"/>
        <scheme val="minor"/>
      </rPr>
      <t xml:space="preserve"> 100г</t>
    </r>
  </si>
  <si>
    <r>
      <t xml:space="preserve">Печенье </t>
    </r>
    <r>
      <rPr>
        <b/>
        <sz val="10"/>
        <rFont val="Calibri"/>
        <family val="2"/>
        <scheme val="minor"/>
      </rPr>
      <t>амарантовое</t>
    </r>
    <r>
      <rPr>
        <sz val="10"/>
        <rFont val="Calibri"/>
        <family val="2"/>
        <scheme val="minor"/>
      </rPr>
      <t xml:space="preserve"> без сахара и глютена Missis Pickez 100г</t>
    </r>
  </si>
  <si>
    <r>
      <t xml:space="preserve">Печенье </t>
    </r>
    <r>
      <rPr>
        <b/>
        <sz val="10"/>
        <rFont val="Calibri"/>
        <family val="2"/>
        <scheme val="minor"/>
      </rPr>
      <t>кокосовое</t>
    </r>
    <r>
      <rPr>
        <sz val="10"/>
        <rFont val="Calibri"/>
        <family val="2"/>
        <scheme val="minor"/>
      </rPr>
      <t xml:space="preserve"> без сахара и глютена Missis Pickez 100г</t>
    </r>
  </si>
  <si>
    <r>
      <t xml:space="preserve">Печенье </t>
    </r>
    <r>
      <rPr>
        <b/>
        <sz val="10"/>
        <rFont val="Calibri"/>
        <family val="2"/>
        <scheme val="minor"/>
      </rPr>
      <t>миндальное</t>
    </r>
    <r>
      <rPr>
        <sz val="10"/>
        <rFont val="Calibri"/>
        <family val="2"/>
        <scheme val="minor"/>
      </rPr>
      <t xml:space="preserve"> без сахара и глютена Missis Pickez 100г</t>
    </r>
  </si>
  <si>
    <r>
      <t xml:space="preserve">Печенье </t>
    </r>
    <r>
      <rPr>
        <b/>
        <sz val="10"/>
        <rFont val="Calibri"/>
        <family val="2"/>
        <scheme val="minor"/>
      </rPr>
      <t>шоколадно-ореховое</t>
    </r>
    <r>
      <rPr>
        <sz val="10"/>
        <rFont val="Calibri"/>
        <family val="2"/>
        <scheme val="minor"/>
      </rPr>
      <t xml:space="preserve"> с фундуком Missis Pickez 100г</t>
    </r>
  </si>
  <si>
    <r>
      <t xml:space="preserve">Печенье овсяное </t>
    </r>
    <r>
      <rPr>
        <b/>
        <sz val="10"/>
        <rFont val="Calibri"/>
        <family val="2"/>
        <scheme val="minor"/>
      </rPr>
      <t>арахис</t>
    </r>
    <r>
      <rPr>
        <sz val="10"/>
        <rFont val="Calibri"/>
        <family val="2"/>
        <scheme val="minor"/>
      </rPr>
      <t xml:space="preserve"> Missis Pickez 100г</t>
    </r>
  </si>
  <si>
    <r>
      <t xml:space="preserve">Печенье овсяное </t>
    </r>
    <r>
      <rPr>
        <b/>
        <sz val="10"/>
        <rFont val="Calibri"/>
        <family val="2"/>
        <scheme val="minor"/>
      </rPr>
      <t>ягодное</t>
    </r>
    <r>
      <rPr>
        <sz val="10"/>
        <rFont val="Calibri"/>
        <family val="2"/>
        <scheme val="minor"/>
      </rPr>
      <t xml:space="preserve"> Missis Pickez 100г</t>
    </r>
  </si>
  <si>
    <r>
      <t xml:space="preserve">Печенье песочное </t>
    </r>
    <r>
      <rPr>
        <b/>
        <sz val="10"/>
        <rFont val="Calibri"/>
        <family val="2"/>
        <scheme val="minor"/>
      </rPr>
      <t>Имбирный пряник</t>
    </r>
    <r>
      <rPr>
        <sz val="10"/>
        <rFont val="Calibri"/>
        <family val="2"/>
        <scheme val="minor"/>
      </rPr>
      <t xml:space="preserve"> Missis Pickez 100г</t>
    </r>
  </si>
  <si>
    <r>
      <t xml:space="preserve">Печенье песочное </t>
    </r>
    <r>
      <rPr>
        <b/>
        <sz val="10"/>
        <rFont val="Calibri"/>
        <family val="2"/>
        <scheme val="minor"/>
      </rPr>
      <t>Кукурузное</t>
    </r>
    <r>
      <rPr>
        <sz val="10"/>
        <rFont val="Calibri"/>
        <family val="2"/>
        <scheme val="minor"/>
      </rPr>
      <t xml:space="preserve"> Missis Pickez 100г</t>
    </r>
  </si>
  <si>
    <r>
      <t xml:space="preserve">Печенье песочное </t>
    </r>
    <r>
      <rPr>
        <b/>
        <sz val="10"/>
        <rFont val="Calibri"/>
        <family val="2"/>
        <scheme val="minor"/>
      </rPr>
      <t>Соленая карамель</t>
    </r>
    <r>
      <rPr>
        <sz val="10"/>
        <rFont val="Calibri"/>
        <family val="2"/>
        <scheme val="minor"/>
      </rPr>
      <t xml:space="preserve"> Missis Pickez 100г</t>
    </r>
  </si>
  <si>
    <t>мука рисовая; сироп топинамбура (клубни топинамбура, вода); масло кокосовое рафинированное; овсяные хлопья; мука льняная; разрыхлитель сода пищевая; соль морская пищевая; мука кукурузная; кукуруза дробленая; Сок лимона; цедра лимона; лемонграсс</t>
  </si>
  <si>
    <t>Мука рисовая, сироп топинамбура (клубни топинамбура, вода питьевая), масло кокосовое рафинированное, овсяные хлопья, семена льна сушеные, мука льняная, мука из овсяных отрубей, гибискус цветы измельченные, соль морская пищевая, разрыхлитель - гидрокарбонат натрия (сода пищевая), куркума, корица молотая</t>
  </si>
  <si>
    <t>Мука рисовая, сироп топинамбура (клубни топинамбура, вода), масло кокосовое рафинированнное, овсяные хлопья, мука из овсянных отрубей, какао-порошок, мука льняная, мука гречневая, вишня сублимированная, соль морская пищевая, разрыхлитель сода пищевая</t>
  </si>
  <si>
    <t>Мука рисовая, сироп топинамбура (клубни топинамбура, вода), масло кокосовое рафинированное, овсяные хлопья, мука из овсяных отрубей, мука льняная, мука гречневая, яблоко сублимированное, соль морская пищевая, разрыхлитель сода пищевая, корица молотая</t>
  </si>
  <si>
    <r>
      <t>Эликсир "</t>
    </r>
    <r>
      <rPr>
        <b/>
        <sz val="10"/>
        <rFont val="Calibri"/>
        <family val="2"/>
        <scheme val="minor"/>
      </rPr>
      <t>Стоп холестерин</t>
    </r>
    <r>
      <rPr>
        <sz val="10"/>
        <rFont val="Calibri"/>
        <family val="2"/>
        <scheme val="minor"/>
      </rPr>
      <t>" на льняном масле 200мл</t>
    </r>
  </si>
  <si>
    <r>
      <t xml:space="preserve">Пастила "Pastilla" медовая </t>
    </r>
    <r>
      <rPr>
        <b/>
        <sz val="10"/>
        <rFont val="Calibri"/>
        <family val="2"/>
        <scheme val="minor"/>
      </rPr>
      <t>апельсин</t>
    </r>
    <r>
      <rPr>
        <sz val="10"/>
        <rFont val="Calibri"/>
        <family val="2"/>
        <scheme val="minor"/>
      </rPr>
      <t xml:space="preserve"> 190г</t>
    </r>
  </si>
  <si>
    <t>Молоко ореха макадамия с витаминами и кальцием Degrees 180мл</t>
  </si>
  <si>
    <t>Шоколад тёмный (какао тертое, сахар, какао-масло, эмульгатор (подсолнечный лецитин), ароматизатор натуральный ваниль), масло сливочное, цукаты из лимонной цедры, ликер Куантро (Франция), корица молотая, экстракт натуральной ванили</t>
  </si>
  <si>
    <t>http://1.c8804.nichost.ru/pics/20329.jpg</t>
  </si>
  <si>
    <t>кедровая паста (ядро кедрового ореха, сахар, масло растительное, како тертое, какао масло, сухое цельное молоко 26%, кешью, лещитин, концентрат кристаллов какао-масла)),  молочный шоколад (масло какао, какао тертое, сахар, сухое цельное молоко, сухая молочная сыворотка, молчный жир, лецитин, эмульгатор, ароматизатор ванилин)</t>
  </si>
  <si>
    <t>кедровая паста (ядро кедрового ореха, сахар, масло растительное, како тертое, какао масло, сухое цельное молоко 26%, кешью, лещитин, концентрат кристаллов какао-масла)), темный шоколад (сахар, какао тертое, масло како, эмульгатор, лецитин, ароматизатор ванилин)</t>
  </si>
  <si>
    <t>ядро кедрового ореха, мед),  молочный шоколад (масло какао, какао тертое, сахар, сухое цельное молоко, сухая молочная сыворотка, молчный жир, лецитин, эмульгатор, ароматизатор ванилин)</t>
  </si>
  <si>
    <t>ядро кедрового ореза, мед), темный шоколад (сахар, какао тертое, масло како, эмульгатор, лецитин, ароматизатор ванилин)</t>
  </si>
  <si>
    <t>кедровый орех, грецкий орех, лесной орех, мед, молочный шоколад (масло какао, какао тертое, сахар, сухое цельное молоко, сухая молочная сыворотка, молчный жир, лецитин, эмульгатор, ароматизатор ванилин)</t>
  </si>
  <si>
    <t>кедровый орех, грецкий орех, лесной орех, мед, кедровый орех, грецкий орех, лесной орех, мед, темный шоколад (сахар, какао тертое, масло како, эмульгатор, лецитин, ароматизатор ванилин)</t>
  </si>
  <si>
    <t>вяленая черника, вяленая клюква, вяленая облепиха, сосновый сироп (сосновые шишки, сахар), молочный шоколад (масло какао, какао тертое, сахар, сухое цельное молоко, сухая молочная сыворотка, молочный жир, лецитин, эмульгатор, ароматизатор ванилин</t>
  </si>
  <si>
    <t>клюква, кедровый орех, мед, темный шоколад (сахар, какао тертое, масло како, эмульгатор, лецитин, ароматизатор ванилин)</t>
  </si>
  <si>
    <t xml:space="preserve">клюква, кедровый орех, мед, молочный шоколад </t>
  </si>
  <si>
    <t>http://1.c8804.nichost.ru/pics/21346.jpg</t>
  </si>
  <si>
    <t>http://1.c8804.nichost.ru/pics/21347.jpg</t>
  </si>
  <si>
    <t>http://1.c8804.nichost.ru/pics/21348.jpg</t>
  </si>
  <si>
    <t>http://1.c8804.nichost.ru/pics/21349.jpg</t>
  </si>
  <si>
    <t>http://1.c8804.nichost.ru/pics/21350.jpg</t>
  </si>
  <si>
    <t>http://1.c8804.nichost.ru/pics/21351.jpg</t>
  </si>
  <si>
    <t>http://1.c8804.nichost.ru/pics/21352.jpg</t>
  </si>
  <si>
    <t>http://1.c8804.nichost.ru/pics/21353.jpg</t>
  </si>
  <si>
    <t>http://1.c8804.nichost.ru/pics/21344.jpg</t>
  </si>
  <si>
    <t>http://1.c8804.nichost.ru/pics/21345.jpg</t>
  </si>
  <si>
    <t>лапка пихты, лист смородины, лист земляники, иван-чай, чабрец</t>
  </si>
  <si>
    <t>http://1.c8804.nichost.ru/pics/21316.jpg</t>
  </si>
  <si>
    <t>мука из отборной твердой пшеницы (дурум) для макаронных изделий высшего сорта, фильтрованная вода</t>
  </si>
  <si>
    <t>Мука из краcной чечевицы, мука из нута, мука из зеленого гороха, фильтрованная вода</t>
  </si>
  <si>
    <t>http://1.c8804.nichost.ru/pics/21288.jpg</t>
  </si>
  <si>
    <t>http://1.c8804.nichost.ru/pics/21289.jpg</t>
  </si>
  <si>
    <t>http://1.c8804.nichost.ru/pics/21287.jpg</t>
  </si>
  <si>
    <t>Сокосодержащие напитки</t>
  </si>
  <si>
    <t>Vitro Naturals</t>
  </si>
  <si>
    <t>сок алоэ вера, лимонная кислота, витамин Е, ксантановая камедь, сорбат калия</t>
  </si>
  <si>
    <t>Сок амлы, лимонная кислота, витамин Е, ксантановая камедь, сорбат калия</t>
  </si>
  <si>
    <t>Сок гарцинии, сок алоэ вера, сок виноградный, сок джимнема, сок метхи, сок зеленого кофе, маканди сок, имбирный сок, сок кардамона, лимонная кислота, сорбат калия</t>
  </si>
  <si>
    <t>Сок корня куркумы, сок черного перца, лимонная кислота, сорбат калия</t>
  </si>
  <si>
    <r>
      <t xml:space="preserve">Напиток сокосодержащий </t>
    </r>
    <r>
      <rPr>
        <b/>
        <sz val="10"/>
        <rFont val="Calibri"/>
        <family val="2"/>
        <charset val="204"/>
        <scheme val="minor"/>
      </rPr>
      <t>Нони</t>
    </r>
    <r>
      <rPr>
        <sz val="10"/>
        <rFont val="Calibri"/>
        <family val="2"/>
        <scheme val="minor"/>
      </rPr>
      <t xml:space="preserve"> I am </t>
    </r>
    <r>
      <rPr>
        <b/>
        <sz val="10"/>
        <rFont val="Calibri"/>
        <family val="2"/>
        <charset val="204"/>
        <scheme val="minor"/>
      </rPr>
      <t>Strong</t>
    </r>
    <r>
      <rPr>
        <sz val="10"/>
        <rFont val="Calibri"/>
        <family val="2"/>
        <scheme val="minor"/>
      </rPr>
      <t>, Vitro Naturals 500мл</t>
    </r>
  </si>
  <si>
    <t>Сок нони, сок гарцинии, виноградный сок, ксантановая камедь, лимонная кислота, карамельный краситель, сорбат калия</t>
  </si>
  <si>
    <t>http://1.c8804.nichost.ru/pics/21359.jpg</t>
  </si>
  <si>
    <t>http://1.c8804.nichost.ru/pics/21358.jpg</t>
  </si>
  <si>
    <t>http://1.c8804.nichost.ru/pics/21357.jpg</t>
  </si>
  <si>
    <t>http://1.c8804.nichost.ru/pics/21356.jpg</t>
  </si>
  <si>
    <t>http://1.c8804.nichost.ru/pics/21355.jpg</t>
  </si>
  <si>
    <t>Функциональный напитки</t>
  </si>
  <si>
    <t>Аюрведический продукт</t>
  </si>
  <si>
    <t>Детокс, омложение, похудение</t>
  </si>
  <si>
    <t>Полезно и натурально</t>
  </si>
  <si>
    <r>
      <t xml:space="preserve">Витро (VITRO Naturals) </t>
    </r>
    <r>
      <rPr>
        <b/>
        <i/>
        <u/>
        <sz val="11"/>
        <color theme="9" tint="-0.249977111117893"/>
        <rFont val="Calibri"/>
        <family val="2"/>
        <charset val="204"/>
        <scheme val="minor"/>
      </rPr>
      <t>NEW</t>
    </r>
  </si>
  <si>
    <t>Любэль</t>
  </si>
  <si>
    <t>глюкозно-фруктозный сироп,патока,брусника быстрой заморозки,пектин (желеобразователь),лимонная кислота(регулятор кислотности),экстракт стевии(подсластитель)</t>
  </si>
  <si>
    <r>
      <t>Мармелад из натуральных ягод "</t>
    </r>
    <r>
      <rPr>
        <b/>
        <sz val="10"/>
        <rFont val="Calibri"/>
        <family val="2"/>
        <charset val="204"/>
        <scheme val="minor"/>
      </rPr>
      <t>Брусника</t>
    </r>
    <r>
      <rPr>
        <sz val="10"/>
        <rFont val="Calibri"/>
        <family val="2"/>
        <scheme val="minor"/>
      </rPr>
      <t>" на фруктозе 100г</t>
    </r>
  </si>
  <si>
    <r>
      <t>Мармелад из натуральных ягод "</t>
    </r>
    <r>
      <rPr>
        <b/>
        <sz val="10"/>
        <rFont val="Calibri"/>
        <family val="2"/>
        <charset val="204"/>
        <scheme val="minor"/>
      </rPr>
      <t>Клубника</t>
    </r>
    <r>
      <rPr>
        <sz val="10"/>
        <rFont val="Calibri"/>
        <family val="2"/>
        <scheme val="minor"/>
      </rPr>
      <t>" на фруктозе 100г</t>
    </r>
  </si>
  <si>
    <r>
      <t>Мармелад из натуральных ягод "</t>
    </r>
    <r>
      <rPr>
        <b/>
        <sz val="10"/>
        <rFont val="Calibri"/>
        <family val="2"/>
        <charset val="204"/>
        <scheme val="minor"/>
      </rPr>
      <t>Клюква</t>
    </r>
    <r>
      <rPr>
        <sz val="10"/>
        <rFont val="Calibri"/>
        <family val="2"/>
        <scheme val="minor"/>
      </rPr>
      <t>" на фруктозе 100г</t>
    </r>
  </si>
  <si>
    <r>
      <t>Мармелад из натуральных ягод "</t>
    </r>
    <r>
      <rPr>
        <b/>
        <sz val="10"/>
        <rFont val="Calibri"/>
        <family val="2"/>
        <charset val="204"/>
        <scheme val="minor"/>
      </rPr>
      <t>Малина</t>
    </r>
    <r>
      <rPr>
        <sz val="10"/>
        <rFont val="Calibri"/>
        <family val="2"/>
        <scheme val="minor"/>
      </rPr>
      <t>" на фруктозе 100г</t>
    </r>
  </si>
  <si>
    <r>
      <t>Мармелад из натуральных ягод "</t>
    </r>
    <r>
      <rPr>
        <b/>
        <sz val="10"/>
        <rFont val="Calibri"/>
        <family val="2"/>
        <charset val="204"/>
        <scheme val="minor"/>
      </rPr>
      <t>Облепиха</t>
    </r>
    <r>
      <rPr>
        <sz val="10"/>
        <rFont val="Calibri"/>
        <family val="2"/>
        <scheme val="minor"/>
      </rPr>
      <t>" на фруктозе 100г</t>
    </r>
  </si>
  <si>
    <r>
      <t>Мармелад из натуральных ягод "</t>
    </r>
    <r>
      <rPr>
        <b/>
        <sz val="10"/>
        <rFont val="Calibri"/>
        <family val="2"/>
        <charset val="204"/>
        <scheme val="minor"/>
      </rPr>
      <t>Черника</t>
    </r>
    <r>
      <rPr>
        <sz val="10"/>
        <rFont val="Calibri"/>
        <family val="2"/>
        <scheme val="minor"/>
      </rPr>
      <t>" на фруктозе 100г</t>
    </r>
  </si>
  <si>
    <t>фруктоза, патока, черника быстрой заморозки, пектин (желеобразователь), лимонная кислота (регулятор кислотности), экстракт стевии (подсластитель)</t>
  </si>
  <si>
    <t>фруктоза, патока, малина быстрой заморозки, пектин (желеобразователь), лимонная кислота (регулятор кислотности), экстракт стевии (подсластитель)</t>
  </si>
  <si>
    <t>фруктоза, патока, облепиха быстрой заморозки, пектин (желеобразователь), лимонная кислота (регулятор кислотности), экстракт стевии (подсластитель)</t>
  </si>
  <si>
    <t>Фруктоза, патока, клюква быстрой заморозки, желеобразователь пектин, стевия, лактат натрия, регулятор кислотности лимонная кислота</t>
  </si>
  <si>
    <t>семя льна, патока, микс сиропов (фруктоза стевия), семя подсолнечника, рис воздушный, глазурь шоколадная (сахар, заменитель какао-масла, какао-порошок, эмульгатор лецитин, ароматизатор ванилин), черника быстрой заморозки ,семя тыквы, абрикосовая косточка, изюм, сорбиновая кислота(консервант).</t>
  </si>
  <si>
    <t>семя льна, патока, микс сиропов (фруктоза, стевия), семя подсолнечника, рис воздушный, ядро кедра, глазурь шоколадная (сахар, заменитель какао-масла, какао-порошок, эмульгатор лецитин, ароматизатор ванилин), брусника быстрой заморозки, семя тыквы, абрикосовая косточка, изюм, сорбиновая кислота(консервант).</t>
  </si>
  <si>
    <r>
      <t>Мюсли-грильяж  "</t>
    </r>
    <r>
      <rPr>
        <b/>
        <sz val="10"/>
        <rFont val="Calibri"/>
        <family val="2"/>
        <charset val="204"/>
        <scheme val="minor"/>
      </rPr>
      <t>Кедровый орех с брусникой</t>
    </r>
    <r>
      <rPr>
        <sz val="10"/>
        <rFont val="Calibri"/>
        <family val="2"/>
        <scheme val="minor"/>
      </rPr>
      <t>" 100г</t>
    </r>
  </si>
  <si>
    <r>
      <t>Мюсли-грильяж  "</t>
    </r>
    <r>
      <rPr>
        <b/>
        <sz val="10"/>
        <rFont val="Calibri"/>
        <family val="2"/>
        <charset val="204"/>
        <scheme val="minor"/>
      </rPr>
      <t>Черника-форте</t>
    </r>
    <r>
      <rPr>
        <sz val="10"/>
        <rFont val="Calibri"/>
        <family val="2"/>
        <scheme val="minor"/>
      </rPr>
      <t xml:space="preserve"> " 100г</t>
    </r>
  </si>
  <si>
    <t>семя льна, воздушный рис, семя подсолнечника, семя тыквы, абрикосовая косточка, изюм, черника быстрой заморозки, патока, фруктоза, ядро кедра, стевия, сорбиновая кислота.</t>
  </si>
  <si>
    <t>Патока, семя льна,рис воздушный (крупа кукурузная,мука пшеничная,сахар,соль),фруктоза,голубика быстрой заморозки, топинамбур сушеный (порошок), семя подсолнечника, семя тыквы, абрикосовая косточка, изюм,сорбиновая кислота (консервант),экстракт стевии (подсластитель)</t>
  </si>
  <si>
    <r>
      <t>Эко-хрусты "</t>
    </r>
    <r>
      <rPr>
        <b/>
        <sz val="10"/>
        <rFont val="Calibri"/>
        <family val="2"/>
        <charset val="204"/>
        <scheme val="minor"/>
      </rPr>
      <t>Кедровый орех с черникой</t>
    </r>
    <r>
      <rPr>
        <sz val="10"/>
        <rFont val="Calibri"/>
        <family val="2"/>
        <scheme val="minor"/>
      </rPr>
      <t>" 60г</t>
    </r>
  </si>
  <si>
    <r>
      <t>Эко-хрусты "</t>
    </r>
    <r>
      <rPr>
        <b/>
        <sz val="10"/>
        <rFont val="Calibri"/>
        <family val="2"/>
        <charset val="204"/>
        <scheme val="minor"/>
      </rPr>
      <t>Голубика с топинамбуром</t>
    </r>
    <r>
      <rPr>
        <sz val="10"/>
        <rFont val="Calibri"/>
        <family val="2"/>
        <scheme val="minor"/>
      </rPr>
      <t>" 60г</t>
    </r>
  </si>
  <si>
    <t>http://1.c8804.nichost.ru/pics/21318.jpg</t>
  </si>
  <si>
    <t>http://1.c8804.nichost.ru/pics/21319.jpg</t>
  </si>
  <si>
    <t>http://1.c8804.nichost.ru/pics/21320.jpg</t>
  </si>
  <si>
    <t>http://1.c8804.nichost.ru/pics/21321.jpg</t>
  </si>
  <si>
    <t>http://1.c8804.nichost.ru/pics/21322.jpg</t>
  </si>
  <si>
    <t>http://1.c8804.nichost.ru/pics/21323.jpg</t>
  </si>
  <si>
    <t>http://1.c8804.nichost.ru/pics/21324.jpg</t>
  </si>
  <si>
    <t>http://1.c8804.nichost.ru/pics/21325.jpg</t>
  </si>
  <si>
    <t>http://1.c8804.nichost.ru/pics/21327.jpg</t>
  </si>
  <si>
    <t>http://1.c8804.nichost.ru/pics/21326.jpg</t>
  </si>
  <si>
    <t>Натуральные сладости</t>
  </si>
  <si>
    <t>Сделано в сибири из ягод и орехов</t>
  </si>
  <si>
    <t>Удобный формат упаковки</t>
  </si>
  <si>
    <t>Фруктоза вместо сахара</t>
  </si>
  <si>
    <t>вода, яблочное пюре, пюре из ягод малины, подсластитель изомальтоолигосахарид, пектин, подсластитель стевиогликозид, регулятор кислотности лимонная кислота, консервант сорбат калия.</t>
  </si>
  <si>
    <t>вода, яблочное пюре, пюре из ягод брусники, подсластитель изомальтоолигосахарид, пектин, подсластитель стевиогликозид, регулятор кислотности лимонная кислота, консервант сорбат калия.</t>
  </si>
  <si>
    <t>вода, яблочное пюре, пюре из ягод вишни, подсластитель изомальтоолигосахарид, пектин, подсластитель стевиогликозид, регулятор кислотности лимонная кислота, консервант сорбат калия.</t>
  </si>
  <si>
    <t>вода, яблочное пюре, пюре из ягод клюквы, подсластитель изомальтоолигосахарид, пектин, подсластитель стевиогликозид, регулятор кислотности лимонная кислота, консервант сорбат калия.</t>
  </si>
  <si>
    <t>вода, яблочное пюре, пюре из ягод черники, подсластитель изомальтоолигосахарид, пектин, подсластитель стевиогликозид, регулятор кислотности лимонная кислота, консервант сорбат калия.</t>
  </si>
  <si>
    <t>http://1.c8804.nichost.ru/pics/21338.jpg</t>
  </si>
  <si>
    <t>http://1.c8804.nichost.ru/pics/21339.jpg</t>
  </si>
  <si>
    <t>http://1.c8804.nichost.ru/pics/21340.jpg</t>
  </si>
  <si>
    <t>http://1.c8804.nichost.ru/pics/21342.jpg</t>
  </si>
  <si>
    <t>http://1.c8804.nichost.ru/pics/21343.jpg</t>
  </si>
  <si>
    <t>подсластитель мальтит, пюре яблочное, патока крахмальная карамельная, вода питьевая, желирующий агент пектин, белок яичный, регулятор кислотности кислота молочная, влагоудерживающий агент лактат натрия, ароматизатор натуральный "Фисташка", комплекснаця пищевая добавкакраситель синий патентованный V м экстракт картамуса "Тархун", консервант сорбат калия, подсластитель стевиозид (стевиолгликозиды)</t>
  </si>
  <si>
    <t>подсластитель мальтит, пюре яблочное, патока* крахмальная карамельная, вода питьевая, желирующий агент пектин, белок яичный, регулятор кислотности кислота молочная, влагоудерживающий агент лактат натрия, ароматизатор натуральный "Фисташка", комплекснаця пищевая добавкакраситель синий патентованный V м экстракт картамуса "Тархун", консервант сорбат калия, подсластитель стевиозид (стевиолгликозиды), глазурь кондитерская (подсластитель мальтитол, заменитель какао-масла нелауриниового типа, молоко сухое обезжиренное, какао-порошок, эмульгатор лецитин соевый, ароматизатор)</t>
  </si>
  <si>
    <t>http://1.c8804.nichost.ru/pics/21229_2.jpg</t>
  </si>
  <si>
    <t>http://1.c8804.nichost.ru/pics/21231_2.jpg</t>
  </si>
  <si>
    <t>http://1.c8804.nichost.ru/pics/21368.jpg</t>
  </si>
  <si>
    <t>http://1.c8804.nichost.ru/pics/21367.jpg</t>
  </si>
  <si>
    <t>изомальт (подсластитель), патока крахмальная, лимонная кислота (регулятор кислотности), корица молотая, экстракт имбиря, экстракт перца чили</t>
  </si>
  <si>
    <r>
      <t xml:space="preserve">Леденцы карамель с </t>
    </r>
    <r>
      <rPr>
        <b/>
        <sz val="10"/>
        <color theme="9" tint="-0.249977111117893"/>
        <rFont val="Calibri"/>
        <family val="2"/>
        <scheme val="minor"/>
      </rPr>
      <t xml:space="preserve">имбирем, корицей и чили </t>
    </r>
    <r>
      <rPr>
        <u/>
        <sz val="10"/>
        <color theme="9" tint="-0.249977111117893"/>
        <rFont val="Calibri"/>
        <family val="2"/>
        <scheme val="minor"/>
      </rPr>
      <t>Без сахара</t>
    </r>
    <r>
      <rPr>
        <sz val="10"/>
        <color theme="9" tint="-0.249977111117893"/>
        <rFont val="Calibri"/>
        <family val="2"/>
        <scheme val="minor"/>
      </rPr>
      <t xml:space="preserve"> (блистер) 19г</t>
    </r>
  </si>
  <si>
    <r>
      <t xml:space="preserve">Леденцы карамель с </t>
    </r>
    <r>
      <rPr>
        <b/>
        <sz val="10"/>
        <color theme="9" tint="-0.249977111117893"/>
        <rFont val="Calibri"/>
        <family val="2"/>
        <scheme val="minor"/>
      </rPr>
      <t>маслом черного тмина и маслом грейпфрута</t>
    </r>
    <r>
      <rPr>
        <sz val="10"/>
        <color theme="9" tint="-0.249977111117893"/>
        <rFont val="Calibri"/>
        <family val="2"/>
        <scheme val="minor"/>
      </rPr>
      <t xml:space="preserve"> </t>
    </r>
    <r>
      <rPr>
        <u/>
        <sz val="10"/>
        <color theme="9" tint="-0.249977111117893"/>
        <rFont val="Calibri"/>
        <family val="2"/>
        <scheme val="minor"/>
      </rPr>
      <t>Без сахара</t>
    </r>
    <r>
      <rPr>
        <sz val="10"/>
        <color theme="9" tint="-0.249977111117893"/>
        <rFont val="Calibri"/>
        <family val="2"/>
        <scheme val="minor"/>
      </rPr>
      <t>19г</t>
    </r>
  </si>
  <si>
    <r>
      <t xml:space="preserve">Леденцы карамель с </t>
    </r>
    <r>
      <rPr>
        <b/>
        <sz val="10"/>
        <color theme="9" tint="-0.249977111117893"/>
        <rFont val="Calibri"/>
        <family val="2"/>
        <scheme val="minor"/>
      </rPr>
      <t>облепиховым маслом и витамином С</t>
    </r>
    <r>
      <rPr>
        <sz val="10"/>
        <color theme="9" tint="-0.249977111117893"/>
        <rFont val="Calibri"/>
        <family val="2"/>
        <scheme val="minor"/>
      </rPr>
      <t xml:space="preserve"> </t>
    </r>
    <r>
      <rPr>
        <u/>
        <sz val="10"/>
        <color theme="9" tint="-0.249977111117893"/>
        <rFont val="Calibri"/>
        <family val="2"/>
        <scheme val="minor"/>
      </rPr>
      <t>Без сахара</t>
    </r>
    <r>
      <rPr>
        <sz val="10"/>
        <color theme="9" tint="-0.249977111117893"/>
        <rFont val="Calibri"/>
        <family val="2"/>
        <scheme val="minor"/>
      </rPr>
      <t xml:space="preserve"> 19г</t>
    </r>
  </si>
  <si>
    <r>
      <t xml:space="preserve">Леденцы карамель с </t>
    </r>
    <r>
      <rPr>
        <b/>
        <sz val="10"/>
        <color theme="9" tint="-0.249977111117893"/>
        <rFont val="Calibri"/>
        <family val="2"/>
        <scheme val="minor"/>
      </rPr>
      <t>прополисом, ментолом и мелиссой</t>
    </r>
    <r>
      <rPr>
        <sz val="10"/>
        <color theme="9" tint="-0.249977111117893"/>
        <rFont val="Calibri"/>
        <family val="2"/>
        <scheme val="minor"/>
      </rPr>
      <t xml:space="preserve"> </t>
    </r>
    <r>
      <rPr>
        <u/>
        <sz val="10"/>
        <color theme="9" tint="-0.249977111117893"/>
        <rFont val="Calibri"/>
        <family val="2"/>
        <scheme val="minor"/>
      </rPr>
      <t>Без сахара</t>
    </r>
    <r>
      <rPr>
        <sz val="10"/>
        <color theme="9" tint="-0.249977111117893"/>
        <rFont val="Calibri"/>
        <family val="2"/>
        <scheme val="minor"/>
      </rPr>
      <t xml:space="preserve"> 19г</t>
    </r>
  </si>
  <si>
    <t>Новинка! квант 15шт</t>
  </si>
  <si>
    <t>изомальт (подсластитель), патока крахмальная, лимонная кислота (регулятор кислотности), масло черного тмина, эфирное масло грейпфрута</t>
  </si>
  <si>
    <t>изомальт (подсластитель), патока крахмальная, лимонная кислота (регулятор кислотности), облепиховое масло, аскорбиновая кислота (витамин С)</t>
  </si>
  <si>
    <t>изомальт (подсластитель), патока крахмальная, лимонная кислота (регулятор кислотности), прополис, экстракт мелиссы, ментол</t>
  </si>
  <si>
    <t>Мука и семена</t>
  </si>
  <si>
    <t>Семена тыквы</t>
  </si>
  <si>
    <t>Тыквы семена, Eleo 100г</t>
  </si>
  <si>
    <t>http://1.c8804.nichost.ru/pics/21354.jpg</t>
  </si>
  <si>
    <r>
      <t xml:space="preserve">Хлебцы льняные с </t>
    </r>
    <r>
      <rPr>
        <b/>
        <sz val="10"/>
        <color theme="1"/>
        <rFont val="Calibri"/>
        <family val="2"/>
        <charset val="204"/>
        <scheme val="minor"/>
      </rPr>
      <t>облепихой</t>
    </r>
    <r>
      <rPr>
        <sz val="10"/>
        <color theme="1"/>
        <rFont val="Calibri"/>
        <family val="2"/>
        <scheme val="minor"/>
      </rPr>
      <t xml:space="preserve"> 80г</t>
    </r>
  </si>
  <si>
    <t>http://1.c8804.nichost.ru/pics/21161.jpg</t>
  </si>
  <si>
    <t>http://1.c8804.nichost.ru/pics/21162.jpg</t>
  </si>
  <si>
    <t>http://1.c8804.nichost.ru/pics/21218.jpg</t>
  </si>
  <si>
    <t>Семена льна, ягоды облепихи, сироп топинамбура, пектин яблочный</t>
  </si>
  <si>
    <t>http://1.c8804.nichost.ru/pics/21290.jpg</t>
  </si>
  <si>
    <r>
      <t xml:space="preserve">Мёд "Берестов А.С." </t>
    </r>
    <r>
      <rPr>
        <b/>
        <sz val="10"/>
        <rFont val="Calibri"/>
        <family val="2"/>
        <scheme val="minor"/>
      </rPr>
      <t>Акация</t>
    </r>
    <r>
      <rPr>
        <sz val="10"/>
        <rFont val="Calibri"/>
        <family val="2"/>
        <scheme val="minor"/>
      </rPr>
      <t xml:space="preserve"> ст.банка 500г</t>
    </r>
  </si>
  <si>
    <r>
      <t xml:space="preserve">Печенье песочное </t>
    </r>
    <r>
      <rPr>
        <b/>
        <sz val="10"/>
        <rFont val="Calibri"/>
        <family val="2"/>
        <scheme val="minor"/>
      </rPr>
      <t>Оригинальное</t>
    </r>
    <r>
      <rPr>
        <sz val="10"/>
        <rFont val="Calibri"/>
        <family val="2"/>
        <scheme val="minor"/>
      </rPr>
      <t xml:space="preserve"> 100г</t>
    </r>
  </si>
  <si>
    <r>
      <t xml:space="preserve">Печенье песочное с </t>
    </r>
    <r>
      <rPr>
        <b/>
        <sz val="10"/>
        <rFont val="Calibri"/>
        <family val="2"/>
        <scheme val="minor"/>
      </rPr>
      <t>Какао и арахисом</t>
    </r>
    <r>
      <rPr>
        <sz val="10"/>
        <rFont val="Calibri"/>
        <family val="2"/>
        <scheme val="minor"/>
      </rPr>
      <t xml:space="preserve"> 100г</t>
    </r>
  </si>
  <si>
    <r>
      <t xml:space="preserve">Печенье песочное с </t>
    </r>
    <r>
      <rPr>
        <b/>
        <sz val="10"/>
        <rFont val="Calibri"/>
        <family val="2"/>
        <scheme val="minor"/>
      </rPr>
      <t>Кунжутом</t>
    </r>
    <r>
      <rPr>
        <sz val="10"/>
        <rFont val="Calibri"/>
        <family val="2"/>
        <scheme val="minor"/>
      </rPr>
      <t xml:space="preserve"> 100г</t>
    </r>
  </si>
  <si>
    <r>
      <t xml:space="preserve">Печенье овсяное </t>
    </r>
    <r>
      <rPr>
        <b/>
        <sz val="10"/>
        <rFont val="Calibri"/>
        <family val="2"/>
        <scheme val="minor"/>
      </rPr>
      <t>Классическое</t>
    </r>
    <r>
      <rPr>
        <sz val="10"/>
        <rFont val="Calibri"/>
        <family val="2"/>
        <scheme val="minor"/>
      </rPr>
      <t xml:space="preserve"> без сахара и глютена 85г</t>
    </r>
  </si>
  <si>
    <r>
      <t xml:space="preserve">Печенье овсяное с </t>
    </r>
    <r>
      <rPr>
        <b/>
        <sz val="10"/>
        <rFont val="Calibri"/>
        <family val="2"/>
        <scheme val="minor"/>
      </rPr>
      <t>ананасом</t>
    </r>
    <r>
      <rPr>
        <sz val="10"/>
        <rFont val="Calibri"/>
        <family val="2"/>
        <scheme val="minor"/>
      </rPr>
      <t xml:space="preserve"> без сахара и глютена 85г</t>
    </r>
  </si>
  <si>
    <r>
      <t xml:space="preserve">Печенье овсяное с </t>
    </r>
    <r>
      <rPr>
        <b/>
        <sz val="10"/>
        <rFont val="Calibri"/>
        <family val="2"/>
        <scheme val="minor"/>
      </rPr>
      <t>кокосом</t>
    </r>
    <r>
      <rPr>
        <sz val="10"/>
        <rFont val="Calibri"/>
        <family val="2"/>
        <scheme val="minor"/>
      </rPr>
      <t xml:space="preserve"> без сахара и глютена 85г</t>
    </r>
  </si>
  <si>
    <r>
      <t xml:space="preserve">Печенье овсяное с </t>
    </r>
    <r>
      <rPr>
        <b/>
        <sz val="10"/>
        <rFont val="Calibri"/>
        <family val="2"/>
        <scheme val="minor"/>
      </rPr>
      <t>миндалём</t>
    </r>
    <r>
      <rPr>
        <sz val="10"/>
        <rFont val="Calibri"/>
        <family val="2"/>
        <scheme val="minor"/>
      </rPr>
      <t xml:space="preserve"> без сахара и глютена 85г</t>
    </r>
  </si>
  <si>
    <r>
      <t xml:space="preserve">Печенье овсяное с </t>
    </r>
    <r>
      <rPr>
        <b/>
        <sz val="10"/>
        <rFont val="Calibri"/>
        <family val="2"/>
        <scheme val="minor"/>
      </rPr>
      <t>семенами тыквы</t>
    </r>
    <r>
      <rPr>
        <sz val="10"/>
        <rFont val="Calibri"/>
        <family val="2"/>
        <scheme val="minor"/>
      </rPr>
      <t xml:space="preserve"> без сахара и глютена 85г</t>
    </r>
  </si>
  <si>
    <r>
      <t xml:space="preserve">Печенье овсяное с </t>
    </r>
    <r>
      <rPr>
        <b/>
        <sz val="10"/>
        <rFont val="Calibri"/>
        <family val="2"/>
        <scheme val="minor"/>
      </rPr>
      <t>шоколадом</t>
    </r>
    <r>
      <rPr>
        <sz val="10"/>
        <rFont val="Calibri"/>
        <family val="2"/>
        <scheme val="minor"/>
      </rPr>
      <t xml:space="preserve"> без сахара и глютена 85г</t>
    </r>
  </si>
  <si>
    <r>
      <t xml:space="preserve">Любэль </t>
    </r>
    <r>
      <rPr>
        <b/>
        <i/>
        <u/>
        <sz val="11"/>
        <color theme="9" tint="-0.249977111117893"/>
        <rFont val="Calibri"/>
        <family val="2"/>
        <charset val="204"/>
        <scheme val="minor"/>
      </rPr>
      <t>NEW</t>
    </r>
  </si>
  <si>
    <r>
      <t xml:space="preserve">Сибирио </t>
    </r>
    <r>
      <rPr>
        <b/>
        <i/>
        <u/>
        <sz val="11"/>
        <color theme="9" tint="-0.249977111117893"/>
        <rFont val="Calibri"/>
        <family val="2"/>
        <charset val="204"/>
        <scheme val="minor"/>
      </rPr>
      <t>NEW</t>
    </r>
  </si>
  <si>
    <t>вяленая черника, вяленая клюква, вяленая облепиха, сосновый сироп (сосновые шишки, сахар), темный шоколад (сахар, какао тертое, масло какао, эмульгатор, лецитин, ароматизатор ванилин)</t>
  </si>
  <si>
    <r>
      <t xml:space="preserve">Сбитень из сосновой шишки </t>
    </r>
    <r>
      <rPr>
        <b/>
        <sz val="10"/>
        <rFont val="Calibri"/>
        <family val="2"/>
        <charset val="204"/>
        <scheme val="minor"/>
      </rPr>
      <t>"Облепиховая сказка</t>
    </r>
    <r>
      <rPr>
        <sz val="10"/>
        <rFont val="Calibri"/>
        <family val="2"/>
        <scheme val="minor"/>
      </rPr>
      <t>" 240мл</t>
    </r>
  </si>
  <si>
    <r>
      <t>Сбитень из сосновой шишки "</t>
    </r>
    <r>
      <rPr>
        <b/>
        <sz val="10"/>
        <rFont val="Calibri"/>
        <family val="2"/>
        <charset val="204"/>
        <scheme val="minor"/>
      </rPr>
      <t>Секрет Тайги</t>
    </r>
    <r>
      <rPr>
        <sz val="10"/>
        <rFont val="Calibri"/>
        <family val="2"/>
        <scheme val="minor"/>
      </rPr>
      <t>" 240мл</t>
    </r>
  </si>
  <si>
    <t>сироп из сосновых шишек (сахар, отвар сосновых шишек, лимонная кислота), ягоды шиповника, лоза лимонника, розмарин, гвоздика</t>
  </si>
  <si>
    <t>http://1.c8804.nichost.ru/pics/21337.jpg</t>
  </si>
  <si>
    <r>
      <t>Сироп из сосновой шишки "</t>
    </r>
    <r>
      <rPr>
        <b/>
        <sz val="10"/>
        <rFont val="Calibri"/>
        <family val="2"/>
        <charset val="204"/>
        <scheme val="minor"/>
      </rPr>
      <t>Сибирский глинтвейн</t>
    </r>
    <r>
      <rPr>
        <sz val="10"/>
        <rFont val="Calibri"/>
        <family val="2"/>
        <scheme val="minor"/>
      </rPr>
      <t>" 240мл</t>
    </r>
  </si>
  <si>
    <t>сахар, отвар сосновой шишки, апельсин, корень имбиря, кардамон, корица, перец черный горошек, гвоздика, бадьян, лимонная кислота</t>
  </si>
  <si>
    <t>http://1.c8804.nichost.ru/pics/21333.jpg</t>
  </si>
  <si>
    <t>Травяные сборы</t>
  </si>
  <si>
    <r>
      <t>Травяной сбор "</t>
    </r>
    <r>
      <rPr>
        <b/>
        <sz val="10"/>
        <rFont val="Calibri"/>
        <family val="2"/>
        <charset val="204"/>
        <scheme val="minor"/>
      </rPr>
      <t>Имбирный пряник</t>
    </r>
    <r>
      <rPr>
        <sz val="10"/>
        <rFont val="Calibri"/>
        <family val="2"/>
        <scheme val="minor"/>
      </rPr>
      <t>" 50г</t>
    </r>
  </si>
  <si>
    <r>
      <t>Травяной сбор с ягодой "</t>
    </r>
    <r>
      <rPr>
        <b/>
        <sz val="10"/>
        <rFont val="Calibri"/>
        <family val="2"/>
        <charset val="204"/>
        <scheme val="minor"/>
      </rPr>
      <t>Таежный дар</t>
    </r>
    <r>
      <rPr>
        <sz val="10"/>
        <rFont val="Calibri"/>
        <family val="2"/>
        <scheme val="minor"/>
      </rPr>
      <t>" 50г</t>
    </r>
  </si>
  <si>
    <t>бадан, имбирь сушеный, таволга, корица, яблоко сушеное</t>
  </si>
  <si>
    <t>бадан, шиповник, лист малины, шишка сосновая, пихта</t>
  </si>
  <si>
    <t>http://1.c8804.nichost.ru/pics/21278.jpg</t>
  </si>
  <si>
    <t>http://1.c8804.nichost.ru/pics/21277.jpg</t>
  </si>
  <si>
    <t>http://1.c8804.nichost.ru/pics/21328.jpg</t>
  </si>
  <si>
    <t>http://1.c8804.nichost.ru/pics/21332.jpg</t>
  </si>
  <si>
    <r>
      <t xml:space="preserve">Варенье из сосновой шишки, </t>
    </r>
    <r>
      <rPr>
        <b/>
        <sz val="10"/>
        <rFont val="Calibri"/>
        <family val="2"/>
        <charset val="204"/>
        <scheme val="minor"/>
      </rPr>
      <t>кедровые орехи</t>
    </r>
    <r>
      <rPr>
        <sz val="10"/>
        <rFont val="Calibri"/>
        <family val="2"/>
        <scheme val="minor"/>
      </rPr>
      <t xml:space="preserve">, стекло </t>
    </r>
    <r>
      <rPr>
        <b/>
        <sz val="10"/>
        <rFont val="Calibri"/>
        <family val="2"/>
        <charset val="204"/>
        <scheme val="minor"/>
      </rPr>
      <t>240г</t>
    </r>
  </si>
  <si>
    <r>
      <t xml:space="preserve">Варенье из сосновой шишки, </t>
    </r>
    <r>
      <rPr>
        <b/>
        <sz val="10"/>
        <rFont val="Calibri"/>
        <family val="2"/>
        <charset val="204"/>
        <scheme val="minor"/>
      </rPr>
      <t>кедровые орехи</t>
    </r>
    <r>
      <rPr>
        <sz val="10"/>
        <rFont val="Calibri"/>
        <family val="2"/>
        <scheme val="minor"/>
      </rPr>
      <t xml:space="preserve">, стекло </t>
    </r>
    <r>
      <rPr>
        <b/>
        <sz val="10"/>
        <rFont val="Calibri"/>
        <family val="2"/>
        <charset val="204"/>
        <scheme val="minor"/>
      </rPr>
      <t>440г</t>
    </r>
  </si>
  <si>
    <r>
      <t xml:space="preserve">Варенье из </t>
    </r>
    <r>
      <rPr>
        <sz val="10"/>
        <rFont val="Calibri"/>
        <family val="2"/>
        <charset val="204"/>
        <scheme val="minor"/>
      </rPr>
      <t>кедровой шишки,</t>
    </r>
    <r>
      <rPr>
        <sz val="10"/>
        <rFont val="Calibri"/>
        <family val="2"/>
        <scheme val="minor"/>
      </rPr>
      <t xml:space="preserve"> стекло </t>
    </r>
    <r>
      <rPr>
        <b/>
        <sz val="10"/>
        <rFont val="Calibri"/>
        <family val="2"/>
        <charset val="204"/>
        <scheme val="minor"/>
      </rPr>
      <t>240г</t>
    </r>
  </si>
  <si>
    <r>
      <t xml:space="preserve">Варенье из кедровой шишки, стекло </t>
    </r>
    <r>
      <rPr>
        <b/>
        <sz val="10"/>
        <rFont val="Calibri"/>
        <family val="2"/>
        <charset val="204"/>
        <scheme val="minor"/>
      </rPr>
      <t>460г</t>
    </r>
  </si>
  <si>
    <r>
      <t>Варенье из сосновой шишки, стекло</t>
    </r>
    <r>
      <rPr>
        <b/>
        <sz val="10"/>
        <rFont val="Calibri"/>
        <family val="2"/>
        <charset val="204"/>
        <scheme val="minor"/>
      </rPr>
      <t xml:space="preserve"> 240г</t>
    </r>
  </si>
  <si>
    <r>
      <t xml:space="preserve">Варенье из сосновой шишки, стекло </t>
    </r>
    <r>
      <rPr>
        <b/>
        <sz val="10"/>
        <rFont val="Calibri"/>
        <family val="2"/>
        <charset val="204"/>
        <scheme val="minor"/>
      </rPr>
      <t>450г</t>
    </r>
  </si>
  <si>
    <r>
      <t xml:space="preserve">Варенье из сосновой шишки, </t>
    </r>
    <r>
      <rPr>
        <b/>
        <sz val="10"/>
        <rFont val="Calibri"/>
        <family val="2"/>
        <charset val="204"/>
        <scheme val="minor"/>
      </rPr>
      <t>ореховое ассорти</t>
    </r>
    <r>
      <rPr>
        <sz val="10"/>
        <rFont val="Calibri"/>
        <family val="2"/>
        <scheme val="minor"/>
      </rPr>
      <t xml:space="preserve">, стекло </t>
    </r>
    <r>
      <rPr>
        <b/>
        <sz val="10"/>
        <rFont val="Calibri"/>
        <family val="2"/>
        <charset val="204"/>
        <scheme val="minor"/>
      </rPr>
      <t>450г</t>
    </r>
  </si>
  <si>
    <t>http://1.c8804.nichost.ru/pics/21329.jpg</t>
  </si>
  <si>
    <t>http://1.c8804.nichost.ru/pics/21331.jpg</t>
  </si>
  <si>
    <r>
      <t xml:space="preserve">Варенье из сосновой шишки, </t>
    </r>
    <r>
      <rPr>
        <b/>
        <sz val="10"/>
        <rFont val="Calibri"/>
        <family val="2"/>
        <charset val="204"/>
        <scheme val="minor"/>
      </rPr>
      <t>ореховое ассорти</t>
    </r>
    <r>
      <rPr>
        <sz val="10"/>
        <rFont val="Calibri"/>
        <family val="2"/>
        <scheme val="minor"/>
      </rPr>
      <t xml:space="preserve">, стекло </t>
    </r>
    <r>
      <rPr>
        <b/>
        <sz val="10"/>
        <rFont val="Calibri"/>
        <family val="2"/>
        <charset val="204"/>
        <scheme val="minor"/>
      </rPr>
      <t>240г</t>
    </r>
  </si>
  <si>
    <r>
      <t xml:space="preserve">Шоколад молочный </t>
    </r>
    <r>
      <rPr>
        <b/>
        <sz val="10"/>
        <rFont val="Calibri"/>
        <family val="2"/>
        <charset val="204"/>
        <scheme val="minor"/>
      </rPr>
      <t>арахис и соленая карамель</t>
    </r>
    <r>
      <rPr>
        <sz val="10"/>
        <rFont val="Calibri"/>
        <family val="2"/>
        <scheme val="minor"/>
      </rPr>
      <t xml:space="preserve"> 100г</t>
    </r>
  </si>
  <si>
    <r>
      <t xml:space="preserve">Шоколад молочный </t>
    </r>
    <r>
      <rPr>
        <b/>
        <sz val="10"/>
        <rFont val="Calibri"/>
        <family val="2"/>
        <charset val="204"/>
        <scheme val="minor"/>
      </rPr>
      <t>арахис и соленая карамель</t>
    </r>
    <r>
      <rPr>
        <sz val="10"/>
        <rFont val="Calibri"/>
        <family val="2"/>
        <scheme val="minor"/>
      </rPr>
      <t xml:space="preserve"> 50г</t>
    </r>
  </si>
  <si>
    <t>шоколад молочный 34%(сахар, какао-масло, цельное сухое молоко, какао-тертое, лецитин, ванилин), солёный арахис, солёная карамель</t>
  </si>
  <si>
    <t>http://1.c8804.nichost.ru/pics/21371.jpg</t>
  </si>
  <si>
    <t>http://1.c8804.nichost.ru/pics/21370.jpg</t>
  </si>
  <si>
    <r>
      <t xml:space="preserve">Шоколад молочный </t>
    </r>
    <r>
      <rPr>
        <b/>
        <sz val="10"/>
        <rFont val="Calibri"/>
        <family val="2"/>
        <charset val="204"/>
        <scheme val="minor"/>
      </rPr>
      <t>клюква, сосновая шишка, кедровый орех</t>
    </r>
    <r>
      <rPr>
        <sz val="10"/>
        <rFont val="Calibri"/>
        <family val="2"/>
        <scheme val="minor"/>
      </rPr>
      <t xml:space="preserve"> 50г</t>
    </r>
  </si>
  <si>
    <t>http://1.c8804.nichost.ru/pics/21336.jpg</t>
  </si>
  <si>
    <r>
      <t xml:space="preserve">Зефир неглазированный </t>
    </r>
    <r>
      <rPr>
        <b/>
        <sz val="10"/>
        <rFont val="Calibri"/>
        <family val="2"/>
        <scheme val="minor"/>
      </rPr>
      <t>с апельсином</t>
    </r>
    <r>
      <rPr>
        <sz val="10"/>
        <rFont val="Calibri"/>
        <family val="2"/>
        <scheme val="minor"/>
      </rPr>
      <t xml:space="preserve">  140г</t>
    </r>
  </si>
  <si>
    <r>
      <t xml:space="preserve">Флаксы с </t>
    </r>
    <r>
      <rPr>
        <b/>
        <sz val="10"/>
        <rFont val="Calibri"/>
        <family val="2"/>
        <scheme val="minor"/>
      </rPr>
      <t>клюквой</t>
    </r>
    <r>
      <rPr>
        <sz val="10"/>
        <rFont val="Calibri"/>
        <family val="2"/>
        <scheme val="minor"/>
      </rPr>
      <t xml:space="preserve"> 120г</t>
    </r>
  </si>
  <si>
    <r>
      <t>Леденцы "</t>
    </r>
    <r>
      <rPr>
        <b/>
        <sz val="10"/>
        <rFont val="Calibri"/>
        <family val="2"/>
        <scheme val="minor"/>
      </rPr>
      <t>Для горла</t>
    </r>
    <r>
      <rPr>
        <sz val="10"/>
        <rFont val="Calibri"/>
        <family val="2"/>
        <scheme val="minor"/>
      </rPr>
      <t>" на красном масле 32г</t>
    </r>
  </si>
  <si>
    <r>
      <t xml:space="preserve">Каша полбяная заварная с </t>
    </r>
    <r>
      <rPr>
        <b/>
        <sz val="10"/>
        <rFont val="Calibri"/>
        <family val="2"/>
        <scheme val="minor"/>
      </rPr>
      <t>яблоком</t>
    </r>
    <r>
      <rPr>
        <sz val="10"/>
        <rFont val="Calibri"/>
        <family val="2"/>
        <scheme val="minor"/>
      </rPr>
      <t xml:space="preserve"> 30г</t>
    </r>
  </si>
  <si>
    <t>Петербургский кондитерЪ</t>
  </si>
  <si>
    <t>http://1.c8804.nichost.ru/pics/21428.jpg</t>
  </si>
  <si>
    <t>http://1.c8804.nichost.ru/pics/21429.jpg</t>
  </si>
  <si>
    <t>http://1.c8804.nichost.ru/pics/21430.jpg</t>
  </si>
  <si>
    <t>http://1.c8804.nichost.ru/pics/21431.jpg</t>
  </si>
  <si>
    <t>Хумус "Протеиновый" 200г</t>
  </si>
  <si>
    <t>http://1.c8804.nichost.ru/pics/21422.jpg</t>
  </si>
  <si>
    <t>http://1.c8804.nichost.ru/pics/21423.jpg</t>
  </si>
  <si>
    <t>http://1.c8804.nichost.ru/pics/21405.jpg</t>
  </si>
  <si>
    <t>Мука ржаная, подсолнечное масло, цукаты апельсина, стевия, мальтит, патока крахмальная карамельная, морская соль, сироп топинамбура, гидрокарбонат натрия</t>
  </si>
  <si>
    <t>http://1.c8804.nichost.ru/pics/21435.jpg</t>
  </si>
  <si>
    <r>
      <t xml:space="preserve">Конфеты "Кокосанка" </t>
    </r>
    <r>
      <rPr>
        <b/>
        <sz val="10"/>
        <color theme="9" tint="-0.249977111117893"/>
        <rFont val="Calibri"/>
        <family val="2"/>
        <scheme val="minor"/>
      </rPr>
      <t>Азиатская,</t>
    </r>
    <r>
      <rPr>
        <sz val="10"/>
        <color theme="9" tint="-0.249977111117893"/>
        <rFont val="Calibri"/>
        <family val="2"/>
        <scheme val="minor"/>
      </rPr>
      <t xml:space="preserve"> </t>
    </r>
    <r>
      <rPr>
        <b/>
        <sz val="10"/>
        <color theme="9" tint="-0.249977111117893"/>
        <rFont val="Calibri"/>
        <family val="2"/>
        <scheme val="minor"/>
      </rPr>
      <t>вишня</t>
    </r>
    <r>
      <rPr>
        <sz val="10"/>
        <color theme="9" tint="-0.249977111117893"/>
        <rFont val="Calibri"/>
        <family val="2"/>
        <scheme val="minor"/>
      </rPr>
      <t xml:space="preserve"> cherry Bezglutini 85г</t>
    </r>
  </si>
  <si>
    <t>кокосовая стружка, сахар, патока крахмальная карамельная, масло кокосовое рафинированное, сухой яичный белок, вишня сублимированной сушки, порошок свеклы, камедь акации, сода пищевая, ксантановая камедь, соль морская пищевая, ароматизатор натуральный «Вишня», лимонная кислота</t>
  </si>
  <si>
    <r>
      <t xml:space="preserve">Пряники </t>
    </r>
    <r>
      <rPr>
        <b/>
        <sz val="10"/>
        <color theme="9" tint="-0.249977111117893"/>
        <rFont val="Calibri"/>
        <family val="2"/>
        <scheme val="minor"/>
      </rPr>
      <t>классические</t>
    </r>
    <r>
      <rPr>
        <sz val="10"/>
        <color theme="9" tint="-0.249977111117893"/>
        <rFont val="Calibri"/>
        <family val="2"/>
        <scheme val="minor"/>
      </rPr>
      <t xml:space="preserve"> с кусочками</t>
    </r>
    <r>
      <rPr>
        <b/>
        <sz val="10"/>
        <color theme="9" tint="-0.249977111117893"/>
        <rFont val="Calibri"/>
        <family val="2"/>
        <scheme val="minor"/>
      </rPr>
      <t xml:space="preserve"> апельсина</t>
    </r>
    <r>
      <rPr>
        <sz val="10"/>
        <color theme="9" tint="-0.249977111117893"/>
        <rFont val="Calibri"/>
        <family val="2"/>
        <scheme val="minor"/>
      </rPr>
      <t xml:space="preserve"> Vitlen 150г</t>
    </r>
  </si>
  <si>
    <t>Мука рисовая, крупа кукурузная, мука кукурузная грибы сушёные (белые, лисички), соль, натуральный ароматизатор</t>
  </si>
  <si>
    <t>Мука рисовая, крупа кукурузная, мука кукурузная, кориандр молотый, тмин молотый, соль, натуральный ароматизатор.</t>
  </si>
  <si>
    <t>Мука рисовая, крупа кукурузная, мука кукурузная, лук сушёный, соль, натуральный ароматизатор.</t>
  </si>
  <si>
    <t>Мука рисовая, крупа кукурузная, мука кукурузная, соль, куркума, натуральные ароматизаторы.</t>
  </si>
  <si>
    <t>нут, вода питьевая, кунжутная паста (тахина), масло подсолнечное, масло оливковое, соль, ароматизатор "Том Ям", томаты сушёные, кинза, регулятор кислотности лимонная кислота, лемограсс, перец чили дроблёный, перец красный молотый.</t>
  </si>
  <si>
    <t>нут, вода питьевая, кунжутная паста (тахина), смесь растительных белков (соевый, гороховый, рисовый), масло подсолнечное рафинированное дезодорированное, масло оливковое рафинированное, соль, регулятор кислотности лимонная кислота, чеснок сушёный, перец красный молотый</t>
  </si>
  <si>
    <t>нут, вода питьевая,кунжутная паста (тахина), смесь растительных белков (соевый, гороховый, рисовый), масло подсолнечное рафинированное дезодорированное, масло оливковое рафинированное, баклажаны сушёные, паприка красная сушёная, томаты сушёные,  соль, чеснок сушёный, регулятор кислотности лимонная кислота, перец красный молотый</t>
  </si>
  <si>
    <t>бобы соевые, вода питьевая, масло подсолнечное, ароматизатор "Том Ям", соль, томаты сушёные, кинза, регулятор кислотности лимонная кислота, консервант сорбат калия, лемонграсс, перец чили дроблёный, перец красный молотый.</t>
  </si>
  <si>
    <t>Грильяж с кедровым орехом 135г</t>
  </si>
  <si>
    <t>Орех кедровый, глазурь кондитерская (сахар, растительный жир лауриновый, какао- порошок, лецитин соевый (натуральный эмульгатор), ароматизатор натуральный ванилин), мед натуральный, фундук жареный)</t>
  </si>
  <si>
    <t>http://1.c8804.nichost.ru/pics/16270.png</t>
  </si>
  <si>
    <t>мука облепиховая, мука льняная, фруктоза, толокно овсяное.</t>
  </si>
  <si>
    <t>http://1.c8804.nichost.ru/pics/16349.jpg</t>
  </si>
  <si>
    <t>фасоль крупа красная, томат порошок, капуста сушёная, паприка красная, морковь гранулы, соль,  петрушка сушёная, укроп сушёный, кориандр, куркума, перец чёрный молотый, мускатный орех, семена аниса молотые.</t>
  </si>
  <si>
    <t>https://naturevector.ru/wp-content/uploads/2023/09/c22b288535c0fcec6f53d2f46beb60cc.jpg</t>
  </si>
  <si>
    <r>
      <t>Суп-пюре "</t>
    </r>
    <r>
      <rPr>
        <b/>
        <sz val="10"/>
        <color theme="9" tint="-0.249977111117893"/>
        <rFont val="Calibri"/>
        <family val="2"/>
        <scheme val="minor"/>
      </rPr>
      <t>Фасолевый</t>
    </r>
    <r>
      <rPr>
        <sz val="10"/>
        <color theme="9" tint="-0.249977111117893"/>
        <rFont val="Calibri"/>
        <family val="2"/>
        <scheme val="minor"/>
      </rPr>
      <t>" 10стиков*30г</t>
    </r>
  </si>
  <si>
    <r>
      <t xml:space="preserve">Кисель detox bio </t>
    </r>
    <r>
      <rPr>
        <b/>
        <sz val="10"/>
        <color theme="9" tint="-0.249977111117893"/>
        <rFont val="Calibri"/>
        <family val="2"/>
        <scheme val="minor"/>
      </rPr>
      <t>Active</t>
    </r>
    <r>
      <rPr>
        <sz val="10"/>
        <color theme="9" tint="-0.249977111117893"/>
        <rFont val="Calibri"/>
        <family val="2"/>
        <scheme val="minor"/>
      </rPr>
      <t xml:space="preserve"> Облепиховая косточка 10пак. 250г</t>
    </r>
  </si>
  <si>
    <r>
      <t xml:space="preserve">Шоколад горький 65% с </t>
    </r>
    <r>
      <rPr>
        <b/>
        <sz val="10"/>
        <rFont val="Calibri"/>
        <family val="2"/>
        <scheme val="minor"/>
      </rPr>
      <t>корицей</t>
    </r>
    <r>
      <rPr>
        <sz val="10"/>
        <rFont val="Calibri"/>
        <family val="2"/>
        <scheme val="minor"/>
      </rPr>
      <t xml:space="preserve"> на кокосовом сахаре 100г</t>
    </r>
  </si>
  <si>
    <r>
      <t xml:space="preserve">Шоколад горький 68% с </t>
    </r>
    <r>
      <rPr>
        <b/>
        <sz val="10"/>
        <rFont val="Calibri"/>
        <family val="2"/>
        <scheme val="minor"/>
      </rPr>
      <t>кориандром</t>
    </r>
    <r>
      <rPr>
        <sz val="10"/>
        <rFont val="Calibri"/>
        <family val="2"/>
        <scheme val="minor"/>
      </rPr>
      <t xml:space="preserve"> на кокосовом сахаре 100г</t>
    </r>
  </si>
  <si>
    <r>
      <t xml:space="preserve">Конфеты "Трюфель горький с </t>
    </r>
    <r>
      <rPr>
        <b/>
        <sz val="10"/>
        <rFont val="Calibri"/>
        <family val="2"/>
        <scheme val="minor"/>
      </rPr>
      <t>коньяком</t>
    </r>
    <r>
      <rPr>
        <sz val="10"/>
        <rFont val="Calibri"/>
        <family val="2"/>
        <scheme val="minor"/>
      </rPr>
      <t>" 120г</t>
    </r>
  </si>
  <si>
    <r>
      <t xml:space="preserve">Конфеты "Трюфель с </t>
    </r>
    <r>
      <rPr>
        <b/>
        <sz val="10"/>
        <rFont val="Calibri"/>
        <family val="2"/>
        <scheme val="minor"/>
      </rPr>
      <t>колумбийским кофе</t>
    </r>
    <r>
      <rPr>
        <sz val="10"/>
        <rFont val="Calibri"/>
        <family val="2"/>
        <scheme val="minor"/>
      </rPr>
      <t>" 125г</t>
    </r>
  </si>
  <si>
    <r>
      <t xml:space="preserve">Конфеты "Трюфель с </t>
    </r>
    <r>
      <rPr>
        <b/>
        <sz val="10"/>
        <rFont val="Calibri"/>
        <family val="2"/>
        <scheme val="minor"/>
      </rPr>
      <t>черносливом в коньяке</t>
    </r>
    <r>
      <rPr>
        <sz val="10"/>
        <rFont val="Calibri"/>
        <family val="2"/>
        <scheme val="minor"/>
      </rPr>
      <t>" 120г</t>
    </r>
  </si>
  <si>
    <r>
      <t>Конфеты "</t>
    </r>
    <r>
      <rPr>
        <b/>
        <sz val="10"/>
        <rFont val="Calibri"/>
        <family val="2"/>
        <scheme val="minor"/>
      </rPr>
      <t>Халва миндальная с трюфельным кремом в темном шоколаде</t>
    </r>
    <r>
      <rPr>
        <sz val="10"/>
        <rFont val="Calibri"/>
        <family val="2"/>
        <scheme val="minor"/>
      </rPr>
      <t>" 130г</t>
    </r>
  </si>
  <si>
    <r>
      <t xml:space="preserve">Конфеты "Трюфель в темном шоколаде с </t>
    </r>
    <r>
      <rPr>
        <b/>
        <sz val="10"/>
        <rFont val="Calibri"/>
        <family val="2"/>
        <charset val="204"/>
        <scheme val="minor"/>
      </rPr>
      <t>клюквой в ягодном ликере</t>
    </r>
    <r>
      <rPr>
        <sz val="10"/>
        <rFont val="Calibri"/>
        <family val="2"/>
        <scheme val="minor"/>
      </rPr>
      <t>" 130г</t>
    </r>
  </si>
  <si>
    <r>
      <t xml:space="preserve">Мармелад Bitey "Чувисы" </t>
    </r>
    <r>
      <rPr>
        <b/>
        <sz val="10"/>
        <rFont val="Calibri"/>
        <family val="2"/>
        <scheme val="minor"/>
      </rPr>
      <t>Апельсин</t>
    </r>
    <r>
      <rPr>
        <sz val="10"/>
        <rFont val="Calibri"/>
        <family val="2"/>
        <scheme val="minor"/>
      </rPr>
      <t xml:space="preserve"> 20г</t>
    </r>
  </si>
  <si>
    <r>
      <t xml:space="preserve">Печенье Bitey </t>
    </r>
    <r>
      <rPr>
        <u/>
        <sz val="10"/>
        <rFont val="Calibri"/>
        <family val="2"/>
        <scheme val="minor"/>
      </rPr>
      <t>с глазурью</t>
    </r>
    <r>
      <rPr>
        <sz val="10"/>
        <rFont val="Calibri"/>
        <family val="2"/>
        <scheme val="minor"/>
      </rPr>
      <t xml:space="preserve"> "</t>
    </r>
    <r>
      <rPr>
        <b/>
        <sz val="10"/>
        <rFont val="Calibri"/>
        <family val="2"/>
        <scheme val="minor"/>
      </rPr>
      <t>Лесные ягоды</t>
    </r>
    <r>
      <rPr>
        <sz val="10"/>
        <rFont val="Calibri"/>
        <family val="2"/>
        <scheme val="minor"/>
      </rPr>
      <t>" безглютеновое 125г</t>
    </r>
  </si>
  <si>
    <t>Конфеты и шоколад</t>
  </si>
  <si>
    <t>Миндальное пралине в молочном шоколаде, Фундучное пралине с кукурузной крошкой в молочном шоколаде,Фундучное пралине с зернами кофе в молочном шоколаде, Арахисовое пралине с вишней и меренгами в темном шоколад, Фундучный крем с кукурузной крошкой в молочном шоколаде</t>
  </si>
  <si>
    <t>http://1.c8804.nichost.ru/pics/20798.jpg</t>
  </si>
  <si>
    <r>
      <t>Конфеты шоколадные, ассорти "</t>
    </r>
    <r>
      <rPr>
        <b/>
        <sz val="10"/>
        <rFont val="Calibri"/>
        <family val="2"/>
        <charset val="204"/>
        <scheme val="minor"/>
      </rPr>
      <t>Символы России</t>
    </r>
    <r>
      <rPr>
        <sz val="10"/>
        <rFont val="Calibri"/>
        <family val="2"/>
        <scheme val="minor"/>
      </rPr>
      <t>" коробка 130г</t>
    </r>
  </si>
  <si>
    <r>
      <t>Бальзам "</t>
    </r>
    <r>
      <rPr>
        <b/>
        <sz val="10"/>
        <color theme="1"/>
        <rFont val="Calibri"/>
        <family val="2"/>
        <charset val="204"/>
        <scheme val="minor"/>
      </rPr>
      <t>Девять Сил</t>
    </r>
    <r>
      <rPr>
        <sz val="10"/>
        <color theme="1"/>
        <rFont val="Calibri"/>
        <family val="2"/>
        <scheme val="minor"/>
      </rPr>
      <t>" (Мышцы и связки) 50г</t>
    </r>
  </si>
  <si>
    <t>_28seeds</t>
  </si>
  <si>
    <r>
      <t xml:space="preserve">Конфеты "Трюфель </t>
    </r>
    <r>
      <rPr>
        <b/>
        <sz val="10"/>
        <rFont val="Calibri"/>
        <family val="2"/>
        <charset val="204"/>
        <scheme val="minor"/>
      </rPr>
      <t>Рождественский</t>
    </r>
    <r>
      <rPr>
        <sz val="10"/>
        <rFont val="Calibri"/>
        <family val="2"/>
        <scheme val="minor"/>
      </rPr>
      <t>" упаковка 150г</t>
    </r>
  </si>
  <si>
    <r>
      <t xml:space="preserve">ФитПарад № 10 - </t>
    </r>
    <r>
      <rPr>
        <b/>
        <sz val="10"/>
        <color theme="1"/>
        <rFont val="Calibri"/>
        <family val="2"/>
        <charset val="204"/>
        <scheme val="minor"/>
      </rPr>
      <t>50г</t>
    </r>
    <r>
      <rPr>
        <sz val="10"/>
        <color theme="1"/>
        <rFont val="Calibri"/>
        <family val="2"/>
        <scheme val="minor"/>
      </rPr>
      <t xml:space="preserve"> эритрит, сукралоза, стевиозид 100шт САШЕ</t>
    </r>
  </si>
  <si>
    <t xml:space="preserve">Подорожника отруби (псиллиум) 180г </t>
  </si>
  <si>
    <r>
      <t xml:space="preserve">Макароны Рожки большие </t>
    </r>
    <r>
      <rPr>
        <b/>
        <sz val="10"/>
        <rFont val="Calibri"/>
        <family val="2"/>
        <scheme val="minor"/>
      </rPr>
      <t>кукурузные</t>
    </r>
    <r>
      <rPr>
        <sz val="10"/>
        <rFont val="Calibri"/>
        <family val="2"/>
        <scheme val="minor"/>
      </rPr>
      <t xml:space="preserve"> "Диетика" 300г</t>
    </r>
  </si>
  <si>
    <t>Масла растительные рафинированные, дезодорированные (кокосовое, подсолнечное), хлопья овсяные без глютена, мука рисовая, изомальт, ядра семян подсолнечника, вода, ядра семян тыквы, сироп топинамбура, мука льняная, семя льна, сода питьевая (гидрокарбонат натрия), корица, ароматизатор натуральный «ваниль», соль пищевая</t>
  </si>
  <si>
    <t>Масла рафинированные дезодорированные (кокосовое, подсолнечное), изомальт, ядра семян подсолнечника, хлопья овсяные без глютена, мука рисовая, вода питьевая,  сироп топинамбура, мука льняная, сода питьевая (гидрокарбонат натрия), корица, ароматизатор натуральный «ваниль», соль пищевая</t>
  </si>
  <si>
    <t>Мука рисовая, масла растительные рафинированные, дезодорированные (кокосовое, подсолнечное), мука кукурузная, мальтит, вода питьевая, крахмал кукурузный, ароматизатор кленовый сироп, пищевые волокна (бамбуклвые), сода питьевая (гидрокарбонат натрия) соль пищевая, кленовый сироп</t>
  </si>
  <si>
    <t>http://1.c8804.nichost.ru/pics/21462.jpg</t>
  </si>
  <si>
    <t>http://1.c8804.nichost.ru/pics/21463.jpg</t>
  </si>
  <si>
    <t>http://1.c8804.nichost.ru/pics/21464.jpg</t>
  </si>
  <si>
    <t>http://1.c8804.nichost.ru/pics/21444.jpg</t>
  </si>
  <si>
    <t>http://1.c8804.nichost.ru/pics/21443.jpg</t>
  </si>
  <si>
    <t>http://1.c8804.nichost.ru/pics/21446.jpg</t>
  </si>
  <si>
    <r>
      <t xml:space="preserve">Макароны Звёздочки </t>
    </r>
    <r>
      <rPr>
        <b/>
        <sz val="10"/>
        <color theme="9" tint="-0.249977111117893"/>
        <rFont val="Calibri"/>
        <family val="2"/>
        <scheme val="minor"/>
      </rPr>
      <t>кукурузные</t>
    </r>
    <r>
      <rPr>
        <sz val="10"/>
        <color theme="9" tint="-0.249977111117893"/>
        <rFont val="Calibri"/>
        <family val="2"/>
        <scheme val="minor"/>
      </rPr>
      <t xml:space="preserve"> без глютена "Диетика" 300г</t>
    </r>
  </si>
  <si>
    <r>
      <t xml:space="preserve">Макароны Ракушки </t>
    </r>
    <r>
      <rPr>
        <b/>
        <sz val="10"/>
        <color theme="9" tint="-0.249977111117893"/>
        <rFont val="Calibri"/>
        <family val="2"/>
        <scheme val="minor"/>
      </rPr>
      <t>рисовые</t>
    </r>
    <r>
      <rPr>
        <sz val="10"/>
        <color theme="9" tint="-0.249977111117893"/>
        <rFont val="Calibri"/>
        <family val="2"/>
        <scheme val="minor"/>
      </rPr>
      <t xml:space="preserve"> без глютена "Диетика" 250г</t>
    </r>
  </si>
  <si>
    <r>
      <t xml:space="preserve">Макароны Рожки большие </t>
    </r>
    <r>
      <rPr>
        <b/>
        <sz val="10"/>
        <color theme="9" tint="-0.249977111117893"/>
        <rFont val="Calibri"/>
        <family val="2"/>
        <scheme val="minor"/>
      </rPr>
      <t>рисовые</t>
    </r>
    <r>
      <rPr>
        <sz val="10"/>
        <color theme="9" tint="-0.249977111117893"/>
        <rFont val="Calibri"/>
        <family val="2"/>
        <scheme val="minor"/>
      </rPr>
      <t xml:space="preserve"> "Диетика" 250г</t>
    </r>
  </si>
  <si>
    <r>
      <t>Печенье овсяное "</t>
    </r>
    <r>
      <rPr>
        <b/>
        <sz val="10"/>
        <color theme="9" tint="-0.249977111117893"/>
        <rFont val="Calibri"/>
        <family val="2"/>
        <scheme val="minor"/>
      </rPr>
      <t>Домашнее</t>
    </r>
    <r>
      <rPr>
        <sz val="10"/>
        <color theme="9" tint="-0.249977111117893"/>
        <rFont val="Calibri"/>
        <family val="2"/>
        <scheme val="minor"/>
      </rPr>
      <t>" без сахара "Диетика" 140г</t>
    </r>
  </si>
  <si>
    <t>рисовая мука, рафинированные и дезодорированные растительные масла (кокосовое, подсолнечное), кукурузная мука, вода питьевая, сахар-песок, кукурузные крахмал, виноград сушеный (изюм), хлопья овсяные, растительные пищевые волокна (бамбуковые), разрыхлитель - гидрокарбонат натрия Е500, корица, сахарные колер, соль</t>
  </si>
  <si>
    <t>http://1.c8804.nichost.ru/pics/21447.jpg</t>
  </si>
  <si>
    <r>
      <t>Печенье овсяное "</t>
    </r>
    <r>
      <rPr>
        <b/>
        <sz val="10"/>
        <color theme="9" tint="-0.249977111117893"/>
        <rFont val="Calibri"/>
        <family val="2"/>
        <scheme val="minor"/>
      </rPr>
      <t>Наслаждение</t>
    </r>
    <r>
      <rPr>
        <sz val="10"/>
        <color theme="9" tint="-0.249977111117893"/>
        <rFont val="Calibri"/>
        <family val="2"/>
        <scheme val="minor"/>
      </rPr>
      <t>" без сахара "Диетика" 140г</t>
    </r>
  </si>
  <si>
    <r>
      <t>Печенье рисовое "</t>
    </r>
    <r>
      <rPr>
        <b/>
        <sz val="10"/>
        <color theme="9" tint="-0.249977111117893"/>
        <rFont val="Calibri"/>
        <family val="2"/>
        <scheme val="minor"/>
      </rPr>
      <t>С кленовым сиропом</t>
    </r>
    <r>
      <rPr>
        <sz val="10"/>
        <color theme="9" tint="-0.249977111117893"/>
        <rFont val="Calibri"/>
        <family val="2"/>
        <scheme val="minor"/>
      </rPr>
      <t>" без сахара "Диетика" 140г</t>
    </r>
  </si>
  <si>
    <t>мука рисовая, крахмал кукурузный, пищевые волокна из растительного сырья</t>
  </si>
  <si>
    <t>Смесь мучная универсальная (рис, кукуруза), без глютена "Диетика" 500г</t>
  </si>
  <si>
    <t>хлопья рисовые, хлопья пшенные</t>
  </si>
  <si>
    <t>http://1.c8804.nichost.ru/pics/21449.jpg</t>
  </si>
  <si>
    <t>http://1.c8804.nichost.ru/pics/21445.jpg</t>
  </si>
  <si>
    <r>
      <t xml:space="preserve">Дрессинг </t>
    </r>
    <r>
      <rPr>
        <b/>
        <sz val="10"/>
        <rFont val="Calibri"/>
        <family val="2"/>
        <scheme val="minor"/>
      </rPr>
      <t>Вьетнамский с лемонграссом</t>
    </r>
    <r>
      <rPr>
        <sz val="10"/>
        <rFont val="Calibri"/>
        <family val="2"/>
        <scheme val="minor"/>
      </rPr>
      <t xml:space="preserve"> Mae Ploy 285мл</t>
    </r>
  </si>
  <si>
    <r>
      <t xml:space="preserve">Батончик Bite </t>
    </r>
    <r>
      <rPr>
        <b/>
        <sz val="10"/>
        <rFont val="Calibri"/>
        <family val="2"/>
        <scheme val="minor"/>
      </rPr>
      <t>"LOVE"</t>
    </r>
    <r>
      <rPr>
        <sz val="10"/>
        <rFont val="Calibri"/>
        <family val="2"/>
        <scheme val="minor"/>
      </rPr>
      <t xml:space="preserve"> вишня и миндаль 45г</t>
    </r>
  </si>
  <si>
    <r>
      <t xml:space="preserve">Батончик Bite </t>
    </r>
    <r>
      <rPr>
        <b/>
        <sz val="10"/>
        <rFont val="Calibri"/>
        <family val="2"/>
        <scheme val="minor"/>
      </rPr>
      <t>"Баланс"</t>
    </r>
    <r>
      <rPr>
        <sz val="10"/>
        <rFont val="Calibri"/>
        <family val="2"/>
        <scheme val="minor"/>
      </rPr>
      <t xml:space="preserve"> кокос и бразильский орех 45г</t>
    </r>
  </si>
  <si>
    <r>
      <t xml:space="preserve">Батончик Bite </t>
    </r>
    <r>
      <rPr>
        <b/>
        <sz val="10"/>
        <rFont val="Calibri"/>
        <family val="2"/>
        <scheme val="minor"/>
      </rPr>
      <t>"Настроение"</t>
    </r>
    <r>
      <rPr>
        <sz val="10"/>
        <rFont val="Calibri"/>
        <family val="2"/>
        <scheme val="minor"/>
      </rPr>
      <t xml:space="preserve"> шоколад и фундук 45г</t>
    </r>
  </si>
  <si>
    <r>
      <t>Вафли Bite «</t>
    </r>
    <r>
      <rPr>
        <b/>
        <sz val="10"/>
        <rFont val="Calibri"/>
        <family val="2"/>
        <scheme val="minor"/>
      </rPr>
      <t>Шоколад - фундук</t>
    </r>
    <r>
      <rPr>
        <sz val="10"/>
        <rFont val="Calibri"/>
        <family val="2"/>
        <scheme val="minor"/>
      </rPr>
      <t>» 30г</t>
    </r>
  </si>
  <si>
    <r>
      <t xml:space="preserve">Клетчатка пшеничная </t>
    </r>
    <r>
      <rPr>
        <b/>
        <sz val="10"/>
        <rFont val="Calibri"/>
        <family val="2"/>
        <scheme val="minor"/>
      </rPr>
      <t>Клюква</t>
    </r>
    <r>
      <rPr>
        <sz val="10"/>
        <rFont val="Calibri"/>
        <family val="2"/>
        <scheme val="minor"/>
      </rPr>
      <t xml:space="preserve"> бум.пакет 300г</t>
    </r>
  </si>
  <si>
    <r>
      <t xml:space="preserve">Клетчатка пшеничная </t>
    </r>
    <r>
      <rPr>
        <b/>
        <sz val="10"/>
        <rFont val="Calibri"/>
        <family val="2"/>
        <scheme val="minor"/>
      </rPr>
      <t>Лён</t>
    </r>
    <r>
      <rPr>
        <sz val="10"/>
        <rFont val="Calibri"/>
        <family val="2"/>
        <scheme val="minor"/>
      </rPr>
      <t xml:space="preserve"> бум.пакет 300г</t>
    </r>
  </si>
  <si>
    <r>
      <t xml:space="preserve">Клетчатка пшеничная </t>
    </r>
    <r>
      <rPr>
        <b/>
        <sz val="10"/>
        <rFont val="Calibri"/>
        <family val="2"/>
        <scheme val="minor"/>
      </rPr>
      <t>Расторопша</t>
    </r>
    <r>
      <rPr>
        <sz val="10"/>
        <rFont val="Calibri"/>
        <family val="2"/>
        <scheme val="minor"/>
      </rPr>
      <t xml:space="preserve"> бум.пакет 300г</t>
    </r>
  </si>
  <si>
    <r>
      <t xml:space="preserve">Клетчатка пшеничная </t>
    </r>
    <r>
      <rPr>
        <b/>
        <sz val="10"/>
        <rFont val="Calibri"/>
        <family val="2"/>
        <scheme val="minor"/>
      </rPr>
      <t>Топинамбур</t>
    </r>
    <r>
      <rPr>
        <sz val="10"/>
        <rFont val="Calibri"/>
        <family val="2"/>
        <scheme val="minor"/>
      </rPr>
      <t xml:space="preserve"> бум.пакет 300г</t>
    </r>
  </si>
  <si>
    <r>
      <t xml:space="preserve">Клетчатка пшеничная </t>
    </r>
    <r>
      <rPr>
        <b/>
        <sz val="10"/>
        <rFont val="Calibri"/>
        <family val="2"/>
        <scheme val="minor"/>
      </rPr>
      <t>Черника</t>
    </r>
    <r>
      <rPr>
        <sz val="10"/>
        <rFont val="Calibri"/>
        <family val="2"/>
        <scheme val="minor"/>
      </rPr>
      <t xml:space="preserve"> бум.пакет 300г</t>
    </r>
  </si>
  <si>
    <r>
      <t xml:space="preserve">Квас </t>
    </r>
    <r>
      <rPr>
        <b/>
        <sz val="10"/>
        <rFont val="Calibri"/>
        <family val="2"/>
        <scheme val="minor"/>
      </rPr>
      <t>"Алтайский"</t>
    </r>
    <r>
      <rPr>
        <sz val="10"/>
        <rFont val="Calibri"/>
        <family val="2"/>
        <scheme val="minor"/>
      </rPr>
      <t xml:space="preserve"> с ржаным солодом и ягодами 700г</t>
    </r>
  </si>
  <si>
    <r>
      <t xml:space="preserve">Квас </t>
    </r>
    <r>
      <rPr>
        <b/>
        <sz val="10"/>
        <rFont val="Calibri"/>
        <family val="2"/>
        <scheme val="minor"/>
      </rPr>
      <t>"Таёжный"</t>
    </r>
    <r>
      <rPr>
        <sz val="10"/>
        <rFont val="Calibri"/>
        <family val="2"/>
        <scheme val="minor"/>
      </rPr>
      <t xml:space="preserve"> с ячменным и ржаным солодом и ягодами 700г</t>
    </r>
  </si>
  <si>
    <r>
      <t>Макароны 3 злака "</t>
    </r>
    <r>
      <rPr>
        <b/>
        <sz val="10"/>
        <rFont val="Calibri"/>
        <family val="2"/>
        <scheme val="minor"/>
      </rPr>
      <t>Ракушки</t>
    </r>
    <r>
      <rPr>
        <sz val="10"/>
        <rFont val="Calibri"/>
        <family val="2"/>
        <scheme val="minor"/>
      </rPr>
      <t>" п/п 350г</t>
    </r>
  </si>
  <si>
    <r>
      <t xml:space="preserve">Пастила диетическая "УмСладости" на стевии </t>
    </r>
    <r>
      <rPr>
        <b/>
        <sz val="10"/>
        <color theme="1"/>
        <rFont val="Calibri"/>
        <family val="2"/>
        <scheme val="minor"/>
      </rPr>
      <t>банан</t>
    </r>
    <r>
      <rPr>
        <sz val="10"/>
        <color theme="1"/>
        <rFont val="Calibri"/>
        <family val="2"/>
        <scheme val="minor"/>
      </rPr>
      <t xml:space="preserve"> 160г</t>
    </r>
  </si>
  <si>
    <r>
      <t xml:space="preserve">Пастила диетическая "УмСладости" на стевии </t>
    </r>
    <r>
      <rPr>
        <b/>
        <sz val="10"/>
        <color theme="1"/>
        <rFont val="Calibri"/>
        <family val="2"/>
        <scheme val="minor"/>
      </rPr>
      <t xml:space="preserve">клюква </t>
    </r>
    <r>
      <rPr>
        <sz val="10"/>
        <color theme="1"/>
        <rFont val="Calibri"/>
        <family val="2"/>
        <scheme val="minor"/>
      </rPr>
      <t>160г</t>
    </r>
  </si>
  <si>
    <r>
      <t xml:space="preserve">Козинаки из полбы на фруктозе с </t>
    </r>
    <r>
      <rPr>
        <b/>
        <sz val="10"/>
        <color theme="1"/>
        <rFont val="Calibri"/>
        <family val="2"/>
        <scheme val="minor"/>
      </rPr>
      <t>какао</t>
    </r>
    <r>
      <rPr>
        <sz val="10"/>
        <color theme="1"/>
        <rFont val="Calibri"/>
        <family val="2"/>
        <scheme val="minor"/>
      </rPr>
      <t xml:space="preserve"> 20г</t>
    </r>
  </si>
  <si>
    <r>
      <t xml:space="preserve">Суп </t>
    </r>
    <r>
      <rPr>
        <b/>
        <sz val="10"/>
        <color theme="1"/>
        <rFont val="Calibri"/>
        <family val="2"/>
        <scheme val="minor"/>
      </rPr>
      <t>Крестьянский с грибами</t>
    </r>
    <r>
      <rPr>
        <sz val="10"/>
        <color theme="1"/>
        <rFont val="Calibri"/>
        <family val="2"/>
        <scheme val="minor"/>
      </rPr>
      <t xml:space="preserve"> </t>
    </r>
    <r>
      <rPr>
        <u/>
        <sz val="10"/>
        <color theme="1"/>
        <rFont val="Calibri"/>
        <family val="2"/>
        <scheme val="minor"/>
      </rPr>
      <t>vegan</t>
    </r>
    <r>
      <rPr>
        <sz val="10"/>
        <color theme="1"/>
        <rFont val="Calibri"/>
        <family val="2"/>
        <scheme val="minor"/>
      </rPr>
      <t>, реторт-пакет 300г</t>
    </r>
  </si>
  <si>
    <r>
      <t xml:space="preserve">Суп </t>
    </r>
    <r>
      <rPr>
        <b/>
        <sz val="10"/>
        <color theme="1"/>
        <rFont val="Calibri"/>
        <family val="2"/>
        <scheme val="minor"/>
      </rPr>
      <t>Солянка</t>
    </r>
    <r>
      <rPr>
        <sz val="10"/>
        <color theme="1"/>
        <rFont val="Calibri"/>
        <family val="2"/>
        <scheme val="minor"/>
      </rPr>
      <t>, реторт-пакет 300г</t>
    </r>
  </si>
  <si>
    <t>АКЦИЯ! СКИДКА 10%</t>
  </si>
  <si>
    <r>
      <t xml:space="preserve">Хлебцы кукурузно-рисовые </t>
    </r>
    <r>
      <rPr>
        <u/>
        <sz val="10"/>
        <color theme="9" tint="-0.249977111117893"/>
        <rFont val="Calibri"/>
        <family val="2"/>
        <scheme val="minor"/>
      </rPr>
      <t>хрустящие</t>
    </r>
    <r>
      <rPr>
        <sz val="10"/>
        <color theme="9" tint="-0.249977111117893"/>
        <rFont val="Calibri"/>
        <family val="2"/>
        <scheme val="minor"/>
      </rPr>
      <t xml:space="preserve">, </t>
    </r>
    <r>
      <rPr>
        <b/>
        <sz val="10"/>
        <color theme="9" tint="-0.249977111117893"/>
        <rFont val="Calibri"/>
        <family val="2"/>
        <scheme val="minor"/>
      </rPr>
      <t>лесные грибы</t>
    </r>
    <r>
      <rPr>
        <sz val="10"/>
        <color theme="9" tint="-0.249977111117893"/>
        <rFont val="Calibri"/>
        <family val="2"/>
        <scheme val="minor"/>
      </rPr>
      <t xml:space="preserve"> 100г</t>
    </r>
  </si>
  <si>
    <t>Мука рисовая, крупа кукурузная, мука кукурузная, паприка, томат, соль, натуральный ароматизатор.</t>
  </si>
  <si>
    <t>http://1.c8804.nichost.ru/pics/21458.jpg</t>
  </si>
  <si>
    <r>
      <t xml:space="preserve">Хлебцы кукурузно-рисовые </t>
    </r>
    <r>
      <rPr>
        <u/>
        <sz val="10"/>
        <color theme="9" tint="-0.249977111117893"/>
        <rFont val="Calibri"/>
        <family val="2"/>
        <scheme val="minor"/>
      </rPr>
      <t>хрустящие</t>
    </r>
    <r>
      <rPr>
        <sz val="10"/>
        <color theme="9" tint="-0.249977111117893"/>
        <rFont val="Calibri"/>
        <family val="2"/>
        <scheme val="minor"/>
      </rPr>
      <t xml:space="preserve">, </t>
    </r>
    <r>
      <rPr>
        <b/>
        <sz val="10"/>
        <color theme="9" tint="-0.249977111117893"/>
        <rFont val="Calibri"/>
        <family val="2"/>
        <scheme val="minor"/>
      </rPr>
      <t>паприка с томатом</t>
    </r>
    <r>
      <rPr>
        <sz val="10"/>
        <color theme="9" tint="-0.249977111117893"/>
        <rFont val="Calibri"/>
        <family val="2"/>
        <scheme val="minor"/>
      </rPr>
      <t xml:space="preserve"> 100г</t>
    </r>
  </si>
  <si>
    <t>новинка! квант 8шт</t>
  </si>
  <si>
    <r>
      <t xml:space="preserve">Хлебцы кукурузно-рисовые </t>
    </r>
    <r>
      <rPr>
        <u/>
        <sz val="10"/>
        <color theme="9" tint="-0.249977111117893"/>
        <rFont val="Calibri"/>
        <family val="2"/>
        <scheme val="minor"/>
      </rPr>
      <t>хрустящие</t>
    </r>
    <r>
      <rPr>
        <sz val="10"/>
        <color theme="9" tint="-0.249977111117893"/>
        <rFont val="Calibri"/>
        <family val="2"/>
        <scheme val="minor"/>
      </rPr>
      <t xml:space="preserve">, </t>
    </r>
    <r>
      <rPr>
        <b/>
        <sz val="10"/>
        <color theme="9" tint="-0.249977111117893"/>
        <rFont val="Calibri"/>
        <family val="2"/>
        <scheme val="minor"/>
      </rPr>
      <t>сметана и лук</t>
    </r>
    <r>
      <rPr>
        <sz val="10"/>
        <color theme="9" tint="-0.249977111117893"/>
        <rFont val="Calibri"/>
        <family val="2"/>
        <scheme val="minor"/>
      </rPr>
      <t xml:space="preserve"> 100г</t>
    </r>
  </si>
  <si>
    <t>Водные экстракты прополиса, цветков ромашки аптечной, цветков календулы лекарственной, пропиленгликоль, глицерин</t>
  </si>
  <si>
    <r>
      <t xml:space="preserve">Прополис спрей </t>
    </r>
    <r>
      <rPr>
        <b/>
        <sz val="10"/>
        <color theme="9" tint="-0.249977111117893"/>
        <rFont val="Calibri"/>
        <family val="2"/>
        <scheme val="minor"/>
      </rPr>
      <t>на травах</t>
    </r>
    <r>
      <rPr>
        <sz val="10"/>
        <color theme="9" tint="-0.249977111117893"/>
        <rFont val="Calibri"/>
        <family val="2"/>
        <scheme val="minor"/>
      </rPr>
      <t xml:space="preserve"> 50мл</t>
    </r>
  </si>
  <si>
    <t>http://1.c8804.nichost.ru/pics/21460.jpg</t>
  </si>
  <si>
    <t>медофеты ассорти: клубника, йогрут, курага</t>
  </si>
  <si>
    <t>http://1.c8804.nichost.ru/pics/21456.jpg</t>
  </si>
  <si>
    <r>
      <t xml:space="preserve">Конфеты "Медофеты" в шоколаде </t>
    </r>
    <r>
      <rPr>
        <b/>
        <sz val="10"/>
        <color theme="9" tint="-0.249977111117893"/>
        <rFont val="Calibri"/>
        <family val="2"/>
        <scheme val="minor"/>
      </rPr>
      <t>ассорти: клубника</t>
    </r>
    <r>
      <rPr>
        <sz val="10"/>
        <color theme="9" tint="-0.249977111117893"/>
        <rFont val="Calibri"/>
        <family val="2"/>
        <scheme val="minor"/>
      </rPr>
      <t>, йогурт, курага 150г</t>
    </r>
  </si>
  <si>
    <r>
      <t xml:space="preserve">Конфеты "Кедровая </t>
    </r>
    <r>
      <rPr>
        <b/>
        <sz val="10"/>
        <color theme="9" tint="-0.249977111117893"/>
        <rFont val="Calibri"/>
        <family val="2"/>
        <scheme val="minor"/>
      </rPr>
      <t>комета</t>
    </r>
    <r>
      <rPr>
        <sz val="10"/>
        <color theme="9" tint="-0.249977111117893"/>
        <rFont val="Calibri"/>
        <family val="2"/>
        <scheme val="minor"/>
      </rPr>
      <t xml:space="preserve">" </t>
    </r>
    <r>
      <rPr>
        <b/>
        <sz val="10"/>
        <color theme="9" tint="-0.249977111117893"/>
        <rFont val="Calibri"/>
        <family val="2"/>
        <scheme val="minor"/>
      </rPr>
      <t>классическая</t>
    </r>
    <r>
      <rPr>
        <sz val="10"/>
        <color theme="9" tint="-0.249977111117893"/>
        <rFont val="Calibri"/>
        <family val="2"/>
        <scheme val="minor"/>
      </rPr>
      <t xml:space="preserve"> без сахара, батончик 40г</t>
    </r>
  </si>
  <si>
    <r>
      <t xml:space="preserve">Конфеты "Кедровая </t>
    </r>
    <r>
      <rPr>
        <b/>
        <sz val="10"/>
        <color theme="9" tint="-0.249977111117893"/>
        <rFont val="Calibri"/>
        <family val="2"/>
        <scheme val="minor"/>
      </rPr>
      <t>комета</t>
    </r>
    <r>
      <rPr>
        <sz val="10"/>
        <color theme="9" tint="-0.249977111117893"/>
        <rFont val="Calibri"/>
        <family val="2"/>
        <scheme val="minor"/>
      </rPr>
      <t xml:space="preserve">" с </t>
    </r>
    <r>
      <rPr>
        <b/>
        <sz val="10"/>
        <color theme="9" tint="-0.249977111117893"/>
        <rFont val="Calibri"/>
        <family val="2"/>
        <scheme val="minor"/>
      </rPr>
      <t>земляникой</t>
    </r>
    <r>
      <rPr>
        <sz val="10"/>
        <color theme="9" tint="-0.249977111117893"/>
        <rFont val="Calibri"/>
        <family val="2"/>
        <scheme val="minor"/>
      </rPr>
      <t xml:space="preserve"> без сахара батончик 40г</t>
    </r>
  </si>
  <si>
    <r>
      <t xml:space="preserve">Конфеты "Кедровая </t>
    </r>
    <r>
      <rPr>
        <b/>
        <sz val="10"/>
        <color theme="9" tint="-0.249977111117893"/>
        <rFont val="Calibri"/>
        <family val="2"/>
        <scheme val="minor"/>
      </rPr>
      <t>комета</t>
    </r>
    <r>
      <rPr>
        <sz val="10"/>
        <color theme="9" tint="-0.249977111117893"/>
        <rFont val="Calibri"/>
        <family val="2"/>
        <scheme val="minor"/>
      </rPr>
      <t xml:space="preserve">" с </t>
    </r>
    <r>
      <rPr>
        <b/>
        <sz val="10"/>
        <color theme="9" tint="-0.249977111117893"/>
        <rFont val="Calibri"/>
        <family val="2"/>
        <scheme val="minor"/>
      </rPr>
      <t>клюквой</t>
    </r>
    <r>
      <rPr>
        <sz val="10"/>
        <color theme="9" tint="-0.249977111117893"/>
        <rFont val="Calibri"/>
        <family val="2"/>
        <scheme val="minor"/>
      </rPr>
      <t xml:space="preserve"> без сахара батончик 40г</t>
    </r>
  </si>
  <si>
    <t>ядро кедрового ореха, патока, молочная шоколадная глазурь без добавления сахара (мальтит, какао-масло, молоко сухое цельное, какао-порошок, эмульгатор (лецитин соевый), ванилин), ядро арахиса, ядро кешью, мёд натуральный, пастила клюквенная (пюре яблочное, ягоды клюквы), рис воздушный (крупа рисовая высший сорт, мука пшеничная высший сорт, соль)</t>
  </si>
  <si>
    <t>http://1.c8804.nichost.ru/pics/21465.jpg</t>
  </si>
  <si>
    <t>http://1.c8804.nichost.ru/pics/21466.jpg</t>
  </si>
  <si>
    <t>http://1.c8804.nichost.ru/pics/21467.jpg</t>
  </si>
  <si>
    <t>ядро кедрового ореха, патока, молочная шоколадная глазурь без добавления сахара (мальтит, какао-масло, молоко сухое цельное, какао-порошок, эмульгатор (лецитин соевый), ванилин), ядро арахиса, мёд натуральный, ядро кешью, пастила клубничная (пюре яблочное, ягоды клубники, экстракт свёклы, экстракт растительный — клубника), рис воздушный (крупа рисовая высший сорт, мука пшеничная высший сорт, соль), клубника сублимированная, экстракт растительный — земляника</t>
  </si>
  <si>
    <t>ядро кедрового ореха, патока, молочная шоколадная глазурь без добавления сахара (мальтит, какао-масло, молоко сухое цельное, какао-порошок, эмульгатор (лецитин соевый), ванилин), мёд натуральный, ядро арахиса, ядро кешью, пастила яблочная (пюре яблочное), рис воздушный (крупа рисовая высший сорт, мука пшеничная высший сорт, соль)</t>
  </si>
  <si>
    <t>шоколадная глазурь (сахар, какао-масло, какао-порошок, лецитин подсолнечный (эмульгатор), экстракт ванили натуральный), сахар, молоко сухое обезжиренное, сыворотка молочная сухая, кокосовое масло, ядро кедрового ореха, какао-масло, ядро кешью</t>
  </si>
  <si>
    <t>шоколадная глазурь (сахар, какао-масло, какао-порошок, лецитин подсолнечный (эмульгатор), экстракт ванили натуральный), сахар, молоко сухое обезжиренное, тесто катаифи (мука пшеничная высшего сорта, крахмал кукурузный, соль), кокосовое масло, какао-масло, ядро фисташки, сыворотка молочная сухая, ядро кешью, ядро кедрового ореха, ядро семян тыквы, ароматизатор натуральный — фисташка, краситель хлорофилл натуральный</t>
  </si>
  <si>
    <t>http://1.c8804.nichost.ru/pics/21468.jpg</t>
  </si>
  <si>
    <t>http://1.c8804.nichost.ru/pics/21469.jpg</t>
  </si>
  <si>
    <r>
      <t xml:space="preserve">Конфеты "Кедровая </t>
    </r>
    <r>
      <rPr>
        <b/>
        <sz val="10"/>
        <color theme="9" tint="-0.249977111117893"/>
        <rFont val="Calibri"/>
        <family val="2"/>
        <scheme val="minor"/>
      </rPr>
      <t>метелица</t>
    </r>
    <r>
      <rPr>
        <sz val="10"/>
        <color theme="9" tint="-0.249977111117893"/>
        <rFont val="Calibri"/>
        <family val="2"/>
        <scheme val="minor"/>
      </rPr>
      <t xml:space="preserve">" </t>
    </r>
    <r>
      <rPr>
        <b/>
        <sz val="10"/>
        <color theme="9" tint="-0.249977111117893"/>
        <rFont val="Calibri"/>
        <family val="2"/>
        <scheme val="minor"/>
      </rPr>
      <t>классическая</t>
    </r>
    <r>
      <rPr>
        <sz val="10"/>
        <color theme="9" tint="-0.249977111117893"/>
        <rFont val="Calibri"/>
        <family val="2"/>
        <scheme val="minor"/>
      </rPr>
      <t xml:space="preserve"> батончик 40г</t>
    </r>
  </si>
  <si>
    <r>
      <t xml:space="preserve">Конфеты "Кедровая </t>
    </r>
    <r>
      <rPr>
        <b/>
        <sz val="10"/>
        <color theme="9" tint="-0.249977111117893"/>
        <rFont val="Calibri"/>
        <family val="2"/>
        <scheme val="minor"/>
      </rPr>
      <t>метелица</t>
    </r>
    <r>
      <rPr>
        <sz val="10"/>
        <color theme="9" tint="-0.249977111117893"/>
        <rFont val="Calibri"/>
        <family val="2"/>
        <scheme val="minor"/>
      </rPr>
      <t xml:space="preserve">" </t>
    </r>
    <r>
      <rPr>
        <b/>
        <sz val="10"/>
        <color theme="9" tint="-0.249977111117893"/>
        <rFont val="Calibri"/>
        <family val="2"/>
        <scheme val="minor"/>
      </rPr>
      <t>фисташка</t>
    </r>
    <r>
      <rPr>
        <sz val="10"/>
        <color theme="9" tint="-0.249977111117893"/>
        <rFont val="Calibri"/>
        <family val="2"/>
        <scheme val="minor"/>
      </rPr>
      <t xml:space="preserve"> батончик 40г</t>
    </r>
  </si>
  <si>
    <r>
      <t xml:space="preserve">Конфеты финиковые "Фрутодень" </t>
    </r>
    <r>
      <rPr>
        <b/>
        <sz val="10"/>
        <color theme="9" tint="-0.249977111117893"/>
        <rFont val="Calibri"/>
        <family val="2"/>
        <scheme val="minor"/>
      </rPr>
      <t>ассорти 6 видов</t>
    </r>
    <r>
      <rPr>
        <sz val="10"/>
        <color theme="9" tint="-0.249977111117893"/>
        <rFont val="Calibri"/>
        <family val="2"/>
        <scheme val="minor"/>
      </rPr>
      <t>, б.сахара кор. 450г</t>
    </r>
  </si>
  <si>
    <t>финики, кокосовая стружка, какао-порошок, ядро кешью, ядро арахиса, взорванные зёрна риса, семена льна, ядро грецкого ореха, ядро миндаля, какао-масло, кофе молотый, экстракты растительные (малина, манго, апельсин)</t>
  </si>
  <si>
    <t>http://1.c8804.nichost.ru/pics/21448.jpg</t>
  </si>
  <si>
    <r>
      <t>Конфеты шоколадные с марципаном "</t>
    </r>
    <r>
      <rPr>
        <b/>
        <sz val="10"/>
        <color theme="9" tint="-0.249977111117893"/>
        <rFont val="Calibri"/>
        <family val="2"/>
        <scheme val="minor"/>
      </rPr>
      <t>Клубника-шампанское</t>
    </r>
    <r>
      <rPr>
        <sz val="10"/>
        <color theme="9" tint="-0.249977111117893"/>
        <rFont val="Calibri"/>
        <family val="2"/>
        <scheme val="minor"/>
      </rPr>
      <t>" 220г</t>
    </r>
  </si>
  <si>
    <r>
      <t>Конфеты шоколадные с марципаном "</t>
    </r>
    <r>
      <rPr>
        <b/>
        <sz val="10"/>
        <color theme="9" tint="-0.249977111117893"/>
        <rFont val="Calibri"/>
        <family val="2"/>
        <scheme val="minor"/>
      </rPr>
      <t>Клюква-водка</t>
    </r>
    <r>
      <rPr>
        <sz val="10"/>
        <color theme="9" tint="-0.249977111117893"/>
        <rFont val="Calibri"/>
        <family val="2"/>
        <scheme val="minor"/>
      </rPr>
      <t>" 220г</t>
    </r>
  </si>
  <si>
    <r>
      <t>Конфеты шоколадные с марципаном "</t>
    </r>
    <r>
      <rPr>
        <b/>
        <sz val="10"/>
        <color theme="9" tint="-0.249977111117893"/>
        <rFont val="Calibri"/>
        <family val="2"/>
        <scheme val="minor"/>
      </rPr>
      <t>Малина-апероль</t>
    </r>
    <r>
      <rPr>
        <sz val="10"/>
        <color theme="9" tint="-0.249977111117893"/>
        <rFont val="Calibri"/>
        <family val="2"/>
        <scheme val="minor"/>
      </rPr>
      <t>" 220г</t>
    </r>
  </si>
  <si>
    <t>сахар, миндаль бланшированный дроблёный, патока, шоколадная глазурь (сахар, какао-масло, какао-порошок, лецитин подсолнечный (эмульгатор)), ягоды малины, водка (вода питьевая, спирт ректификованный «Люкс» из пищевого сырья (зерно), сахар, настой спиртованный кедровых орехов очищенных), ядро кедрового ореха тёртое, лецитин подсолнечный (эмульгатор), пектин (желирующий агент), лимонная кислота (регулятор кислотности), экстракт ванили натуральный, ароматизатор пищевой — апероль спритц</t>
  </si>
  <si>
    <t>сахар, миндаль бланшированный дроблёный, патока, шоколадная глазурь (сахар, какао-масло, какао-порошок, лецитин подсолнечный (эмульгатор)), ягоды клюквы, водка (вода питьевая, спирт ректификованный «Люкс»‎ из пищевого сырья (зерно), сахар, настой спиртованный кедровых орехов очищенных), ядро кедрового ореха тёртое, лецитин подсолнечный (эмульгатор), пектин (желирующий агент), лимонная кислота (регулятор кислотности), экстракт ванили натуральный</t>
  </si>
  <si>
    <t>сахар, миндаль бланшированный дроблёный, патока, шоколадная глазурь (сахар, какао-масло, какао-порошок, лецитин подсолнечный (эмульгатор)), водка, ядро кедрового ореха тёртое, пектин (желирующий агент), лецитин подсолнечный (эмульгатор), лимонная кислота (регулятор кислотности), экстракт ванили натуральный, ароматизатор пищевой — шампанское, кармин, экстракт клубники натуральный</t>
  </si>
  <si>
    <t>http://1.c8804.nichost.ru/pics/21470.jpg</t>
  </si>
  <si>
    <t>http://1.c8804.nichost.ru/pics/21471.jpg</t>
  </si>
  <si>
    <t>http://1.c8804.nichost.ru/pics/21472.jpg</t>
  </si>
  <si>
    <t>Шоколад молочный, без сахара 100г</t>
  </si>
  <si>
    <t>Какао тёртое натуральное 100г</t>
  </si>
  <si>
    <t>финиковая пудра, масло какао, молоко козье сухое цельное, какао тертое, экстракт ванили</t>
  </si>
  <si>
    <t>финиковая пудра, масло какао, сушеная малина, молоко сухое цельное, какао тертое</t>
  </si>
  <si>
    <t>финиковая пудра, масло какао, молоко сухое цельное, какао тертое, фундук обжаренный</t>
  </si>
  <si>
    <t>финиковая пудра, какао тертое, масло какао, вишня сушеная, миндаль</t>
  </si>
  <si>
    <t>финиковая пудра, масло какао, молоко сухое цельное, какао тертое, экстракт ванили</t>
  </si>
  <si>
    <t>100% натуральное какао тёртое</t>
  </si>
  <si>
    <t>http://1.c8804.nichost.ru/pics/21479.jpg</t>
  </si>
  <si>
    <t>http://1.c8804.nichost.ru/pics/21481.jpg</t>
  </si>
  <si>
    <t>http://1.c8804.nichost.ru/pics/21483.jpg</t>
  </si>
  <si>
    <t>http://1.c8804.nichost.ru/pics/21482.jpg</t>
  </si>
  <si>
    <t>http://1.c8804.nichost.ru/pics/21484.jpg</t>
  </si>
  <si>
    <r>
      <t xml:space="preserve">Шоколад молочный </t>
    </r>
    <r>
      <rPr>
        <b/>
        <sz val="10"/>
        <color theme="9" tint="-0.249977111117893"/>
        <rFont val="Calibri"/>
        <family val="2"/>
        <scheme val="minor"/>
      </rPr>
      <t>на козьем молоке</t>
    </r>
    <r>
      <rPr>
        <sz val="10"/>
        <color theme="9" tint="-0.249977111117893"/>
        <rFont val="Calibri"/>
        <family val="2"/>
        <scheme val="minor"/>
      </rPr>
      <t>, без сахара 30г</t>
    </r>
  </si>
  <si>
    <r>
      <t xml:space="preserve">Шоколад молочный с </t>
    </r>
    <r>
      <rPr>
        <b/>
        <sz val="10"/>
        <color theme="9" tint="-0.249977111117893"/>
        <rFont val="Calibri"/>
        <family val="2"/>
        <scheme val="minor"/>
      </rPr>
      <t>малиной</t>
    </r>
    <r>
      <rPr>
        <sz val="10"/>
        <color theme="9" tint="-0.249977111117893"/>
        <rFont val="Calibri"/>
        <family val="2"/>
        <scheme val="minor"/>
      </rPr>
      <t>, без сахара 30г</t>
    </r>
  </si>
  <si>
    <r>
      <t xml:space="preserve">Шоколад молочный с </t>
    </r>
    <r>
      <rPr>
        <b/>
        <sz val="10"/>
        <color theme="9" tint="-0.249977111117893"/>
        <rFont val="Calibri"/>
        <family val="2"/>
        <scheme val="minor"/>
      </rPr>
      <t>цельным фундуко</t>
    </r>
    <r>
      <rPr>
        <sz val="10"/>
        <color theme="9" tint="-0.249977111117893"/>
        <rFont val="Calibri"/>
        <family val="2"/>
        <scheme val="minor"/>
      </rPr>
      <t>м, без сахара 30г</t>
    </r>
  </si>
  <si>
    <r>
      <t xml:space="preserve">Шоколад горький 59% с </t>
    </r>
    <r>
      <rPr>
        <b/>
        <sz val="10"/>
        <color theme="9" tint="-0.249977111117893"/>
        <rFont val="Calibri"/>
        <family val="2"/>
        <scheme val="minor"/>
      </rPr>
      <t>вишней и миндалем</t>
    </r>
    <r>
      <rPr>
        <sz val="10"/>
        <color theme="9" tint="-0.249977111117893"/>
        <rFont val="Calibri"/>
        <family val="2"/>
        <scheme val="minor"/>
      </rPr>
      <t xml:space="preserve"> 30г</t>
    </r>
  </si>
  <si>
    <t>http://1.c8804.nichost.ru/pics/21487.jpg</t>
  </si>
  <si>
    <t>Мягкий грильяж с кунжутом, с семенами льна</t>
  </si>
  <si>
    <r>
      <t>Сбор травяной "</t>
    </r>
    <r>
      <rPr>
        <b/>
        <sz val="10"/>
        <rFont val="Calibri"/>
        <family val="2"/>
        <charset val="204"/>
        <scheme val="minor"/>
      </rPr>
      <t>С новым годом!</t>
    </r>
    <r>
      <rPr>
        <sz val="10"/>
        <rFont val="Calibri"/>
        <family val="2"/>
        <scheme val="minor"/>
      </rPr>
      <t>" Пихтовый" ф\п №60 90г</t>
    </r>
  </si>
  <si>
    <t>Безалкогольное шампанское</t>
  </si>
  <si>
    <r>
      <t xml:space="preserve">Шампанское безалкогольное </t>
    </r>
    <r>
      <rPr>
        <b/>
        <sz val="10"/>
        <rFont val="Calibri"/>
        <family val="2"/>
        <charset val="204"/>
        <scheme val="minor"/>
      </rPr>
      <t>Брют</t>
    </r>
    <r>
      <rPr>
        <sz val="10"/>
        <rFont val="Calibri"/>
        <family val="2"/>
        <scheme val="minor"/>
      </rPr>
      <t>, стекло 750мл</t>
    </r>
  </si>
  <si>
    <r>
      <t xml:space="preserve">Шампанское безалкогольное </t>
    </r>
    <r>
      <rPr>
        <b/>
        <sz val="10"/>
        <rFont val="Calibri"/>
        <family val="2"/>
        <charset val="204"/>
        <scheme val="minor"/>
      </rPr>
      <t>Малиновое</t>
    </r>
    <r>
      <rPr>
        <sz val="10"/>
        <rFont val="Calibri"/>
        <family val="2"/>
        <scheme val="minor"/>
      </rPr>
      <t>, стекло 750мл</t>
    </r>
  </si>
  <si>
    <r>
      <t xml:space="preserve">Шампанское безалкогольное </t>
    </r>
    <r>
      <rPr>
        <b/>
        <sz val="10"/>
        <rFont val="Calibri"/>
        <family val="2"/>
        <charset val="204"/>
        <scheme val="minor"/>
      </rPr>
      <t>Полусладкое</t>
    </r>
    <r>
      <rPr>
        <sz val="10"/>
        <rFont val="Calibri"/>
        <family val="2"/>
        <scheme val="minor"/>
      </rPr>
      <t>, стекло 750мл</t>
    </r>
  </si>
  <si>
    <t>Натуральные конфеты</t>
  </si>
  <si>
    <r>
      <t xml:space="preserve">Конфеты "Кедровый сюрприз" кедр и мёд, </t>
    </r>
    <r>
      <rPr>
        <b/>
        <sz val="10"/>
        <rFont val="Calibri"/>
        <family val="2"/>
        <charset val="204"/>
        <scheme val="minor"/>
      </rPr>
      <t>молочный</t>
    </r>
    <r>
      <rPr>
        <sz val="10"/>
        <rFont val="Calibri"/>
        <family val="2"/>
        <scheme val="minor"/>
      </rPr>
      <t xml:space="preserve"> шоколад 100г</t>
    </r>
  </si>
  <si>
    <r>
      <t xml:space="preserve">Конфеты "Кедровый сюрприз" кедр и мёд, </t>
    </r>
    <r>
      <rPr>
        <b/>
        <sz val="10"/>
        <rFont val="Calibri"/>
        <family val="2"/>
        <charset val="204"/>
        <scheme val="minor"/>
      </rPr>
      <t>тёмный</t>
    </r>
    <r>
      <rPr>
        <sz val="10"/>
        <rFont val="Calibri"/>
        <family val="2"/>
        <scheme val="minor"/>
      </rPr>
      <t xml:space="preserve"> шоколад 100г</t>
    </r>
  </si>
  <si>
    <r>
      <t xml:space="preserve">Конфеты "Лесной дар" орехи и мёд, </t>
    </r>
    <r>
      <rPr>
        <b/>
        <sz val="10"/>
        <rFont val="Calibri"/>
        <family val="2"/>
        <charset val="204"/>
        <scheme val="minor"/>
      </rPr>
      <t>молочный</t>
    </r>
    <r>
      <rPr>
        <sz val="10"/>
        <rFont val="Calibri"/>
        <family val="2"/>
        <scheme val="minor"/>
      </rPr>
      <t xml:space="preserve"> шоколад 100г</t>
    </r>
  </si>
  <si>
    <r>
      <t xml:space="preserve">Конфеты "Лесной дар" орехи и мёд, </t>
    </r>
    <r>
      <rPr>
        <b/>
        <sz val="10"/>
        <rFont val="Calibri"/>
        <family val="2"/>
        <charset val="204"/>
        <scheme val="minor"/>
      </rPr>
      <t>тёмный</t>
    </r>
    <r>
      <rPr>
        <sz val="10"/>
        <rFont val="Calibri"/>
        <family val="2"/>
        <scheme val="minor"/>
      </rPr>
      <t xml:space="preserve"> шоколад 100г</t>
    </r>
  </si>
  <si>
    <r>
      <t xml:space="preserve">Конфеты "Ягодная сказка" ягоды и сосн. сироп, </t>
    </r>
    <r>
      <rPr>
        <b/>
        <sz val="10"/>
        <rFont val="Calibri"/>
        <family val="2"/>
        <charset val="204"/>
        <scheme val="minor"/>
      </rPr>
      <t>молочный</t>
    </r>
    <r>
      <rPr>
        <sz val="10"/>
        <rFont val="Calibri"/>
        <family val="2"/>
        <scheme val="minor"/>
      </rPr>
      <t xml:space="preserve"> шоколад 100г</t>
    </r>
  </si>
  <si>
    <r>
      <t xml:space="preserve">Конфеты "Ягодная сказка" ягоды и сосн. сироп, </t>
    </r>
    <r>
      <rPr>
        <b/>
        <sz val="10"/>
        <rFont val="Calibri"/>
        <family val="2"/>
        <charset val="204"/>
        <scheme val="minor"/>
      </rPr>
      <t>тёмный</t>
    </r>
    <r>
      <rPr>
        <sz val="10"/>
        <rFont val="Calibri"/>
        <family val="2"/>
        <scheme val="minor"/>
      </rPr>
      <t xml:space="preserve"> шоколад 100г</t>
    </r>
  </si>
  <si>
    <r>
      <t xml:space="preserve">Конфета "Шоколадная шишка" кедр, клюква, мёд в </t>
    </r>
    <r>
      <rPr>
        <b/>
        <sz val="10"/>
        <rFont val="Calibri"/>
        <family val="2"/>
        <charset val="204"/>
        <scheme val="minor"/>
      </rPr>
      <t>молочном</t>
    </r>
    <r>
      <rPr>
        <sz val="10"/>
        <rFont val="Calibri"/>
        <family val="2"/>
        <scheme val="minor"/>
      </rPr>
      <t xml:space="preserve"> шок. 165г</t>
    </r>
  </si>
  <si>
    <r>
      <t xml:space="preserve">Конфета "Шоколадная шишка" кедр, клюква, мёд в </t>
    </r>
    <r>
      <rPr>
        <b/>
        <sz val="10"/>
        <rFont val="Calibri"/>
        <family val="2"/>
        <charset val="204"/>
        <scheme val="minor"/>
      </rPr>
      <t>тёмном</t>
    </r>
    <r>
      <rPr>
        <sz val="10"/>
        <rFont val="Calibri"/>
        <family val="2"/>
        <scheme val="minor"/>
      </rPr>
      <t xml:space="preserve"> шок. 165г</t>
    </r>
  </si>
  <si>
    <t>Интересный дизайн</t>
  </si>
  <si>
    <t>Создано на основе кедрового ореха</t>
  </si>
  <si>
    <r>
      <t xml:space="preserve">Конфеты "Кедровая нежность" </t>
    </r>
    <r>
      <rPr>
        <b/>
        <sz val="10"/>
        <rFont val="Calibri"/>
        <family val="2"/>
        <charset val="204"/>
        <scheme val="minor"/>
      </rPr>
      <t xml:space="preserve">молочный </t>
    </r>
    <r>
      <rPr>
        <sz val="10"/>
        <rFont val="Calibri"/>
        <family val="2"/>
        <charset val="204"/>
        <scheme val="minor"/>
      </rPr>
      <t>шоколад</t>
    </r>
    <r>
      <rPr>
        <sz val="10"/>
        <rFont val="Calibri"/>
        <family val="2"/>
        <scheme val="minor"/>
      </rPr>
      <t xml:space="preserve"> 100г</t>
    </r>
  </si>
  <si>
    <r>
      <t xml:space="preserve">Конфеты "Кедровая нежность" </t>
    </r>
    <r>
      <rPr>
        <b/>
        <sz val="10"/>
        <rFont val="Calibri"/>
        <family val="2"/>
        <charset val="204"/>
        <scheme val="minor"/>
      </rPr>
      <t xml:space="preserve">тёмный </t>
    </r>
    <r>
      <rPr>
        <sz val="10"/>
        <rFont val="Calibri"/>
        <family val="2"/>
        <charset val="204"/>
        <scheme val="minor"/>
      </rPr>
      <t xml:space="preserve">шоколад </t>
    </r>
    <r>
      <rPr>
        <sz val="10"/>
        <rFont val="Calibri"/>
        <family val="2"/>
        <scheme val="minor"/>
      </rPr>
      <t>100г</t>
    </r>
  </si>
  <si>
    <r>
      <t xml:space="preserve">Конфеты "Медофеты" мягкий грильяж </t>
    </r>
    <r>
      <rPr>
        <b/>
        <sz val="10"/>
        <color theme="9" tint="-0.249977111117893"/>
        <rFont val="Calibri"/>
        <family val="2"/>
        <scheme val="minor"/>
      </rPr>
      <t>ассорти</t>
    </r>
    <r>
      <rPr>
        <sz val="10"/>
        <color theme="9" tint="-0.249977111117893"/>
        <rFont val="Calibri"/>
        <family val="2"/>
        <scheme val="minor"/>
      </rPr>
      <t xml:space="preserve"> коробка 130г</t>
    </r>
  </si>
  <si>
    <r>
      <t xml:space="preserve">Конфеты "Медофеты" мягкий грильяж </t>
    </r>
    <r>
      <rPr>
        <b/>
        <sz val="10"/>
        <rFont val="Calibri"/>
        <family val="2"/>
        <scheme val="minor"/>
      </rPr>
      <t>ассорти</t>
    </r>
    <r>
      <rPr>
        <sz val="10"/>
        <rFont val="Calibri"/>
        <family val="2"/>
        <scheme val="minor"/>
      </rPr>
      <t xml:space="preserve">, </t>
    </r>
    <r>
      <rPr>
        <u/>
        <sz val="10"/>
        <rFont val="Calibri"/>
        <family val="2"/>
        <scheme val="minor"/>
      </rPr>
      <t>телевизор</t>
    </r>
    <r>
      <rPr>
        <sz val="10"/>
        <rFont val="Calibri"/>
        <family val="2"/>
        <scheme val="minor"/>
      </rPr>
      <t xml:space="preserve"> 750г</t>
    </r>
  </si>
  <si>
    <r>
      <t xml:space="preserve">Печенье сдобное </t>
    </r>
    <r>
      <rPr>
        <b/>
        <sz val="10"/>
        <color theme="9" tint="-0.249977111117893"/>
        <rFont val="Calibri"/>
        <family val="2"/>
        <scheme val="minor"/>
      </rPr>
      <t>Утреннее</t>
    </r>
    <r>
      <rPr>
        <sz val="10"/>
        <color theme="9" tint="-0.249977111117893"/>
        <rFont val="Calibri"/>
        <family val="2"/>
        <scheme val="minor"/>
      </rPr>
      <t xml:space="preserve"> "Диетика" 200г</t>
    </r>
  </si>
  <si>
    <t>Леденцы без сахара</t>
  </si>
  <si>
    <t>сахар, патока крахмальная, лимонная кислота (регулятор кислотности), корица молотая, экстракт имбиря, экстракт перца чили</t>
  </si>
  <si>
    <t>сахар, патока крахмальная, лимонная кислота (регулятор кислотности), масло чёрного тмина, эфирное масло грейпфрута</t>
  </si>
  <si>
    <t>сахар, патока крахмальная, лимонная кислота (регулятор кислотности), облепиховое масло, аскорбиновая кислота (витамин C)</t>
  </si>
  <si>
    <t>сахар, патока крахмальная, лимонная кислота (регулятор кислотности), прополис, экстракт мелиссы, ментол</t>
  </si>
  <si>
    <r>
      <t xml:space="preserve">Леденцы карамель с </t>
    </r>
    <r>
      <rPr>
        <b/>
        <sz val="10"/>
        <color theme="9" tint="-0.249977111117893"/>
        <rFont val="Calibri"/>
        <family val="2"/>
        <scheme val="minor"/>
      </rPr>
      <t>имбирем, корицей и чили</t>
    </r>
    <r>
      <rPr>
        <sz val="10"/>
        <color theme="9" tint="-0.249977111117893"/>
        <rFont val="Calibri"/>
        <family val="2"/>
        <scheme val="minor"/>
      </rPr>
      <t xml:space="preserve"> (блистер) 19г</t>
    </r>
  </si>
  <si>
    <r>
      <t xml:space="preserve">Леденцы карамель с </t>
    </r>
    <r>
      <rPr>
        <b/>
        <sz val="10"/>
        <color theme="9" tint="-0.249977111117893"/>
        <rFont val="Calibri"/>
        <family val="2"/>
        <scheme val="minor"/>
      </rPr>
      <t>маслом черного тмина и маслом грейпфрута</t>
    </r>
    <r>
      <rPr>
        <sz val="10"/>
        <color theme="9" tint="-0.249977111117893"/>
        <rFont val="Calibri"/>
        <family val="2"/>
        <scheme val="minor"/>
      </rPr>
      <t xml:space="preserve"> 19г</t>
    </r>
  </si>
  <si>
    <r>
      <t xml:space="preserve">Леденцы карамель с </t>
    </r>
    <r>
      <rPr>
        <b/>
        <sz val="10"/>
        <color theme="9" tint="-0.249977111117893"/>
        <rFont val="Calibri"/>
        <family val="2"/>
        <scheme val="minor"/>
      </rPr>
      <t>облепиховым маслом и витамином С</t>
    </r>
    <r>
      <rPr>
        <sz val="10"/>
        <color theme="9" tint="-0.249977111117893"/>
        <rFont val="Calibri"/>
        <family val="2"/>
        <scheme val="minor"/>
      </rPr>
      <t xml:space="preserve"> (блистер) 19г</t>
    </r>
  </si>
  <si>
    <r>
      <t xml:space="preserve">Леденцы карамель с </t>
    </r>
    <r>
      <rPr>
        <b/>
        <sz val="10"/>
        <color theme="9" tint="-0.249977111117893"/>
        <rFont val="Calibri"/>
        <family val="2"/>
        <scheme val="minor"/>
      </rPr>
      <t>прополисом, ментолом и мелиссой</t>
    </r>
    <r>
      <rPr>
        <sz val="10"/>
        <color theme="9" tint="-0.249977111117893"/>
        <rFont val="Calibri"/>
        <family val="2"/>
        <scheme val="minor"/>
      </rPr>
      <t xml:space="preserve"> (блистер) 19г</t>
    </r>
  </si>
  <si>
    <t>Цукаты из клюквы "от Мишки" 70г</t>
  </si>
  <si>
    <t>клюква, сахар, растительное масло</t>
  </si>
  <si>
    <t>http://1.c8804.nichost.ru/pics/21455.jpg</t>
  </si>
  <si>
    <r>
      <t>Шоколад горький с</t>
    </r>
    <r>
      <rPr>
        <b/>
        <sz val="10"/>
        <rFont val="Calibri"/>
        <family val="2"/>
        <charset val="204"/>
        <scheme val="minor"/>
      </rPr>
      <t xml:space="preserve"> сосновой шишкой и кедровым орехом</t>
    </r>
    <r>
      <rPr>
        <sz val="10"/>
        <rFont val="Calibri"/>
        <family val="2"/>
        <scheme val="minor"/>
      </rPr>
      <t xml:space="preserve"> 100г</t>
    </r>
  </si>
  <si>
    <t>http://1.c8804.nichost.ru/pics/21452.jpg</t>
  </si>
  <si>
    <t>шоколад горький 72%(какао тертое, сахар,масло какао, эмульгатор(соевый лицитин) натуральная ваниль, цукаты из сосновой шишки, вода, лимонная кислота), ядро кедрового ореха, жмых кедрового ореха</t>
  </si>
  <si>
    <t>Макароны "Алфавит" Pasta la Bella Baby 250г</t>
  </si>
  <si>
    <t>http://1.c8804.nichost.ru/pics/21459.jpg</t>
  </si>
  <si>
    <r>
      <t xml:space="preserve">Конфета "Шоколадная шишка" с кедровой пастой, </t>
    </r>
    <r>
      <rPr>
        <b/>
        <sz val="10"/>
        <rFont val="Calibri"/>
        <family val="2"/>
        <charset val="204"/>
        <scheme val="minor"/>
      </rPr>
      <t>молочный</t>
    </r>
    <r>
      <rPr>
        <sz val="10"/>
        <rFont val="Calibri"/>
        <family val="2"/>
        <scheme val="minor"/>
      </rPr>
      <t xml:space="preserve"> шоколад 165г</t>
    </r>
  </si>
  <si>
    <r>
      <t xml:space="preserve">Конфета "Шоколадная шишка" с кедровой пастой, </t>
    </r>
    <r>
      <rPr>
        <b/>
        <sz val="10"/>
        <rFont val="Calibri"/>
        <family val="2"/>
        <charset val="204"/>
        <scheme val="minor"/>
      </rPr>
      <t>тёмный</t>
    </r>
    <r>
      <rPr>
        <sz val="10"/>
        <rFont val="Calibri"/>
        <family val="2"/>
        <scheme val="minor"/>
      </rPr>
      <t xml:space="preserve"> шоколад 165г</t>
    </r>
  </si>
  <si>
    <t xml:space="preserve">кедровая паста, кедровый орех, молочный шоколад </t>
  </si>
  <si>
    <t xml:space="preserve">кедровая паста, кедровый орех, тёмный шоколад </t>
  </si>
  <si>
    <t>Оболочка кукурузного зерна, морковь сушеная, семена Чиа, свекла сушеная, стабилизатор альгинат натрия (экстракт морских водорослей)</t>
  </si>
  <si>
    <t>http://1.c8804.nichost.ru/pics/21461.jpg</t>
  </si>
  <si>
    <r>
      <t xml:space="preserve">Клетчатка кукурузная </t>
    </r>
    <r>
      <rPr>
        <b/>
        <sz val="10"/>
        <color theme="9" tint="-0.249977111117893"/>
        <rFont val="Calibri"/>
        <family val="2"/>
        <scheme val="minor"/>
      </rPr>
      <t>90*60*90</t>
    </r>
    <r>
      <rPr>
        <sz val="10"/>
        <color theme="9" tint="-0.249977111117893"/>
        <rFont val="Calibri"/>
        <family val="2"/>
        <scheme val="minor"/>
      </rPr>
      <t xml:space="preserve"> без глютена 200г</t>
    </r>
  </si>
  <si>
    <t>Пастила яблочная классическая 200г</t>
  </si>
  <si>
    <t>овсяные хлопья, экстракт из проростков ячменя, воздушный рис, кокосовое масло, клюква, семена кунжута, вода</t>
  </si>
  <si>
    <t>овсяные хлопья, экстракт из проростков ячменя, воздушный рис, изюм, чернослив, финики, кокосовое масло, вода</t>
  </si>
  <si>
    <t>рисовая мука, рафинированные и дезодорированные растительные масла кокосовое, подсолнечное, кукурузная мука, вода питьевая, сахар, кукурузный крахмал, виноград сушеный (изюм), растительные пищевые волокна (бамбуковые), соль, разрыхлитель гидрокарбонат натрия</t>
  </si>
  <si>
    <t>http://1.c8804.nichost.ru/pics/21065.jpg</t>
  </si>
  <si>
    <t>http://1.c8804.nichost.ru/pics/21485.jpg</t>
  </si>
  <si>
    <r>
      <t>Смесь фруктово-ореховая "</t>
    </r>
    <r>
      <rPr>
        <b/>
        <sz val="10"/>
        <color theme="9" tint="-0.249977111117893"/>
        <rFont val="Calibri"/>
        <family val="2"/>
        <scheme val="minor"/>
      </rPr>
      <t>Лайк</t>
    </r>
    <r>
      <rPr>
        <sz val="10"/>
        <color theme="9" tint="-0.249977111117893"/>
        <rFont val="Calibri"/>
        <family val="2"/>
        <scheme val="minor"/>
      </rPr>
      <t>" 45г</t>
    </r>
  </si>
  <si>
    <t>манго сушенное (манго, сахар, антиокислитель лимонная кислота, консервант диоксид серы), миндаль жареный</t>
  </si>
  <si>
    <t>Рис бурый с машем и овощами по-восточному 250 г</t>
  </si>
  <si>
    <t>Рис бурый, маш, томаты сушеные кусочками, морковь сушеная, паприка, перец черный молотый, асафетида, имбирь молотый, кумин, кориандр, петрушка, укроп, розмарин</t>
  </si>
  <si>
    <t>https://naturevector.ru/wp-content/uploads/2023/12/AXRFGMswjMc.jpg</t>
  </si>
  <si>
    <t>Подсластитель "Стевия Nature" 80г</t>
  </si>
  <si>
    <t>носитель - глицерин из растительного сырья, натуральный подсластитель - экстракт листьев стевии</t>
  </si>
  <si>
    <t>https://bionovashop.ru/upload/iblock/0fd/0fd172f1facfb1657c1fc5a4954b6e0c.jpg</t>
  </si>
  <si>
    <t>Стевиозид натуральный "Кристалл" 1:100 50г</t>
  </si>
  <si>
    <t>Стевиозид ферментативно обработанный. Glucosyl Stevioside</t>
  </si>
  <si>
    <t>https://greenberi.ru/wp-content/uploads/2019/03/D0BAD180D0B8D181D182D0B0D0BBD0BB1-300x451.jpg</t>
  </si>
  <si>
    <t>кэроб обжаренный, какао-масло</t>
  </si>
  <si>
    <t>https://greenberi.ru/wp-content/uploads/2019/01/89458616c9440c730b1672265f036030.jpg</t>
  </si>
  <si>
    <r>
      <t xml:space="preserve">Шоколад с кэробом Сarob </t>
    </r>
    <r>
      <rPr>
        <b/>
        <sz val="10"/>
        <color theme="1"/>
        <rFont val="Calibri"/>
        <family val="2"/>
        <charset val="204"/>
        <scheme val="minor"/>
      </rPr>
      <t>Vegan</t>
    </r>
    <r>
      <rPr>
        <sz val="10"/>
        <color theme="1"/>
        <rFont val="Calibri"/>
        <family val="2"/>
        <scheme val="minor"/>
      </rPr>
      <t xml:space="preserve"> bar без сахара "</t>
    </r>
    <r>
      <rPr>
        <b/>
        <sz val="10"/>
        <color theme="1"/>
        <rFont val="Calibri"/>
        <family val="2"/>
        <charset val="204"/>
        <scheme val="minor"/>
      </rPr>
      <t>обжареннный кэроб</t>
    </r>
    <r>
      <rPr>
        <sz val="10"/>
        <color theme="1"/>
        <rFont val="Calibri"/>
        <family val="2"/>
        <scheme val="minor"/>
      </rPr>
      <t>" 75г</t>
    </r>
  </si>
  <si>
    <t>Кукурузная крупа, высокоолеиновое подсолнечное масло, натуральный ароматизатор "сыр", сухой сыр, морская соль, натуральный краситель (экстракт паприки)</t>
  </si>
  <si>
    <t>http://1.c8804.nichost.ru/pics/21499.jpg</t>
  </si>
  <si>
    <t>Таёжный_тайник</t>
  </si>
  <si>
    <t>Амфуд</t>
  </si>
  <si>
    <t>Am_food</t>
  </si>
  <si>
    <t>Витро Vitro</t>
  </si>
  <si>
    <t>Vitro_Naturals</t>
  </si>
  <si>
    <t>Петербург кондитер</t>
  </si>
  <si>
    <t>Петербургский_кондитеръ</t>
  </si>
  <si>
    <r>
      <t xml:space="preserve">Конфеты "Кедровое золото" мягкий грильяж </t>
    </r>
    <r>
      <rPr>
        <b/>
        <sz val="10"/>
        <rFont val="Calibri"/>
        <family val="2"/>
        <scheme val="minor"/>
      </rPr>
      <t>с клубникой и шампанским</t>
    </r>
    <r>
      <rPr>
        <sz val="10"/>
        <rFont val="Calibri"/>
        <family val="2"/>
        <scheme val="minor"/>
      </rPr>
      <t xml:space="preserve"> 85г</t>
    </r>
  </si>
  <si>
    <r>
      <t xml:space="preserve">Конфеты "Кедровое золото" батончик </t>
    </r>
    <r>
      <rPr>
        <b/>
        <sz val="10"/>
        <rFont val="Calibri"/>
        <family val="2"/>
        <scheme val="minor"/>
      </rPr>
      <t>кедровый</t>
    </r>
    <r>
      <rPr>
        <sz val="10"/>
        <rFont val="Calibri"/>
        <family val="2"/>
        <scheme val="minor"/>
      </rPr>
      <t xml:space="preserve"> 35г</t>
    </r>
  </si>
  <si>
    <r>
      <t xml:space="preserve">Конфеты "Кедровое золото" батончик </t>
    </r>
    <r>
      <rPr>
        <b/>
        <sz val="10"/>
        <rFont val="Calibri"/>
        <family val="2"/>
        <scheme val="minor"/>
      </rPr>
      <t>клубника с шампанским</t>
    </r>
    <r>
      <rPr>
        <sz val="10"/>
        <rFont val="Calibri"/>
        <family val="2"/>
        <scheme val="minor"/>
      </rPr>
      <t xml:space="preserve"> 35г</t>
    </r>
  </si>
  <si>
    <r>
      <t xml:space="preserve">Конфеты "Кедровое золото" батончик </t>
    </r>
    <r>
      <rPr>
        <b/>
        <sz val="10"/>
        <rFont val="Calibri"/>
        <family val="2"/>
        <scheme val="minor"/>
      </rPr>
      <t>черника</t>
    </r>
    <r>
      <rPr>
        <sz val="10"/>
        <rFont val="Calibri"/>
        <family val="2"/>
        <scheme val="minor"/>
      </rPr>
      <t xml:space="preserve"> 35г</t>
    </r>
  </si>
  <si>
    <r>
      <t>Конфеты "Кедровое</t>
    </r>
    <r>
      <rPr>
        <b/>
        <sz val="10"/>
        <rFont val="Calibri"/>
        <family val="2"/>
        <scheme val="minor"/>
      </rPr>
      <t xml:space="preserve"> </t>
    </r>
    <r>
      <rPr>
        <sz val="10"/>
        <rFont val="Calibri"/>
        <family val="2"/>
        <scheme val="minor"/>
      </rPr>
      <t xml:space="preserve">золото" батончик </t>
    </r>
    <r>
      <rPr>
        <b/>
        <sz val="10"/>
        <rFont val="Calibri"/>
        <family val="2"/>
        <scheme val="minor"/>
      </rPr>
      <t>ассорти</t>
    </r>
    <r>
      <rPr>
        <sz val="10"/>
        <rFont val="Calibri"/>
        <family val="2"/>
        <scheme val="minor"/>
      </rPr>
      <t xml:space="preserve"> ш/б 630г</t>
    </r>
  </si>
  <si>
    <r>
      <t>Коктейль овсяный "</t>
    </r>
    <r>
      <rPr>
        <b/>
        <sz val="10"/>
        <rFont val="Calibri"/>
        <family val="2"/>
        <scheme val="minor"/>
      </rPr>
      <t>Ванильный</t>
    </r>
    <r>
      <rPr>
        <sz val="10"/>
        <rFont val="Calibri"/>
        <family val="2"/>
        <scheme val="minor"/>
      </rPr>
      <t>" на ЗОЖе 250г</t>
    </r>
  </si>
  <si>
    <r>
      <t xml:space="preserve">Напиток </t>
    </r>
    <r>
      <rPr>
        <b/>
        <sz val="10"/>
        <rFont val="Calibri"/>
        <family val="2"/>
        <scheme val="minor"/>
      </rPr>
      <t>Некофе</t>
    </r>
    <r>
      <rPr>
        <sz val="10"/>
        <rFont val="Calibri"/>
        <family val="2"/>
        <scheme val="minor"/>
      </rPr>
      <t xml:space="preserve"> Эспрессо Сливочный, растворимый, банка 190г</t>
    </r>
  </si>
  <si>
    <r>
      <t xml:space="preserve">Напиток </t>
    </r>
    <r>
      <rPr>
        <b/>
        <sz val="10"/>
        <rFont val="Calibri"/>
        <family val="2"/>
        <scheme val="minor"/>
      </rPr>
      <t>ячменный</t>
    </r>
    <r>
      <rPr>
        <sz val="10"/>
        <rFont val="Calibri"/>
        <family val="2"/>
        <scheme val="minor"/>
      </rPr>
      <t xml:space="preserve"> злаковый, растворимый "Без кофеина" </t>
    </r>
    <r>
      <rPr>
        <b/>
        <sz val="10"/>
        <rFont val="Calibri"/>
        <family val="2"/>
        <scheme val="minor"/>
      </rPr>
      <t>90г</t>
    </r>
  </si>
  <si>
    <r>
      <t xml:space="preserve">Напиток </t>
    </r>
    <r>
      <rPr>
        <b/>
        <sz val="10"/>
        <rFont val="Calibri"/>
        <family val="2"/>
        <scheme val="minor"/>
      </rPr>
      <t>ячменный</t>
    </r>
    <r>
      <rPr>
        <sz val="10"/>
        <rFont val="Calibri"/>
        <family val="2"/>
        <scheme val="minor"/>
      </rPr>
      <t xml:space="preserve"> злаковый, растворимый "Без кофеина" </t>
    </r>
    <r>
      <rPr>
        <b/>
        <sz val="10"/>
        <rFont val="Calibri"/>
        <family val="2"/>
        <scheme val="minor"/>
      </rPr>
      <t>140г</t>
    </r>
  </si>
  <si>
    <r>
      <t>Батончик "KICK energy" арахисовый в</t>
    </r>
    <r>
      <rPr>
        <b/>
        <sz val="10"/>
        <rFont val="Calibri"/>
        <family val="2"/>
        <scheme val="minor"/>
      </rPr>
      <t xml:space="preserve"> белом шоколаде с пармезаном</t>
    </r>
    <r>
      <rPr>
        <sz val="10"/>
        <rFont val="Calibri"/>
        <family val="2"/>
        <scheme val="minor"/>
      </rPr>
      <t xml:space="preserve"> 45г</t>
    </r>
  </si>
  <si>
    <r>
      <t xml:space="preserve">Батончик "KICK energy" кокос с </t>
    </r>
    <r>
      <rPr>
        <b/>
        <sz val="10"/>
        <rFont val="Calibri"/>
        <family val="2"/>
        <scheme val="minor"/>
      </rPr>
      <t>черносмородиновым мороженым</t>
    </r>
    <r>
      <rPr>
        <sz val="10"/>
        <rFont val="Calibri"/>
        <family val="2"/>
        <scheme val="minor"/>
      </rPr>
      <t xml:space="preserve"> 45г</t>
    </r>
  </si>
  <si>
    <r>
      <t xml:space="preserve">Соус </t>
    </r>
    <r>
      <rPr>
        <b/>
        <sz val="10"/>
        <rFont val="Calibri"/>
        <family val="2"/>
        <scheme val="minor"/>
      </rPr>
      <t>Аминосоус</t>
    </r>
    <r>
      <rPr>
        <sz val="10"/>
        <rFont val="Calibri"/>
        <family val="2"/>
        <scheme val="minor"/>
      </rPr>
      <t xml:space="preserve"> из нектара кокосовых соцветий King island 200мл</t>
    </r>
  </si>
  <si>
    <r>
      <t xml:space="preserve">Соус </t>
    </r>
    <r>
      <rPr>
        <b/>
        <sz val="10"/>
        <rFont val="Calibri"/>
        <family val="2"/>
        <scheme val="minor"/>
      </rPr>
      <t>Тамариндовый</t>
    </r>
    <r>
      <rPr>
        <sz val="10"/>
        <rFont val="Calibri"/>
        <family val="2"/>
        <scheme val="minor"/>
      </rPr>
      <t xml:space="preserve"> roi thai 200мл</t>
    </r>
  </si>
  <si>
    <r>
      <t xml:space="preserve">Батончик мюсли Ол`Лайт Zerno </t>
    </r>
    <r>
      <rPr>
        <b/>
        <sz val="10"/>
        <rFont val="Calibri"/>
        <family val="2"/>
        <scheme val="minor"/>
      </rPr>
      <t>Банан-шоколад</t>
    </r>
    <r>
      <rPr>
        <sz val="10"/>
        <rFont val="Calibri"/>
        <family val="2"/>
        <scheme val="minor"/>
      </rPr>
      <t xml:space="preserve"> 35г</t>
    </r>
  </si>
  <si>
    <r>
      <t xml:space="preserve">Батончик мюсли Ол`Лайт Zerno </t>
    </r>
    <r>
      <rPr>
        <b/>
        <sz val="10"/>
        <rFont val="Calibri"/>
        <family val="2"/>
        <scheme val="minor"/>
      </rPr>
      <t>Клюква</t>
    </r>
    <r>
      <rPr>
        <sz val="10"/>
        <rFont val="Calibri"/>
        <family val="2"/>
        <scheme val="minor"/>
      </rPr>
      <t xml:space="preserve"> 35г</t>
    </r>
  </si>
  <si>
    <r>
      <t xml:space="preserve">Батончик мюсли Ол`Лайт Zerno </t>
    </r>
    <r>
      <rPr>
        <b/>
        <sz val="10"/>
        <rFont val="Calibri"/>
        <family val="2"/>
        <scheme val="minor"/>
      </rPr>
      <t xml:space="preserve">Кокос-миндаль </t>
    </r>
    <r>
      <rPr>
        <sz val="10"/>
        <rFont val="Calibri"/>
        <family val="2"/>
        <scheme val="minor"/>
      </rPr>
      <t>35г</t>
    </r>
  </si>
  <si>
    <r>
      <t xml:space="preserve">Батончик мюсли Ол`Лайт Zerno </t>
    </r>
    <r>
      <rPr>
        <b/>
        <sz val="10"/>
        <rFont val="Calibri"/>
        <family val="2"/>
        <scheme val="minor"/>
      </rPr>
      <t>Малина</t>
    </r>
    <r>
      <rPr>
        <sz val="10"/>
        <rFont val="Calibri"/>
        <family val="2"/>
        <scheme val="minor"/>
      </rPr>
      <t xml:space="preserve"> 35г</t>
    </r>
  </si>
  <si>
    <r>
      <t xml:space="preserve">Батончик мюсли Ол`Лайт Zerno </t>
    </r>
    <r>
      <rPr>
        <b/>
        <sz val="10"/>
        <rFont val="Calibri"/>
        <family val="2"/>
        <scheme val="minor"/>
      </rPr>
      <t>Черника</t>
    </r>
    <r>
      <rPr>
        <sz val="10"/>
        <rFont val="Calibri"/>
        <family val="2"/>
        <scheme val="minor"/>
      </rPr>
      <t xml:space="preserve"> 35г</t>
    </r>
  </si>
  <si>
    <r>
      <t>Чипсы чечивичные «</t>
    </r>
    <r>
      <rPr>
        <b/>
        <sz val="10"/>
        <rFont val="Calibri"/>
        <family val="2"/>
        <scheme val="minor"/>
      </rPr>
      <t>Гималайская соль и черный перец</t>
    </r>
    <r>
      <rPr>
        <sz val="10"/>
        <rFont val="Calibri"/>
        <family val="2"/>
        <scheme val="minor"/>
      </rPr>
      <t>» 50г</t>
    </r>
  </si>
  <si>
    <r>
      <t>Чипсы чечивичные «</t>
    </r>
    <r>
      <rPr>
        <b/>
        <sz val="10"/>
        <rFont val="Calibri"/>
        <family val="2"/>
        <scheme val="minor"/>
      </rPr>
      <t>Оливковое масло с розмарином</t>
    </r>
    <r>
      <rPr>
        <sz val="10"/>
        <rFont val="Calibri"/>
        <family val="2"/>
        <scheme val="minor"/>
      </rPr>
      <t>» 50г</t>
    </r>
  </si>
  <si>
    <r>
      <t>Чипсы чечивичные «</t>
    </r>
    <r>
      <rPr>
        <b/>
        <sz val="10"/>
        <rFont val="Calibri"/>
        <family val="2"/>
        <scheme val="minor"/>
      </rPr>
      <t>Томаты, чеснок и травы</t>
    </r>
    <r>
      <rPr>
        <sz val="10"/>
        <rFont val="Calibri"/>
        <family val="2"/>
        <scheme val="minor"/>
      </rPr>
      <t>» 50г</t>
    </r>
  </si>
  <si>
    <r>
      <t xml:space="preserve">Карамель твёрдый мёд </t>
    </r>
    <r>
      <rPr>
        <b/>
        <sz val="10"/>
        <rFont val="Calibri"/>
        <family val="2"/>
        <scheme val="minor"/>
      </rPr>
      <t>Алтайский сбор</t>
    </r>
    <r>
      <rPr>
        <sz val="10"/>
        <rFont val="Calibri"/>
        <family val="2"/>
        <scheme val="minor"/>
      </rPr>
      <t xml:space="preserve"> 99% мёда 30г</t>
    </r>
  </si>
  <si>
    <r>
      <t xml:space="preserve">Карамель твёрдый мёд </t>
    </r>
    <r>
      <rPr>
        <b/>
        <sz val="10"/>
        <rFont val="Calibri"/>
        <family val="2"/>
        <scheme val="minor"/>
      </rPr>
      <t>Клюква, душица, липа</t>
    </r>
    <r>
      <rPr>
        <sz val="10"/>
        <rFont val="Calibri"/>
        <family val="2"/>
        <scheme val="minor"/>
      </rPr>
      <t xml:space="preserve"> 99% мёда 30г</t>
    </r>
  </si>
  <si>
    <r>
      <t xml:space="preserve">Карамель твёрдый мёд </t>
    </r>
    <r>
      <rPr>
        <b/>
        <sz val="10"/>
        <rFont val="Calibri"/>
        <family val="2"/>
        <scheme val="minor"/>
      </rPr>
      <t>Смородина, чабрец, солодка</t>
    </r>
    <r>
      <rPr>
        <sz val="10"/>
        <rFont val="Calibri"/>
        <family val="2"/>
        <scheme val="minor"/>
      </rPr>
      <t xml:space="preserve"> 99% мёда 30г</t>
    </r>
  </si>
  <si>
    <r>
      <t>Коллаген говяжий Freedom of life "</t>
    </r>
    <r>
      <rPr>
        <b/>
        <sz val="10"/>
        <rFont val="Calibri"/>
        <family val="2"/>
        <scheme val="minor"/>
      </rPr>
      <t>Печенье Топленое молоко</t>
    </r>
    <r>
      <rPr>
        <sz val="10"/>
        <rFont val="Calibri"/>
        <family val="2"/>
        <scheme val="minor"/>
      </rPr>
      <t>" 190г</t>
    </r>
  </si>
  <si>
    <r>
      <t>Леденцы с живицей "</t>
    </r>
    <r>
      <rPr>
        <b/>
        <sz val="10"/>
        <rFont val="Calibri"/>
        <family val="2"/>
        <scheme val="minor"/>
      </rPr>
      <t>Бросить курить</t>
    </r>
    <r>
      <rPr>
        <sz val="10"/>
        <rFont val="Calibri"/>
        <family val="2"/>
        <scheme val="minor"/>
      </rPr>
      <t>" со вкусом кофе 10*3,2г</t>
    </r>
  </si>
  <si>
    <r>
      <t>Шампунь "</t>
    </r>
    <r>
      <rPr>
        <b/>
        <sz val="10"/>
        <rFont val="Calibri"/>
        <family val="2"/>
        <scheme val="minor"/>
      </rPr>
      <t>Питательный</t>
    </r>
    <r>
      <rPr>
        <sz val="10"/>
        <rFont val="Calibri"/>
        <family val="2"/>
        <scheme val="minor"/>
      </rPr>
      <t xml:space="preserve">" для тонких и длинных волос 250мл </t>
    </r>
  </si>
  <si>
    <r>
      <t>Шампунь "</t>
    </r>
    <r>
      <rPr>
        <b/>
        <sz val="10"/>
        <rFont val="Calibri"/>
        <family val="2"/>
        <scheme val="minor"/>
      </rPr>
      <t>Регулирющий</t>
    </r>
    <r>
      <rPr>
        <sz val="10"/>
        <rFont val="Calibri"/>
        <family val="2"/>
        <scheme val="minor"/>
      </rPr>
      <t>" для жирных волос 250мл</t>
    </r>
  </si>
  <si>
    <t>Мёд пэт</t>
  </si>
  <si>
    <t>http://1.c8804.nichost.ru/pics/21510.jpg</t>
  </si>
  <si>
    <r>
      <t xml:space="preserve">Мёд "Бортников" </t>
    </r>
    <r>
      <rPr>
        <b/>
        <sz val="10"/>
        <color theme="9" tint="-0.249977111117893"/>
        <rFont val="Calibri"/>
        <family val="2"/>
        <scheme val="minor"/>
      </rPr>
      <t>Подсолнечный</t>
    </r>
    <r>
      <rPr>
        <sz val="10"/>
        <color theme="9" tint="-0.249977111117893"/>
        <rFont val="Calibri"/>
        <family val="2"/>
        <scheme val="minor"/>
      </rPr>
      <t xml:space="preserve"> пэт банка 240г</t>
    </r>
  </si>
  <si>
    <r>
      <t xml:space="preserve">Мёд "Бортников" </t>
    </r>
    <r>
      <rPr>
        <b/>
        <sz val="10"/>
        <color theme="9" tint="-0.249977111117893"/>
        <rFont val="Calibri"/>
        <family val="2"/>
        <scheme val="minor"/>
      </rPr>
      <t>Цветочный</t>
    </r>
    <r>
      <rPr>
        <sz val="10"/>
        <color theme="9" tint="-0.249977111117893"/>
        <rFont val="Calibri"/>
        <family val="2"/>
        <scheme val="minor"/>
      </rPr>
      <t xml:space="preserve"> пэт банка 240г</t>
    </r>
  </si>
  <si>
    <t>http://1.c8804.nichost.ru/pics/21509.jpg</t>
  </si>
  <si>
    <t>http://1.c8804.nichost.ru/pics/21496.jpg</t>
  </si>
  <si>
    <r>
      <t xml:space="preserve">Мёд "Берестов А.С." </t>
    </r>
    <r>
      <rPr>
        <b/>
        <sz val="10"/>
        <color theme="9" tint="-0.249977111117893"/>
        <rFont val="Calibri"/>
        <family val="2"/>
        <scheme val="minor"/>
      </rPr>
      <t>Уссурийский нектар</t>
    </r>
    <r>
      <rPr>
        <sz val="10"/>
        <color theme="9" tint="-0.249977111117893"/>
        <rFont val="Calibri"/>
        <family val="2"/>
        <scheme val="minor"/>
      </rPr>
      <t xml:space="preserve"> пэт банка 360г</t>
    </r>
  </si>
  <si>
    <t>http://1.c8804.nichost.ru/pics/21217.jpg</t>
  </si>
  <si>
    <r>
      <t xml:space="preserve">Мёд "Берестов А.С." </t>
    </r>
    <r>
      <rPr>
        <b/>
        <sz val="10"/>
        <rFont val="Calibri"/>
        <family val="2"/>
        <charset val="204"/>
        <scheme val="minor"/>
      </rPr>
      <t>Кориандровый</t>
    </r>
    <r>
      <rPr>
        <sz val="10"/>
        <rFont val="Calibri"/>
        <family val="2"/>
        <scheme val="minor"/>
      </rPr>
      <t xml:space="preserve"> black edition ст.банка 500г</t>
    </r>
  </si>
  <si>
    <t>Сахар, пюре яблочное, плодовый наполнитель яблоко (яблоки (плоды), концентрированное яблочное пюре, сахар, загуститель (пектин), регулятор кислотности (лимонная кислота)), патока, клюква сублимированная кусочки, белок яичный сухой, агар-агар, регулятор кислотности (лимонная кислота), сок клюквы сухой, ароматизатор ваниль, краситель красный свекольный.</t>
  </si>
  <si>
    <t>масло льняное, спирулина порошок, хлорелла порошок, желатин, глицерин, сорбат кали</t>
  </si>
  <si>
    <t>http://1.c8804.nichost.ru/pics/17547_1.jpg</t>
  </si>
  <si>
    <r>
      <t>Масло капсулированное льняное "</t>
    </r>
    <r>
      <rPr>
        <b/>
        <sz val="10"/>
        <rFont val="Calibri"/>
        <family val="2"/>
        <charset val="204"/>
        <scheme val="minor"/>
      </rPr>
      <t>Спирулина и хлорелла</t>
    </r>
    <r>
      <rPr>
        <sz val="10"/>
        <rFont val="Calibri"/>
        <family val="2"/>
        <scheme val="minor"/>
      </rPr>
      <t>" 180капс. 54г</t>
    </r>
  </si>
  <si>
    <t>Новинка! Снеки с соусом внутри</t>
  </si>
  <si>
    <r>
      <t>Снеки кукурузные со вкусом "</t>
    </r>
    <r>
      <rPr>
        <b/>
        <sz val="10"/>
        <color theme="9" tint="-0.249977111117893"/>
        <rFont val="Calibri"/>
        <family val="2"/>
        <scheme val="minor"/>
      </rPr>
      <t>супер томат</t>
    </r>
    <r>
      <rPr>
        <sz val="10"/>
        <color theme="9" tint="-0.249977111117893"/>
        <rFont val="Calibri"/>
        <family val="2"/>
        <scheme val="minor"/>
      </rPr>
      <t>" с кетчупом heinz 30г</t>
    </r>
  </si>
  <si>
    <r>
      <t>Снеки кукурузные со вкусом "</t>
    </r>
    <r>
      <rPr>
        <b/>
        <sz val="10"/>
        <color theme="9" tint="-0.249977111117893"/>
        <rFont val="Calibri"/>
        <family val="2"/>
        <scheme val="minor"/>
      </rPr>
      <t>сырный сыр</t>
    </r>
    <r>
      <rPr>
        <sz val="10"/>
        <color theme="9" tint="-0.249977111117893"/>
        <rFont val="Calibri"/>
        <family val="2"/>
        <scheme val="minor"/>
      </rPr>
      <t>" с сырным соусом heinz 50г</t>
    </r>
  </si>
  <si>
    <t>Кукурузная крупа, высокоолеиновое подсолнечное масло, натуральный армотизатор "томат", сушеные томаты. Соус на основе растительных масел Кетчуп томатный Хайнц: вода, паста томатная, сахар, уксус натуральный, соль, экстракты специй (содержат сельдерей)</t>
  </si>
  <si>
    <t>http://1.c8804.nichost.ru/pics/21508.jpg</t>
  </si>
  <si>
    <r>
      <t xml:space="preserve">Конфеты "Трюфели в темном шоколаде </t>
    </r>
    <r>
      <rPr>
        <b/>
        <sz val="10"/>
        <rFont val="Calibri"/>
        <family val="2"/>
        <scheme val="minor"/>
      </rPr>
      <t>Екатерина II</t>
    </r>
    <r>
      <rPr>
        <sz val="10"/>
        <rFont val="Calibri"/>
        <family val="2"/>
        <scheme val="minor"/>
      </rPr>
      <t>" 130г</t>
    </r>
  </si>
  <si>
    <r>
      <t xml:space="preserve">Конфеты "Трюфели в темном шоколаде </t>
    </r>
    <r>
      <rPr>
        <b/>
        <sz val="10"/>
        <rFont val="Calibri"/>
        <family val="2"/>
        <scheme val="minor"/>
      </rPr>
      <t>Пётр I</t>
    </r>
    <r>
      <rPr>
        <sz val="10"/>
        <rFont val="Calibri"/>
        <family val="2"/>
        <scheme val="minor"/>
      </rPr>
      <t>" 130г</t>
    </r>
  </si>
  <si>
    <r>
      <t xml:space="preserve">Мёд "Берестов А.С." </t>
    </r>
    <r>
      <rPr>
        <b/>
        <sz val="10"/>
        <rFont val="Calibri"/>
        <family val="2"/>
        <scheme val="minor"/>
      </rPr>
      <t>Башкирхан</t>
    </r>
    <r>
      <rPr>
        <sz val="10"/>
        <rFont val="Calibri"/>
        <family val="2"/>
        <scheme val="minor"/>
      </rPr>
      <t xml:space="preserve"> ст.банка 500г</t>
    </r>
  </si>
  <si>
    <r>
      <t xml:space="preserve">Мёд "Берестов А.С." </t>
    </r>
    <r>
      <rPr>
        <b/>
        <sz val="10"/>
        <rFont val="Calibri"/>
        <family val="2"/>
        <scheme val="minor"/>
      </rPr>
      <t>Майский</t>
    </r>
    <r>
      <rPr>
        <sz val="10"/>
        <rFont val="Calibri"/>
        <family val="2"/>
        <scheme val="minor"/>
      </rPr>
      <t xml:space="preserve"> ст.банка 500г</t>
    </r>
  </si>
  <si>
    <r>
      <t xml:space="preserve">Мёд "Берестов А.С." </t>
    </r>
    <r>
      <rPr>
        <b/>
        <sz val="10"/>
        <rFont val="Calibri"/>
        <family val="2"/>
        <scheme val="minor"/>
      </rPr>
      <t>Прополис</t>
    </r>
    <r>
      <rPr>
        <sz val="10"/>
        <rFont val="Calibri"/>
        <family val="2"/>
        <scheme val="minor"/>
      </rPr>
      <t xml:space="preserve"> ст.банка 500г</t>
    </r>
  </si>
  <si>
    <r>
      <t xml:space="preserve">Мёд "Берестов А.С." </t>
    </r>
    <r>
      <rPr>
        <b/>
        <sz val="10"/>
        <rFont val="Calibri"/>
        <family val="2"/>
        <scheme val="minor"/>
      </rPr>
      <t>Горный</t>
    </r>
    <r>
      <rPr>
        <sz val="10"/>
        <rFont val="Calibri"/>
        <family val="2"/>
        <scheme val="minor"/>
      </rPr>
      <t xml:space="preserve"> ст.банка 200г</t>
    </r>
  </si>
  <si>
    <t>http://1.c8804.nichost.ru/pics/21421.jpg</t>
  </si>
  <si>
    <t>http://1.c8804.nichost.ru/pics/16516_1.jpg</t>
  </si>
  <si>
    <t>пюре яблочное, сахар, пектин, белок яичный сухой</t>
  </si>
  <si>
    <t>http://1.c8804.nichost.ru/pics/21490.jpg</t>
  </si>
  <si>
    <r>
      <t xml:space="preserve">Молоко миндальное с нектаром кокосовых соцветий 137 Degrees </t>
    </r>
    <r>
      <rPr>
        <b/>
        <sz val="10"/>
        <rFont val="Calibri"/>
        <family val="2"/>
        <scheme val="minor"/>
      </rPr>
      <t>180 мл</t>
    </r>
  </si>
  <si>
    <r>
      <t xml:space="preserve">Соус </t>
    </r>
    <r>
      <rPr>
        <b/>
        <sz val="10"/>
        <rFont val="Calibri"/>
        <family val="2"/>
        <scheme val="minor"/>
      </rPr>
      <t>Для Морепродуктов</t>
    </r>
    <r>
      <rPr>
        <sz val="10"/>
        <rFont val="Calibri"/>
        <family val="2"/>
        <scheme val="minor"/>
      </rPr>
      <t xml:space="preserve"> Good life 200мл</t>
    </r>
  </si>
  <si>
    <r>
      <t xml:space="preserve">Лапша </t>
    </r>
    <r>
      <rPr>
        <b/>
        <sz val="10"/>
        <color theme="9" tint="-0.249977111117893"/>
        <rFont val="Calibri"/>
        <family val="2"/>
        <scheme val="minor"/>
      </rPr>
      <t>рисовая</t>
    </r>
    <r>
      <rPr>
        <sz val="10"/>
        <color theme="9" tint="-0.249977111117893"/>
        <rFont val="Calibri"/>
        <family val="2"/>
        <scheme val="minor"/>
      </rPr>
      <t xml:space="preserve"> органическая "</t>
    </r>
    <r>
      <rPr>
        <b/>
        <sz val="10"/>
        <color theme="9" tint="-0.249977111117893"/>
        <rFont val="Calibri"/>
        <family val="2"/>
        <scheme val="minor"/>
      </rPr>
      <t>Коричневый рис с семенами чиа</t>
    </r>
    <r>
      <rPr>
        <sz val="10"/>
        <color theme="9" tint="-0.249977111117893"/>
        <rFont val="Calibri"/>
        <family val="2"/>
        <scheme val="minor"/>
      </rPr>
      <t>" 225г</t>
    </r>
  </si>
  <si>
    <r>
      <t xml:space="preserve">Соус </t>
    </r>
    <r>
      <rPr>
        <b/>
        <sz val="10"/>
        <rFont val="Calibri"/>
        <family val="2"/>
        <scheme val="minor"/>
      </rPr>
      <t>Карри</t>
    </r>
    <r>
      <rPr>
        <sz val="10"/>
        <rFont val="Calibri"/>
        <family val="2"/>
        <scheme val="minor"/>
      </rPr>
      <t xml:space="preserve"> низкокалорийный 330г</t>
    </r>
  </si>
  <si>
    <r>
      <t xml:space="preserve">Соус </t>
    </r>
    <r>
      <rPr>
        <b/>
        <sz val="10"/>
        <rFont val="Calibri"/>
        <family val="2"/>
        <scheme val="minor"/>
      </rPr>
      <t>Кисло-сладкий Азиатский</t>
    </r>
    <r>
      <rPr>
        <sz val="10"/>
        <rFont val="Calibri"/>
        <family val="2"/>
        <scheme val="minor"/>
      </rPr>
      <t xml:space="preserve"> низкокалорийный 330г</t>
    </r>
  </si>
  <si>
    <r>
      <t xml:space="preserve">Соус </t>
    </r>
    <r>
      <rPr>
        <b/>
        <sz val="10"/>
        <rFont val="Calibri"/>
        <family val="2"/>
        <scheme val="minor"/>
      </rPr>
      <t>Сычуанский Азиатский</t>
    </r>
    <r>
      <rPr>
        <sz val="10"/>
        <rFont val="Calibri"/>
        <family val="2"/>
        <scheme val="minor"/>
      </rPr>
      <t xml:space="preserve"> низкокалорийный 330г</t>
    </r>
  </si>
  <si>
    <r>
      <t xml:space="preserve">Джем </t>
    </r>
    <r>
      <rPr>
        <b/>
        <sz val="10"/>
        <color theme="1"/>
        <rFont val="Calibri"/>
        <family val="2"/>
        <charset val="204"/>
        <scheme val="minor"/>
      </rPr>
      <t>Брусника</t>
    </r>
    <r>
      <rPr>
        <sz val="10"/>
        <color theme="1"/>
        <rFont val="Calibri"/>
        <family val="2"/>
        <scheme val="minor"/>
      </rPr>
      <t xml:space="preserve"> (премиум) без сахара 220г</t>
    </r>
  </si>
  <si>
    <r>
      <t xml:space="preserve">Джем </t>
    </r>
    <r>
      <rPr>
        <b/>
        <sz val="10"/>
        <rFont val="Calibri"/>
        <family val="2"/>
        <charset val="204"/>
        <scheme val="minor"/>
      </rPr>
      <t>Ежевика</t>
    </r>
    <r>
      <rPr>
        <sz val="10"/>
        <rFont val="Calibri"/>
        <family val="2"/>
        <scheme val="minor"/>
      </rPr>
      <t xml:space="preserve"> (премиум, 50% ягод) без сахара 220г</t>
    </r>
  </si>
  <si>
    <r>
      <t xml:space="preserve">Джем </t>
    </r>
    <r>
      <rPr>
        <b/>
        <sz val="10"/>
        <rFont val="Calibri"/>
        <family val="2"/>
        <charset val="204"/>
        <scheme val="minor"/>
      </rPr>
      <t>Клубника</t>
    </r>
    <r>
      <rPr>
        <sz val="10"/>
        <rFont val="Calibri"/>
        <family val="2"/>
        <scheme val="minor"/>
      </rPr>
      <t xml:space="preserve"> (премиум, 50% ягод) без сахара 220г</t>
    </r>
  </si>
  <si>
    <r>
      <t xml:space="preserve">Джем </t>
    </r>
    <r>
      <rPr>
        <b/>
        <sz val="10"/>
        <rFont val="Calibri"/>
        <family val="2"/>
        <charset val="204"/>
        <scheme val="minor"/>
      </rPr>
      <t>Клюква-Черника</t>
    </r>
    <r>
      <rPr>
        <sz val="10"/>
        <rFont val="Calibri"/>
        <family val="2"/>
        <scheme val="minor"/>
      </rPr>
      <t xml:space="preserve"> (премиум) без сахара 220г</t>
    </r>
  </si>
  <si>
    <r>
      <t xml:space="preserve">Джем </t>
    </r>
    <r>
      <rPr>
        <b/>
        <sz val="10"/>
        <rFont val="Calibri"/>
        <family val="2"/>
        <charset val="204"/>
        <scheme val="minor"/>
      </rPr>
      <t>Красная Смородина</t>
    </r>
    <r>
      <rPr>
        <sz val="10"/>
        <rFont val="Calibri"/>
        <family val="2"/>
        <scheme val="minor"/>
      </rPr>
      <t xml:space="preserve"> (премиум) без сахара 220г</t>
    </r>
  </si>
  <si>
    <r>
      <t xml:space="preserve">Джем </t>
    </r>
    <r>
      <rPr>
        <b/>
        <sz val="10"/>
        <rFont val="Calibri"/>
        <family val="2"/>
        <charset val="204"/>
        <scheme val="minor"/>
      </rPr>
      <t>Малина</t>
    </r>
    <r>
      <rPr>
        <sz val="10"/>
        <rFont val="Calibri"/>
        <family val="2"/>
        <scheme val="minor"/>
      </rPr>
      <t xml:space="preserve"> (премиум) без сахара 220г</t>
    </r>
  </si>
  <si>
    <r>
      <t xml:space="preserve">Джем </t>
    </r>
    <r>
      <rPr>
        <b/>
        <sz val="10"/>
        <rFont val="Calibri"/>
        <family val="2"/>
        <charset val="204"/>
        <scheme val="minor"/>
      </rPr>
      <t>Облепиха</t>
    </r>
    <r>
      <rPr>
        <sz val="10"/>
        <rFont val="Calibri"/>
        <family val="2"/>
        <scheme val="minor"/>
      </rPr>
      <t xml:space="preserve"> (премиум) без сахара 220г</t>
    </r>
  </si>
  <si>
    <r>
      <t xml:space="preserve">Джем </t>
    </r>
    <r>
      <rPr>
        <b/>
        <sz val="10"/>
        <rFont val="Calibri"/>
        <family val="2"/>
        <charset val="204"/>
        <scheme val="minor"/>
      </rPr>
      <t>Черника</t>
    </r>
    <r>
      <rPr>
        <sz val="10"/>
        <rFont val="Calibri"/>
        <family val="2"/>
        <scheme val="minor"/>
      </rPr>
      <t xml:space="preserve"> (премиум, 50% ягод) без сахара 220г</t>
    </r>
  </si>
  <si>
    <t>http://1.c8804.nichost.ru/pics/15948.jpg</t>
  </si>
  <si>
    <t>http://1.c8804.nichost.ru/pics/16701.jpg</t>
  </si>
  <si>
    <t>http://1.c8804.nichost.ru/pics/16702.jpg</t>
  </si>
  <si>
    <t>http://1.c8804.nichost.ru/pics/15946.jpg</t>
  </si>
  <si>
    <t>http://1.c8804.nichost.ru/pics/15949.jpg</t>
  </si>
  <si>
    <t>http://1.c8804.nichost.ru/pics/15947.jpg</t>
  </si>
  <si>
    <t>http://1.c8804.nichost.ru/pics/16703.jpg</t>
  </si>
  <si>
    <t>http://1.c8804.nichost.ru/pics/16550_1.jpg</t>
  </si>
  <si>
    <t>http://1.c8804.nichost.ru/pics/19667_1.jpg</t>
  </si>
  <si>
    <t>http://1.c8804.nichost.ru/pics/19666_1.jpg</t>
  </si>
  <si>
    <t>http://1.c8804.nichost.ru/pics/19664_1.jpg</t>
  </si>
  <si>
    <t>http://1.c8804.nichost.ru/pics/19665_1.jpg</t>
  </si>
  <si>
    <t>Джемы и сиропы с сахаром</t>
  </si>
  <si>
    <r>
      <t xml:space="preserve">Мёд "Берестов А.С." </t>
    </r>
    <r>
      <rPr>
        <b/>
        <sz val="10"/>
        <color theme="1"/>
        <rFont val="Calibri"/>
        <family val="2"/>
        <scheme val="minor"/>
      </rPr>
      <t>Лесное разнотравье</t>
    </r>
    <r>
      <rPr>
        <sz val="10"/>
        <color theme="1"/>
        <rFont val="Calibri"/>
        <family val="2"/>
        <scheme val="minor"/>
      </rPr>
      <t xml:space="preserve"> пэт банка 1000г</t>
    </r>
  </si>
  <si>
    <r>
      <t xml:space="preserve">Мёд "Берестов А.С." </t>
    </r>
    <r>
      <rPr>
        <b/>
        <sz val="10"/>
        <color theme="1"/>
        <rFont val="Calibri"/>
        <family val="2"/>
        <scheme val="minor"/>
      </rPr>
      <t>Луговое разнотравье</t>
    </r>
    <r>
      <rPr>
        <sz val="10"/>
        <color theme="1"/>
        <rFont val="Calibri"/>
        <family val="2"/>
        <scheme val="minor"/>
      </rPr>
      <t xml:space="preserve"> пэт банка 1000г</t>
    </r>
  </si>
  <si>
    <r>
      <t xml:space="preserve">Мёд "Берестов А.С." </t>
    </r>
    <r>
      <rPr>
        <b/>
        <sz val="10"/>
        <color theme="1"/>
        <rFont val="Calibri"/>
        <family val="2"/>
        <scheme val="minor"/>
      </rPr>
      <t>Подсолнечный</t>
    </r>
    <r>
      <rPr>
        <sz val="10"/>
        <color theme="1"/>
        <rFont val="Calibri"/>
        <family val="2"/>
        <scheme val="minor"/>
      </rPr>
      <t xml:space="preserve"> пэт банка 1000г</t>
    </r>
  </si>
  <si>
    <r>
      <t xml:space="preserve">Мёд "Берестов А.С." </t>
    </r>
    <r>
      <rPr>
        <b/>
        <sz val="10"/>
        <color theme="1"/>
        <rFont val="Calibri"/>
        <family val="2"/>
        <scheme val="minor"/>
      </rPr>
      <t>Цветочный</t>
    </r>
    <r>
      <rPr>
        <sz val="10"/>
        <color theme="1"/>
        <rFont val="Calibri"/>
        <family val="2"/>
        <scheme val="minor"/>
      </rPr>
      <t xml:space="preserve"> пэт банка 1000г</t>
    </r>
  </si>
  <si>
    <t>ООО "НатурВектор"</t>
  </si>
  <si>
    <t>Вы можете сделать онлайн-заказ на сайте</t>
  </si>
  <si>
    <t>Конфеты "Медофеты" в шоколаде ассорти: манго-маракуйя и клубника 150г</t>
  </si>
  <si>
    <t>Шоколад, тростниковый сахар, плодовый наполнитель клубника с земляникой, плодовый наполнитель маракуйя, плодовый наполнитель манго, мед натуральный, патока, масло сливочное, молоко цельное сгущенное с сахаром, белок яичный сухой, сухой йогурт, агар-агар, лимонная кислота, стевия</t>
  </si>
  <si>
    <t>http://1.c8804.nichost.ru/pics/19189.jpg</t>
  </si>
  <si>
    <t>сахар, пюре яблочное, патока, плодовый наполнитель малина (малина, сахар, овсяная клетчатка), мед натуральный, агар-агар, белок яичный сухой, регулятор кислотности (лимонная кислота), ягоды черники, ароматизаторы, краситель красный свекольный, мята перечная, обсыпка- сахарная пудра, кукурузный крахмал</t>
  </si>
  <si>
    <t>Мука амарантовая грубого помола, мука рисовая грубого помола, мука кукурузная тонкого помола, топинамбур сушеный, соль, сливочная начинка( жир растительный, подсластитель изомальт, мальтодекстрин, сыворотка сухая молочная, сухое молоко, эмульгатор-лецитин соевый, подсластитель стевиодид, ваниль)</t>
  </si>
  <si>
    <t>http://1.c8804.nichost.ru/pics/21511.jpg</t>
  </si>
  <si>
    <r>
      <t xml:space="preserve">Подушечки амарантовые "УмСладости" с </t>
    </r>
    <r>
      <rPr>
        <b/>
        <sz val="10"/>
        <color theme="9" tint="-0.249977111117893"/>
        <rFont val="Calibri"/>
        <family val="2"/>
        <scheme val="minor"/>
      </rPr>
      <t xml:space="preserve">сливочной </t>
    </r>
    <r>
      <rPr>
        <sz val="10"/>
        <color theme="9" tint="-0.249977111117893"/>
        <rFont val="Calibri"/>
        <family val="2"/>
        <scheme val="minor"/>
      </rPr>
      <t>начинкой 150г</t>
    </r>
  </si>
  <si>
    <r>
      <t xml:space="preserve">Печенье сдобное "Особое с </t>
    </r>
    <r>
      <rPr>
        <b/>
        <sz val="10"/>
        <color theme="9" tint="-0.249977111117893"/>
        <rFont val="Calibri"/>
        <family val="2"/>
        <scheme val="minor"/>
      </rPr>
      <t>гречневой</t>
    </r>
    <r>
      <rPr>
        <sz val="10"/>
        <color theme="9" tint="-0.249977111117893"/>
        <rFont val="Calibri"/>
        <family val="2"/>
        <scheme val="minor"/>
      </rPr>
      <t xml:space="preserve"> мукой" на фруктозе 200г </t>
    </r>
  </si>
  <si>
    <r>
      <t>Печенье сдобное "Особое с</t>
    </r>
    <r>
      <rPr>
        <b/>
        <sz val="10"/>
        <color theme="9" tint="-0.249977111117893"/>
        <rFont val="Calibri"/>
        <family val="2"/>
        <scheme val="minor"/>
      </rPr>
      <t xml:space="preserve"> кукурузной</t>
    </r>
    <r>
      <rPr>
        <sz val="10"/>
        <color theme="9" tint="-0.249977111117893"/>
        <rFont val="Calibri"/>
        <family val="2"/>
        <scheme val="minor"/>
      </rPr>
      <t xml:space="preserve"> мукой" на фруктозе200г</t>
    </r>
  </si>
  <si>
    <r>
      <t>Печенье сдобное "Особое с</t>
    </r>
    <r>
      <rPr>
        <b/>
        <sz val="10"/>
        <color theme="9" tint="-0.249977111117893"/>
        <rFont val="Calibri"/>
        <family val="2"/>
        <scheme val="minor"/>
      </rPr>
      <t xml:space="preserve"> рисовой</t>
    </r>
    <r>
      <rPr>
        <sz val="10"/>
        <color theme="9" tint="-0.249977111117893"/>
        <rFont val="Calibri"/>
        <family val="2"/>
        <scheme val="minor"/>
      </rPr>
      <t xml:space="preserve"> мукой " на фруктозе 200г</t>
    </r>
  </si>
  <si>
    <t>http://1.c8804.nichost.ru/pics/20597.jpg</t>
  </si>
  <si>
    <r>
      <t xml:space="preserve">Печенье рисовое с </t>
    </r>
    <r>
      <rPr>
        <b/>
        <sz val="10"/>
        <rFont val="Calibri"/>
        <family val="2"/>
        <scheme val="minor"/>
      </rPr>
      <t>льняное мукой</t>
    </r>
    <r>
      <rPr>
        <sz val="10"/>
        <rFont val="Calibri"/>
        <family val="2"/>
        <scheme val="minor"/>
      </rPr>
      <t xml:space="preserve"> на мальтите и стевии Vitlen 200г</t>
    </r>
  </si>
  <si>
    <t>Печенье "Золотой лён"</t>
  </si>
  <si>
    <t>Печенье и пряники "Vitlen"</t>
  </si>
  <si>
    <t>ТрансКэроб Royal Forest</t>
  </si>
  <si>
    <t>Натуральный какао порошок</t>
  </si>
  <si>
    <t>http://1.c8804.nichost.ru/pics/14595.jpg</t>
  </si>
  <si>
    <t>Патока, сахар, желатин пищевой, смесь сахарная (сахар, регулятор кислотности DL-яблочная кислота), регулятор кислотности молочная кислота, ароматизаторы, красители (сахарный колер III, куркумин)</t>
  </si>
  <si>
    <t>http://1.c8804.nichost.ru/pics/21517.jpg</t>
  </si>
  <si>
    <r>
      <t>Мармелад "</t>
    </r>
    <r>
      <rPr>
        <b/>
        <sz val="10"/>
        <color theme="9" tint="-0.249977111117893"/>
        <rFont val="Calibri"/>
        <family val="2"/>
        <scheme val="minor"/>
      </rPr>
      <t>Кола-лимон</t>
    </r>
    <r>
      <rPr>
        <sz val="10"/>
        <color theme="9" tint="-0.249977111117893"/>
        <rFont val="Calibri"/>
        <family val="2"/>
        <scheme val="minor"/>
      </rPr>
      <t>" Holy Jelly 65г</t>
    </r>
  </si>
  <si>
    <t>Сушки амарантовые ц\з на закваске на фруктозе 150г</t>
  </si>
  <si>
    <t>http://1.c8804.nichost.ru/pics/21526.jpg</t>
  </si>
  <si>
    <t>Соки, комбуча, лимонады</t>
  </si>
  <si>
    <r>
      <t xml:space="preserve">Лимонад "Би Лимо" с соком </t>
    </r>
    <r>
      <rPr>
        <b/>
        <sz val="10"/>
        <color theme="9" tint="-0.249977111117893"/>
        <rFont val="Calibri"/>
        <family val="2"/>
        <scheme val="minor"/>
      </rPr>
      <t>вишни и суданской розой</t>
    </r>
    <r>
      <rPr>
        <sz val="10"/>
        <color theme="9" tint="-0.249977111117893"/>
        <rFont val="Calibri"/>
        <family val="2"/>
        <scheme val="minor"/>
      </rPr>
      <t>, пластик 500мл</t>
    </r>
  </si>
  <si>
    <r>
      <t xml:space="preserve">Лимонад "Би Лимо" с соком </t>
    </r>
    <r>
      <rPr>
        <b/>
        <sz val="10"/>
        <color theme="9" tint="-0.249977111117893"/>
        <rFont val="Calibri"/>
        <family val="2"/>
        <scheme val="minor"/>
      </rPr>
      <t>яблока и эхинацеей</t>
    </r>
    <r>
      <rPr>
        <sz val="10"/>
        <color theme="9" tint="-0.249977111117893"/>
        <rFont val="Calibri"/>
        <family val="2"/>
        <scheme val="minor"/>
      </rPr>
      <t>, пластик 500мл</t>
    </r>
  </si>
  <si>
    <r>
      <t xml:space="preserve">Лимонад "Би Лимо" со свежим </t>
    </r>
    <r>
      <rPr>
        <b/>
        <sz val="10"/>
        <color theme="9" tint="-0.249977111117893"/>
        <rFont val="Calibri"/>
        <family val="2"/>
        <scheme val="minor"/>
      </rPr>
      <t>лимоном и мятой</t>
    </r>
    <r>
      <rPr>
        <sz val="10"/>
        <color theme="9" tint="-0.249977111117893"/>
        <rFont val="Calibri"/>
        <family val="2"/>
        <scheme val="minor"/>
      </rPr>
      <t>, пластик 500мл</t>
    </r>
  </si>
  <si>
    <t>подготовленная питьевая вода, сок лимона, сок лайма, виноградный сок, патока крахмальная, мята перечная, иван-чай (кипрей узколистный), чай черный, симбиотическая культура бактерий и дрожжей (SCOBY).
Фильтрованный, пастеризованный</t>
  </si>
  <si>
    <t>подготовленная питьевая вода, вишневый сок, виноградный сок, патока крахмальная, сушеные цветы суданской розы, иван-чай (кипрей узколистный), чай черный, симбиотическая культура бактерий и дрожжей (SCOBY).
Фильтрованный, пастеризованный</t>
  </si>
  <si>
    <t>подготовленная питьевая вода, яблочный сок, виноградный сок, патока крахмальная, эхинацея пурпурная трава, иван-чай (кипрей узколистный), чай черный, симбиотическая культура бактерий и дрожжей (SCOBY).
Фильтрованный, пастеризованный</t>
  </si>
  <si>
    <t>http://1.c8804.nichost.ru/pics/21527.jpg</t>
  </si>
  <si>
    <t>http://1.c8804.nichost.ru/pics/21524.jpg</t>
  </si>
  <si>
    <t>http://1.c8804.nichost.ru/pics/21528.jpg</t>
  </si>
  <si>
    <r>
      <t xml:space="preserve">Гранола </t>
    </r>
    <r>
      <rPr>
        <b/>
        <sz val="10"/>
        <color theme="9" tint="-0.249977111117893"/>
        <rFont val="Calibri"/>
        <family val="2"/>
        <charset val="204"/>
        <scheme val="minor"/>
      </rPr>
      <t>Черносливом и финиками</t>
    </r>
    <r>
      <rPr>
        <sz val="10"/>
        <color theme="9" tint="-0.249977111117893"/>
        <rFont val="Calibri"/>
        <family val="2"/>
        <scheme val="minor"/>
      </rPr>
      <t xml:space="preserve"> 250г</t>
    </r>
  </si>
  <si>
    <r>
      <t xml:space="preserve">Гранола </t>
    </r>
    <r>
      <rPr>
        <b/>
        <sz val="10"/>
        <color theme="9" tint="-0.249977111117893"/>
        <rFont val="Calibri"/>
        <family val="2"/>
        <charset val="204"/>
        <scheme val="minor"/>
      </rPr>
      <t>Клюква</t>
    </r>
    <r>
      <rPr>
        <sz val="10"/>
        <color theme="9" tint="-0.249977111117893"/>
        <rFont val="Calibri"/>
        <family val="2"/>
        <scheme val="minor"/>
      </rPr>
      <t xml:space="preserve"> 250г</t>
    </r>
  </si>
  <si>
    <t>мука пшеничная цельнозерновая, мука 1 сорт, мёд алтайский, закваска пшеничная (мука 1 сорт), масло кукурузное, чеснок сушеный, соль морская</t>
  </si>
  <si>
    <t>Взвары и пуэр</t>
  </si>
  <si>
    <t>кипрей ферментированный, лист малины ферментированный, плоды калины, плоды шиповника, курильский чай, душица, лист клубники, лист бадана</t>
  </si>
  <si>
    <t>кипрей ферментированный, цвет кипрея, хвоя кедровая, лепестки кедровой шишки, курильский чай, лист бадана</t>
  </si>
  <si>
    <t>кипрей узколистный ферментированный, цвет василька, лист и побеги черной смородины, курильский чай, лист бадана</t>
  </si>
  <si>
    <t>http://1.c8804.nichost.ru/pics/21129.jpg</t>
  </si>
  <si>
    <t>http://1.c8804.nichost.ru/pics/17278.jpg</t>
  </si>
  <si>
    <t>http://1.c8804.nichost.ru/pics/17275.jpg</t>
  </si>
  <si>
    <t>Постные</t>
  </si>
  <si>
    <t>Товары</t>
  </si>
  <si>
    <r>
      <t xml:space="preserve">Конфеты "Медофеты" суфле ассорти, </t>
    </r>
    <r>
      <rPr>
        <u/>
        <sz val="10"/>
        <rFont val="Calibri"/>
        <family val="2"/>
        <scheme val="minor"/>
      </rPr>
      <t>телевизор</t>
    </r>
    <r>
      <rPr>
        <sz val="10"/>
        <rFont val="Calibri"/>
        <family val="2"/>
        <scheme val="minor"/>
      </rPr>
      <t xml:space="preserve"> 1000г</t>
    </r>
  </si>
  <si>
    <t>http://1.c8804.nichost.ru/pics/21518.jpg</t>
  </si>
  <si>
    <t>http://1.c8804.nichost.ru/pics/21520.jpg</t>
  </si>
  <si>
    <t>http://1.c8804.nichost.ru/pics/21519.jpg</t>
  </si>
  <si>
    <r>
      <t xml:space="preserve">Гранола </t>
    </r>
    <r>
      <rPr>
        <b/>
        <sz val="10"/>
        <color theme="9" tint="-0.249977111117893"/>
        <rFont val="Calibri"/>
        <family val="2"/>
        <charset val="204"/>
        <scheme val="minor"/>
      </rPr>
      <t>Кокосовая с ананасом</t>
    </r>
    <r>
      <rPr>
        <sz val="10"/>
        <color theme="9" tint="-0.249977111117893"/>
        <rFont val="Calibri"/>
        <family val="2"/>
        <charset val="204"/>
        <scheme val="minor"/>
      </rPr>
      <t>, на сиропе топинамбура</t>
    </r>
    <r>
      <rPr>
        <sz val="10"/>
        <color theme="9" tint="-0.249977111117893"/>
        <rFont val="Calibri"/>
        <family val="2"/>
        <scheme val="minor"/>
      </rPr>
      <t xml:space="preserve"> 300г</t>
    </r>
  </si>
  <si>
    <r>
      <t xml:space="preserve">Гранола с </t>
    </r>
    <r>
      <rPr>
        <b/>
        <sz val="10"/>
        <color theme="9" tint="-0.249977111117893"/>
        <rFont val="Calibri"/>
        <family val="2"/>
        <charset val="204"/>
        <scheme val="minor"/>
      </rPr>
      <t>Клюквой</t>
    </r>
    <r>
      <rPr>
        <sz val="10"/>
        <color theme="9" tint="-0.249977111117893"/>
        <rFont val="Calibri"/>
        <family val="2"/>
        <scheme val="minor"/>
      </rPr>
      <t>, на сиропе топинамбура 300г</t>
    </r>
  </si>
  <si>
    <r>
      <t xml:space="preserve">Гранола с </t>
    </r>
    <r>
      <rPr>
        <b/>
        <sz val="10"/>
        <color theme="9" tint="-0.249977111117893"/>
        <rFont val="Calibri"/>
        <family val="2"/>
        <charset val="204"/>
        <scheme val="minor"/>
      </rPr>
      <t>Черносливом и фиником</t>
    </r>
    <r>
      <rPr>
        <sz val="10"/>
        <color theme="9" tint="-0.249977111117893"/>
        <rFont val="Calibri"/>
        <family val="2"/>
        <scheme val="minor"/>
      </rPr>
      <t>, на сиропе топинамбура 300г</t>
    </r>
  </si>
  <si>
    <r>
      <t xml:space="preserve">Гранола </t>
    </r>
    <r>
      <rPr>
        <b/>
        <sz val="10"/>
        <color theme="9" tint="-0.249977111117893"/>
        <rFont val="Calibri"/>
        <family val="2"/>
        <charset val="204"/>
        <scheme val="minor"/>
      </rPr>
      <t>Шоколадная с бананом</t>
    </r>
    <r>
      <rPr>
        <sz val="10"/>
        <color theme="9" tint="-0.249977111117893"/>
        <rFont val="Calibri"/>
        <family val="2"/>
        <scheme val="minor"/>
      </rPr>
      <t>, на сиропе топинамбура 300г</t>
    </r>
  </si>
  <si>
    <t>http://1.c8804.nichost.ru/pics/21522.jpg</t>
  </si>
  <si>
    <t>http://1.c8804.nichost.ru/pics/21523.jpg</t>
  </si>
  <si>
    <t>http://1.c8804.nichost.ru/pics/21521.jpg</t>
  </si>
  <si>
    <t>http://1.c8804.nichost.ru/pics/21525.jpg</t>
  </si>
  <si>
    <t>овсяные хлопья, концентрат ячменного солода светлый (солод ячменный светлый, вода питьевая), клюква сушеная резаная, сироп топинамбура (клубни топинамбура, вода питьевая), кокосовое масло рафинированное дезодорированное, воздушный рис, семена кунжута.</t>
  </si>
  <si>
    <t>хлопья овсяные, концентрат ячменного солода светлый (солод ячменный светлый, вода питьевая), сироп топинамбура (клубни топинамбура, вода питьевая), ананас сушеный резаный, масло кокосовое рафинированное дезодорированное, рис воздушный, семена кунжута белого, кокосовые хлопья (высушенная мякоть кокоса)</t>
  </si>
  <si>
    <t>овсяные хлопья, концентрат ячменного солода светлый(солод ячменный светлый, вода питьевая), виноград сушеный (изюм), сироп топинамбура (клубни топинамбура, вода питьевая), кокосовое масло рафинированное дезодорированное, финик резаный сушеный, чернослив резаный сушёный, воздушный рис</t>
  </si>
  <si>
    <t xml:space="preserve"> хлопья овсяные, концентрат ячменного солода светлый (солод ячменный светлый, вода питьевая), банан сушеный резаный, арахис обжаренный дроблёный, сироп топинамбура (клубни топинамбура, вода питьевая), кокосовое масло рафинированное дезодорированное, семена кунжута белого, воздушный рис, какао порошок</t>
  </si>
  <si>
    <t>s14670</t>
  </si>
  <si>
    <t>s11919</t>
  </si>
  <si>
    <t>s15445</t>
  </si>
  <si>
    <t>s15669</t>
  </si>
  <si>
    <t>s20135</t>
  </si>
  <si>
    <t>s20462</t>
  </si>
  <si>
    <t>s20133</t>
  </si>
  <si>
    <t>s20136</t>
  </si>
  <si>
    <t>сумма</t>
  </si>
  <si>
    <r>
      <rPr>
        <b/>
        <u/>
        <sz val="14"/>
        <rFont val="Calibri"/>
        <family val="2"/>
        <charset val="204"/>
        <scheme val="minor"/>
      </rPr>
      <t xml:space="preserve">ООО "НатурВектор" </t>
    </r>
    <r>
      <rPr>
        <b/>
        <u/>
        <sz val="12"/>
        <color rgb="FFFF0000"/>
        <rFont val="Calibri"/>
        <family val="2"/>
        <charset val="204"/>
        <scheme val="minor"/>
      </rPr>
      <t xml:space="preserve">
</t>
    </r>
    <r>
      <rPr>
        <sz val="11"/>
        <rFont val="Calibri"/>
        <family val="2"/>
        <charset val="204"/>
        <scheme val="minor"/>
      </rPr>
      <t>opt@naturevector.ru | 8 (495) 269-83-70</t>
    </r>
  </si>
  <si>
    <t>Всего наименований:</t>
  </si>
  <si>
    <t>Общая сумма заказа:</t>
  </si>
  <si>
    <t>Общий вес заказа:</t>
  </si>
  <si>
    <t>№</t>
  </si>
  <si>
    <t>Производитель</t>
  </si>
  <si>
    <t>Кол-во</t>
  </si>
  <si>
    <t>Цена</t>
  </si>
  <si>
    <t>http://1.c8804.nichost.ru/pics/16268.jpg</t>
  </si>
  <si>
    <t>http://1.c8804.nichost.ru/pics/17220.jpg</t>
  </si>
  <si>
    <t>http://1.c8804.nichost.ru/pics/19796_1.jpg</t>
  </si>
  <si>
    <t>http://1.c8804.nichost.ru/pics/19797_1.jpg</t>
  </si>
  <si>
    <t>http://1.c8804.nichost.ru/pics/15944.jpg</t>
  </si>
  <si>
    <t>http://1.c8804.nichost.ru/pics/18715.jpg</t>
  </si>
  <si>
    <t>http://1.c8804.nichost.ru/pics/16404.jpg</t>
  </si>
  <si>
    <t>http://1.c8804.nichost.ru/pics/16797.jpg</t>
  </si>
  <si>
    <t>http://1.c8804.nichost.ru/pics/14316.jpg</t>
  </si>
  <si>
    <t>http://1.c8804.nichost.ru/pics/14312.jpg</t>
  </si>
  <si>
    <t>http://1.c8804.nichost.ru/pics/14313.jpg</t>
  </si>
  <si>
    <t>http://1.c8804.nichost.ru/pics/14391.jpg</t>
  </si>
  <si>
    <t>http://1.c8804.nichost.ru/pics/20684.jpg</t>
  </si>
  <si>
    <t>морковь сублимированная, абрикос сушеный (курага), абрикосовый сироп, сироп моркови, мука овсяная, мука рисовая, крахмал кукурузный, бамбуковое волокно, эмульгатор (лецитин соевый), соль морская, разрыхлитель гидрокарбонат натрия (сода пищевая)</t>
  </si>
  <si>
    <t>финиковая паста, финиковый сироп, мука овсяная, мука рисовая, крахмал кукурузный, натуральный апельсиновый сок концентрированный, бамбуковое волокно, эмульгатор (лецитин соевый), соль морская, разрыхлитель гидрокарбонат натрия (сода пищевая), натуральное апельсиновое масло</t>
  </si>
  <si>
    <t>семена чиа</t>
  </si>
  <si>
    <t>http://1.c8804.nichost.ru/pics/20681.jpg</t>
  </si>
  <si>
    <t>http://1.c8804.nichost.ru/pics/20679.jpg</t>
  </si>
  <si>
    <r>
      <t>Напиток Имбирный крафтовый эль "</t>
    </r>
    <r>
      <rPr>
        <b/>
        <sz val="10"/>
        <rFont val="Calibri"/>
        <family val="2"/>
        <charset val="204"/>
        <scheme val="minor"/>
      </rPr>
      <t>Оригинальный</t>
    </r>
    <r>
      <rPr>
        <sz val="10"/>
        <rFont val="Calibri"/>
        <family val="2"/>
        <charset val="204"/>
        <scheme val="minor"/>
      </rPr>
      <t>"</t>
    </r>
    <r>
      <rPr>
        <sz val="10"/>
        <rFont val="Calibri"/>
        <family val="2"/>
        <scheme val="minor"/>
      </rPr>
      <t xml:space="preserve"> дой-пак 250мл</t>
    </r>
  </si>
  <si>
    <t>http://1.c8804.nichost.ru/pics/18735.jpg</t>
  </si>
  <si>
    <t>http://1.c8804.nichost.ru/pics/18698_1.jpg</t>
  </si>
  <si>
    <t>http://1.c8804.nichost.ru/pics/17105.jpg</t>
  </si>
  <si>
    <t>http://1.c8804.nichost.ru/pics/18400_1.jpg</t>
  </si>
  <si>
    <t>http://1.c8804.nichost.ru/pics/17104.jpg</t>
  </si>
  <si>
    <t>минимальный квант 5шт</t>
  </si>
  <si>
    <r>
      <t>Ваффин из полбы "</t>
    </r>
    <r>
      <rPr>
        <b/>
        <sz val="10"/>
        <rFont val="Calibri"/>
        <family val="2"/>
        <scheme val="minor"/>
      </rPr>
      <t>Орехи в молочном шоколаде</t>
    </r>
    <r>
      <rPr>
        <sz val="10"/>
        <rFont val="Calibri"/>
        <family val="2"/>
        <scheme val="minor"/>
      </rPr>
      <t>" без сахара 26г</t>
    </r>
  </si>
  <si>
    <r>
      <t>Ваффин из полбы "</t>
    </r>
    <r>
      <rPr>
        <b/>
        <sz val="10"/>
        <rFont val="Calibri"/>
        <family val="2"/>
        <scheme val="minor"/>
      </rPr>
      <t>Сливочный в молочном шоколаде</t>
    </r>
    <r>
      <rPr>
        <sz val="10"/>
        <rFont val="Calibri"/>
        <family val="2"/>
        <scheme val="minor"/>
      </rPr>
      <t>" без сахара 26г</t>
    </r>
  </si>
  <si>
    <r>
      <t>Ваффин из полбы "</t>
    </r>
    <r>
      <rPr>
        <b/>
        <sz val="10"/>
        <rFont val="Calibri"/>
        <family val="2"/>
        <scheme val="minor"/>
      </rPr>
      <t xml:space="preserve">Кофе в молочном шоколаде" </t>
    </r>
    <r>
      <rPr>
        <sz val="10"/>
        <rFont val="Calibri"/>
        <family val="2"/>
        <scheme val="minor"/>
      </rPr>
      <t xml:space="preserve">без сахара 26г </t>
    </r>
  </si>
  <si>
    <r>
      <t xml:space="preserve">Вафли из Полбы </t>
    </r>
    <r>
      <rPr>
        <b/>
        <sz val="10"/>
        <rFont val="Calibri"/>
        <family val="2"/>
        <scheme val="minor"/>
      </rPr>
      <t>Шоколад</t>
    </r>
    <r>
      <rPr>
        <sz val="10"/>
        <rFont val="Calibri"/>
        <family val="2"/>
        <scheme val="minor"/>
      </rPr>
      <t xml:space="preserve"> без сахара 15г</t>
    </r>
  </si>
  <si>
    <r>
      <t xml:space="preserve">Вафли из Полбы </t>
    </r>
    <r>
      <rPr>
        <b/>
        <sz val="10"/>
        <rFont val="Calibri"/>
        <family val="2"/>
        <scheme val="minor"/>
      </rPr>
      <t>Шоколад</t>
    </r>
    <r>
      <rPr>
        <sz val="10"/>
        <rFont val="Calibri"/>
        <family val="2"/>
        <scheme val="minor"/>
      </rPr>
      <t xml:space="preserve"> без сахара КВАДРАТ 45г</t>
    </r>
  </si>
  <si>
    <r>
      <t xml:space="preserve">Вафли из Полбы </t>
    </r>
    <r>
      <rPr>
        <b/>
        <sz val="10"/>
        <rFont val="Calibri"/>
        <family val="2"/>
        <scheme val="minor"/>
      </rPr>
      <t>Шоколад и орехи</t>
    </r>
    <r>
      <rPr>
        <sz val="10"/>
        <rFont val="Calibri"/>
        <family val="2"/>
        <scheme val="minor"/>
      </rPr>
      <t xml:space="preserve"> 15г</t>
    </r>
  </si>
  <si>
    <r>
      <t xml:space="preserve">Вафли из Полбы </t>
    </r>
    <r>
      <rPr>
        <b/>
        <sz val="10"/>
        <rFont val="Calibri"/>
        <family val="2"/>
        <scheme val="minor"/>
      </rPr>
      <t>Шоколад и орехи</t>
    </r>
    <r>
      <rPr>
        <sz val="10"/>
        <rFont val="Calibri"/>
        <family val="2"/>
        <scheme val="minor"/>
      </rPr>
      <t xml:space="preserve"> без сахара КВАДРАТ 45г</t>
    </r>
  </si>
  <si>
    <r>
      <t>Ваффин из полбы "</t>
    </r>
    <r>
      <rPr>
        <b/>
        <sz val="10"/>
        <rFont val="Calibri"/>
        <family val="2"/>
        <scheme val="minor"/>
      </rPr>
      <t>Абрикос в горьком шоколаде</t>
    </r>
    <r>
      <rPr>
        <sz val="10"/>
        <rFont val="Calibri"/>
        <family val="2"/>
        <scheme val="minor"/>
      </rPr>
      <t>" без сахара 50г</t>
    </r>
  </si>
  <si>
    <r>
      <t>Ваффин из полбы "</t>
    </r>
    <r>
      <rPr>
        <b/>
        <sz val="10"/>
        <rFont val="Calibri"/>
        <family val="2"/>
        <scheme val="minor"/>
      </rPr>
      <t>Чернослив в горьком шоколаде</t>
    </r>
    <r>
      <rPr>
        <sz val="10"/>
        <rFont val="Calibri"/>
        <family val="2"/>
        <scheme val="minor"/>
      </rPr>
      <t>" без сахара 50г</t>
    </r>
  </si>
  <si>
    <r>
      <t>Ваффин из полбы "</t>
    </r>
    <r>
      <rPr>
        <b/>
        <sz val="10"/>
        <rFont val="Calibri"/>
        <family val="2"/>
        <scheme val="minor"/>
      </rPr>
      <t>Финик в горьком шоколаде</t>
    </r>
    <r>
      <rPr>
        <sz val="10"/>
        <rFont val="Calibri"/>
        <family val="2"/>
        <scheme val="minor"/>
      </rPr>
      <t>" без сахара 50г</t>
    </r>
  </si>
  <si>
    <r>
      <t>Ваффин из полбы "</t>
    </r>
    <r>
      <rPr>
        <b/>
        <sz val="10"/>
        <rFont val="Calibri"/>
        <family val="2"/>
        <scheme val="minor"/>
      </rPr>
      <t>Апельсин в тёмном шоколаде</t>
    </r>
    <r>
      <rPr>
        <sz val="10"/>
        <rFont val="Calibri"/>
        <family val="2"/>
        <scheme val="minor"/>
      </rPr>
      <t>" без сахара 26г</t>
    </r>
  </si>
  <si>
    <r>
      <t>Ваффин из полбы "</t>
    </r>
    <r>
      <rPr>
        <b/>
        <sz val="10"/>
        <rFont val="Calibri"/>
        <family val="2"/>
        <scheme val="minor"/>
      </rPr>
      <t>Двойной шоколад горький</t>
    </r>
    <r>
      <rPr>
        <sz val="10"/>
        <rFont val="Calibri"/>
        <family val="2"/>
        <scheme val="minor"/>
      </rPr>
      <t>" без сахара 26г</t>
    </r>
  </si>
  <si>
    <r>
      <t>Ваффин из полбы "</t>
    </r>
    <r>
      <rPr>
        <b/>
        <sz val="10"/>
        <rFont val="Calibri"/>
        <family val="2"/>
        <scheme val="minor"/>
      </rPr>
      <t>Сливочный в горьком шоколаде</t>
    </r>
    <r>
      <rPr>
        <sz val="10"/>
        <rFont val="Calibri"/>
        <family val="2"/>
        <scheme val="minor"/>
      </rPr>
      <t>" без сахара 26г</t>
    </r>
  </si>
  <si>
    <r>
      <t>Ваффин из полбы "</t>
    </r>
    <r>
      <rPr>
        <b/>
        <sz val="10"/>
        <rFont val="Calibri"/>
        <family val="2"/>
        <scheme val="minor"/>
      </rPr>
      <t>Орехи в горьком шоколаде</t>
    </r>
    <r>
      <rPr>
        <sz val="10"/>
        <rFont val="Calibri"/>
        <family val="2"/>
        <scheme val="minor"/>
      </rPr>
      <t>" без сахара 26г</t>
    </r>
  </si>
  <si>
    <r>
      <t>Ваффин из полбы "</t>
    </r>
    <r>
      <rPr>
        <b/>
        <sz val="10"/>
        <rFont val="Calibri"/>
        <family val="2"/>
        <scheme val="minor"/>
      </rPr>
      <t>Абрикос в молочном шоколаде</t>
    </r>
    <r>
      <rPr>
        <sz val="10"/>
        <rFont val="Calibri"/>
        <family val="2"/>
        <scheme val="minor"/>
      </rPr>
      <t>" без сахара 50г</t>
    </r>
  </si>
  <si>
    <r>
      <t>Ваффин из полбы "</t>
    </r>
    <r>
      <rPr>
        <b/>
        <sz val="10"/>
        <rFont val="Calibri"/>
        <family val="2"/>
        <scheme val="minor"/>
      </rPr>
      <t>Чернослив в молочном шоколаде</t>
    </r>
    <r>
      <rPr>
        <sz val="10"/>
        <rFont val="Calibri"/>
        <family val="2"/>
        <scheme val="minor"/>
      </rPr>
      <t>" без сахара 50г</t>
    </r>
  </si>
  <si>
    <r>
      <t>Ваффин из полбы "</t>
    </r>
    <r>
      <rPr>
        <b/>
        <sz val="10"/>
        <rFont val="Calibri"/>
        <family val="2"/>
        <scheme val="minor"/>
      </rPr>
      <t>Финик в молочном шоколаде</t>
    </r>
    <r>
      <rPr>
        <sz val="10"/>
        <rFont val="Calibri"/>
        <family val="2"/>
        <scheme val="minor"/>
      </rPr>
      <t>" без сахара 50г</t>
    </r>
  </si>
  <si>
    <r>
      <t>Ваффин из полбы "</t>
    </r>
    <r>
      <rPr>
        <b/>
        <sz val="10"/>
        <rFont val="Calibri"/>
        <family val="2"/>
        <scheme val="minor"/>
      </rPr>
      <t>Двойной шоколад молочный</t>
    </r>
    <r>
      <rPr>
        <sz val="10"/>
        <rFont val="Calibri"/>
        <family val="2"/>
        <scheme val="minor"/>
      </rPr>
      <t>" без сахара 26г</t>
    </r>
  </si>
  <si>
    <r>
      <t xml:space="preserve">Вафли джем </t>
    </r>
    <r>
      <rPr>
        <b/>
        <sz val="10"/>
        <rFont val="Calibri"/>
        <family val="2"/>
        <scheme val="minor"/>
      </rPr>
      <t>Абрикос и тыква</t>
    </r>
    <r>
      <rPr>
        <sz val="10"/>
        <rFont val="Calibri"/>
        <family val="2"/>
        <scheme val="minor"/>
      </rPr>
      <t>, без глютена 21г</t>
    </r>
  </si>
  <si>
    <r>
      <t xml:space="preserve">Вафли джем </t>
    </r>
    <r>
      <rPr>
        <b/>
        <sz val="10"/>
        <rFont val="Calibri"/>
        <family val="2"/>
        <scheme val="minor"/>
      </rPr>
      <t>Абрикос и чернослив</t>
    </r>
    <r>
      <rPr>
        <sz val="10"/>
        <rFont val="Calibri"/>
        <family val="2"/>
        <scheme val="minor"/>
      </rPr>
      <t>, без глютена 21г</t>
    </r>
  </si>
  <si>
    <r>
      <t xml:space="preserve">Вафли джем </t>
    </r>
    <r>
      <rPr>
        <b/>
        <sz val="10"/>
        <rFont val="Calibri"/>
        <family val="2"/>
        <scheme val="minor"/>
      </rPr>
      <t>Апельсин, абрикос, тыква</t>
    </r>
    <r>
      <rPr>
        <sz val="10"/>
        <rFont val="Calibri"/>
        <family val="2"/>
        <scheme val="minor"/>
      </rPr>
      <t>, без глютена 21г</t>
    </r>
  </si>
  <si>
    <r>
      <t xml:space="preserve">Вафли джем </t>
    </r>
    <r>
      <rPr>
        <b/>
        <sz val="10"/>
        <rFont val="Calibri"/>
        <family val="2"/>
        <scheme val="minor"/>
      </rPr>
      <t>Морковь и абрикос</t>
    </r>
    <r>
      <rPr>
        <sz val="10"/>
        <rFont val="Calibri"/>
        <family val="2"/>
        <scheme val="minor"/>
      </rPr>
      <t>, без глютена 21г</t>
    </r>
  </si>
  <si>
    <r>
      <t xml:space="preserve">Вафли джем </t>
    </r>
    <r>
      <rPr>
        <b/>
        <sz val="10"/>
        <rFont val="Calibri"/>
        <family val="2"/>
        <scheme val="minor"/>
      </rPr>
      <t>Финик</t>
    </r>
    <r>
      <rPr>
        <sz val="10"/>
        <rFont val="Calibri"/>
        <family val="2"/>
        <scheme val="minor"/>
      </rPr>
      <t>, без глютена 21г</t>
    </r>
  </si>
  <si>
    <r>
      <t xml:space="preserve">Вафли из Полбы </t>
    </r>
    <r>
      <rPr>
        <b/>
        <sz val="10"/>
        <rFont val="Calibri"/>
        <family val="2"/>
        <scheme val="minor"/>
      </rPr>
      <t>Абрикос</t>
    </r>
    <r>
      <rPr>
        <sz val="10"/>
        <rFont val="Calibri"/>
        <family val="2"/>
        <scheme val="minor"/>
      </rPr>
      <t xml:space="preserve"> без сахара 30г</t>
    </r>
  </si>
  <si>
    <r>
      <t xml:space="preserve">Вафли из Полбы </t>
    </r>
    <r>
      <rPr>
        <b/>
        <sz val="10"/>
        <rFont val="Calibri"/>
        <family val="2"/>
        <scheme val="minor"/>
      </rPr>
      <t>Кофейные</t>
    </r>
    <r>
      <rPr>
        <sz val="10"/>
        <rFont val="Calibri"/>
        <family val="2"/>
        <scheme val="minor"/>
      </rPr>
      <t xml:space="preserve"> без сахара 15г</t>
    </r>
  </si>
  <si>
    <r>
      <t xml:space="preserve">Вафли из Полбы </t>
    </r>
    <r>
      <rPr>
        <b/>
        <sz val="10"/>
        <rFont val="Calibri"/>
        <family val="2"/>
        <scheme val="minor"/>
      </rPr>
      <t>Кофейные</t>
    </r>
    <r>
      <rPr>
        <sz val="10"/>
        <rFont val="Calibri"/>
        <family val="2"/>
        <scheme val="minor"/>
      </rPr>
      <t xml:space="preserve"> Квадрат без сахара 45г</t>
    </r>
  </si>
  <si>
    <r>
      <t xml:space="preserve">Вафли из Полбы </t>
    </r>
    <r>
      <rPr>
        <b/>
        <sz val="10"/>
        <rFont val="Calibri"/>
        <family val="2"/>
        <scheme val="minor"/>
      </rPr>
      <t>Малина с молоком кокоса</t>
    </r>
    <r>
      <rPr>
        <sz val="10"/>
        <rFont val="Calibri"/>
        <family val="2"/>
        <scheme val="minor"/>
      </rPr>
      <t>, без сахара 25г</t>
    </r>
  </si>
  <si>
    <r>
      <t xml:space="preserve">Колечки амарантовые "УмСладости" </t>
    </r>
    <r>
      <rPr>
        <b/>
        <sz val="10"/>
        <rFont val="Calibri"/>
        <family val="2"/>
        <scheme val="minor"/>
      </rPr>
      <t>земляничные</t>
    </r>
    <r>
      <rPr>
        <sz val="10"/>
        <rFont val="Calibri"/>
        <family val="2"/>
        <scheme val="minor"/>
      </rPr>
      <t xml:space="preserve"> 150г</t>
    </r>
  </si>
  <si>
    <r>
      <t xml:space="preserve">Колечки амарантовые "УмСладости" </t>
    </r>
    <r>
      <rPr>
        <b/>
        <sz val="10"/>
        <rFont val="Calibri"/>
        <family val="2"/>
        <scheme val="minor"/>
      </rPr>
      <t>какао</t>
    </r>
    <r>
      <rPr>
        <sz val="10"/>
        <rFont val="Calibri"/>
        <family val="2"/>
        <scheme val="minor"/>
      </rPr>
      <t xml:space="preserve"> 150г</t>
    </r>
  </si>
  <si>
    <r>
      <t xml:space="preserve">Колечки амарантовые "УмСладости" </t>
    </r>
    <r>
      <rPr>
        <b/>
        <sz val="10"/>
        <rFont val="Calibri"/>
        <family val="2"/>
        <scheme val="minor"/>
      </rPr>
      <t>клубника со сливками</t>
    </r>
    <r>
      <rPr>
        <sz val="10"/>
        <rFont val="Calibri"/>
        <family val="2"/>
        <scheme val="minor"/>
      </rPr>
      <t xml:space="preserve"> 150г</t>
    </r>
  </si>
  <si>
    <r>
      <t xml:space="preserve">Конфеты "УмСладости" </t>
    </r>
    <r>
      <rPr>
        <b/>
        <sz val="10"/>
        <rFont val="Calibri"/>
        <family val="2"/>
        <scheme val="minor"/>
      </rPr>
      <t>Райский остров</t>
    </r>
    <r>
      <rPr>
        <sz val="10"/>
        <rFont val="Calibri"/>
        <family val="2"/>
        <scheme val="minor"/>
      </rPr>
      <t xml:space="preserve"> с кокосовой начинкой 90г</t>
    </r>
  </si>
  <si>
    <r>
      <t xml:space="preserve">Конфеты "УмСладости" </t>
    </r>
    <r>
      <rPr>
        <b/>
        <sz val="10"/>
        <rFont val="Calibri"/>
        <family val="2"/>
        <scheme val="minor"/>
      </rPr>
      <t>Шоколадный остров</t>
    </r>
    <r>
      <rPr>
        <sz val="10"/>
        <rFont val="Calibri"/>
        <family val="2"/>
        <scheme val="minor"/>
      </rPr>
      <t xml:space="preserve"> с кокосовой начинкой 90г</t>
    </r>
  </si>
  <si>
    <r>
      <t xml:space="preserve">Печенье овсяное ц/з </t>
    </r>
    <r>
      <rPr>
        <b/>
        <sz val="10"/>
        <rFont val="Calibri"/>
        <family val="2"/>
        <scheme val="minor"/>
      </rPr>
      <t>с льном и отрубями</t>
    </r>
    <r>
      <rPr>
        <sz val="10"/>
        <rFont val="Calibri"/>
        <family val="2"/>
        <scheme val="minor"/>
      </rPr>
      <t xml:space="preserve"> 300г</t>
    </r>
  </si>
  <si>
    <r>
      <t xml:space="preserve">Магнезиум хелат комплекс + B6 </t>
    </r>
    <r>
      <rPr>
        <b/>
        <sz val="10"/>
        <rFont val="Calibri"/>
        <family val="2"/>
        <scheme val="minor"/>
      </rPr>
      <t>детский</t>
    </r>
    <r>
      <rPr>
        <sz val="10"/>
        <rFont val="Calibri"/>
        <family val="2"/>
        <scheme val="minor"/>
      </rPr>
      <t xml:space="preserve"> 150мл</t>
    </r>
  </si>
  <si>
    <r>
      <t>Мультивитамины для детей "</t>
    </r>
    <r>
      <rPr>
        <b/>
        <sz val="10"/>
        <rFont val="Calibri"/>
        <family val="2"/>
        <scheme val="minor"/>
      </rPr>
      <t>Стоп простуда</t>
    </r>
    <r>
      <rPr>
        <sz val="10"/>
        <rFont val="Calibri"/>
        <family val="2"/>
        <scheme val="minor"/>
      </rPr>
      <t>" 150мл</t>
    </r>
  </si>
  <si>
    <r>
      <t xml:space="preserve">Рыбий жир </t>
    </r>
    <r>
      <rPr>
        <b/>
        <sz val="10"/>
        <rFont val="Calibri"/>
        <family val="2"/>
        <scheme val="minor"/>
      </rPr>
      <t>из печени трески</t>
    </r>
    <r>
      <rPr>
        <sz val="10"/>
        <rFont val="Calibri"/>
        <family val="2"/>
        <scheme val="minor"/>
      </rPr>
      <t xml:space="preserve"> капс. 300мг </t>
    </r>
  </si>
  <si>
    <r>
      <t xml:space="preserve">Моющее средство для посуды </t>
    </r>
    <r>
      <rPr>
        <b/>
        <sz val="10"/>
        <rFont val="Calibri"/>
        <family val="2"/>
        <scheme val="minor"/>
      </rPr>
      <t>Итальянский киви</t>
    </r>
    <r>
      <rPr>
        <sz val="10"/>
        <rFont val="Calibri"/>
        <family val="2"/>
        <scheme val="minor"/>
      </rPr>
      <t xml:space="preserve"> 500мл</t>
    </r>
  </si>
  <si>
    <r>
      <t xml:space="preserve">Моющее средство для посуды </t>
    </r>
    <r>
      <rPr>
        <b/>
        <sz val="10"/>
        <rFont val="Calibri"/>
        <family val="2"/>
        <scheme val="minor"/>
      </rPr>
      <t>Филлипинское манго</t>
    </r>
    <r>
      <rPr>
        <sz val="10"/>
        <rFont val="Calibri"/>
        <family val="2"/>
        <scheme val="minor"/>
      </rPr>
      <t xml:space="preserve"> 500мл</t>
    </r>
  </si>
  <si>
    <r>
      <t xml:space="preserve">Гель для стирки </t>
    </r>
    <r>
      <rPr>
        <b/>
        <sz val="10"/>
        <rFont val="Calibri"/>
        <family val="2"/>
        <scheme val="minor"/>
      </rPr>
      <t>детского белья</t>
    </r>
    <r>
      <rPr>
        <sz val="10"/>
        <rFont val="Calibri"/>
        <family val="2"/>
        <scheme val="minor"/>
      </rPr>
      <t xml:space="preserve"> для чувствительной кожи 1500мл</t>
    </r>
  </si>
  <si>
    <r>
      <t xml:space="preserve">Гель для стирки </t>
    </r>
    <r>
      <rPr>
        <u/>
        <sz val="10"/>
        <rFont val="Calibri"/>
        <family val="2"/>
        <scheme val="minor"/>
      </rPr>
      <t>тёмного белья</t>
    </r>
    <r>
      <rPr>
        <sz val="10"/>
        <rFont val="Calibri"/>
        <family val="2"/>
        <scheme val="minor"/>
      </rPr>
      <t xml:space="preserve"> </t>
    </r>
    <r>
      <rPr>
        <b/>
        <sz val="10"/>
        <rFont val="Calibri"/>
        <family val="2"/>
        <scheme val="minor"/>
      </rPr>
      <t>секрет черники</t>
    </r>
    <r>
      <rPr>
        <sz val="10"/>
        <rFont val="Calibri"/>
        <family val="2"/>
        <scheme val="minor"/>
      </rPr>
      <t xml:space="preserve"> 1000мл</t>
    </r>
  </si>
  <si>
    <r>
      <t>Гель для стирки универсальный</t>
    </r>
    <r>
      <rPr>
        <b/>
        <sz val="10"/>
        <rFont val="Calibri"/>
        <family val="2"/>
        <scheme val="minor"/>
      </rPr>
      <t xml:space="preserve"> французская лаванда</t>
    </r>
    <r>
      <rPr>
        <sz val="10"/>
        <rFont val="Calibri"/>
        <family val="2"/>
        <scheme val="minor"/>
      </rPr>
      <t xml:space="preserve"> 1500мл</t>
    </r>
  </si>
  <si>
    <r>
      <t>Гель для стирки</t>
    </r>
    <r>
      <rPr>
        <b/>
        <sz val="10"/>
        <rFont val="Calibri"/>
        <family val="2"/>
        <scheme val="minor"/>
      </rPr>
      <t xml:space="preserve"> шерсти и шелка</t>
    </r>
    <r>
      <rPr>
        <sz val="10"/>
        <rFont val="Calibri"/>
        <family val="2"/>
        <scheme val="minor"/>
      </rPr>
      <t xml:space="preserve"> Цветы горной сливы 1000мл</t>
    </r>
  </si>
  <si>
    <r>
      <t xml:space="preserve">Пятновыводитель-карандаш </t>
    </r>
    <r>
      <rPr>
        <b/>
        <sz val="10"/>
        <rFont val="Calibri"/>
        <family val="2"/>
        <scheme val="minor"/>
      </rPr>
      <t>универсальный</t>
    </r>
    <r>
      <rPr>
        <sz val="10"/>
        <rFont val="Calibri"/>
        <family val="2"/>
        <scheme val="minor"/>
      </rPr>
      <t>, экологичный 35г</t>
    </r>
  </si>
  <si>
    <r>
      <t xml:space="preserve">Моющее средство </t>
    </r>
    <r>
      <rPr>
        <b/>
        <sz val="10"/>
        <rFont val="Calibri"/>
        <family val="2"/>
        <scheme val="minor"/>
      </rPr>
      <t>для всех поверхностей</t>
    </r>
    <r>
      <rPr>
        <sz val="10"/>
        <rFont val="Calibri"/>
        <family val="2"/>
        <scheme val="minor"/>
      </rPr>
      <t xml:space="preserve"> Сила Цитруса  1000мл</t>
    </r>
  </si>
  <si>
    <r>
      <t xml:space="preserve">Мыло для рук жидкое </t>
    </r>
    <r>
      <rPr>
        <b/>
        <sz val="10"/>
        <rFont val="Calibri"/>
        <family val="2"/>
        <scheme val="minor"/>
      </rPr>
      <t>Манго</t>
    </r>
    <r>
      <rPr>
        <sz val="10"/>
        <rFont val="Calibri"/>
        <family val="2"/>
        <scheme val="minor"/>
      </rPr>
      <t xml:space="preserve"> 550мл</t>
    </r>
  </si>
  <si>
    <r>
      <t xml:space="preserve">Конфеты "Кедровый грильяж" с </t>
    </r>
    <r>
      <rPr>
        <b/>
        <sz val="10"/>
        <rFont val="Calibri"/>
        <family val="2"/>
        <scheme val="minor"/>
      </rPr>
      <t>облепихой</t>
    </r>
    <r>
      <rPr>
        <sz val="10"/>
        <rFont val="Calibri"/>
        <family val="2"/>
        <scheme val="minor"/>
      </rPr>
      <t xml:space="preserve"> в шоколадной глазури 120г</t>
    </r>
  </si>
  <si>
    <r>
      <t xml:space="preserve">Конфеты "Кедровый грильяж" с </t>
    </r>
    <r>
      <rPr>
        <b/>
        <sz val="10"/>
        <rFont val="Calibri"/>
        <family val="2"/>
        <scheme val="minor"/>
      </rPr>
      <t>сосновой шишкой</t>
    </r>
    <r>
      <rPr>
        <sz val="10"/>
        <rFont val="Calibri"/>
        <family val="2"/>
        <scheme val="minor"/>
      </rPr>
      <t xml:space="preserve"> в шок глазури 120г</t>
    </r>
  </si>
  <si>
    <r>
      <t>Конфеты "Кедровый грильяж" с</t>
    </r>
    <r>
      <rPr>
        <b/>
        <sz val="10"/>
        <rFont val="Calibri"/>
        <family val="2"/>
        <scheme val="minor"/>
      </rPr>
      <t xml:space="preserve"> черникой</t>
    </r>
    <r>
      <rPr>
        <sz val="10"/>
        <rFont val="Calibri"/>
        <family val="2"/>
        <scheme val="minor"/>
      </rPr>
      <t xml:space="preserve"> в шоколадной глазури 120г</t>
    </r>
  </si>
  <si>
    <r>
      <t xml:space="preserve">Иван-чай с </t>
    </r>
    <r>
      <rPr>
        <b/>
        <sz val="10"/>
        <rFont val="Calibri"/>
        <family val="2"/>
        <scheme val="minor"/>
      </rPr>
      <t>хвоей пихты</t>
    </r>
    <r>
      <rPr>
        <sz val="10"/>
        <rFont val="Calibri"/>
        <family val="2"/>
        <scheme val="minor"/>
      </rPr>
      <t>, крафт пакет 40г</t>
    </r>
  </si>
  <si>
    <r>
      <t xml:space="preserve">Иван-чай с </t>
    </r>
    <r>
      <rPr>
        <b/>
        <sz val="10"/>
        <rFont val="Calibri"/>
        <family val="2"/>
        <scheme val="minor"/>
      </rPr>
      <t>чабрецом</t>
    </r>
    <r>
      <rPr>
        <sz val="10"/>
        <rFont val="Calibri"/>
        <family val="2"/>
        <scheme val="minor"/>
      </rPr>
      <t>, крафт пакет 40г</t>
    </r>
  </si>
  <si>
    <t>http://1.c8804.nichost.ru/pics/21530.jpg</t>
  </si>
  <si>
    <t>зерно кукурузы, высокоолеиновое подсолнечное масло, сушеный черный трюфель, морская соль, натуральные ароматизаторы</t>
  </si>
  <si>
    <t>Зерно кукурузы, тростниковый сахар, натуральная патока, высокоолеиновое подсолнечное масло, кленовый сироп, сухое молоко, натуральный ароматизатор, морская соль, натуральный эмульгатор (cоевый летицин)</t>
  </si>
  <si>
    <t>http://1.c8804.nichost.ru/pics/21529.jpg</t>
  </si>
  <si>
    <t>Кукурузная крупа, высокоолеиновое подсолнечное масло, перец чили молотый, натуральный ароматизатор барбекю.</t>
  </si>
  <si>
    <t>Кукурузная крупа, высокоолеиновое подсолнечное масло, сухой сыр, натуральный ароматизатор сыр, натуральный ароматизатор гриль, натуральный краситель экстракт паприки</t>
  </si>
  <si>
    <r>
      <t>Снеки кукурузные со вкусом "</t>
    </r>
    <r>
      <rPr>
        <b/>
        <sz val="10"/>
        <color theme="9" tint="-0.249977111117893"/>
        <rFont val="Calibri"/>
        <family val="2"/>
        <charset val="204"/>
        <scheme val="minor"/>
      </rPr>
      <t>гриль чиз</t>
    </r>
    <r>
      <rPr>
        <sz val="10"/>
        <color theme="9" tint="-0.249977111117893"/>
        <rFont val="Calibri"/>
        <family val="2"/>
        <scheme val="minor"/>
      </rPr>
      <t>" 30г</t>
    </r>
  </si>
  <si>
    <r>
      <t>Снеки кукурузные со вкусом "</t>
    </r>
    <r>
      <rPr>
        <b/>
        <sz val="10"/>
        <color theme="9" tint="-0.249977111117893"/>
        <rFont val="Calibri"/>
        <family val="2"/>
        <charset val="204"/>
        <scheme val="minor"/>
      </rPr>
      <t>барбекю</t>
    </r>
    <r>
      <rPr>
        <sz val="10"/>
        <color theme="9" tint="-0.249977111117893"/>
        <rFont val="Calibri"/>
        <family val="2"/>
        <scheme val="minor"/>
      </rPr>
      <t>" 30г</t>
    </r>
  </si>
  <si>
    <t>http://1.c8804.nichost.ru/pics/21532.jpg</t>
  </si>
  <si>
    <t>http://1.c8804.nichost.ru/pics/21531.jpg</t>
  </si>
  <si>
    <t>http://1.c8804.nichost.ru/pics/21534.jpg</t>
  </si>
  <si>
    <t>http://1.c8804.nichost.ru/pics/21533.jpg</t>
  </si>
  <si>
    <t>сироп топинамбура, мука рисовая, масло кокосовое, семена белого кунжута, белок яичный сухой, паста кунжутная, соль морская пищевая, сода пищевая, лецитин подсолнечный, лимонная кислота</t>
  </si>
  <si>
    <t>сироп топинамбура, мука рисовая, масло кокосовое, семена белого кунжута, паста кунжутная, лецитин подсолнечный, порошок банана, бело яичный сухой, банан сублимированный, порошок моркови, соль морская, ксантановая камедь, ароматизатор натуральный, лимонная кислота</t>
  </si>
  <si>
    <r>
      <t xml:space="preserve">Печенье тахинное (кунжутное) </t>
    </r>
    <r>
      <rPr>
        <b/>
        <sz val="10"/>
        <color theme="9" tint="-0.249977111117893"/>
        <rFont val="Calibri"/>
        <family val="2"/>
        <scheme val="minor"/>
      </rPr>
      <t>оригинальное</t>
    </r>
    <r>
      <rPr>
        <sz val="10"/>
        <color theme="9" tint="-0.249977111117893"/>
        <rFont val="Calibri"/>
        <family val="2"/>
        <scheme val="minor"/>
      </rPr>
      <t>, без глютена и сахара NutVill 75г</t>
    </r>
  </si>
  <si>
    <r>
      <t xml:space="preserve">Печенье тахинное (кунжутное) с </t>
    </r>
    <r>
      <rPr>
        <b/>
        <sz val="10"/>
        <color theme="9" tint="-0.249977111117893"/>
        <rFont val="Calibri"/>
        <family val="2"/>
        <scheme val="minor"/>
      </rPr>
      <t>бананом</t>
    </r>
    <r>
      <rPr>
        <sz val="10"/>
        <color theme="9" tint="-0.249977111117893"/>
        <rFont val="Calibri"/>
        <family val="2"/>
        <scheme val="minor"/>
      </rPr>
      <t>, без глютена и сахара NutVill 75г</t>
    </r>
  </si>
  <si>
    <t>Готовые блюда растительные</t>
  </si>
  <si>
    <t>Бефстроганов в соусе терияки с кунжутом VEGAN, дойпак 240г</t>
  </si>
  <si>
    <t>Растительный фарш в соусе Болоньезе VEGAN, дойпак 240г</t>
  </si>
  <si>
    <t>Фрикасе с грибами в пикантном соусе VEGAN, дойпак 240г</t>
  </si>
  <si>
    <t xml:space="preserve">соус соевый терияки (вода питьевая, соевый соус (ферментированный соевый соус (вода, обезжиренная соя, пшеница, соль), мальтодекстрин, соль), соль морская пищевая, загустители (гуаровая камедь, ксантановая камедь), регулятор кислотности (уксусная кислота </t>
  </si>
  <si>
    <t>вода, томатная паста, белок растительный текстурированный соевый (шрот соевый пищевой, изолят соевого белка), лук репчатый, морковь, масло подсолнечное, рафинированное дезодорированное, соль морская пищевая, специи и пряности (чеснок, паприка молотая, укр</t>
  </si>
  <si>
    <t>соус (вода питьевая, масло подсолнечное рафинированное дезодорированное, соль морская пищевая, загустители (гуаровая камедь, ксантановая камедь), подсластитель стевиолгликозиды (Е960), регулятор кислотности (уксусная кислота 70%, лимонная кислота)), вода,</t>
  </si>
  <si>
    <t>вода, перец сладкий, белок растительный текстурированный соево-пшеничный (мука соевая дезодорированная обезжиренная, пшеничный глютен, изолят соевого белка, соль пищевая, разрыхлитель - гидрокарбонат натрия), лук репчатый, томатная паста, масло подсолнечное</t>
  </si>
  <si>
    <t>Гуляш растительный по-грузински VEGAN, дойпак 240г</t>
  </si>
  <si>
    <t>http://1.c8804.nichost.ru/pics/21536.jpg</t>
  </si>
  <si>
    <t>http://1.c8804.nichost.ru/pics/21539.jpg</t>
  </si>
  <si>
    <t>http://1.c8804.nichost.ru/pics/21537.jpg</t>
  </si>
  <si>
    <t>http://1.c8804.nichost.ru/pics/21538.jpg</t>
  </si>
  <si>
    <t>http://1.c8804.nichost.ru/pics/20520.jpg</t>
  </si>
  <si>
    <r>
      <t xml:space="preserve">Паста крем-чиз соевый </t>
    </r>
    <r>
      <rPr>
        <b/>
        <sz val="10"/>
        <rFont val="Calibri"/>
        <family val="2"/>
        <charset val="204"/>
        <scheme val="minor"/>
      </rPr>
      <t>оргинальный</t>
    </r>
    <r>
      <rPr>
        <sz val="10"/>
        <rFont val="Calibri"/>
        <family val="2"/>
        <scheme val="minor"/>
      </rPr>
      <t xml:space="preserve"> стекло 90г</t>
    </r>
  </si>
  <si>
    <t>АКЦИЯ! СКИДКА 30%</t>
  </si>
  <si>
    <r>
      <t xml:space="preserve">Мюсли мультизлаковые </t>
    </r>
    <r>
      <rPr>
        <b/>
        <sz val="10"/>
        <color theme="9" tint="-0.249977111117893"/>
        <rFont val="Calibri"/>
        <family val="2"/>
        <scheme val="minor"/>
      </rPr>
      <t>с семенами льна и тыквы</t>
    </r>
    <r>
      <rPr>
        <sz val="10"/>
        <color theme="9" tint="-0.249977111117893"/>
        <rFont val="Calibri"/>
        <family val="2"/>
        <scheme val="minor"/>
      </rPr>
      <t xml:space="preserve"> 310г</t>
    </r>
  </si>
  <si>
    <r>
      <t xml:space="preserve">Клетчатка пшеничная </t>
    </r>
    <r>
      <rPr>
        <b/>
        <sz val="10"/>
        <color theme="9" tint="-0.249977111117893"/>
        <rFont val="Calibri"/>
        <family val="2"/>
        <scheme val="minor"/>
      </rPr>
      <t>Ламинария</t>
    </r>
    <r>
      <rPr>
        <sz val="10"/>
        <color theme="9" tint="-0.249977111117893"/>
        <rFont val="Calibri"/>
        <family val="2"/>
        <scheme val="minor"/>
      </rPr>
      <t xml:space="preserve"> бум.пакет 300г</t>
    </r>
  </si>
  <si>
    <r>
      <t xml:space="preserve">Печенье овсяное ц/з </t>
    </r>
    <r>
      <rPr>
        <b/>
        <sz val="10"/>
        <color theme="9" tint="-0.249977111117893"/>
        <rFont val="Calibri"/>
        <family val="2"/>
        <scheme val="minor"/>
      </rPr>
      <t>имбирное</t>
    </r>
    <r>
      <rPr>
        <sz val="10"/>
        <color theme="9" tint="-0.249977111117893"/>
        <rFont val="Calibri"/>
        <family val="2"/>
        <scheme val="minor"/>
      </rPr>
      <t xml:space="preserve"> 300г</t>
    </r>
  </si>
  <si>
    <r>
      <t xml:space="preserve">Молоко ореха макадамия с витаминами и кальцием Degrees </t>
    </r>
    <r>
      <rPr>
        <b/>
        <sz val="10"/>
        <rFont val="Calibri"/>
        <family val="2"/>
        <scheme val="minor"/>
      </rPr>
      <t>1000мл</t>
    </r>
  </si>
  <si>
    <r>
      <t xml:space="preserve">Каша гречневая с </t>
    </r>
    <r>
      <rPr>
        <b/>
        <sz val="10"/>
        <rFont val="Calibri"/>
        <family val="2"/>
        <scheme val="minor"/>
      </rPr>
      <t>говяжьей печенью</t>
    </r>
    <r>
      <rPr>
        <sz val="10"/>
        <rFont val="Calibri"/>
        <family val="2"/>
        <scheme val="minor"/>
      </rPr>
      <t>, реторт-пакет 250г</t>
    </r>
  </si>
  <si>
    <r>
      <t>Конфеты шоколадные, ассорти "</t>
    </r>
    <r>
      <rPr>
        <b/>
        <sz val="10"/>
        <color theme="1"/>
        <rFont val="Calibri"/>
        <family val="2"/>
        <scheme val="minor"/>
      </rPr>
      <t>Русское наследие</t>
    </r>
    <r>
      <rPr>
        <sz val="10"/>
        <color theme="1"/>
        <rFont val="Calibri"/>
        <family val="2"/>
        <scheme val="minor"/>
      </rPr>
      <t>" коробка 130г</t>
    </r>
  </si>
  <si>
    <r>
      <t>Конфеты шоколадные, ассорти "</t>
    </r>
    <r>
      <rPr>
        <b/>
        <sz val="10"/>
        <color theme="9" tint="-0.249977111117893"/>
        <rFont val="Calibri"/>
        <family val="2"/>
        <scheme val="minor"/>
      </rPr>
      <t>Замок снежинок</t>
    </r>
    <r>
      <rPr>
        <sz val="10"/>
        <color theme="9" tint="-0.249977111117893"/>
        <rFont val="Calibri"/>
        <family val="2"/>
        <scheme val="minor"/>
      </rPr>
      <t>" коробка 130г</t>
    </r>
  </si>
  <si>
    <r>
      <t>Конфеты шоколадные, ассорти "</t>
    </r>
    <r>
      <rPr>
        <b/>
        <sz val="10"/>
        <color theme="9" tint="-0.249977111117893"/>
        <rFont val="Calibri"/>
        <family val="2"/>
        <scheme val="minor"/>
      </rPr>
      <t>Петербургские метели</t>
    </r>
    <r>
      <rPr>
        <sz val="10"/>
        <color theme="9" tint="-0.249977111117893"/>
        <rFont val="Calibri"/>
        <family val="2"/>
        <scheme val="minor"/>
      </rPr>
      <t>" коробка 130г</t>
    </r>
  </si>
  <si>
    <r>
      <t xml:space="preserve">Конфеты финиковые "Фрутодень" </t>
    </r>
    <r>
      <rPr>
        <b/>
        <sz val="10"/>
        <rFont val="Calibri"/>
        <family val="2"/>
        <scheme val="minor"/>
      </rPr>
      <t xml:space="preserve">апельсин, шоколад, миндаль, </t>
    </r>
    <r>
      <rPr>
        <sz val="10"/>
        <rFont val="Calibri"/>
        <family val="2"/>
        <scheme val="minor"/>
      </rPr>
      <t>б.сахара zip 150г</t>
    </r>
  </si>
  <si>
    <r>
      <t xml:space="preserve">Конфеты финиковые "Фрутодень" </t>
    </r>
    <r>
      <rPr>
        <b/>
        <sz val="10"/>
        <rFont val="Calibri"/>
        <family val="2"/>
        <scheme val="minor"/>
      </rPr>
      <t>кокос, манго</t>
    </r>
    <r>
      <rPr>
        <sz val="10"/>
        <rFont val="Calibri"/>
        <family val="2"/>
        <scheme val="minor"/>
      </rPr>
      <t>,без сахара zip 150г</t>
    </r>
  </si>
  <si>
    <r>
      <t xml:space="preserve">Конфеты финиковые "Фрутодень" </t>
    </r>
    <r>
      <rPr>
        <b/>
        <sz val="10"/>
        <rFont val="Calibri"/>
        <family val="2"/>
        <scheme val="minor"/>
      </rPr>
      <t>кофейный трюфель</t>
    </r>
    <r>
      <rPr>
        <sz val="10"/>
        <rFont val="Calibri"/>
        <family val="2"/>
        <scheme val="minor"/>
      </rPr>
      <t>,без сахара zip 150г</t>
    </r>
  </si>
  <si>
    <r>
      <t>Конфеты Ассорти "</t>
    </r>
    <r>
      <rPr>
        <b/>
        <sz val="10"/>
        <rFont val="Calibri"/>
        <family val="2"/>
        <scheme val="minor"/>
      </rPr>
      <t>Кедровая коллекция</t>
    </r>
    <r>
      <rPr>
        <sz val="10"/>
        <rFont val="Calibri"/>
        <family val="2"/>
        <scheme val="minor"/>
      </rPr>
      <t>" шоу-бокс 550г</t>
    </r>
  </si>
  <si>
    <r>
      <t xml:space="preserve">Конфеты </t>
    </r>
    <r>
      <rPr>
        <b/>
        <sz val="10"/>
        <rFont val="Calibri"/>
        <family val="2"/>
        <scheme val="minor"/>
      </rPr>
      <t>Шишка шоколадная</t>
    </r>
    <r>
      <rPr>
        <sz val="10"/>
        <rFont val="Calibri"/>
        <family val="2"/>
        <scheme val="minor"/>
      </rPr>
      <t xml:space="preserve"> без сахара, с кедром и клюквой 80г</t>
    </r>
  </si>
  <si>
    <r>
      <t xml:space="preserve">Напиток абрикосовый мокачино </t>
    </r>
    <r>
      <rPr>
        <b/>
        <sz val="10"/>
        <rFont val="Calibri"/>
        <family val="2"/>
        <scheme val="minor"/>
      </rPr>
      <t>без сахара</t>
    </r>
    <r>
      <rPr>
        <sz val="10"/>
        <rFont val="Calibri"/>
        <family val="2"/>
        <scheme val="minor"/>
      </rPr>
      <t xml:space="preserve"> Eleo 150г</t>
    </r>
  </si>
  <si>
    <r>
      <t xml:space="preserve">Масло кокосовое </t>
    </r>
    <r>
      <rPr>
        <b/>
        <sz val="10"/>
        <rFont val="Calibri"/>
        <family val="2"/>
        <scheme val="minor"/>
      </rPr>
      <t>для жарки</t>
    </r>
    <r>
      <rPr>
        <sz val="10"/>
        <rFont val="Calibri"/>
        <family val="2"/>
        <scheme val="minor"/>
      </rPr>
      <t xml:space="preserve"> рафинированное, банка 660мл</t>
    </r>
  </si>
  <si>
    <r>
      <t xml:space="preserve">Масло кокосовое </t>
    </r>
    <r>
      <rPr>
        <b/>
        <sz val="10"/>
        <rFont val="Calibri"/>
        <family val="2"/>
        <scheme val="minor"/>
      </rPr>
      <t>косметическое</t>
    </r>
    <r>
      <rPr>
        <sz val="10"/>
        <rFont val="Calibri"/>
        <family val="2"/>
        <scheme val="minor"/>
      </rPr>
      <t xml:space="preserve"> для тела и воло, банка 400мл</t>
    </r>
  </si>
  <si>
    <r>
      <t xml:space="preserve">Соль пищевая гималайская, </t>
    </r>
    <r>
      <rPr>
        <b/>
        <sz val="10"/>
        <rFont val="Calibri"/>
        <family val="2"/>
        <scheme val="minor"/>
      </rPr>
      <t>крупный помол</t>
    </r>
    <r>
      <rPr>
        <sz val="10"/>
        <rFont val="Calibri"/>
        <family val="2"/>
        <scheme val="minor"/>
      </rPr>
      <t>, дой-пак 1кг</t>
    </r>
  </si>
  <si>
    <r>
      <t xml:space="preserve">Соль пищевая гималайская, </t>
    </r>
    <r>
      <rPr>
        <b/>
        <sz val="10"/>
        <rFont val="Calibri"/>
        <family val="2"/>
        <scheme val="minor"/>
      </rPr>
      <t>мелкий помол</t>
    </r>
    <r>
      <rPr>
        <sz val="10"/>
        <rFont val="Calibri"/>
        <family val="2"/>
        <scheme val="minor"/>
      </rPr>
      <t>, дой-пак 1кг</t>
    </r>
  </si>
  <si>
    <r>
      <t xml:space="preserve">Цикорий натуральный растворимый, стекло </t>
    </r>
    <r>
      <rPr>
        <b/>
        <sz val="10"/>
        <rFont val="Calibri"/>
        <family val="2"/>
        <scheme val="minor"/>
      </rPr>
      <t>280г</t>
    </r>
  </si>
  <si>
    <r>
      <t xml:space="preserve">Палочки злаково-овощные </t>
    </r>
    <r>
      <rPr>
        <b/>
        <sz val="10"/>
        <rFont val="Calibri"/>
        <family val="2"/>
        <scheme val="minor"/>
      </rPr>
      <t>морковь, тыква, красные рис</t>
    </r>
    <r>
      <rPr>
        <sz val="10"/>
        <rFont val="Calibri"/>
        <family val="2"/>
        <scheme val="minor"/>
      </rPr>
      <t xml:space="preserve"> 50г</t>
    </r>
  </si>
  <si>
    <r>
      <t xml:space="preserve">Палочки злаково-овощные </t>
    </r>
    <r>
      <rPr>
        <b/>
        <sz val="10"/>
        <rFont val="Calibri"/>
        <family val="2"/>
        <scheme val="minor"/>
      </rPr>
      <t>паприка, перец, ячмень</t>
    </r>
    <r>
      <rPr>
        <sz val="10"/>
        <rFont val="Calibri"/>
        <family val="2"/>
        <scheme val="minor"/>
      </rPr>
      <t xml:space="preserve"> 50г</t>
    </r>
  </si>
  <si>
    <r>
      <t xml:space="preserve">Палочки злаково-овощные </t>
    </r>
    <r>
      <rPr>
        <b/>
        <sz val="10"/>
        <rFont val="Calibri"/>
        <family val="2"/>
        <scheme val="minor"/>
      </rPr>
      <t>томат, базилик, греча</t>
    </r>
    <r>
      <rPr>
        <sz val="10"/>
        <rFont val="Calibri"/>
        <family val="2"/>
        <scheme val="minor"/>
      </rPr>
      <t xml:space="preserve"> 50г</t>
    </r>
  </si>
  <si>
    <r>
      <t xml:space="preserve">Печенье Пече-няшки </t>
    </r>
    <r>
      <rPr>
        <b/>
        <sz val="10"/>
        <rFont val="Calibri"/>
        <family val="2"/>
        <scheme val="minor"/>
      </rPr>
      <t>Апельсиновое</t>
    </r>
    <r>
      <rPr>
        <sz val="10"/>
        <rFont val="Calibri"/>
        <family val="2"/>
        <scheme val="minor"/>
      </rPr>
      <t xml:space="preserve">  "Missis Pickez" 100г</t>
    </r>
  </si>
  <si>
    <r>
      <t xml:space="preserve">Печенье Пече-няшки </t>
    </r>
    <r>
      <rPr>
        <b/>
        <sz val="10"/>
        <rFont val="Calibri"/>
        <family val="2"/>
        <scheme val="minor"/>
      </rPr>
      <t>Банановое</t>
    </r>
    <r>
      <rPr>
        <sz val="10"/>
        <rFont val="Calibri"/>
        <family val="2"/>
        <scheme val="minor"/>
      </rPr>
      <t xml:space="preserve">  "Missis Pickez" 100г</t>
    </r>
  </si>
  <si>
    <r>
      <t xml:space="preserve">Печенье Квадрат (to go) </t>
    </r>
    <r>
      <rPr>
        <b/>
        <sz val="10"/>
        <rFont val="Calibri"/>
        <family val="2"/>
        <scheme val="minor"/>
      </rPr>
      <t>Имбирный пряник</t>
    </r>
    <r>
      <rPr>
        <sz val="10"/>
        <rFont val="Calibri"/>
        <family val="2"/>
        <scheme val="minor"/>
      </rPr>
      <t xml:space="preserve"> Missis Pickez 40г</t>
    </r>
  </si>
  <si>
    <r>
      <t xml:space="preserve">Печенье Квадрат (to go) </t>
    </r>
    <r>
      <rPr>
        <b/>
        <sz val="10"/>
        <rFont val="Calibri"/>
        <family val="2"/>
        <scheme val="minor"/>
      </rPr>
      <t xml:space="preserve">Кокосовое </t>
    </r>
    <r>
      <rPr>
        <sz val="10"/>
        <rFont val="Calibri"/>
        <family val="2"/>
        <scheme val="minor"/>
      </rPr>
      <t>Missis Pickez 40г</t>
    </r>
  </si>
  <si>
    <r>
      <t xml:space="preserve">Печенье Квадрат (to go) </t>
    </r>
    <r>
      <rPr>
        <b/>
        <sz val="10"/>
        <rFont val="Calibri"/>
        <family val="2"/>
        <scheme val="minor"/>
      </rPr>
      <t>Миндальное</t>
    </r>
    <r>
      <rPr>
        <sz val="10"/>
        <rFont val="Calibri"/>
        <family val="2"/>
        <scheme val="minor"/>
      </rPr>
      <t xml:space="preserve"> Missis Pickez 40г</t>
    </r>
  </si>
  <si>
    <r>
      <t xml:space="preserve">Печенье Квадрат (to go) </t>
    </r>
    <r>
      <rPr>
        <b/>
        <sz val="10"/>
        <rFont val="Calibri"/>
        <family val="2"/>
        <scheme val="minor"/>
      </rPr>
      <t>Штрудель</t>
    </r>
    <r>
      <rPr>
        <sz val="10"/>
        <rFont val="Calibri"/>
        <family val="2"/>
        <scheme val="minor"/>
      </rPr>
      <t xml:space="preserve"> Missis Pickez 40г</t>
    </r>
  </si>
  <si>
    <r>
      <t>Бальзам для губ "</t>
    </r>
    <r>
      <rPr>
        <b/>
        <sz val="10"/>
        <rFont val="Calibri"/>
        <family val="2"/>
        <scheme val="minor"/>
      </rPr>
      <t>С кедровой живицей</t>
    </r>
    <r>
      <rPr>
        <sz val="10"/>
        <rFont val="Calibri"/>
        <family val="2"/>
        <scheme val="minor"/>
      </rPr>
      <t>" 5мл</t>
    </r>
  </si>
  <si>
    <r>
      <t>Бальзам для губ "</t>
    </r>
    <r>
      <rPr>
        <b/>
        <sz val="10"/>
        <rFont val="Calibri"/>
        <family val="2"/>
        <scheme val="minor"/>
      </rPr>
      <t>С прополисом</t>
    </r>
    <r>
      <rPr>
        <sz val="10"/>
        <rFont val="Calibri"/>
        <family val="2"/>
        <scheme val="minor"/>
      </rPr>
      <t>"  5мл</t>
    </r>
  </si>
  <si>
    <r>
      <t xml:space="preserve">Хлопья овсяные из голозёрного овся </t>
    </r>
    <r>
      <rPr>
        <b/>
        <sz val="10"/>
        <rFont val="Calibri"/>
        <family val="2"/>
        <scheme val="minor"/>
      </rPr>
      <t>Длительной варки</t>
    </r>
    <r>
      <rPr>
        <sz val="10"/>
        <rFont val="Calibri"/>
        <family val="2"/>
        <scheme val="minor"/>
      </rPr>
      <t xml:space="preserve"> без глютена 350г</t>
    </r>
  </si>
  <si>
    <r>
      <t xml:space="preserve">Каша овсяная из голозерного овса </t>
    </r>
    <r>
      <rPr>
        <b/>
        <sz val="10"/>
        <rFont val="Calibri"/>
        <family val="2"/>
        <scheme val="minor"/>
      </rPr>
      <t>для детского питания</t>
    </r>
    <r>
      <rPr>
        <sz val="10"/>
        <rFont val="Calibri"/>
        <family val="2"/>
        <scheme val="minor"/>
      </rPr>
      <t>, банка 350г</t>
    </r>
  </si>
  <si>
    <r>
      <t xml:space="preserve">Пастила фруктовая "Динозавр" </t>
    </r>
    <r>
      <rPr>
        <b/>
        <sz val="10"/>
        <rFont val="Calibri"/>
        <family val="2"/>
        <scheme val="minor"/>
      </rPr>
      <t>Абрикос</t>
    </r>
    <r>
      <rPr>
        <sz val="10"/>
        <rFont val="Calibri"/>
        <family val="2"/>
        <scheme val="minor"/>
      </rPr>
      <t xml:space="preserve"> 15г</t>
    </r>
  </si>
  <si>
    <r>
      <t xml:space="preserve">Пастила фруктовая "Динозавр" </t>
    </r>
    <r>
      <rPr>
        <b/>
        <sz val="10"/>
        <rFont val="Calibri"/>
        <family val="2"/>
        <scheme val="minor"/>
      </rPr>
      <t>Вишня</t>
    </r>
    <r>
      <rPr>
        <sz val="10"/>
        <rFont val="Calibri"/>
        <family val="2"/>
        <scheme val="minor"/>
      </rPr>
      <t xml:space="preserve"> 15г</t>
    </r>
  </si>
  <si>
    <r>
      <t xml:space="preserve">Пастила фруктовая "Динозавр" </t>
    </r>
    <r>
      <rPr>
        <b/>
        <sz val="10"/>
        <rFont val="Calibri"/>
        <family val="2"/>
        <scheme val="minor"/>
      </rPr>
      <t>Яблоко</t>
    </r>
    <r>
      <rPr>
        <sz val="10"/>
        <rFont val="Calibri"/>
        <family val="2"/>
        <scheme val="minor"/>
      </rPr>
      <t xml:space="preserve"> 15г</t>
    </r>
  </si>
  <si>
    <r>
      <t xml:space="preserve">Пастила фруктовая "Монстрик" </t>
    </r>
    <r>
      <rPr>
        <b/>
        <sz val="10"/>
        <rFont val="Calibri"/>
        <family val="2"/>
        <scheme val="minor"/>
      </rPr>
      <t>Ананас</t>
    </r>
    <r>
      <rPr>
        <sz val="10"/>
        <rFont val="Calibri"/>
        <family val="2"/>
        <scheme val="minor"/>
      </rPr>
      <t xml:space="preserve"> 15г</t>
    </r>
  </si>
  <si>
    <r>
      <t xml:space="preserve">Пастила фруктовая "Монстрик" </t>
    </r>
    <r>
      <rPr>
        <b/>
        <sz val="10"/>
        <rFont val="Calibri"/>
        <family val="2"/>
        <scheme val="minor"/>
      </rPr>
      <t>Клубника</t>
    </r>
    <r>
      <rPr>
        <sz val="10"/>
        <rFont val="Calibri"/>
        <family val="2"/>
        <scheme val="minor"/>
      </rPr>
      <t xml:space="preserve"> 15г</t>
    </r>
  </si>
  <si>
    <r>
      <t xml:space="preserve">Пастила фруктовая "Монстрик" </t>
    </r>
    <r>
      <rPr>
        <b/>
        <sz val="10"/>
        <rFont val="Calibri"/>
        <family val="2"/>
        <scheme val="minor"/>
      </rPr>
      <t>Черника</t>
    </r>
    <r>
      <rPr>
        <sz val="10"/>
        <rFont val="Calibri"/>
        <family val="2"/>
        <scheme val="minor"/>
      </rPr>
      <t xml:space="preserve"> 15г</t>
    </r>
  </si>
  <si>
    <r>
      <t>Макароны</t>
    </r>
    <r>
      <rPr>
        <b/>
        <sz val="10"/>
        <rFont val="Calibri"/>
        <family val="2"/>
        <scheme val="minor"/>
      </rPr>
      <t xml:space="preserve"> Снежинки</t>
    </r>
    <r>
      <rPr>
        <sz val="10"/>
        <rFont val="Calibri"/>
        <family val="2"/>
        <scheme val="minor"/>
      </rPr>
      <t xml:space="preserve"> Pasta la Bella Baby 250г</t>
    </r>
  </si>
  <si>
    <r>
      <t xml:space="preserve">Макароны </t>
    </r>
    <r>
      <rPr>
        <b/>
        <sz val="10"/>
        <rFont val="Calibri"/>
        <family val="2"/>
        <scheme val="minor"/>
      </rPr>
      <t>Снежинки</t>
    </r>
    <r>
      <rPr>
        <sz val="10"/>
        <rFont val="Calibri"/>
        <family val="2"/>
        <scheme val="minor"/>
      </rPr>
      <t xml:space="preserve"> </t>
    </r>
    <r>
      <rPr>
        <b/>
        <sz val="10"/>
        <rFont val="Calibri"/>
        <family val="2"/>
        <scheme val="minor"/>
      </rPr>
      <t>без глютена</t>
    </r>
    <r>
      <rPr>
        <sz val="10"/>
        <rFont val="Calibri"/>
        <family val="2"/>
        <scheme val="minor"/>
      </rPr>
      <t xml:space="preserve"> Pasta la Bella Baby 250г</t>
    </r>
  </si>
  <si>
    <r>
      <t xml:space="preserve">Макароны </t>
    </r>
    <r>
      <rPr>
        <b/>
        <sz val="10"/>
        <rFont val="Calibri"/>
        <family val="2"/>
        <scheme val="minor"/>
      </rPr>
      <t>Снежинки</t>
    </r>
    <r>
      <rPr>
        <sz val="10"/>
        <rFont val="Calibri"/>
        <family val="2"/>
        <scheme val="minor"/>
      </rPr>
      <t xml:space="preserve"> </t>
    </r>
    <r>
      <rPr>
        <b/>
        <sz val="10"/>
        <rFont val="Calibri"/>
        <family val="2"/>
        <scheme val="minor"/>
      </rPr>
      <t>Триколор</t>
    </r>
    <r>
      <rPr>
        <sz val="10"/>
        <rFont val="Calibri"/>
        <family val="2"/>
        <scheme val="minor"/>
      </rPr>
      <t xml:space="preserve"> Pasta la Bella Baby 250г</t>
    </r>
  </si>
  <si>
    <r>
      <t xml:space="preserve">Чайный напиток "Сибирский пуэр" </t>
    </r>
    <r>
      <rPr>
        <b/>
        <sz val="10"/>
        <rFont val="Calibri"/>
        <family val="2"/>
        <scheme val="minor"/>
      </rPr>
      <t>калина-малина</t>
    </r>
    <r>
      <rPr>
        <sz val="10"/>
        <rFont val="Calibri"/>
        <family val="2"/>
        <scheme val="minor"/>
      </rPr>
      <t>, плиточный 96г</t>
    </r>
  </si>
  <si>
    <r>
      <t xml:space="preserve">Чайный напиток "Сибирский пуэр" </t>
    </r>
    <r>
      <rPr>
        <b/>
        <sz val="10"/>
        <rFont val="Calibri"/>
        <family val="2"/>
        <scheme val="minor"/>
      </rPr>
      <t>кедровый</t>
    </r>
    <r>
      <rPr>
        <sz val="10"/>
        <rFont val="Calibri"/>
        <family val="2"/>
        <scheme val="minor"/>
      </rPr>
      <t>, плиточный 96г</t>
    </r>
  </si>
  <si>
    <r>
      <t xml:space="preserve">Чайный напиток "Сибирский пуэр" </t>
    </r>
    <r>
      <rPr>
        <b/>
        <sz val="10"/>
        <rFont val="Calibri"/>
        <family val="2"/>
        <scheme val="minor"/>
      </rPr>
      <t>смородина</t>
    </r>
    <r>
      <rPr>
        <sz val="10"/>
        <rFont val="Calibri"/>
        <family val="2"/>
        <scheme val="minor"/>
      </rPr>
      <t>, плиточный 96г</t>
    </r>
  </si>
  <si>
    <r>
      <t xml:space="preserve">Паста арахисовая </t>
    </r>
    <r>
      <rPr>
        <b/>
        <sz val="10"/>
        <rFont val="Calibri"/>
        <family val="2"/>
        <scheme val="minor"/>
      </rPr>
      <t xml:space="preserve">солёная карамель, </t>
    </r>
    <r>
      <rPr>
        <sz val="10"/>
        <rFont val="Calibri"/>
        <family val="2"/>
        <scheme val="minor"/>
      </rPr>
      <t>стекло</t>
    </r>
    <r>
      <rPr>
        <b/>
        <sz val="10"/>
        <rFont val="Calibri"/>
        <family val="2"/>
        <scheme val="minor"/>
      </rPr>
      <t xml:space="preserve"> </t>
    </r>
    <r>
      <rPr>
        <sz val="10"/>
        <rFont val="Calibri"/>
        <family val="2"/>
        <scheme val="minor"/>
      </rPr>
      <t>160г</t>
    </r>
  </si>
  <si>
    <r>
      <t xml:space="preserve">Снеки кукурузные </t>
    </r>
    <r>
      <rPr>
        <b/>
        <sz val="10"/>
        <rFont val="Calibri"/>
        <family val="2"/>
        <scheme val="minor"/>
      </rPr>
      <t>шарики</t>
    </r>
    <r>
      <rPr>
        <sz val="10"/>
        <rFont val="Calibri"/>
        <family val="2"/>
        <scheme val="minor"/>
      </rPr>
      <t xml:space="preserve"> "</t>
    </r>
    <r>
      <rPr>
        <b/>
        <sz val="10"/>
        <rFont val="Calibri"/>
        <family val="2"/>
        <scheme val="minor"/>
      </rPr>
      <t>Клубничное мороженое</t>
    </r>
    <r>
      <rPr>
        <sz val="10"/>
        <rFont val="Calibri"/>
        <family val="2"/>
        <scheme val="minor"/>
      </rPr>
      <t>" 30г</t>
    </r>
  </si>
  <si>
    <t>http://1.c8804.nichost.ru/pics/21540.jpg</t>
  </si>
  <si>
    <t>зерно кукурузы, высокоолеиновое подсолнечное масло, натуральный ароматизатор черная икра, морская соль</t>
  </si>
  <si>
    <t>шоколад белый (сахар, какао-масло, сухое цельное молоко, сухое обезжиренное молоко, пахта сухая, сыворотка молочная сухая, эмульгатор (соевый лецитин), соль, ароматизатор натуральный — ванилин), ядро миндаля, красители натуральные (кармин, куркумин), глянцеватель (глюкозный сироп, гуммиарабик (стабилизатор), растительное масло), экстракт спирулины, пищевой краситель «Розовый жемчуг»</t>
  </si>
  <si>
    <t>http://1.c8804.nichost.ru/pics/21541.jpg</t>
  </si>
  <si>
    <t>шоколад тёмный (какао-масса,сахар, какао-масло, лецитин соевый (эмульгатор), ароматизатор натуральный ваниль), ядро кедрового ореха цельное, ядро кешью, мёд натуральный, пастила клюквенная (ягоды клюквы, пюре яблочное), пастила облепиховая (ягоды облепихи, пюре яблочное), пастила черничная (ягоды черники, пюре яблочное), патока, сахарная пудра, какао-порошок, гуммиарабик (стабилизатор)</t>
  </si>
  <si>
    <t>http://1.c8804.nichost.ru/pics/21542.jpg</t>
  </si>
  <si>
    <t>Новинка! квант 24шт</t>
  </si>
  <si>
    <t>Новинка! квант 20шт</t>
  </si>
  <si>
    <t>http://1.c8804.nichost.ru/pics/21545.jpg</t>
  </si>
  <si>
    <t>http://1.c8804.nichost.ru/pics/21544.jpg</t>
  </si>
  <si>
    <t>протеиновый комплекс (концентрат сывороточного белка, концентрат молочного белка), изомальтоолигосахарид, банан сушеный резаный, банан сублимированный порошок, кокосовое масло, натуральный подсластитель сорбит, вода, глицерин, лецитин, лимонная кислота, аскорбиновая кислота, сорбат калия, соль, ароматизатор натуральный, краситель бета-каротин.</t>
  </si>
  <si>
    <r>
      <t xml:space="preserve">Батончик Sportberry Whey Protein </t>
    </r>
    <r>
      <rPr>
        <b/>
        <sz val="10"/>
        <color theme="9" tint="-0.249977111117893"/>
        <rFont val="Calibri"/>
        <family val="2"/>
        <scheme val="minor"/>
      </rPr>
      <t>Банановый пай</t>
    </r>
    <r>
      <rPr>
        <sz val="10"/>
        <color theme="9" tint="-0.249977111117893"/>
        <rFont val="Calibri"/>
        <family val="2"/>
        <scheme val="minor"/>
      </rPr>
      <t xml:space="preserve"> 40г</t>
    </r>
  </si>
  <si>
    <r>
      <t xml:space="preserve">Батончик Sportberry Whey Protein </t>
    </r>
    <r>
      <rPr>
        <b/>
        <sz val="10"/>
        <color theme="9" tint="-0.249977111117893"/>
        <rFont val="Calibri"/>
        <family val="2"/>
        <scheme val="minor"/>
      </rPr>
      <t xml:space="preserve">Арахисовый </t>
    </r>
    <r>
      <rPr>
        <sz val="10"/>
        <color theme="9" tint="-0.249977111117893"/>
        <rFont val="Calibri"/>
        <family val="2"/>
        <scheme val="minor"/>
      </rPr>
      <t>40г</t>
    </r>
  </si>
  <si>
    <t>протеиновый комплекс (концентрат сывороточного белка, концентрат молочного белка), изомальтоолигосахарид, арахис жареный дробленый, кокосовое масло, натуральный подсластитель сорбит, вода, глицерин, лецитин, лимонная кислота, аскорбиновая кислота, сорбат калия, ароматизатор натуральный, соль, краситель сахарный колер</t>
  </si>
  <si>
    <r>
      <t xml:space="preserve">Прополис спрей </t>
    </r>
    <r>
      <rPr>
        <b/>
        <sz val="10"/>
        <color theme="9" tint="-0.249977111117893"/>
        <rFont val="Calibri"/>
        <family val="2"/>
        <scheme val="minor"/>
      </rPr>
      <t>Original</t>
    </r>
    <r>
      <rPr>
        <sz val="10"/>
        <color theme="9" tint="-0.249977111117893"/>
        <rFont val="Calibri"/>
        <family val="2"/>
        <scheme val="minor"/>
      </rPr>
      <t xml:space="preserve"> 50мл</t>
    </r>
  </si>
  <si>
    <r>
      <t xml:space="preserve">Мармелад </t>
    </r>
    <r>
      <rPr>
        <b/>
        <sz val="10"/>
        <color theme="9" tint="-0.249977111117893"/>
        <rFont val="Calibri"/>
        <family val="2"/>
        <scheme val="minor"/>
      </rPr>
      <t>сосновый</t>
    </r>
    <r>
      <rPr>
        <sz val="10"/>
        <color theme="9" tint="-0.249977111117893"/>
        <rFont val="Calibri"/>
        <family val="2"/>
        <scheme val="minor"/>
      </rPr>
      <t xml:space="preserve"> с кедровым орехом "Шишка" 110г</t>
    </r>
  </si>
  <si>
    <t>http://1.c8804.nichost.ru/pics/21560.jpg</t>
  </si>
  <si>
    <t>сахар, патока, экстракт пихты, ядро кедрового ореха, таёжный сироп (сахар, патока, шишка сосновая, лимонная кислота (регулятор кислотности)), пектин (желирующий агент), лимонная кислота (регулятор кислотности), глянцеватель (растительное масло, воск карнаубский), краситель натуральный сахарный колер, ароматизатор натуральный сосновые шишки</t>
  </si>
  <si>
    <r>
      <t xml:space="preserve">Пастила "Pastilla" медовая </t>
    </r>
    <r>
      <rPr>
        <b/>
        <sz val="10"/>
        <rFont val="Calibri"/>
        <family val="2"/>
        <scheme val="minor"/>
      </rPr>
      <t>черная смородина</t>
    </r>
    <r>
      <rPr>
        <sz val="10"/>
        <rFont val="Calibri"/>
        <family val="2"/>
        <scheme val="minor"/>
      </rPr>
      <t xml:space="preserve"> </t>
    </r>
    <r>
      <rPr>
        <b/>
        <sz val="10"/>
        <rFont val="Calibri"/>
        <family val="2"/>
        <scheme val="minor"/>
      </rPr>
      <t>95г</t>
    </r>
  </si>
  <si>
    <r>
      <t xml:space="preserve">Конфеты "FruitSticks" с </t>
    </r>
    <r>
      <rPr>
        <b/>
        <sz val="10"/>
        <rFont val="Calibri"/>
        <family val="2"/>
        <scheme val="minor"/>
      </rPr>
      <t>миндалём</t>
    </r>
    <r>
      <rPr>
        <sz val="10"/>
        <rFont val="Calibri"/>
        <family val="2"/>
        <scheme val="minor"/>
      </rPr>
      <t>, курагой и апельсином 175г</t>
    </r>
  </si>
  <si>
    <r>
      <t xml:space="preserve">Конфеты "FruitSticks" с </t>
    </r>
    <r>
      <rPr>
        <b/>
        <sz val="10"/>
        <rFont val="Calibri"/>
        <family val="2"/>
        <scheme val="minor"/>
      </rPr>
      <t>черносливом,</t>
    </r>
    <r>
      <rPr>
        <sz val="10"/>
        <rFont val="Calibri"/>
        <family val="2"/>
        <scheme val="minor"/>
      </rPr>
      <t xml:space="preserve"> грецким орехом и изюмом 175г</t>
    </r>
  </si>
  <si>
    <r>
      <t xml:space="preserve">Каша полбяная заварная с </t>
    </r>
    <r>
      <rPr>
        <b/>
        <sz val="10"/>
        <rFont val="Calibri"/>
        <family val="2"/>
        <scheme val="minor"/>
      </rPr>
      <t xml:space="preserve">инжиром </t>
    </r>
    <r>
      <rPr>
        <sz val="10"/>
        <rFont val="Calibri"/>
        <family val="2"/>
        <scheme val="minor"/>
      </rPr>
      <t>30г</t>
    </r>
  </si>
  <si>
    <r>
      <t xml:space="preserve">Молоко миндальное с нектаром кокосовых соцветий 137 Degrees </t>
    </r>
    <r>
      <rPr>
        <b/>
        <sz val="10"/>
        <rFont val="Calibri"/>
        <family val="2"/>
        <scheme val="minor"/>
      </rPr>
      <t>1000мл</t>
    </r>
  </si>
  <si>
    <r>
      <t xml:space="preserve">Миндаль в молочном шоколаде </t>
    </r>
    <r>
      <rPr>
        <b/>
        <sz val="10"/>
        <color theme="0" tint="-0.34998626667073579"/>
        <rFont val="Calibri"/>
        <family val="2"/>
        <scheme val="minor"/>
      </rPr>
      <t>с малиной</t>
    </r>
    <r>
      <rPr>
        <sz val="10"/>
        <color theme="0" tint="-0.34998626667073579"/>
        <rFont val="Calibri"/>
        <family val="2"/>
        <scheme val="minor"/>
      </rPr>
      <t xml:space="preserve"> б.сахара 60г</t>
    </r>
  </si>
  <si>
    <r>
      <t xml:space="preserve">Батончик Bitey </t>
    </r>
    <r>
      <rPr>
        <u/>
        <sz val="10"/>
        <rFont val="Calibri"/>
        <family val="2"/>
        <scheme val="minor"/>
      </rPr>
      <t>Квадры</t>
    </r>
    <r>
      <rPr>
        <sz val="10"/>
        <rFont val="Calibri"/>
        <family val="2"/>
        <scheme val="minor"/>
      </rPr>
      <t xml:space="preserve"> </t>
    </r>
    <r>
      <rPr>
        <b/>
        <sz val="10"/>
        <rFont val="Calibri"/>
        <family val="2"/>
        <scheme val="minor"/>
      </rPr>
      <t>Лесные ягоды</t>
    </r>
    <r>
      <rPr>
        <sz val="10"/>
        <rFont val="Calibri"/>
        <family val="2"/>
        <scheme val="minor"/>
      </rPr>
      <t xml:space="preserve"> фруктово-овсяный 30г</t>
    </r>
  </si>
  <si>
    <r>
      <t xml:space="preserve">Батончик Bitey </t>
    </r>
    <r>
      <rPr>
        <u/>
        <sz val="10"/>
        <rFont val="Calibri"/>
        <family val="2"/>
        <scheme val="minor"/>
      </rPr>
      <t>Квадры</t>
    </r>
    <r>
      <rPr>
        <sz val="10"/>
        <rFont val="Calibri"/>
        <family val="2"/>
        <scheme val="minor"/>
      </rPr>
      <t xml:space="preserve"> </t>
    </r>
    <r>
      <rPr>
        <b/>
        <sz val="10"/>
        <rFont val="Calibri"/>
        <family val="2"/>
        <scheme val="minor"/>
      </rPr>
      <t>Яблоко-Клубника</t>
    </r>
    <r>
      <rPr>
        <sz val="10"/>
        <rFont val="Calibri"/>
        <family val="2"/>
        <scheme val="minor"/>
      </rPr>
      <t xml:space="preserve"> фруктово-овсяный 30г</t>
    </r>
  </si>
  <si>
    <r>
      <t>Батончик Bitey "</t>
    </r>
    <r>
      <rPr>
        <b/>
        <sz val="10"/>
        <rFont val="Calibri"/>
        <family val="2"/>
        <scheme val="minor"/>
      </rPr>
      <t>Яблоко</t>
    </r>
    <r>
      <rPr>
        <sz val="10"/>
        <rFont val="Calibri"/>
        <family val="2"/>
        <scheme val="minor"/>
      </rPr>
      <t>" в шоколаде 35гр</t>
    </r>
  </si>
  <si>
    <r>
      <t xml:space="preserve">Вафли Bitey </t>
    </r>
    <r>
      <rPr>
        <b/>
        <sz val="10"/>
        <rFont val="Calibri"/>
        <family val="2"/>
        <scheme val="minor"/>
      </rPr>
      <t>Манго-Морковь</t>
    </r>
    <r>
      <rPr>
        <sz val="10"/>
        <rFont val="Calibri"/>
        <family val="2"/>
        <scheme val="minor"/>
      </rPr>
      <t xml:space="preserve"> 35г</t>
    </r>
  </si>
  <si>
    <r>
      <t xml:space="preserve">Вафли Bitey </t>
    </r>
    <r>
      <rPr>
        <b/>
        <sz val="10"/>
        <rFont val="Calibri"/>
        <family val="2"/>
        <scheme val="minor"/>
      </rPr>
      <t>Сливки</t>
    </r>
    <r>
      <rPr>
        <sz val="10"/>
        <rFont val="Calibri"/>
        <family val="2"/>
        <scheme val="minor"/>
      </rPr>
      <t xml:space="preserve"> в шоколадной глазури 35г</t>
    </r>
  </si>
  <si>
    <r>
      <t xml:space="preserve">Мармелад Bitey "Чувисы" </t>
    </r>
    <r>
      <rPr>
        <b/>
        <sz val="10"/>
        <rFont val="Calibri"/>
        <family val="2"/>
        <scheme val="minor"/>
      </rPr>
      <t>Черная смородина</t>
    </r>
    <r>
      <rPr>
        <sz val="10"/>
        <rFont val="Calibri"/>
        <family val="2"/>
        <scheme val="minor"/>
      </rPr>
      <t xml:space="preserve"> 20г</t>
    </r>
  </si>
  <si>
    <r>
      <t>Пастила Bitey Фруктово-ягодные кусочки «</t>
    </r>
    <r>
      <rPr>
        <b/>
        <sz val="10"/>
        <rFont val="Calibri"/>
        <family val="2"/>
        <scheme val="minor"/>
      </rPr>
      <t>Манго</t>
    </r>
    <r>
      <rPr>
        <sz val="10"/>
        <rFont val="Calibri"/>
        <family val="2"/>
        <scheme val="minor"/>
      </rPr>
      <t>» 20г</t>
    </r>
  </si>
  <si>
    <r>
      <t>Печенье Bitey "</t>
    </r>
    <r>
      <rPr>
        <b/>
        <sz val="10"/>
        <rFont val="Calibri"/>
        <family val="2"/>
        <scheme val="minor"/>
      </rPr>
      <t>Клубника</t>
    </r>
    <r>
      <rPr>
        <sz val="10"/>
        <rFont val="Calibri"/>
        <family val="2"/>
        <scheme val="minor"/>
      </rPr>
      <t>" безглютеновое 125г</t>
    </r>
  </si>
  <si>
    <r>
      <t>Печенье Bitey "</t>
    </r>
    <r>
      <rPr>
        <b/>
        <sz val="10"/>
        <rFont val="Calibri"/>
        <family val="2"/>
        <scheme val="minor"/>
      </rPr>
      <t>Свёкла-чёрная смородина</t>
    </r>
    <r>
      <rPr>
        <sz val="10"/>
        <rFont val="Calibri"/>
        <family val="2"/>
        <scheme val="minor"/>
      </rPr>
      <t>" безглютеновое 125г</t>
    </r>
  </si>
  <si>
    <r>
      <t>Печенье Bitey овсяное «</t>
    </r>
    <r>
      <rPr>
        <b/>
        <sz val="10"/>
        <rFont val="Calibri"/>
        <family val="2"/>
        <scheme val="minor"/>
      </rPr>
      <t>Злаки и сливки</t>
    </r>
    <r>
      <rPr>
        <sz val="10"/>
        <rFont val="Calibri"/>
        <family val="2"/>
        <scheme val="minor"/>
      </rPr>
      <t>» 60г</t>
    </r>
  </si>
  <si>
    <r>
      <t xml:space="preserve">Крекеры овсяные с </t>
    </r>
    <r>
      <rPr>
        <b/>
        <sz val="10"/>
        <rFont val="Calibri"/>
        <family val="2"/>
        <scheme val="minor"/>
      </rPr>
      <t>кунжутом и чиа</t>
    </r>
    <r>
      <rPr>
        <sz val="10"/>
        <rFont val="Calibri"/>
        <family val="2"/>
        <scheme val="minor"/>
      </rPr>
      <t xml:space="preserve"> 200г</t>
    </r>
  </si>
  <si>
    <r>
      <t xml:space="preserve">Крекеры овсяные сладкие </t>
    </r>
    <r>
      <rPr>
        <b/>
        <sz val="10"/>
        <rFont val="Calibri"/>
        <family val="2"/>
        <scheme val="minor"/>
      </rPr>
      <t>ваниль и семена чиа</t>
    </r>
    <r>
      <rPr>
        <sz val="10"/>
        <rFont val="Calibri"/>
        <family val="2"/>
        <scheme val="minor"/>
      </rPr>
      <t xml:space="preserve"> 125г</t>
    </r>
  </si>
  <si>
    <r>
      <t xml:space="preserve">Хлебцы кукурузно-рисовые с </t>
    </r>
    <r>
      <rPr>
        <b/>
        <sz val="10"/>
        <rFont val="Calibri"/>
        <family val="2"/>
        <scheme val="minor"/>
      </rPr>
      <t>морской солью</t>
    </r>
    <r>
      <rPr>
        <sz val="10"/>
        <rFont val="Calibri"/>
        <family val="2"/>
        <scheme val="minor"/>
      </rPr>
      <t xml:space="preserve"> 150г</t>
    </r>
  </si>
  <si>
    <r>
      <t>Вафли Bite «</t>
    </r>
    <r>
      <rPr>
        <b/>
        <sz val="10"/>
        <rFont val="Calibri"/>
        <family val="2"/>
        <scheme val="minor"/>
      </rPr>
      <t>Малина – миндальный крем</t>
    </r>
    <r>
      <rPr>
        <sz val="10"/>
        <rFont val="Calibri"/>
        <family val="2"/>
        <scheme val="minor"/>
      </rPr>
      <t>» 30г</t>
    </r>
  </si>
  <si>
    <r>
      <t>Вафли протеиновые Bite "</t>
    </r>
    <r>
      <rPr>
        <b/>
        <sz val="10"/>
        <rFont val="Calibri"/>
        <family val="2"/>
        <scheme val="minor"/>
      </rPr>
      <t>Фундук - кофе</t>
    </r>
    <r>
      <rPr>
        <sz val="10"/>
        <rFont val="Calibri"/>
        <family val="2"/>
        <scheme val="minor"/>
      </rPr>
      <t>" 35г</t>
    </r>
  </si>
  <si>
    <r>
      <t xml:space="preserve">Печенье безглютеновое "Мария" </t>
    </r>
    <r>
      <rPr>
        <b/>
        <sz val="10"/>
        <rFont val="Calibri"/>
        <family val="2"/>
        <scheme val="minor"/>
      </rPr>
      <t>Сливки</t>
    </r>
    <r>
      <rPr>
        <sz val="10"/>
        <rFont val="Calibri"/>
        <family val="2"/>
        <scheme val="minor"/>
      </rPr>
      <t xml:space="preserve"> 100г</t>
    </r>
  </si>
  <si>
    <r>
      <t xml:space="preserve">Молоко </t>
    </r>
    <r>
      <rPr>
        <b/>
        <sz val="10"/>
        <rFont val="Calibri"/>
        <family val="2"/>
        <scheme val="minor"/>
      </rPr>
      <t>кешью-макадамия</t>
    </r>
    <r>
      <rPr>
        <sz val="10"/>
        <rFont val="Calibri"/>
        <family val="2"/>
        <scheme val="minor"/>
      </rPr>
      <t xml:space="preserve"> ультрапастеризованное 1л</t>
    </r>
  </si>
  <si>
    <r>
      <t xml:space="preserve">Молоко </t>
    </r>
    <r>
      <rPr>
        <b/>
        <sz val="10"/>
        <rFont val="Calibri"/>
        <family val="2"/>
        <scheme val="minor"/>
      </rPr>
      <t>соевое</t>
    </r>
    <r>
      <rPr>
        <sz val="10"/>
        <rFont val="Calibri"/>
        <family val="2"/>
        <scheme val="minor"/>
      </rPr>
      <t xml:space="preserve"> пастеризованное 1л</t>
    </r>
  </si>
  <si>
    <r>
      <t xml:space="preserve">Молоко </t>
    </r>
    <r>
      <rPr>
        <b/>
        <sz val="10"/>
        <rFont val="Calibri"/>
        <family val="2"/>
        <scheme val="minor"/>
      </rPr>
      <t>фундучное</t>
    </r>
    <r>
      <rPr>
        <sz val="10"/>
        <rFont val="Calibri"/>
        <family val="2"/>
        <scheme val="minor"/>
      </rPr>
      <t xml:space="preserve"> ультрапастеризованное 1л</t>
    </r>
  </si>
  <si>
    <r>
      <t>Батончик протеиновый Bite Матрёшка «</t>
    </r>
    <r>
      <rPr>
        <b/>
        <sz val="10"/>
        <rFont val="Calibri"/>
        <family val="2"/>
        <scheme val="minor"/>
      </rPr>
      <t>Чизкейк с черникой</t>
    </r>
    <r>
      <rPr>
        <sz val="10"/>
        <rFont val="Calibri"/>
        <family val="2"/>
        <scheme val="minor"/>
      </rPr>
      <t>» 40г</t>
    </r>
  </si>
  <si>
    <r>
      <t>Батончик протеиновый Bite "</t>
    </r>
    <r>
      <rPr>
        <b/>
        <sz val="10"/>
        <rFont val="Calibri"/>
        <family val="2"/>
        <scheme val="minor"/>
      </rPr>
      <t>Малина</t>
    </r>
    <r>
      <rPr>
        <sz val="10"/>
        <rFont val="Calibri"/>
        <family val="2"/>
        <scheme val="minor"/>
      </rPr>
      <t>" 50г</t>
    </r>
  </si>
  <si>
    <r>
      <t>Батончик протеиновый Bite "</t>
    </r>
    <r>
      <rPr>
        <b/>
        <sz val="10"/>
        <rFont val="Calibri"/>
        <family val="2"/>
        <scheme val="minor"/>
      </rPr>
      <t>Фисташка</t>
    </r>
    <r>
      <rPr>
        <sz val="10"/>
        <rFont val="Calibri"/>
        <family val="2"/>
        <scheme val="minor"/>
      </rPr>
      <t>" 50г</t>
    </r>
  </si>
  <si>
    <r>
      <t>Батончик протеиновый Bite "</t>
    </r>
    <r>
      <rPr>
        <b/>
        <sz val="10"/>
        <rFont val="Calibri"/>
        <family val="2"/>
        <scheme val="minor"/>
      </rPr>
      <t>Шоколад</t>
    </r>
    <r>
      <rPr>
        <sz val="10"/>
        <rFont val="Calibri"/>
        <family val="2"/>
        <scheme val="minor"/>
      </rPr>
      <t>" 50г</t>
    </r>
  </si>
  <si>
    <r>
      <t>Батончик Crispy в тёмном шоколаде "</t>
    </r>
    <r>
      <rPr>
        <b/>
        <sz val="10"/>
        <rFont val="Calibri"/>
        <family val="2"/>
        <scheme val="minor"/>
      </rPr>
      <t>Клубника-миндаль</t>
    </r>
    <r>
      <rPr>
        <sz val="10"/>
        <rFont val="Calibri"/>
        <family val="2"/>
        <scheme val="minor"/>
      </rPr>
      <t>" 45г</t>
    </r>
  </si>
  <si>
    <r>
      <t xml:space="preserve">Батончик фруктовый </t>
    </r>
    <r>
      <rPr>
        <b/>
        <sz val="10"/>
        <rFont val="Calibri"/>
        <family val="2"/>
        <scheme val="minor"/>
      </rPr>
      <t>Ананас с Апельсином</t>
    </r>
    <r>
      <rPr>
        <sz val="10"/>
        <rFont val="Calibri"/>
        <family val="2"/>
        <scheme val="minor"/>
      </rPr>
      <t>, пурпур 50г</t>
    </r>
  </si>
  <si>
    <r>
      <t xml:space="preserve">Батончик фруктовый </t>
    </r>
    <r>
      <rPr>
        <b/>
        <sz val="10"/>
        <rFont val="Calibri"/>
        <family val="2"/>
        <scheme val="minor"/>
      </rPr>
      <t>Ананас с Бананом</t>
    </r>
    <r>
      <rPr>
        <sz val="10"/>
        <rFont val="Calibri"/>
        <family val="2"/>
        <scheme val="minor"/>
      </rPr>
      <t>, пурпур 50г</t>
    </r>
  </si>
  <si>
    <r>
      <t xml:space="preserve">Батончик фруктовый </t>
    </r>
    <r>
      <rPr>
        <b/>
        <sz val="10"/>
        <rFont val="Calibri"/>
        <family val="2"/>
        <scheme val="minor"/>
      </rPr>
      <t>Груша и Апельсин</t>
    </r>
    <r>
      <rPr>
        <sz val="10"/>
        <rFont val="Calibri"/>
        <family val="2"/>
        <scheme val="minor"/>
      </rPr>
      <t>, пурпур 50г</t>
    </r>
  </si>
  <si>
    <r>
      <t xml:space="preserve">Батончик шоколадный </t>
    </r>
    <r>
      <rPr>
        <b/>
        <sz val="10"/>
        <rFont val="Calibri"/>
        <family val="2"/>
        <scheme val="minor"/>
      </rPr>
      <t>Ананас и Апельсин</t>
    </r>
    <r>
      <rPr>
        <sz val="10"/>
        <rFont val="Calibri"/>
        <family val="2"/>
        <scheme val="minor"/>
      </rPr>
      <t>, пурпур 50г</t>
    </r>
  </si>
  <si>
    <r>
      <t xml:space="preserve">Батончик шоколадный </t>
    </r>
    <r>
      <rPr>
        <b/>
        <sz val="10"/>
        <rFont val="Calibri"/>
        <family val="2"/>
        <scheme val="minor"/>
      </rPr>
      <t>Ананас с Бананом</t>
    </r>
    <r>
      <rPr>
        <sz val="10"/>
        <rFont val="Calibri"/>
        <family val="2"/>
        <scheme val="minor"/>
      </rPr>
      <t>, пурпур 50г</t>
    </r>
  </si>
  <si>
    <r>
      <t xml:space="preserve">Батончик шоколадный </t>
    </r>
    <r>
      <rPr>
        <b/>
        <sz val="10"/>
        <rFont val="Calibri"/>
        <family val="2"/>
        <scheme val="minor"/>
      </rPr>
      <t>Груша и Апельсин</t>
    </r>
    <r>
      <rPr>
        <sz val="10"/>
        <rFont val="Calibri"/>
        <family val="2"/>
        <scheme val="minor"/>
      </rPr>
      <t>, пурпур 50г</t>
    </r>
  </si>
  <si>
    <r>
      <t xml:space="preserve">Марципан </t>
    </r>
    <r>
      <rPr>
        <b/>
        <sz val="10"/>
        <rFont val="Calibri"/>
        <family val="2"/>
        <scheme val="minor"/>
      </rPr>
      <t>Ананас</t>
    </r>
    <r>
      <rPr>
        <sz val="10"/>
        <rFont val="Calibri"/>
        <family val="2"/>
        <scheme val="minor"/>
      </rPr>
      <t>, пурпур 50г</t>
    </r>
  </si>
  <si>
    <r>
      <t xml:space="preserve">Марципан </t>
    </r>
    <r>
      <rPr>
        <b/>
        <sz val="10"/>
        <rFont val="Calibri"/>
        <family val="2"/>
        <scheme val="minor"/>
      </rPr>
      <t>Апельсин</t>
    </r>
    <r>
      <rPr>
        <sz val="10"/>
        <rFont val="Calibri"/>
        <family val="2"/>
        <scheme val="minor"/>
      </rPr>
      <t>, пурпур 50г</t>
    </r>
  </si>
  <si>
    <r>
      <t xml:space="preserve">Марципан </t>
    </r>
    <r>
      <rPr>
        <b/>
        <sz val="10"/>
        <rFont val="Calibri"/>
        <family val="2"/>
        <scheme val="minor"/>
      </rPr>
      <t>Ванильный Миндаль</t>
    </r>
    <r>
      <rPr>
        <sz val="10"/>
        <rFont val="Calibri"/>
        <family val="2"/>
        <scheme val="minor"/>
      </rPr>
      <t>, пурпур 50г</t>
    </r>
  </si>
  <si>
    <r>
      <t xml:space="preserve">Марципан </t>
    </r>
    <r>
      <rPr>
        <b/>
        <sz val="10"/>
        <rFont val="Calibri"/>
        <family val="2"/>
        <scheme val="minor"/>
      </rPr>
      <t>Клюква</t>
    </r>
    <r>
      <rPr>
        <sz val="10"/>
        <rFont val="Calibri"/>
        <family val="2"/>
        <scheme val="minor"/>
      </rPr>
      <t>, пурпур 50г</t>
    </r>
  </si>
  <si>
    <r>
      <t xml:space="preserve">Марципан шоколадный </t>
    </r>
    <r>
      <rPr>
        <b/>
        <sz val="10"/>
        <rFont val="Calibri"/>
        <family val="2"/>
        <scheme val="minor"/>
      </rPr>
      <t>Ананас</t>
    </r>
    <r>
      <rPr>
        <sz val="10"/>
        <rFont val="Calibri"/>
        <family val="2"/>
        <scheme val="minor"/>
      </rPr>
      <t>, пурпур 50г</t>
    </r>
  </si>
  <si>
    <r>
      <t xml:space="preserve">Марципан шоколадный </t>
    </r>
    <r>
      <rPr>
        <b/>
        <sz val="10"/>
        <rFont val="Calibri"/>
        <family val="2"/>
        <scheme val="minor"/>
      </rPr>
      <t>Апельсин</t>
    </r>
    <r>
      <rPr>
        <sz val="10"/>
        <rFont val="Calibri"/>
        <family val="2"/>
        <scheme val="minor"/>
      </rPr>
      <t>, пурпур 50г</t>
    </r>
  </si>
  <si>
    <r>
      <t xml:space="preserve">Марципан шоколадный </t>
    </r>
    <r>
      <rPr>
        <b/>
        <sz val="10"/>
        <rFont val="Calibri"/>
        <family val="2"/>
        <scheme val="minor"/>
      </rPr>
      <t>Ванильный Миндаль</t>
    </r>
    <r>
      <rPr>
        <sz val="10"/>
        <rFont val="Calibri"/>
        <family val="2"/>
        <scheme val="minor"/>
      </rPr>
      <t>, пурпур 50г</t>
    </r>
  </si>
  <si>
    <r>
      <t xml:space="preserve">Марципан шоколадный </t>
    </r>
    <r>
      <rPr>
        <b/>
        <sz val="10"/>
        <rFont val="Calibri"/>
        <family val="2"/>
        <scheme val="minor"/>
      </rPr>
      <t>Клюква</t>
    </r>
    <r>
      <rPr>
        <sz val="10"/>
        <rFont val="Calibri"/>
        <family val="2"/>
        <scheme val="minor"/>
      </rPr>
      <t>, пурпур 50г</t>
    </r>
  </si>
  <si>
    <r>
      <t xml:space="preserve">Джем "УмСладости" </t>
    </r>
    <r>
      <rPr>
        <b/>
        <sz val="10"/>
        <color theme="1"/>
        <rFont val="Calibri"/>
        <family val="2"/>
        <scheme val="minor"/>
      </rPr>
      <t>брусничный</t>
    </r>
    <r>
      <rPr>
        <sz val="10"/>
        <color theme="1"/>
        <rFont val="Calibri"/>
        <family val="2"/>
        <scheme val="minor"/>
      </rPr>
      <t xml:space="preserve"> без сахара 300г</t>
    </r>
  </si>
  <si>
    <r>
      <t xml:space="preserve">Джем "УмСладости" </t>
    </r>
    <r>
      <rPr>
        <b/>
        <sz val="10"/>
        <color theme="1"/>
        <rFont val="Calibri"/>
        <family val="2"/>
        <scheme val="minor"/>
      </rPr>
      <t>вишнёвый</t>
    </r>
    <r>
      <rPr>
        <sz val="10"/>
        <color theme="1"/>
        <rFont val="Calibri"/>
        <family val="2"/>
        <scheme val="minor"/>
      </rPr>
      <t xml:space="preserve"> без сахара 300г</t>
    </r>
  </si>
  <si>
    <r>
      <t xml:space="preserve">Джем "УмСладости" </t>
    </r>
    <r>
      <rPr>
        <b/>
        <sz val="10"/>
        <color theme="1"/>
        <rFont val="Calibri"/>
        <family val="2"/>
        <scheme val="minor"/>
      </rPr>
      <t>клюквенный</t>
    </r>
    <r>
      <rPr>
        <sz val="10"/>
        <color theme="1"/>
        <rFont val="Calibri"/>
        <family val="2"/>
        <scheme val="minor"/>
      </rPr>
      <t xml:space="preserve"> без сахара 300г</t>
    </r>
  </si>
  <si>
    <r>
      <t xml:space="preserve">Джем "УмСладости" </t>
    </r>
    <r>
      <rPr>
        <b/>
        <sz val="10"/>
        <color theme="1"/>
        <rFont val="Calibri"/>
        <family val="2"/>
        <scheme val="minor"/>
      </rPr>
      <t>малиновый</t>
    </r>
    <r>
      <rPr>
        <sz val="10"/>
        <color theme="1"/>
        <rFont val="Calibri"/>
        <family val="2"/>
        <scheme val="minor"/>
      </rPr>
      <t xml:space="preserve"> без сахара 300г</t>
    </r>
  </si>
  <si>
    <r>
      <t xml:space="preserve">Джем "УмСладости" </t>
    </r>
    <r>
      <rPr>
        <b/>
        <sz val="10"/>
        <color theme="1"/>
        <rFont val="Calibri"/>
        <family val="2"/>
        <scheme val="minor"/>
      </rPr>
      <t>черничный</t>
    </r>
    <r>
      <rPr>
        <sz val="10"/>
        <color theme="1"/>
        <rFont val="Calibri"/>
        <family val="2"/>
        <scheme val="minor"/>
      </rPr>
      <t xml:space="preserve"> без сахара 300г</t>
    </r>
  </si>
  <si>
    <r>
      <t xml:space="preserve">Печенье "УмСладости" </t>
    </r>
    <r>
      <rPr>
        <b/>
        <sz val="10"/>
        <color theme="1"/>
        <rFont val="Calibri"/>
        <family val="2"/>
        <scheme val="minor"/>
      </rPr>
      <t>ванильное</t>
    </r>
    <r>
      <rPr>
        <sz val="10"/>
        <color theme="1"/>
        <rFont val="Calibri"/>
        <family val="2"/>
        <scheme val="minor"/>
      </rPr>
      <t xml:space="preserve"> 230г</t>
    </r>
  </si>
  <si>
    <r>
      <t xml:space="preserve">Печенье "УмСладости" </t>
    </r>
    <r>
      <rPr>
        <b/>
        <sz val="10"/>
        <color theme="1"/>
        <rFont val="Calibri"/>
        <family val="2"/>
        <scheme val="minor"/>
      </rPr>
      <t>песочное</t>
    </r>
    <r>
      <rPr>
        <sz val="10"/>
        <color theme="1"/>
        <rFont val="Calibri"/>
        <family val="2"/>
        <scheme val="minor"/>
      </rPr>
      <t xml:space="preserve"> 210г</t>
    </r>
  </si>
  <si>
    <r>
      <t xml:space="preserve">Печенье "УмСладости" </t>
    </r>
    <r>
      <rPr>
        <b/>
        <sz val="10"/>
        <color theme="1"/>
        <rFont val="Calibri"/>
        <family val="2"/>
        <scheme val="minor"/>
      </rPr>
      <t>песочное с какао</t>
    </r>
    <r>
      <rPr>
        <sz val="10"/>
        <color theme="1"/>
        <rFont val="Calibri"/>
        <family val="2"/>
        <scheme val="minor"/>
      </rPr>
      <t xml:space="preserve"> 210г</t>
    </r>
  </si>
  <si>
    <r>
      <t xml:space="preserve">Печенье "УмСладости" </t>
    </r>
    <r>
      <rPr>
        <b/>
        <sz val="10"/>
        <color theme="1"/>
        <rFont val="Calibri"/>
        <family val="2"/>
        <scheme val="minor"/>
      </rPr>
      <t xml:space="preserve">творожное </t>
    </r>
    <r>
      <rPr>
        <sz val="10"/>
        <color theme="1"/>
        <rFont val="Calibri"/>
        <family val="2"/>
        <scheme val="minor"/>
      </rPr>
      <t>амарантовое без сахара 160г</t>
    </r>
  </si>
  <si>
    <r>
      <t xml:space="preserve">Печенье "УмСладости" </t>
    </r>
    <r>
      <rPr>
        <b/>
        <sz val="10"/>
        <color theme="1"/>
        <rFont val="Calibri"/>
        <family val="2"/>
        <scheme val="minor"/>
      </rPr>
      <t xml:space="preserve">шоколадное </t>
    </r>
    <r>
      <rPr>
        <sz val="10"/>
        <color theme="1"/>
        <rFont val="Calibri"/>
        <family val="2"/>
        <scheme val="minor"/>
      </rPr>
      <t>амарантовое без сахара 160г</t>
    </r>
  </si>
  <si>
    <r>
      <t xml:space="preserve">Плитка шоколадная "УмСладости" с </t>
    </r>
    <r>
      <rPr>
        <b/>
        <sz val="10"/>
        <color theme="1"/>
        <rFont val="Calibri"/>
        <family val="2"/>
        <scheme val="minor"/>
      </rPr>
      <t>амарантом</t>
    </r>
    <r>
      <rPr>
        <sz val="10"/>
        <color theme="1"/>
        <rFont val="Calibri"/>
        <family val="2"/>
        <scheme val="minor"/>
      </rPr>
      <t xml:space="preserve"> без сахара 90г</t>
    </r>
  </si>
  <si>
    <r>
      <t xml:space="preserve">Плитка шоколадная "УмСладости" с </t>
    </r>
    <r>
      <rPr>
        <b/>
        <sz val="10"/>
        <color theme="1"/>
        <rFont val="Calibri"/>
        <family val="2"/>
        <scheme val="minor"/>
      </rPr>
      <t>апельсином</t>
    </r>
    <r>
      <rPr>
        <sz val="10"/>
        <color theme="1"/>
        <rFont val="Calibri"/>
        <family val="2"/>
        <scheme val="minor"/>
      </rPr>
      <t xml:space="preserve"> без сахара 90г</t>
    </r>
  </si>
  <si>
    <r>
      <t xml:space="preserve">Плитка шоколадная "УмСладости" с </t>
    </r>
    <r>
      <rPr>
        <b/>
        <sz val="10"/>
        <color theme="1"/>
        <rFont val="Calibri"/>
        <family val="2"/>
        <scheme val="minor"/>
      </rPr>
      <t>миндалем</t>
    </r>
    <r>
      <rPr>
        <sz val="10"/>
        <color theme="1"/>
        <rFont val="Calibri"/>
        <family val="2"/>
        <scheme val="minor"/>
      </rPr>
      <t xml:space="preserve"> без сахара 90г</t>
    </r>
  </si>
  <si>
    <r>
      <t xml:space="preserve">Батончики амарантовые в глазури </t>
    </r>
    <r>
      <rPr>
        <b/>
        <sz val="10"/>
        <color theme="1"/>
        <rFont val="Calibri"/>
        <family val="2"/>
        <scheme val="minor"/>
      </rPr>
      <t>ваниль</t>
    </r>
    <r>
      <rPr>
        <sz val="10"/>
        <color theme="1"/>
        <rFont val="Calibri"/>
        <family val="2"/>
        <scheme val="minor"/>
      </rPr>
      <t xml:space="preserve"> Dr. Amaranth 19г</t>
    </r>
  </si>
  <si>
    <r>
      <t xml:space="preserve">Батончики амарантовые в глазури </t>
    </r>
    <r>
      <rPr>
        <b/>
        <sz val="10"/>
        <color theme="1"/>
        <rFont val="Calibri"/>
        <family val="2"/>
        <scheme val="minor"/>
      </rPr>
      <t>какао и ваниль</t>
    </r>
    <r>
      <rPr>
        <sz val="10"/>
        <color theme="1"/>
        <rFont val="Calibri"/>
        <family val="2"/>
        <scheme val="minor"/>
      </rPr>
      <t xml:space="preserve"> Dr. Amaranth 19г</t>
    </r>
  </si>
  <si>
    <r>
      <t xml:space="preserve">Батончики амарантовые в глазури </t>
    </r>
    <r>
      <rPr>
        <b/>
        <sz val="10"/>
        <color theme="1"/>
        <rFont val="Calibri"/>
        <family val="2"/>
        <scheme val="minor"/>
      </rPr>
      <t>клубника</t>
    </r>
    <r>
      <rPr>
        <sz val="10"/>
        <color theme="1"/>
        <rFont val="Calibri"/>
        <family val="2"/>
        <scheme val="minor"/>
      </rPr>
      <t xml:space="preserve"> Dr. Amaranth 19г</t>
    </r>
  </si>
  <si>
    <r>
      <t xml:space="preserve">Завтрак амарантовый с </t>
    </r>
    <r>
      <rPr>
        <b/>
        <sz val="10"/>
        <color theme="1"/>
        <rFont val="Calibri"/>
        <family val="2"/>
        <scheme val="minor"/>
      </rPr>
      <t>темным шоколадом</t>
    </r>
    <r>
      <rPr>
        <sz val="10"/>
        <color theme="1"/>
        <rFont val="Calibri"/>
        <family val="2"/>
        <scheme val="minor"/>
      </rPr>
      <t xml:space="preserve"> 250г</t>
    </r>
  </si>
  <si>
    <r>
      <t xml:space="preserve">Леденцы медово-кедровые с </t>
    </r>
    <r>
      <rPr>
        <b/>
        <sz val="10"/>
        <rFont val="Calibri"/>
        <family val="2"/>
        <scheme val="minor"/>
      </rPr>
      <t>лимоном и имбирём</t>
    </r>
    <r>
      <rPr>
        <sz val="10"/>
        <rFont val="Calibri"/>
        <family val="2"/>
        <scheme val="minor"/>
      </rPr>
      <t xml:space="preserve"> 6*3,2г</t>
    </r>
  </si>
  <si>
    <r>
      <t xml:space="preserve">Леденцы медово-кедровые с </t>
    </r>
    <r>
      <rPr>
        <b/>
        <sz val="10"/>
        <rFont val="Calibri"/>
        <family val="2"/>
        <scheme val="minor"/>
      </rPr>
      <t>липой</t>
    </r>
    <r>
      <rPr>
        <sz val="10"/>
        <rFont val="Calibri"/>
        <family val="2"/>
        <scheme val="minor"/>
      </rPr>
      <t xml:space="preserve"> 6*3,2г</t>
    </r>
  </si>
  <si>
    <r>
      <t xml:space="preserve">Леденцы медово-кедровые с </t>
    </r>
    <r>
      <rPr>
        <b/>
        <sz val="10"/>
        <rFont val="Calibri"/>
        <family val="2"/>
        <scheme val="minor"/>
      </rPr>
      <t>облепихой, анасом, лаймом</t>
    </r>
    <r>
      <rPr>
        <sz val="10"/>
        <rFont val="Calibri"/>
        <family val="2"/>
        <scheme val="minor"/>
      </rPr>
      <t xml:space="preserve"> 6*3,2г</t>
    </r>
  </si>
  <si>
    <r>
      <t xml:space="preserve">Леденцы медово-кедровые с </t>
    </r>
    <r>
      <rPr>
        <b/>
        <sz val="10"/>
        <rFont val="Calibri"/>
        <family val="2"/>
        <scheme val="minor"/>
      </rPr>
      <t>ромашкой и облепихой</t>
    </r>
    <r>
      <rPr>
        <sz val="10"/>
        <rFont val="Calibri"/>
        <family val="2"/>
        <scheme val="minor"/>
      </rPr>
      <t xml:space="preserve"> 6*3,2г</t>
    </r>
  </si>
  <si>
    <r>
      <t>Попкорн "</t>
    </r>
    <r>
      <rPr>
        <b/>
        <sz val="10"/>
        <color theme="9" tint="-0.249977111117893"/>
        <rFont val="Calibri"/>
        <family val="2"/>
        <scheme val="minor"/>
      </rPr>
      <t>трюфель</t>
    </r>
    <r>
      <rPr>
        <sz val="10"/>
        <color theme="9" tint="-0.249977111117893"/>
        <rFont val="Calibri"/>
        <family val="2"/>
        <scheme val="minor"/>
      </rPr>
      <t>" 30г</t>
    </r>
  </si>
  <si>
    <r>
      <t>Попкорн "</t>
    </r>
    <r>
      <rPr>
        <b/>
        <sz val="10"/>
        <color theme="9" tint="-0.249977111117893"/>
        <rFont val="Calibri"/>
        <family val="2"/>
        <scheme val="minor"/>
      </rPr>
      <t>чёрная икра</t>
    </r>
    <r>
      <rPr>
        <sz val="10"/>
        <color theme="9" tint="-0.249977111117893"/>
        <rFont val="Calibri"/>
        <family val="2"/>
        <scheme val="minor"/>
      </rPr>
      <t>" 30г</t>
    </r>
  </si>
  <si>
    <r>
      <t>Попкорн "</t>
    </r>
    <r>
      <rPr>
        <b/>
        <sz val="10"/>
        <color theme="9" tint="-0.249977111117893"/>
        <rFont val="Calibri"/>
        <family val="2"/>
        <scheme val="minor"/>
      </rPr>
      <t>кленовый сироп</t>
    </r>
    <r>
      <rPr>
        <sz val="10"/>
        <color theme="9" tint="-0.249977111117893"/>
        <rFont val="Calibri"/>
        <family val="2"/>
        <scheme val="minor"/>
      </rPr>
      <t>" 50г</t>
    </r>
  </si>
  <si>
    <t>http://1.c8804.nichost.ru/pics/21494_1.jpg</t>
  </si>
  <si>
    <t>http://1.c8804.nichost.ru/pics/21495_1.jpg</t>
  </si>
  <si>
    <t>АКЦИЯ! СКИДКА 20%</t>
  </si>
  <si>
    <r>
      <t xml:space="preserve">Тофу-паштет с </t>
    </r>
    <r>
      <rPr>
        <b/>
        <sz val="10"/>
        <color theme="9" tint="-0.249977111117893"/>
        <rFont val="Calibri"/>
        <family val="2"/>
        <scheme val="minor"/>
      </rPr>
      <t>вялеными помидорами и прованскими травами</t>
    </r>
    <r>
      <rPr>
        <sz val="10"/>
        <color theme="9" tint="-0.249977111117893"/>
        <rFont val="Calibri"/>
        <family val="2"/>
        <scheme val="minor"/>
      </rPr>
      <t>, стекло 200г</t>
    </r>
  </si>
  <si>
    <r>
      <t xml:space="preserve">Хумус с </t>
    </r>
    <r>
      <rPr>
        <b/>
        <sz val="10"/>
        <color theme="9" tint="-0.249977111117893"/>
        <rFont val="Calibri"/>
        <family val="2"/>
        <scheme val="minor"/>
      </rPr>
      <t>грибами</t>
    </r>
    <r>
      <rPr>
        <sz val="10"/>
        <color theme="9" tint="-0.249977111117893"/>
        <rFont val="Calibri"/>
        <family val="2"/>
        <scheme val="minor"/>
      </rPr>
      <t>, стекло 200г</t>
    </r>
  </si>
  <si>
    <r>
      <t xml:space="preserve">Хумус с </t>
    </r>
    <r>
      <rPr>
        <b/>
        <sz val="10"/>
        <color theme="9" tint="-0.249977111117893"/>
        <rFont val="Calibri"/>
        <family val="2"/>
        <scheme val="minor"/>
      </rPr>
      <t>соусом песто</t>
    </r>
    <r>
      <rPr>
        <sz val="10"/>
        <color theme="9" tint="-0.249977111117893"/>
        <rFont val="Calibri"/>
        <family val="2"/>
        <scheme val="minor"/>
      </rPr>
      <t>, стекло 200г</t>
    </r>
  </si>
  <si>
    <r>
      <t xml:space="preserve">Хумус с топпингом </t>
    </r>
    <r>
      <rPr>
        <b/>
        <sz val="10"/>
        <color theme="9" tint="-0.249977111117893"/>
        <rFont val="Calibri"/>
        <family val="2"/>
        <scheme val="minor"/>
      </rPr>
      <t>Печёные перцы с баклажанами</t>
    </r>
    <r>
      <rPr>
        <sz val="10"/>
        <color theme="9" tint="-0.249977111117893"/>
        <rFont val="Calibri"/>
        <family val="2"/>
        <scheme val="minor"/>
      </rPr>
      <t>, стекло 200г</t>
    </r>
  </si>
  <si>
    <t>Конфеты "Кедровый грильяж" с сосновой шишкой в шок глазури 120г</t>
  </si>
  <si>
    <t>Конфеты "Кедровый марципан" с кокосом 40г</t>
  </si>
  <si>
    <t>Конфеты "Кедровое золото" трюфель, цельный орех 80г</t>
  </si>
  <si>
    <t>s15544</t>
  </si>
  <si>
    <t>s19585</t>
  </si>
  <si>
    <t>s15049</t>
  </si>
  <si>
    <t>s15878</t>
  </si>
  <si>
    <t>s14982</t>
  </si>
  <si>
    <t>s21140</t>
  </si>
  <si>
    <t>s20546</t>
  </si>
  <si>
    <t>s20547</t>
  </si>
  <si>
    <t>Батончик "Фрутилад" протеиновый Finix Apple pie арахис и яблоко 30г</t>
  </si>
  <si>
    <t>s20281</t>
  </si>
  <si>
    <t>s20603</t>
  </si>
  <si>
    <t>s20607</t>
  </si>
  <si>
    <r>
      <t xml:space="preserve">Напиток сокосодержащий </t>
    </r>
    <r>
      <rPr>
        <b/>
        <sz val="10"/>
        <color theme="0" tint="-0.34998626667073579"/>
        <rFont val="Calibri"/>
        <family val="2"/>
        <scheme val="minor"/>
      </rPr>
      <t>Алое вера</t>
    </r>
    <r>
      <rPr>
        <sz val="10"/>
        <color theme="0" tint="-0.34998626667073579"/>
        <rFont val="Calibri"/>
        <family val="2"/>
        <scheme val="minor"/>
      </rPr>
      <t xml:space="preserve"> I am </t>
    </r>
    <r>
      <rPr>
        <b/>
        <sz val="10"/>
        <color theme="0" tint="-0.34998626667073579"/>
        <rFont val="Calibri"/>
        <family val="2"/>
        <scheme val="minor"/>
      </rPr>
      <t>detox</t>
    </r>
    <r>
      <rPr>
        <sz val="10"/>
        <color theme="0" tint="-0.34998626667073579"/>
        <rFont val="Calibri"/>
        <family val="2"/>
        <scheme val="minor"/>
      </rPr>
      <t>, Vitro Naturals 500мл</t>
    </r>
  </si>
  <si>
    <t>http://1.c8804.nichost.ru/pics/19882.jpg</t>
  </si>
  <si>
    <t>Маракуйя, вода, подсластитель эритрит, пребиотик инулин (пищевые волокна цикория), загуститель пектин, регулятор кислотности лимонная кислота, регулятор кислотности цитрат кальция, стабилизатор камедь рожкового дерева, консервант сорбиновая кислота, растительный экстракт Луо Хан Гуо</t>
  </si>
  <si>
    <r>
      <t xml:space="preserve">Джем </t>
    </r>
    <r>
      <rPr>
        <b/>
        <sz val="10"/>
        <color theme="9" tint="-0.249977111117893"/>
        <rFont val="Calibri"/>
        <family val="2"/>
        <scheme val="minor"/>
      </rPr>
      <t>Маракуйя</t>
    </r>
    <r>
      <rPr>
        <sz val="10"/>
        <color theme="9" tint="-0.249977111117893"/>
        <rFont val="Calibri"/>
        <family val="2"/>
        <scheme val="minor"/>
      </rPr>
      <t xml:space="preserve"> низкокалорийный 270г</t>
    </r>
  </si>
  <si>
    <r>
      <t xml:space="preserve">Конфеты "Медофеты" </t>
    </r>
    <r>
      <rPr>
        <b/>
        <sz val="10"/>
        <color theme="9" tint="-0.249977111117893"/>
        <rFont val="Calibri"/>
        <family val="2"/>
        <scheme val="minor"/>
      </rPr>
      <t>маленькие радости ассорти</t>
    </r>
    <r>
      <rPr>
        <sz val="10"/>
        <color theme="9" tint="-0.249977111117893"/>
        <rFont val="Calibri"/>
        <family val="2"/>
        <scheme val="minor"/>
      </rPr>
      <t xml:space="preserve"> 150г</t>
    </r>
  </si>
  <si>
    <t>http://1.c8804.nichost.ru/pics/21493.jpg</t>
  </si>
  <si>
    <t>йогурт/смородина/лесная ягода</t>
  </si>
  <si>
    <r>
      <t xml:space="preserve">Мёд "Берестов А.С." </t>
    </r>
    <r>
      <rPr>
        <b/>
        <sz val="10"/>
        <rFont val="Calibri"/>
        <family val="2"/>
        <scheme val="minor"/>
      </rPr>
      <t>Белый Высокогорный</t>
    </r>
    <r>
      <rPr>
        <sz val="10"/>
        <rFont val="Calibri"/>
        <family val="2"/>
        <scheme val="minor"/>
      </rPr>
      <t xml:space="preserve"> ст. банка 500г</t>
    </r>
  </si>
  <si>
    <r>
      <t xml:space="preserve">Мёд "Берестов А.С." </t>
    </r>
    <r>
      <rPr>
        <b/>
        <sz val="10"/>
        <rFont val="Calibri"/>
        <family val="2"/>
        <scheme val="minor"/>
      </rPr>
      <t>Донниковый</t>
    </r>
    <r>
      <rPr>
        <sz val="10"/>
        <rFont val="Calibri"/>
        <family val="2"/>
        <scheme val="minor"/>
      </rPr>
      <t xml:space="preserve"> (алтайский край) ст.банка 500г</t>
    </r>
  </si>
  <si>
    <t>Чипсы овощные</t>
  </si>
  <si>
    <r>
      <t xml:space="preserve">Тофу-паштет </t>
    </r>
    <r>
      <rPr>
        <b/>
        <sz val="10"/>
        <color theme="9" tint="-0.249977111117893"/>
        <rFont val="Calibri"/>
        <family val="2"/>
        <scheme val="minor"/>
      </rPr>
      <t>оригинальный</t>
    </r>
    <r>
      <rPr>
        <sz val="10"/>
        <color theme="9" tint="-0.249977111117893"/>
        <rFont val="Calibri"/>
        <family val="2"/>
        <scheme val="minor"/>
      </rPr>
      <t>, стекло 200г</t>
    </r>
  </si>
  <si>
    <r>
      <t xml:space="preserve">Хумус с </t>
    </r>
    <r>
      <rPr>
        <b/>
        <sz val="10"/>
        <color theme="9" tint="-0.249977111117893"/>
        <rFont val="Calibri"/>
        <family val="2"/>
        <scheme val="minor"/>
      </rPr>
      <t>вялеными помидорами и прованскими травами</t>
    </r>
    <r>
      <rPr>
        <sz val="10"/>
        <color theme="9" tint="-0.249977111117893"/>
        <rFont val="Calibri"/>
        <family val="2"/>
        <scheme val="minor"/>
      </rPr>
      <t>, стекло 200г</t>
    </r>
  </si>
  <si>
    <r>
      <t xml:space="preserve">Мёд "Бортников" </t>
    </r>
    <r>
      <rPr>
        <b/>
        <sz val="10"/>
        <rFont val="Calibri"/>
        <family val="2"/>
        <scheme val="minor"/>
      </rPr>
      <t>Луговое разнотравье</t>
    </r>
    <r>
      <rPr>
        <sz val="10"/>
        <rFont val="Calibri"/>
        <family val="2"/>
        <scheme val="minor"/>
      </rPr>
      <t>, ст.банка 500г</t>
    </r>
  </si>
  <si>
    <t>квант 12шт! СКИДКА 20%</t>
  </si>
  <si>
    <t>квант 16шт! СКИДКА 20%</t>
  </si>
  <si>
    <t>квант 20шт! СКИДКА 20%</t>
  </si>
  <si>
    <t>квант 8шт! СКИДКА 20%</t>
  </si>
  <si>
    <t>Ядро кедрового ореха вакуум, коробка 100г</t>
  </si>
  <si>
    <t>Короткий ОСГ! СКИДКА 70%</t>
  </si>
  <si>
    <r>
      <t>Конфеты "Кедровое</t>
    </r>
    <r>
      <rPr>
        <b/>
        <sz val="10"/>
        <color theme="9" tint="-0.249977111117893"/>
        <rFont val="Calibri"/>
        <family val="2"/>
        <scheme val="minor"/>
      </rPr>
      <t xml:space="preserve"> </t>
    </r>
    <r>
      <rPr>
        <sz val="10"/>
        <color theme="9" tint="-0.249977111117893"/>
        <rFont val="Calibri"/>
        <family val="2"/>
        <scheme val="minor"/>
      </rPr>
      <t xml:space="preserve">золото" </t>
    </r>
    <r>
      <rPr>
        <b/>
        <sz val="10"/>
        <color theme="9" tint="-0.249977111117893"/>
        <rFont val="Calibri"/>
        <family val="2"/>
        <scheme val="minor"/>
      </rPr>
      <t>трюфель</t>
    </r>
    <r>
      <rPr>
        <sz val="10"/>
        <color theme="9" tint="-0.249977111117893"/>
        <rFont val="Calibri"/>
        <family val="2"/>
        <scheme val="minor"/>
      </rPr>
      <t>, цельный орех 80г</t>
    </r>
  </si>
  <si>
    <t>АКЦИЯ! СКИДКА 50%</t>
  </si>
  <si>
    <t>Батончик протеиновый Bite "Фисташка" 50г</t>
  </si>
  <si>
    <t>Батончик протеиновый Bite "Шоколад" 50г</t>
  </si>
  <si>
    <t>Плитка шоколадная "УмСладости" с амарантом без сахара 90г</t>
  </si>
  <si>
    <t>Плитка шоколадная "УмСладости" с апельсином без сахара 90г</t>
  </si>
  <si>
    <t>s19891</t>
  </si>
  <si>
    <t>s19657</t>
  </si>
  <si>
    <t>s17023</t>
  </si>
  <si>
    <t>s13538</t>
  </si>
  <si>
    <t>s19423</t>
  </si>
  <si>
    <t>s13536</t>
  </si>
  <si>
    <r>
      <t xml:space="preserve">Конфеты "Кедровый грильяж" ассорти </t>
    </r>
    <r>
      <rPr>
        <b/>
        <sz val="10"/>
        <rFont val="Calibri"/>
        <family val="2"/>
        <scheme val="minor"/>
      </rPr>
      <t>Пасха - клюква, черника, облепиха 120г</t>
    </r>
  </si>
  <si>
    <r>
      <t>Конфеты "</t>
    </r>
    <r>
      <rPr>
        <b/>
        <sz val="10"/>
        <rFont val="Calibri"/>
        <family val="2"/>
        <scheme val="minor"/>
      </rPr>
      <t>Перепелиные яйца</t>
    </r>
    <r>
      <rPr>
        <sz val="10"/>
        <rFont val="Calibri"/>
        <family val="2"/>
        <scheme val="minor"/>
      </rPr>
      <t>" шоколадные (минадаль в шоколаде) 150г</t>
    </r>
  </si>
  <si>
    <t>iki</t>
  </si>
  <si>
    <r>
      <t xml:space="preserve">Бабл Ти напиток Bobbie </t>
    </r>
    <r>
      <rPr>
        <b/>
        <sz val="10"/>
        <rFont val="Calibri"/>
        <family val="2"/>
        <charset val="204"/>
        <scheme val="minor"/>
      </rPr>
      <t>Манго-маракуйя</t>
    </r>
    <r>
      <rPr>
        <sz val="10"/>
        <rFont val="Calibri"/>
        <family val="2"/>
        <scheme val="minor"/>
      </rPr>
      <t xml:space="preserve"> пластиковый стакан iki, 350мл</t>
    </r>
  </si>
  <si>
    <r>
      <t xml:space="preserve">Бабл Ти напиток Bobbie </t>
    </r>
    <r>
      <rPr>
        <b/>
        <sz val="10"/>
        <rFont val="Calibri"/>
        <family val="2"/>
        <charset val="204"/>
        <scheme val="minor"/>
      </rPr>
      <t>Клубника</t>
    </r>
    <r>
      <rPr>
        <sz val="10"/>
        <rFont val="Calibri"/>
        <family val="2"/>
        <scheme val="minor"/>
      </rPr>
      <t xml:space="preserve"> пластиковый стакан iki, 350мл</t>
    </r>
  </si>
  <si>
    <r>
      <t xml:space="preserve">Кокосовая вода </t>
    </r>
    <r>
      <rPr>
        <b/>
        <sz val="10"/>
        <rFont val="Calibri"/>
        <family val="2"/>
        <charset val="204"/>
        <scheme val="minor"/>
      </rPr>
      <t>газированная</t>
    </r>
    <r>
      <rPr>
        <sz val="10"/>
        <rFont val="Calibri"/>
        <family val="2"/>
        <scheme val="minor"/>
      </rPr>
      <t xml:space="preserve"> натуральная iki ж/б 330мл</t>
    </r>
  </si>
  <si>
    <r>
      <t xml:space="preserve">Кокосовая вода </t>
    </r>
    <r>
      <rPr>
        <b/>
        <sz val="10"/>
        <rFont val="Calibri"/>
        <family val="2"/>
        <charset val="204"/>
        <scheme val="minor"/>
      </rPr>
      <t>натуральная</t>
    </r>
    <r>
      <rPr>
        <sz val="10"/>
        <rFont val="Calibri"/>
        <family val="2"/>
        <scheme val="minor"/>
      </rPr>
      <t xml:space="preserve"> iki ж/б 330мл</t>
    </r>
  </si>
  <si>
    <r>
      <t xml:space="preserve">Кокосовая вода с </t>
    </r>
    <r>
      <rPr>
        <b/>
        <sz val="10"/>
        <rFont val="Calibri"/>
        <family val="2"/>
        <charset val="204"/>
        <scheme val="minor"/>
      </rPr>
      <t>соком клубники</t>
    </r>
    <r>
      <rPr>
        <sz val="10"/>
        <rFont val="Calibri"/>
        <family val="2"/>
        <scheme val="minor"/>
      </rPr>
      <t xml:space="preserve"> натуральная iki ж/б 330мл</t>
    </r>
  </si>
  <si>
    <r>
      <t xml:space="preserve">Кокосовая вода с </t>
    </r>
    <r>
      <rPr>
        <b/>
        <sz val="10"/>
        <rFont val="Calibri"/>
        <family val="2"/>
        <charset val="204"/>
        <scheme val="minor"/>
      </rPr>
      <t>соком манго</t>
    </r>
    <r>
      <rPr>
        <sz val="10"/>
        <rFont val="Calibri"/>
        <family val="2"/>
        <scheme val="minor"/>
      </rPr>
      <t xml:space="preserve"> натуральная iki ж/б 330мл</t>
    </r>
  </si>
  <si>
    <r>
      <t xml:space="preserve">Лимонад CocoSoda </t>
    </r>
    <r>
      <rPr>
        <b/>
        <sz val="10"/>
        <rFont val="Calibri"/>
        <family val="2"/>
        <charset val="204"/>
        <scheme val="minor"/>
      </rPr>
      <t>ананас</t>
    </r>
    <r>
      <rPr>
        <sz val="10"/>
        <rFont val="Calibri"/>
        <family val="2"/>
        <scheme val="minor"/>
      </rPr>
      <t xml:space="preserve"> на основе кокоса iki 330мл</t>
    </r>
  </si>
  <si>
    <r>
      <t>Лимонад CocoSoda</t>
    </r>
    <r>
      <rPr>
        <b/>
        <sz val="10"/>
        <rFont val="Calibri"/>
        <family val="2"/>
        <charset val="204"/>
        <scheme val="minor"/>
      </rPr>
      <t xml:space="preserve"> арбуз</t>
    </r>
    <r>
      <rPr>
        <sz val="10"/>
        <rFont val="Calibri"/>
        <family val="2"/>
        <scheme val="minor"/>
      </rPr>
      <t xml:space="preserve"> на основе кокоса iki 330мл</t>
    </r>
  </si>
  <si>
    <r>
      <t xml:space="preserve">Лимонад CocoSoda </t>
    </r>
    <r>
      <rPr>
        <b/>
        <sz val="10"/>
        <rFont val="Calibri"/>
        <family val="2"/>
        <charset val="204"/>
        <scheme val="minor"/>
      </rPr>
      <t>лайм</t>
    </r>
    <r>
      <rPr>
        <sz val="10"/>
        <rFont val="Calibri"/>
        <family val="2"/>
        <scheme val="minor"/>
      </rPr>
      <t xml:space="preserve"> на основе кокоса iki 330мл</t>
    </r>
  </si>
  <si>
    <r>
      <t xml:space="preserve">Лимонад CocoSoda </t>
    </r>
    <r>
      <rPr>
        <b/>
        <sz val="10"/>
        <rFont val="Calibri"/>
        <family val="2"/>
        <charset val="204"/>
        <scheme val="minor"/>
      </rPr>
      <t>манго</t>
    </r>
    <r>
      <rPr>
        <sz val="10"/>
        <rFont val="Calibri"/>
        <family val="2"/>
        <scheme val="minor"/>
      </rPr>
      <t xml:space="preserve"> на основе кокоса iki 330мл</t>
    </r>
  </si>
  <si>
    <r>
      <t xml:space="preserve">Лимонад CocoSoda </t>
    </r>
    <r>
      <rPr>
        <b/>
        <sz val="10"/>
        <rFont val="Calibri"/>
        <family val="2"/>
        <charset val="204"/>
        <scheme val="minor"/>
      </rPr>
      <t>маракуйя</t>
    </r>
    <r>
      <rPr>
        <sz val="10"/>
        <rFont val="Calibri"/>
        <family val="2"/>
        <scheme val="minor"/>
      </rPr>
      <t xml:space="preserve"> на основе кокоса iki 330мл</t>
    </r>
  </si>
  <si>
    <t>кокосовая вода из молодых кокосов (99,96%), антиоксидант: аскорбиновая кислота (витамин С)</t>
  </si>
  <si>
    <t>кокосовая вода из молодых кокосов (99,36%), углекислый газ (0,6%), антиоксидант: аскорбиновая кислота (витамин С)</t>
  </si>
  <si>
    <t>кокосовая вода из молодых кокосов (94,4%), сок манго (не из концентрата) (5%), сахар (0,6%)</t>
  </si>
  <si>
    <t>кокосовая вода из молодых кокосов (94,4%), сок клубники (не из концентрата) (5%), сахар (0,6%)</t>
  </si>
  <si>
    <t>газированная кокосовая вода, сока арбуза, сахар тростниковый, лимонная кислота, натуральный арбузный ароматизатор, карамельный колер, экстракт красной редьки.</t>
  </si>
  <si>
    <t>газированная кокосовая вода, сока манго, сахар тростниковый, лимонная кислота, натуральный ароматизатор манго, бета-каротин.</t>
  </si>
  <si>
    <t>газированная кокосовая вода из молодых кокосов, сок лайма, сахар тростниковый</t>
  </si>
  <si>
    <t>газированная кокосовая вода, сока маракуйи, сахар тростниковый, лимонная кислота, натуральный ароматизатор маракуйя, бета-каротин</t>
  </si>
  <si>
    <t>газированная кокосовая вода, сок лайма, сахар тростниковый, лимонная кислота, натуральный ароматизатор лайм.</t>
  </si>
  <si>
    <t>вода, сахар, фруктозный сироп, шарики боба, концентирированный яблочный сок, ругуляторы кислотности: лимонная кислота, цитрат натрия; антиоксиданты (антиокислители): аскорбиновая кислота; консервант: сорбат калия; загуститель: геллановая камедь; ароматизатор «манго-маракуйя», соль, красители: тартразин, жёлтый «солнечный закат»</t>
  </si>
  <si>
    <t xml:space="preserve">вода, сахар, фруктозный сироп, шарики боба, концентирированный яблочный сок, ругуляторы кислотности: лимонная кислота, цитрат натрия; антиоксиданты (антиокислители): аскорбиновая кислота; консервант: сорбат калия; загуститель: геллановая камедь; ароматизатор «клубника», соль, красители: красный очаровательный </t>
  </si>
  <si>
    <t>Шоколад горький 70% на кокосовом сахаре 30г</t>
  </si>
  <si>
    <t>Шоколад 100г</t>
  </si>
  <si>
    <t>Шоколад 30г</t>
  </si>
  <si>
    <r>
      <t xml:space="preserve">Шоколад молочный </t>
    </r>
    <r>
      <rPr>
        <b/>
        <sz val="10"/>
        <color theme="9" tint="-0.249977111117893"/>
        <rFont val="Calibri"/>
        <family val="2"/>
        <scheme val="minor"/>
      </rPr>
      <t>на финиковой пудре</t>
    </r>
    <r>
      <rPr>
        <sz val="10"/>
        <color theme="9" tint="-0.249977111117893"/>
        <rFont val="Calibri"/>
        <family val="2"/>
        <scheme val="minor"/>
      </rPr>
      <t xml:space="preserve"> 30г</t>
    </r>
  </si>
  <si>
    <r>
      <t xml:space="preserve">Шоколад горький 59% с </t>
    </r>
    <r>
      <rPr>
        <b/>
        <sz val="10"/>
        <color theme="9" tint="-0.249977111117893"/>
        <rFont val="Calibri"/>
        <family val="2"/>
        <scheme val="minor"/>
      </rPr>
      <t>цельным фиником</t>
    </r>
    <r>
      <rPr>
        <sz val="10"/>
        <color theme="9" tint="-0.249977111117893"/>
        <rFont val="Calibri"/>
        <family val="2"/>
        <scheme val="minor"/>
      </rPr>
      <t>, без сахара 30г</t>
    </r>
  </si>
  <si>
    <t>финиковая пудра, масло какао, молоко сухое цельное, какао тертое</t>
  </si>
  <si>
    <t>финиковая пудра, финики сушеные, какао тертое, масло какао</t>
  </si>
  <si>
    <t>http://1.c8804.nichost.ru/pics/21583.jpg</t>
  </si>
  <si>
    <t>http://1.c8804.nichost.ru/pics/21584.jpg</t>
  </si>
  <si>
    <t>http://1.c8804.nichost.ru/pics/21585.jpg</t>
  </si>
  <si>
    <t>Много витаминов и минералов</t>
  </si>
  <si>
    <t>Газировка на трсотниковом сахаре</t>
  </si>
  <si>
    <t>http://1.c8804.nichost.ru/pics/21586.jpg</t>
  </si>
  <si>
    <t>http://1.c8804.nichost.ru/pics/21577.jpg</t>
  </si>
  <si>
    <t>http://1.c8804.nichost.ru/pics/21568.jpg</t>
  </si>
  <si>
    <t>http://1.c8804.nichost.ru/pics/21567.jpg</t>
  </si>
  <si>
    <t>http://1.c8804.nichost.ru/pics/21570.jpg</t>
  </si>
  <si>
    <t>http://1.c8804.nichost.ru/pics/21569.jpg</t>
  </si>
  <si>
    <t>http://1.c8804.nichost.ru/pics/21575.jpg</t>
  </si>
  <si>
    <t>http://1.c8804.nichost.ru/pics/21571.jpg</t>
  </si>
  <si>
    <t>http://1.c8804.nichost.ru/pics/21572.jpg</t>
  </si>
  <si>
    <t>http://1.c8804.nichost.ru/pics/21573.jpg</t>
  </si>
  <si>
    <t>http://1.c8804.nichost.ru/pics/21574.jpg</t>
  </si>
  <si>
    <r>
      <t xml:space="preserve">Конфеты "Кокосанка" </t>
    </r>
    <r>
      <rPr>
        <b/>
        <sz val="10"/>
        <color theme="9" tint="-0.249977111117893"/>
        <rFont val="Calibri"/>
        <family val="2"/>
        <scheme val="minor"/>
      </rPr>
      <t>шоколадная</t>
    </r>
    <r>
      <rPr>
        <sz val="10"/>
        <color theme="9" tint="-0.249977111117893"/>
        <rFont val="Calibri"/>
        <family val="2"/>
        <scheme val="minor"/>
      </rPr>
      <t xml:space="preserve"> Bezglutini 105г</t>
    </r>
  </si>
  <si>
    <r>
      <t xml:space="preserve">Печенье "Брауни" с </t>
    </r>
    <r>
      <rPr>
        <b/>
        <sz val="10"/>
        <color theme="9" tint="-0.249977111117893"/>
        <rFont val="Calibri"/>
        <family val="2"/>
        <scheme val="minor"/>
      </rPr>
      <t>клубникой</t>
    </r>
    <r>
      <rPr>
        <sz val="10"/>
        <color theme="9" tint="-0.249977111117893"/>
        <rFont val="Calibri"/>
        <family val="2"/>
        <scheme val="minor"/>
      </rPr>
      <t xml:space="preserve"> Bezglutini 96г</t>
    </r>
  </si>
  <si>
    <r>
      <t xml:space="preserve">Печенье "Брауни" с </t>
    </r>
    <r>
      <rPr>
        <b/>
        <sz val="10"/>
        <color theme="9" tint="-0.249977111117893"/>
        <rFont val="Calibri"/>
        <family val="2"/>
        <scheme val="minor"/>
      </rPr>
      <t>лесным орехом</t>
    </r>
    <r>
      <rPr>
        <sz val="10"/>
        <color theme="9" tint="-0.249977111117893"/>
        <rFont val="Calibri"/>
        <family val="2"/>
        <scheme val="minor"/>
      </rPr>
      <t xml:space="preserve"> Bezglutini 96г</t>
    </r>
  </si>
  <si>
    <r>
      <t xml:space="preserve">iKi (Кокосовые напитки) </t>
    </r>
    <r>
      <rPr>
        <b/>
        <i/>
        <u/>
        <sz val="11"/>
        <color theme="9" tint="-0.249977111117893"/>
        <rFont val="Calibri"/>
        <family val="2"/>
        <charset val="204"/>
        <scheme val="minor"/>
      </rPr>
      <t>NEW</t>
    </r>
  </si>
  <si>
    <r>
      <t>Тофу-паштет с вкусом "</t>
    </r>
    <r>
      <rPr>
        <b/>
        <sz val="10"/>
        <rFont val="Calibri"/>
        <family val="2"/>
        <scheme val="minor"/>
      </rPr>
      <t>Том Ям</t>
    </r>
    <r>
      <rPr>
        <sz val="10"/>
        <rFont val="Calibri"/>
        <family val="2"/>
        <scheme val="minor"/>
      </rPr>
      <t>" по-тайски, стекло 200г</t>
    </r>
  </si>
  <si>
    <r>
      <t xml:space="preserve">Хумус </t>
    </r>
    <r>
      <rPr>
        <b/>
        <sz val="10"/>
        <rFont val="Calibri"/>
        <family val="2"/>
        <scheme val="minor"/>
      </rPr>
      <t>классический</t>
    </r>
    <r>
      <rPr>
        <sz val="10"/>
        <rFont val="Calibri"/>
        <family val="2"/>
        <scheme val="minor"/>
      </rPr>
      <t>, саше ш/бокс 50г</t>
    </r>
  </si>
  <si>
    <r>
      <t xml:space="preserve">Хумус </t>
    </r>
    <r>
      <rPr>
        <b/>
        <sz val="10"/>
        <rFont val="Calibri"/>
        <family val="2"/>
        <scheme val="minor"/>
      </rPr>
      <t>классический</t>
    </r>
    <r>
      <rPr>
        <sz val="10"/>
        <rFont val="Calibri"/>
        <family val="2"/>
        <scheme val="minor"/>
      </rPr>
      <t>, стекло 200г</t>
    </r>
  </si>
  <si>
    <r>
      <t xml:space="preserve">Хумус с топпингом </t>
    </r>
    <r>
      <rPr>
        <b/>
        <sz val="10"/>
        <rFont val="Calibri"/>
        <family val="2"/>
        <scheme val="minor"/>
      </rPr>
      <t>Соус Сацебели</t>
    </r>
    <r>
      <rPr>
        <sz val="10"/>
        <rFont val="Calibri"/>
        <family val="2"/>
        <scheme val="minor"/>
      </rPr>
      <t>, стекло 200г</t>
    </r>
  </si>
  <si>
    <t>до: 01.07.26 | СКИДКА 30%</t>
  </si>
  <si>
    <t>до: 01.08.26 | СКИДКА 25%</t>
  </si>
  <si>
    <t>до: 30.07.26 | СКИДКА 25%</t>
  </si>
  <si>
    <t>до: 09.08.26 | СКИДКА 25%</t>
  </si>
  <si>
    <t>до: 05.07.26 | СКИДКА 30%</t>
  </si>
  <si>
    <t>до: 13.07.26 | СКИДКА 30%</t>
  </si>
  <si>
    <t>до: 12.08.26 | СКИДКА 25%</t>
  </si>
  <si>
    <t>до: 26.08.26 | СКИДКА 25%</t>
  </si>
  <si>
    <t>до: 27.08.26 | СКИДКА 25%</t>
  </si>
  <si>
    <t>до: 04.09.26 | СКИДКА 20%</t>
  </si>
  <si>
    <t>до: 03.08.26 | СКИДКА 25%</t>
  </si>
  <si>
    <r>
      <t>Печенье рисовое "</t>
    </r>
    <r>
      <rPr>
        <b/>
        <sz val="10"/>
        <color theme="9" tint="-0.249977111117893"/>
        <rFont val="Calibri"/>
        <family val="2"/>
        <scheme val="minor"/>
      </rPr>
      <t>Кокосовое</t>
    </r>
    <r>
      <rPr>
        <sz val="10"/>
        <color theme="9" tint="-0.249977111117893"/>
        <rFont val="Calibri"/>
        <family val="2"/>
        <scheme val="minor"/>
      </rPr>
      <t>" без сахара "Диетика" 140г</t>
    </r>
  </si>
  <si>
    <r>
      <t xml:space="preserve">Печенье сдобное </t>
    </r>
    <r>
      <rPr>
        <b/>
        <sz val="10"/>
        <color theme="9" tint="-0.249977111117893"/>
        <rFont val="Calibri"/>
        <family val="2"/>
        <scheme val="minor"/>
      </rPr>
      <t>восторг</t>
    </r>
    <r>
      <rPr>
        <sz val="10"/>
        <color theme="9" tint="-0.249977111117893"/>
        <rFont val="Calibri"/>
        <family val="2"/>
        <scheme val="minor"/>
      </rPr>
      <t xml:space="preserve"> "Диетика" 140г</t>
    </r>
  </si>
  <si>
    <r>
      <t xml:space="preserve">Печенье сдобное </t>
    </r>
    <r>
      <rPr>
        <b/>
        <sz val="10"/>
        <color theme="9" tint="-0.249977111117893"/>
        <rFont val="Calibri"/>
        <family val="2"/>
        <scheme val="minor"/>
      </rPr>
      <t>особое</t>
    </r>
    <r>
      <rPr>
        <sz val="10"/>
        <color theme="9" tint="-0.249977111117893"/>
        <rFont val="Calibri"/>
        <family val="2"/>
        <scheme val="minor"/>
      </rPr>
      <t xml:space="preserve"> "Диетика" 200г</t>
    </r>
  </si>
  <si>
    <r>
      <t xml:space="preserve">Печенье сдобное </t>
    </r>
    <r>
      <rPr>
        <b/>
        <sz val="10"/>
        <color theme="9" tint="-0.249977111117893"/>
        <rFont val="Calibri"/>
        <family val="2"/>
        <scheme val="minor"/>
      </rPr>
      <t>с изюмом</t>
    </r>
    <r>
      <rPr>
        <sz val="10"/>
        <color theme="9" tint="-0.249977111117893"/>
        <rFont val="Calibri"/>
        <family val="2"/>
        <scheme val="minor"/>
      </rPr>
      <t xml:space="preserve"> "Диетика" 200г</t>
    </r>
  </si>
  <si>
    <r>
      <t xml:space="preserve">Печенье сдобное </t>
    </r>
    <r>
      <rPr>
        <b/>
        <sz val="10"/>
        <color theme="9" tint="-0.249977111117893"/>
        <rFont val="Calibri"/>
        <family val="2"/>
        <scheme val="minor"/>
      </rPr>
      <t xml:space="preserve">с кленовым сиропом </t>
    </r>
    <r>
      <rPr>
        <sz val="10"/>
        <color theme="9" tint="-0.249977111117893"/>
        <rFont val="Calibri"/>
        <family val="2"/>
        <scheme val="minor"/>
      </rPr>
      <t>"Диетика" 200г</t>
    </r>
  </si>
  <si>
    <r>
      <t xml:space="preserve">Хлопья </t>
    </r>
    <r>
      <rPr>
        <b/>
        <sz val="10"/>
        <color theme="9" tint="-0.249977111117893"/>
        <rFont val="Calibri"/>
        <family val="2"/>
        <scheme val="minor"/>
      </rPr>
      <t>кукурузные</t>
    </r>
    <r>
      <rPr>
        <sz val="10"/>
        <color theme="9" tint="-0.249977111117893"/>
        <rFont val="Calibri"/>
        <family val="2"/>
        <scheme val="minor"/>
      </rPr>
      <t xml:space="preserve"> "Диетика" 300г</t>
    </r>
  </si>
  <si>
    <r>
      <t xml:space="preserve">Хлопья </t>
    </r>
    <r>
      <rPr>
        <b/>
        <sz val="10"/>
        <color theme="9" tint="-0.249977111117893"/>
        <rFont val="Calibri"/>
        <family val="2"/>
        <scheme val="minor"/>
      </rPr>
      <t>овсяные</t>
    </r>
    <r>
      <rPr>
        <sz val="10"/>
        <color theme="9" tint="-0.249977111117893"/>
        <rFont val="Calibri"/>
        <family val="2"/>
        <scheme val="minor"/>
      </rPr>
      <t xml:space="preserve"> "Диетика" 300г</t>
    </r>
  </si>
  <si>
    <r>
      <t xml:space="preserve">Хлопья </t>
    </r>
    <r>
      <rPr>
        <b/>
        <sz val="10"/>
        <color theme="9" tint="-0.249977111117893"/>
        <rFont val="Calibri"/>
        <family val="2"/>
        <scheme val="minor"/>
      </rPr>
      <t>пшённые</t>
    </r>
    <r>
      <rPr>
        <sz val="10"/>
        <color theme="9" tint="-0.249977111117893"/>
        <rFont val="Calibri"/>
        <family val="2"/>
        <scheme val="minor"/>
      </rPr>
      <t xml:space="preserve"> "Диетика" 300г</t>
    </r>
  </si>
  <si>
    <r>
      <t xml:space="preserve">Хлопья </t>
    </r>
    <r>
      <rPr>
        <b/>
        <sz val="10"/>
        <color theme="9" tint="-0.249977111117893"/>
        <rFont val="Calibri"/>
        <family val="2"/>
        <scheme val="minor"/>
      </rPr>
      <t>рисовые</t>
    </r>
    <r>
      <rPr>
        <sz val="10"/>
        <color theme="9" tint="-0.249977111117893"/>
        <rFont val="Calibri"/>
        <family val="2"/>
        <scheme val="minor"/>
      </rPr>
      <t xml:space="preserve"> "Диетика" 300г</t>
    </r>
  </si>
  <si>
    <t>Новинка! СКИДКА 15%</t>
  </si>
  <si>
    <t>АКЦИЯ! СКИДКА 15%</t>
  </si>
  <si>
    <r>
      <t xml:space="preserve">Конфеты "Кокосанка" </t>
    </r>
    <r>
      <rPr>
        <b/>
        <sz val="10"/>
        <rFont val="Calibri"/>
        <family val="2"/>
        <charset val="204"/>
        <scheme val="minor"/>
      </rPr>
      <t>Азиатская</t>
    </r>
    <r>
      <rPr>
        <sz val="10"/>
        <rFont val="Calibri"/>
        <family val="2"/>
        <scheme val="minor"/>
      </rPr>
      <t>, вишня cherry Bezglutini 85г</t>
    </r>
  </si>
  <si>
    <r>
      <t xml:space="preserve">Конфеты "Кокосанка" </t>
    </r>
    <r>
      <rPr>
        <b/>
        <sz val="10"/>
        <rFont val="Calibri"/>
        <family val="2"/>
        <charset val="204"/>
        <scheme val="minor"/>
      </rPr>
      <t>шоколадная</t>
    </r>
    <r>
      <rPr>
        <sz val="10"/>
        <rFont val="Calibri"/>
        <family val="2"/>
        <scheme val="minor"/>
      </rPr>
      <t xml:space="preserve"> Bezglutini 105г</t>
    </r>
  </si>
  <si>
    <r>
      <t xml:space="preserve">Печенье "Брауни" с </t>
    </r>
    <r>
      <rPr>
        <b/>
        <sz val="10"/>
        <rFont val="Calibri"/>
        <family val="2"/>
        <charset val="204"/>
        <scheme val="minor"/>
      </rPr>
      <t>клубникой</t>
    </r>
    <r>
      <rPr>
        <sz val="10"/>
        <rFont val="Calibri"/>
        <family val="2"/>
        <scheme val="minor"/>
      </rPr>
      <t xml:space="preserve"> Bezglutini 96г</t>
    </r>
  </si>
  <si>
    <t>Hempina бальзам для губ 5мл</t>
  </si>
  <si>
    <t>Nativica Baby Средство для купания детское 0+ 250мл</t>
  </si>
  <si>
    <t>Крем для лица "Нежный лен" для жирной кожи, дневной 50мл</t>
  </si>
  <si>
    <t>Хлорелла в порошке 100г</t>
  </si>
  <si>
    <t>s19894</t>
  </si>
  <si>
    <t>s20500</t>
  </si>
  <si>
    <t>s12094</t>
  </si>
  <si>
    <t>s15477</t>
  </si>
  <si>
    <t>s21435</t>
  </si>
  <si>
    <t>s20933</t>
  </si>
  <si>
    <t>s20914</t>
  </si>
  <si>
    <t>s20916</t>
  </si>
  <si>
    <r>
      <t xml:space="preserve">Шампанское детское "Весёлый круг" </t>
    </r>
    <r>
      <rPr>
        <b/>
        <sz val="10"/>
        <color theme="9" tint="-0.249977111117893"/>
        <rFont val="Calibri"/>
        <family val="2"/>
        <scheme val="minor"/>
      </rPr>
      <t>белый виноград</t>
    </r>
    <r>
      <rPr>
        <sz val="10"/>
        <color theme="9" tint="-0.249977111117893"/>
        <rFont val="Calibri"/>
        <family val="2"/>
        <scheme val="minor"/>
      </rPr>
      <t>, стекло 750мл</t>
    </r>
  </si>
  <si>
    <r>
      <t xml:space="preserve">Шампанское детское "Весёлый круг" </t>
    </r>
    <r>
      <rPr>
        <b/>
        <sz val="10"/>
        <color theme="9" tint="-0.249977111117893"/>
        <rFont val="Calibri"/>
        <family val="2"/>
        <scheme val="minor"/>
      </rPr>
      <t>груша дюшес</t>
    </r>
    <r>
      <rPr>
        <sz val="10"/>
        <color theme="9" tint="-0.249977111117893"/>
        <rFont val="Calibri"/>
        <family val="2"/>
        <scheme val="minor"/>
      </rPr>
      <t>, стекло 750мл</t>
    </r>
  </si>
  <si>
    <r>
      <t xml:space="preserve">Шампанское детское "Весёлый круг" </t>
    </r>
    <r>
      <rPr>
        <b/>
        <sz val="10"/>
        <color theme="9" tint="-0.249977111117893"/>
        <rFont val="Calibri"/>
        <family val="2"/>
        <scheme val="minor"/>
      </rPr>
      <t>красный апельсин</t>
    </r>
    <r>
      <rPr>
        <sz val="10"/>
        <color theme="9" tint="-0.249977111117893"/>
        <rFont val="Calibri"/>
        <family val="2"/>
        <scheme val="minor"/>
      </rPr>
      <t>, стекло 750мл</t>
    </r>
  </si>
  <si>
    <r>
      <t xml:space="preserve">Шампанское детское "Весёлый круг" </t>
    </r>
    <r>
      <rPr>
        <b/>
        <sz val="10"/>
        <color theme="9" tint="-0.249977111117893"/>
        <rFont val="Calibri"/>
        <family val="2"/>
        <scheme val="minor"/>
      </rPr>
      <t>садовая земляника</t>
    </r>
    <r>
      <rPr>
        <sz val="10"/>
        <color theme="9" tint="-0.249977111117893"/>
        <rFont val="Calibri"/>
        <family val="2"/>
        <scheme val="minor"/>
      </rPr>
      <t>, стекло 750мл</t>
    </r>
  </si>
  <si>
    <r>
      <t xml:space="preserve">Шампанское безалкогольное </t>
    </r>
    <r>
      <rPr>
        <b/>
        <sz val="10"/>
        <color theme="9" tint="-0.249977111117893"/>
        <rFont val="Calibri"/>
        <family val="2"/>
        <scheme val="minor"/>
      </rPr>
      <t>Мускатное</t>
    </r>
    <r>
      <rPr>
        <sz val="10"/>
        <color theme="9" tint="-0.249977111117893"/>
        <rFont val="Calibri"/>
        <family val="2"/>
        <scheme val="minor"/>
      </rPr>
      <t>, стекло 750мл</t>
    </r>
  </si>
  <si>
    <t>Соус Песто с зелёным базиликом 90г</t>
  </si>
  <si>
    <t>Масло подсолнечное рафинированное дезодорированное, базилик свежий, вода питьевая, ядра орехов кешью, пюре картофельное сухое, дрожжевой экстракт, соль морская пищевая, натуральное пищевое волокно, масло оливковое нерафинированное высшего качества (Extra virgin olive oil), чеснок сушёный, ядра кедрового ореха, регуляторы кислотности</t>
  </si>
  <si>
    <t>http://1.c8804.nichost.ru/pics/20208_2.jpg</t>
  </si>
  <si>
    <t>до: 08.06.26 | СКИДКА 50%</t>
  </si>
  <si>
    <t>до: 21.11.26 | СКИДКА 25%</t>
  </si>
  <si>
    <t>до: 12.06.26 | СКИДКА 50%</t>
  </si>
  <si>
    <t>до: 12.11.26 | СКИДКА 25%</t>
  </si>
  <si>
    <t>до: 18.06.26 | СКИДКА 50%</t>
  </si>
  <si>
    <t>до: 27.05.26 | СКИДКА 50%</t>
  </si>
  <si>
    <t>Петербургский Кондитер</t>
  </si>
  <si>
    <t>квант 15шт! СКИДКА 10%</t>
  </si>
  <si>
    <r>
      <t xml:space="preserve">БАД Леденцы Травяные </t>
    </r>
    <r>
      <rPr>
        <b/>
        <sz val="10"/>
        <color theme="9" tint="-0.249977111117893"/>
        <rFont val="Calibri"/>
        <family val="2"/>
        <scheme val="minor"/>
      </rPr>
      <t>Малина и груша</t>
    </r>
    <r>
      <rPr>
        <sz val="10"/>
        <color theme="9" tint="-0.249977111117893"/>
        <rFont val="Calibri"/>
        <family val="2"/>
        <scheme val="minor"/>
      </rPr>
      <t xml:space="preserve"> флоу-пак 48г</t>
    </r>
  </si>
  <si>
    <r>
      <t xml:space="preserve">БАД Леденцы Травяные </t>
    </r>
    <r>
      <rPr>
        <b/>
        <sz val="10"/>
        <color theme="9" tint="-0.249977111117893"/>
        <rFont val="Calibri"/>
        <family val="2"/>
        <scheme val="minor"/>
      </rPr>
      <t>Мята и эвкалипт</t>
    </r>
    <r>
      <rPr>
        <sz val="10"/>
        <color theme="9" tint="-0.249977111117893"/>
        <rFont val="Calibri"/>
        <family val="2"/>
        <scheme val="minor"/>
      </rPr>
      <t xml:space="preserve"> флоу-пак 48г</t>
    </r>
  </si>
  <si>
    <r>
      <t xml:space="preserve">БАД Леденцы Травяные </t>
    </r>
    <r>
      <rPr>
        <b/>
        <sz val="10"/>
        <color theme="9" tint="-0.249977111117893"/>
        <rFont val="Calibri"/>
        <family val="2"/>
        <scheme val="minor"/>
      </rPr>
      <t>Шалфей и брусника</t>
    </r>
    <r>
      <rPr>
        <sz val="10"/>
        <color theme="9" tint="-0.249977111117893"/>
        <rFont val="Calibri"/>
        <family val="2"/>
        <scheme val="minor"/>
      </rPr>
      <t xml:space="preserve"> флоу-пак 48г</t>
    </r>
  </si>
  <si>
    <r>
      <t xml:space="preserve">БАД Леденцы Кедровые Forte </t>
    </r>
    <r>
      <rPr>
        <b/>
        <sz val="10"/>
        <color theme="9" tint="-0.249977111117893"/>
        <rFont val="Calibri"/>
        <family val="2"/>
        <scheme val="minor"/>
      </rPr>
      <t>Апельсин и грейпфрут</t>
    </r>
    <r>
      <rPr>
        <sz val="10"/>
        <color theme="9" tint="-0.249977111117893"/>
        <rFont val="Calibri"/>
        <family val="2"/>
        <scheme val="minor"/>
      </rPr>
      <t xml:space="preserve"> 20шт 64г</t>
    </r>
  </si>
  <si>
    <r>
      <t xml:space="preserve">БАД Леденцы Кедровые Forte </t>
    </r>
    <r>
      <rPr>
        <b/>
        <sz val="10"/>
        <color theme="9" tint="-0.249977111117893"/>
        <rFont val="Calibri"/>
        <family val="2"/>
        <scheme val="minor"/>
      </rPr>
      <t>Брусника и малина</t>
    </r>
    <r>
      <rPr>
        <sz val="10"/>
        <color theme="9" tint="-0.249977111117893"/>
        <rFont val="Calibri"/>
        <family val="2"/>
        <scheme val="minor"/>
      </rPr>
      <t xml:space="preserve"> 20шт 64г</t>
    </r>
  </si>
  <si>
    <r>
      <t xml:space="preserve">БАД Леденцы Кедровые Forte </t>
    </r>
    <r>
      <rPr>
        <b/>
        <sz val="10"/>
        <color theme="9" tint="-0.249977111117893"/>
        <rFont val="Calibri"/>
        <family val="2"/>
        <scheme val="minor"/>
      </rPr>
      <t>Лимон и имбирь</t>
    </r>
    <r>
      <rPr>
        <sz val="10"/>
        <color theme="9" tint="-0.249977111117893"/>
        <rFont val="Calibri"/>
        <family val="2"/>
        <scheme val="minor"/>
      </rPr>
      <t xml:space="preserve"> 20шт 64г</t>
    </r>
  </si>
  <si>
    <r>
      <t xml:space="preserve">БАД Леденцы Кедровые Forte </t>
    </r>
    <r>
      <rPr>
        <b/>
        <sz val="10"/>
        <color theme="9" tint="-0.249977111117893"/>
        <rFont val="Calibri"/>
        <family val="2"/>
        <scheme val="minor"/>
      </rPr>
      <t>Мята и эвкалипт</t>
    </r>
    <r>
      <rPr>
        <sz val="10"/>
        <color theme="9" tint="-0.249977111117893"/>
        <rFont val="Calibri"/>
        <family val="2"/>
        <scheme val="minor"/>
      </rPr>
      <t xml:space="preserve"> 20шт 64г</t>
    </r>
  </si>
  <si>
    <r>
      <t xml:space="preserve">БАД Леденцы Кедровые Forte </t>
    </r>
    <r>
      <rPr>
        <b/>
        <sz val="10"/>
        <color theme="9" tint="-0.249977111117893"/>
        <rFont val="Calibri"/>
        <family val="2"/>
        <scheme val="minor"/>
      </rPr>
      <t>Мята, лайм и лимон</t>
    </r>
    <r>
      <rPr>
        <sz val="10"/>
        <color theme="9" tint="-0.249977111117893"/>
        <rFont val="Calibri"/>
        <family val="2"/>
        <scheme val="minor"/>
      </rPr>
      <t xml:space="preserve"> 20шт 64г</t>
    </r>
  </si>
  <si>
    <r>
      <t>Ядро кедрового ореха в</t>
    </r>
    <r>
      <rPr>
        <b/>
        <sz val="10"/>
        <rFont val="Calibri"/>
        <family val="2"/>
        <scheme val="minor"/>
      </rPr>
      <t xml:space="preserve"> </t>
    </r>
    <r>
      <rPr>
        <sz val="10"/>
        <rFont val="Calibri"/>
        <family val="2"/>
        <scheme val="minor"/>
      </rPr>
      <t>белом шоколаде с клубникой</t>
    </r>
    <r>
      <rPr>
        <b/>
        <sz val="10"/>
        <rFont val="Calibri"/>
        <family val="2"/>
        <scheme val="minor"/>
      </rPr>
      <t xml:space="preserve"> </t>
    </r>
    <r>
      <rPr>
        <sz val="10"/>
        <rFont val="Calibri"/>
        <family val="2"/>
        <scheme val="minor"/>
      </rPr>
      <t>крафт 60г</t>
    </r>
  </si>
  <si>
    <t>http://1.c8804.nichost.ru/pics/20116.jpg</t>
  </si>
  <si>
    <t>http://1.c8804.nichost.ru/pics/20118.jpg</t>
  </si>
  <si>
    <t>АКЦИЯ! СКИДКА 35%</t>
  </si>
  <si>
    <r>
      <t>Мыло для рук жидкое "</t>
    </r>
    <r>
      <rPr>
        <b/>
        <sz val="10"/>
        <color theme="9" tint="-0.249977111117893"/>
        <rFont val="Calibri"/>
        <family val="2"/>
        <scheme val="minor"/>
      </rPr>
      <t>Кокос</t>
    </r>
    <r>
      <rPr>
        <sz val="10"/>
        <color theme="9" tint="-0.249977111117893"/>
        <rFont val="Calibri"/>
        <family val="2"/>
        <scheme val="minor"/>
      </rPr>
      <t>" 500мл</t>
    </r>
  </si>
  <si>
    <r>
      <t>Мыло для рук жидкое "</t>
    </r>
    <r>
      <rPr>
        <b/>
        <sz val="10"/>
        <color theme="9" tint="-0.249977111117893"/>
        <rFont val="Calibri"/>
        <family val="2"/>
        <scheme val="minor"/>
      </rPr>
      <t>Яблоко</t>
    </r>
    <r>
      <rPr>
        <sz val="10"/>
        <color theme="9" tint="-0.249977111117893"/>
        <rFont val="Calibri"/>
        <family val="2"/>
        <scheme val="minor"/>
      </rPr>
      <t>" 500мл</t>
    </r>
  </si>
  <si>
    <r>
      <t xml:space="preserve">Хумус "Протеиновый" с </t>
    </r>
    <r>
      <rPr>
        <b/>
        <sz val="10"/>
        <rFont val="Calibri"/>
        <family val="2"/>
        <scheme val="minor"/>
      </rPr>
      <t>печёными овощами</t>
    </r>
    <r>
      <rPr>
        <sz val="10"/>
        <rFont val="Calibri"/>
        <family val="2"/>
        <scheme val="minor"/>
      </rPr>
      <t xml:space="preserve"> 200г</t>
    </r>
  </si>
  <si>
    <r>
      <t>Хумус со вкусом "</t>
    </r>
    <r>
      <rPr>
        <b/>
        <sz val="10"/>
        <rFont val="Calibri"/>
        <family val="2"/>
        <scheme val="minor"/>
      </rPr>
      <t>Том Ям</t>
    </r>
    <r>
      <rPr>
        <sz val="10"/>
        <rFont val="Calibri"/>
        <family val="2"/>
        <scheme val="minor"/>
      </rPr>
      <t>" по-тайски, стекло 200г</t>
    </r>
  </si>
  <si>
    <r>
      <t xml:space="preserve">Хумус с </t>
    </r>
    <r>
      <rPr>
        <b/>
        <sz val="10"/>
        <rFont val="Calibri"/>
        <family val="2"/>
        <scheme val="minor"/>
      </rPr>
      <t>кедровыми орешками</t>
    </r>
    <r>
      <rPr>
        <sz val="10"/>
        <rFont val="Calibri"/>
        <family val="2"/>
        <scheme val="minor"/>
      </rPr>
      <t>, стекло 200г</t>
    </r>
  </si>
  <si>
    <r>
      <t xml:space="preserve">Хумус с </t>
    </r>
    <r>
      <rPr>
        <b/>
        <sz val="10"/>
        <rFont val="Calibri"/>
        <family val="2"/>
        <scheme val="minor"/>
      </rPr>
      <t>паприкой острый</t>
    </r>
    <r>
      <rPr>
        <sz val="10"/>
        <rFont val="Calibri"/>
        <family val="2"/>
        <scheme val="minor"/>
      </rPr>
      <t>, стекло 200г</t>
    </r>
  </si>
  <si>
    <r>
      <t xml:space="preserve">Чипсы морковные с ламинарией и </t>
    </r>
    <r>
      <rPr>
        <b/>
        <sz val="10"/>
        <rFont val="Calibri"/>
        <family val="2"/>
        <scheme val="minor"/>
      </rPr>
      <t>куркумой</t>
    </r>
    <r>
      <rPr>
        <sz val="10"/>
        <rFont val="Calibri"/>
        <family val="2"/>
        <scheme val="minor"/>
      </rPr>
      <t xml:space="preserve"> 100г</t>
    </r>
  </si>
  <si>
    <r>
      <t xml:space="preserve">Чипсы морковные с ламинарией и </t>
    </r>
    <r>
      <rPr>
        <b/>
        <sz val="10"/>
        <rFont val="Calibri"/>
        <family val="2"/>
        <scheme val="minor"/>
      </rPr>
      <t>паприкой</t>
    </r>
    <r>
      <rPr>
        <sz val="10"/>
        <rFont val="Calibri"/>
        <family val="2"/>
        <scheme val="minor"/>
      </rPr>
      <t xml:space="preserve"> 100г</t>
    </r>
  </si>
  <si>
    <r>
      <t xml:space="preserve">Чипсы морковные с ламинарией </t>
    </r>
    <r>
      <rPr>
        <b/>
        <sz val="10"/>
        <rFont val="Calibri"/>
        <family val="2"/>
        <scheme val="minor"/>
      </rPr>
      <t>оригинальные</t>
    </r>
    <r>
      <rPr>
        <sz val="10"/>
        <rFont val="Calibri"/>
        <family val="2"/>
        <scheme val="minor"/>
      </rPr>
      <t xml:space="preserve"> 100г</t>
    </r>
  </si>
  <si>
    <r>
      <t xml:space="preserve">Чипсы свекольные с ламинарией </t>
    </r>
    <r>
      <rPr>
        <b/>
        <sz val="10"/>
        <rFont val="Calibri"/>
        <family val="2"/>
        <scheme val="minor"/>
      </rPr>
      <t xml:space="preserve">и аджикой </t>
    </r>
    <r>
      <rPr>
        <sz val="10"/>
        <rFont val="Calibri"/>
        <family val="2"/>
        <scheme val="minor"/>
      </rPr>
      <t>100г</t>
    </r>
  </si>
  <si>
    <r>
      <t xml:space="preserve">Чипсы свекольные с ламинарией </t>
    </r>
    <r>
      <rPr>
        <b/>
        <sz val="10"/>
        <rFont val="Calibri"/>
        <family val="2"/>
        <scheme val="minor"/>
      </rPr>
      <t>и базиликом</t>
    </r>
    <r>
      <rPr>
        <sz val="10"/>
        <rFont val="Calibri"/>
        <family val="2"/>
        <scheme val="minor"/>
      </rPr>
      <t xml:space="preserve"> 100г</t>
    </r>
  </si>
  <si>
    <r>
      <t xml:space="preserve">Чипсы свекольные с ламинарией </t>
    </r>
    <r>
      <rPr>
        <b/>
        <sz val="10"/>
        <rFont val="Calibri"/>
        <family val="2"/>
        <scheme val="minor"/>
      </rPr>
      <t>и прованскими травами</t>
    </r>
    <r>
      <rPr>
        <sz val="10"/>
        <rFont val="Calibri"/>
        <family val="2"/>
        <scheme val="minor"/>
      </rPr>
      <t xml:space="preserve"> 100г</t>
    </r>
  </si>
  <si>
    <r>
      <t xml:space="preserve">Чипсы свекольные с ламинарией </t>
    </r>
    <r>
      <rPr>
        <b/>
        <sz val="10"/>
        <rFont val="Calibri"/>
        <family val="2"/>
        <scheme val="minor"/>
      </rPr>
      <t>и чесноком</t>
    </r>
    <r>
      <rPr>
        <sz val="10"/>
        <rFont val="Calibri"/>
        <family val="2"/>
        <scheme val="minor"/>
      </rPr>
      <t xml:space="preserve"> 100г</t>
    </r>
  </si>
  <si>
    <t>новинка! квант 6шт</t>
  </si>
  <si>
    <r>
      <t xml:space="preserve">Хлопья </t>
    </r>
    <r>
      <rPr>
        <b/>
        <sz val="10"/>
        <rFont val="Calibri"/>
        <family val="2"/>
        <scheme val="minor"/>
      </rPr>
      <t>пшённо-рисовые</t>
    </r>
    <r>
      <rPr>
        <sz val="10"/>
        <rFont val="Calibri"/>
        <family val="2"/>
        <scheme val="minor"/>
      </rPr>
      <t xml:space="preserve"> Микс "Диетика" 300г</t>
    </r>
  </si>
  <si>
    <t>от 40 тыс
+ квант</t>
  </si>
  <si>
    <t>от 30 тыс
+квант</t>
  </si>
  <si>
    <t>от 40 тыс
+квант</t>
  </si>
  <si>
    <t>от 30 тыс
+ квант</t>
  </si>
  <si>
    <t>от 20 тыс
+квант</t>
  </si>
  <si>
    <t>от 15 тыс
+квант</t>
  </si>
  <si>
    <t>от 25 тыс
+квант</t>
  </si>
  <si>
    <r>
      <t>Попкорн "</t>
    </r>
    <r>
      <rPr>
        <b/>
        <sz val="10"/>
        <rFont val="Calibri"/>
        <family val="2"/>
        <scheme val="minor"/>
      </rPr>
      <t>грибы</t>
    </r>
    <r>
      <rPr>
        <sz val="10"/>
        <rFont val="Calibri"/>
        <family val="2"/>
        <scheme val="minor"/>
      </rPr>
      <t>" 30г</t>
    </r>
  </si>
  <si>
    <r>
      <t>Попкорн "</t>
    </r>
    <r>
      <rPr>
        <b/>
        <sz val="10"/>
        <rFont val="Calibri"/>
        <family val="2"/>
        <scheme val="minor"/>
      </rPr>
      <t>идеально-сладкий</t>
    </r>
    <r>
      <rPr>
        <sz val="10"/>
        <rFont val="Calibri"/>
        <family val="2"/>
        <scheme val="minor"/>
      </rPr>
      <t>" 120г</t>
    </r>
  </si>
  <si>
    <r>
      <t>Попкорн "</t>
    </r>
    <r>
      <rPr>
        <b/>
        <sz val="10"/>
        <rFont val="Calibri"/>
        <family val="2"/>
        <scheme val="minor"/>
      </rPr>
      <t>идеально-сладкий</t>
    </r>
    <r>
      <rPr>
        <sz val="10"/>
        <rFont val="Calibri"/>
        <family val="2"/>
        <scheme val="minor"/>
      </rPr>
      <t>" 45г</t>
    </r>
  </si>
  <si>
    <r>
      <t>Попкорн "</t>
    </r>
    <r>
      <rPr>
        <b/>
        <sz val="10"/>
        <rFont val="Calibri"/>
        <family val="2"/>
        <scheme val="minor"/>
      </rPr>
      <t>ириска</t>
    </r>
    <r>
      <rPr>
        <sz val="10"/>
        <rFont val="Calibri"/>
        <family val="2"/>
        <scheme val="minor"/>
      </rPr>
      <t>" 50г</t>
    </r>
  </si>
  <si>
    <r>
      <t>Попкорн "</t>
    </r>
    <r>
      <rPr>
        <b/>
        <sz val="10"/>
        <rFont val="Calibri"/>
        <family val="2"/>
        <scheme val="minor"/>
      </rPr>
      <t>морская соль</t>
    </r>
    <r>
      <rPr>
        <sz val="10"/>
        <rFont val="Calibri"/>
        <family val="2"/>
        <scheme val="minor"/>
      </rPr>
      <t>" 20г</t>
    </r>
  </si>
  <si>
    <r>
      <t>Попкорн "</t>
    </r>
    <r>
      <rPr>
        <b/>
        <sz val="10"/>
        <rFont val="Calibri"/>
        <family val="2"/>
        <scheme val="minor"/>
      </rPr>
      <t>морская соль</t>
    </r>
    <r>
      <rPr>
        <sz val="10"/>
        <rFont val="Calibri"/>
        <family val="2"/>
        <scheme val="minor"/>
      </rPr>
      <t>" 60г</t>
    </r>
  </si>
  <si>
    <r>
      <t>Попкорн "</t>
    </r>
    <r>
      <rPr>
        <b/>
        <sz val="10"/>
        <rFont val="Calibri"/>
        <family val="2"/>
        <scheme val="minor"/>
      </rPr>
      <t>сладко-соленая</t>
    </r>
    <r>
      <rPr>
        <sz val="10"/>
        <rFont val="Calibri"/>
        <family val="2"/>
        <scheme val="minor"/>
      </rPr>
      <t>" 30г</t>
    </r>
  </si>
  <si>
    <r>
      <t>Попкорн "</t>
    </r>
    <r>
      <rPr>
        <b/>
        <sz val="10"/>
        <rFont val="Calibri"/>
        <family val="2"/>
        <scheme val="minor"/>
      </rPr>
      <t>сладко-соленая</t>
    </r>
    <r>
      <rPr>
        <sz val="10"/>
        <rFont val="Calibri"/>
        <family val="2"/>
        <scheme val="minor"/>
      </rPr>
      <t>" 80г</t>
    </r>
  </si>
  <si>
    <r>
      <t xml:space="preserve">Батончик Bitey </t>
    </r>
    <r>
      <rPr>
        <u/>
        <sz val="10"/>
        <color theme="1"/>
        <rFont val="Calibri"/>
        <family val="2"/>
        <scheme val="minor"/>
      </rPr>
      <t>Квадры</t>
    </r>
    <r>
      <rPr>
        <sz val="10"/>
        <color theme="1"/>
        <rFont val="Calibri"/>
        <family val="2"/>
        <scheme val="minor"/>
      </rPr>
      <t xml:space="preserve"> </t>
    </r>
    <r>
      <rPr>
        <b/>
        <sz val="10"/>
        <color theme="1"/>
        <rFont val="Calibri"/>
        <family val="2"/>
        <scheme val="minor"/>
      </rPr>
      <t>Яблоко-Банан</t>
    </r>
    <r>
      <rPr>
        <sz val="10"/>
        <color theme="1"/>
        <rFont val="Calibri"/>
        <family val="2"/>
        <scheme val="minor"/>
      </rPr>
      <t xml:space="preserve"> фруктово-овсяный 30г</t>
    </r>
  </si>
  <si>
    <r>
      <t>Батончик Bitey "</t>
    </r>
    <r>
      <rPr>
        <b/>
        <sz val="10"/>
        <color theme="1"/>
        <rFont val="Calibri"/>
        <family val="2"/>
        <scheme val="minor"/>
      </rPr>
      <t>Ананас</t>
    </r>
    <r>
      <rPr>
        <sz val="10"/>
        <color theme="1"/>
        <rFont val="Calibri"/>
        <family val="2"/>
        <scheme val="minor"/>
      </rPr>
      <t>" в шоколаде 35гр</t>
    </r>
  </si>
  <si>
    <r>
      <t>Батончик Bitey "</t>
    </r>
    <r>
      <rPr>
        <b/>
        <sz val="10"/>
        <color theme="1"/>
        <rFont val="Calibri"/>
        <family val="2"/>
        <scheme val="minor"/>
      </rPr>
      <t>Апельсин</t>
    </r>
    <r>
      <rPr>
        <sz val="10"/>
        <color theme="1"/>
        <rFont val="Calibri"/>
        <family val="2"/>
        <scheme val="minor"/>
      </rPr>
      <t>" в шоколаде 35гр</t>
    </r>
  </si>
  <si>
    <r>
      <t xml:space="preserve">Вафли Bitey </t>
    </r>
    <r>
      <rPr>
        <b/>
        <sz val="10"/>
        <color theme="1"/>
        <rFont val="Calibri"/>
        <family val="2"/>
        <scheme val="minor"/>
      </rPr>
      <t xml:space="preserve">Апельсин </t>
    </r>
    <r>
      <rPr>
        <sz val="10"/>
        <color theme="1"/>
        <rFont val="Calibri"/>
        <family val="2"/>
        <scheme val="minor"/>
      </rPr>
      <t>в шоколадной глазури 35г</t>
    </r>
  </si>
  <si>
    <r>
      <t xml:space="preserve">Вафли Bitey </t>
    </r>
    <r>
      <rPr>
        <b/>
        <sz val="10"/>
        <color theme="1"/>
        <rFont val="Calibri"/>
        <family val="2"/>
        <scheme val="minor"/>
      </rPr>
      <t>Вишня-Свекла</t>
    </r>
    <r>
      <rPr>
        <sz val="10"/>
        <color theme="1"/>
        <rFont val="Calibri"/>
        <family val="2"/>
        <scheme val="minor"/>
      </rPr>
      <t xml:space="preserve"> 35г</t>
    </r>
  </si>
  <si>
    <r>
      <t xml:space="preserve">Мармелад Bitey "Чувисы" </t>
    </r>
    <r>
      <rPr>
        <b/>
        <sz val="10"/>
        <color theme="1"/>
        <rFont val="Calibri"/>
        <family val="2"/>
        <scheme val="minor"/>
      </rPr>
      <t>Клубника</t>
    </r>
    <r>
      <rPr>
        <sz val="10"/>
        <color theme="1"/>
        <rFont val="Calibri"/>
        <family val="2"/>
        <scheme val="minor"/>
      </rPr>
      <t xml:space="preserve"> 20г</t>
    </r>
  </si>
  <si>
    <r>
      <t>Пастила Bitey Фруктово-ягодные кусочки «</t>
    </r>
    <r>
      <rPr>
        <b/>
        <sz val="10"/>
        <color theme="1"/>
        <rFont val="Calibri"/>
        <family val="2"/>
        <scheme val="minor"/>
      </rPr>
      <t>Барбарис</t>
    </r>
    <r>
      <rPr>
        <sz val="10"/>
        <color theme="1"/>
        <rFont val="Calibri"/>
        <family val="2"/>
        <scheme val="minor"/>
      </rPr>
      <t>» 20г</t>
    </r>
  </si>
  <si>
    <r>
      <t>Печенье Bitey "</t>
    </r>
    <r>
      <rPr>
        <b/>
        <sz val="10"/>
        <color theme="1"/>
        <rFont val="Calibri"/>
        <family val="2"/>
        <scheme val="minor"/>
      </rPr>
      <t>Банан</t>
    </r>
    <r>
      <rPr>
        <sz val="10"/>
        <color theme="1"/>
        <rFont val="Calibri"/>
        <family val="2"/>
        <scheme val="minor"/>
      </rPr>
      <t>" безглютеновое 125г</t>
    </r>
  </si>
  <si>
    <r>
      <t>Печенье Bitey "</t>
    </r>
    <r>
      <rPr>
        <b/>
        <sz val="10"/>
        <color theme="1"/>
        <rFont val="Calibri"/>
        <family val="2"/>
        <scheme val="minor"/>
      </rPr>
      <t>Яблоко</t>
    </r>
    <r>
      <rPr>
        <sz val="10"/>
        <color theme="1"/>
        <rFont val="Calibri"/>
        <family val="2"/>
        <scheme val="minor"/>
      </rPr>
      <t>-</t>
    </r>
    <r>
      <rPr>
        <b/>
        <sz val="10"/>
        <color theme="1"/>
        <rFont val="Calibri"/>
        <family val="2"/>
        <scheme val="minor"/>
      </rPr>
      <t>Брокколи</t>
    </r>
    <r>
      <rPr>
        <sz val="10"/>
        <color theme="1"/>
        <rFont val="Calibri"/>
        <family val="2"/>
        <scheme val="minor"/>
      </rPr>
      <t>" безглютеновое 125г</t>
    </r>
  </si>
  <si>
    <r>
      <t xml:space="preserve">Печенье Bitey </t>
    </r>
    <r>
      <rPr>
        <u/>
        <sz val="10"/>
        <color theme="1"/>
        <rFont val="Calibri"/>
        <family val="2"/>
        <scheme val="minor"/>
      </rPr>
      <t>с глазурью</t>
    </r>
    <r>
      <rPr>
        <sz val="10"/>
        <color theme="1"/>
        <rFont val="Calibri"/>
        <family val="2"/>
        <scheme val="minor"/>
      </rPr>
      <t xml:space="preserve"> "</t>
    </r>
    <r>
      <rPr>
        <b/>
        <sz val="10"/>
        <color theme="1"/>
        <rFont val="Calibri"/>
        <family val="2"/>
        <scheme val="minor"/>
      </rPr>
      <t>Шоколад</t>
    </r>
    <r>
      <rPr>
        <sz val="10"/>
        <color theme="1"/>
        <rFont val="Calibri"/>
        <family val="2"/>
        <scheme val="minor"/>
      </rPr>
      <t>" безглютеновое 125г</t>
    </r>
  </si>
  <si>
    <r>
      <t>Печенье Bitey овсяное «</t>
    </r>
    <r>
      <rPr>
        <b/>
        <sz val="10"/>
        <color theme="1"/>
        <rFont val="Calibri"/>
        <family val="2"/>
        <scheme val="minor"/>
      </rPr>
      <t>Черника</t>
    </r>
    <r>
      <rPr>
        <sz val="10"/>
        <color theme="1"/>
        <rFont val="Calibri"/>
        <family val="2"/>
        <scheme val="minor"/>
      </rPr>
      <t>» 60г</t>
    </r>
  </si>
  <si>
    <r>
      <t xml:space="preserve">Крекеры овсяные с </t>
    </r>
    <r>
      <rPr>
        <b/>
        <sz val="10"/>
        <color theme="1"/>
        <rFont val="Calibri"/>
        <family val="2"/>
        <scheme val="minor"/>
      </rPr>
      <t>сем. подсолнечника, льна и чиа</t>
    </r>
    <r>
      <rPr>
        <sz val="10"/>
        <color theme="1"/>
        <rFont val="Calibri"/>
        <family val="2"/>
        <scheme val="minor"/>
      </rPr>
      <t xml:space="preserve"> 200г</t>
    </r>
  </si>
  <si>
    <r>
      <t xml:space="preserve">Хлебцы кукурузно-рисовые с </t>
    </r>
    <r>
      <rPr>
        <b/>
        <sz val="10"/>
        <color theme="1"/>
        <rFont val="Calibri"/>
        <family val="2"/>
        <scheme val="minor"/>
      </rPr>
      <t>луком</t>
    </r>
    <r>
      <rPr>
        <sz val="10"/>
        <color theme="1"/>
        <rFont val="Calibri"/>
        <family val="2"/>
        <scheme val="minor"/>
      </rPr>
      <t xml:space="preserve"> 150г</t>
    </r>
  </si>
  <si>
    <r>
      <t xml:space="preserve">Печенье безглютеновое "Мария" </t>
    </r>
    <r>
      <rPr>
        <b/>
        <sz val="10"/>
        <color theme="1"/>
        <rFont val="Calibri"/>
        <family val="2"/>
        <scheme val="minor"/>
      </rPr>
      <t>Ваниль</t>
    </r>
    <r>
      <rPr>
        <sz val="10"/>
        <color theme="1"/>
        <rFont val="Calibri"/>
        <family val="2"/>
        <scheme val="minor"/>
      </rPr>
      <t xml:space="preserve"> 100г</t>
    </r>
  </si>
  <si>
    <r>
      <t>Печенье Bite протеиновое овсяное с</t>
    </r>
    <r>
      <rPr>
        <b/>
        <sz val="10"/>
        <color theme="1"/>
        <rFont val="Calibri"/>
        <family val="2"/>
        <scheme val="minor"/>
      </rPr>
      <t xml:space="preserve"> ванилью</t>
    </r>
    <r>
      <rPr>
        <sz val="10"/>
        <color theme="1"/>
        <rFont val="Calibri"/>
        <family val="2"/>
        <scheme val="minor"/>
      </rPr>
      <t xml:space="preserve"> 69г</t>
    </r>
  </si>
  <si>
    <r>
      <t xml:space="preserve">Молоко </t>
    </r>
    <r>
      <rPr>
        <b/>
        <sz val="10"/>
        <color theme="1"/>
        <rFont val="Calibri"/>
        <family val="2"/>
        <scheme val="minor"/>
      </rPr>
      <t>овсяное</t>
    </r>
    <r>
      <rPr>
        <sz val="10"/>
        <color theme="1"/>
        <rFont val="Calibri"/>
        <family val="2"/>
        <scheme val="minor"/>
      </rPr>
      <t xml:space="preserve"> пастеризованное 1л </t>
    </r>
  </si>
  <si>
    <r>
      <t>Батончик протеиновый Bite Матрёшка «</t>
    </r>
    <r>
      <rPr>
        <b/>
        <sz val="10"/>
        <color theme="1"/>
        <rFont val="Calibri"/>
        <family val="2"/>
        <scheme val="minor"/>
      </rPr>
      <t>Вишнёвый пирог</t>
    </r>
    <r>
      <rPr>
        <sz val="10"/>
        <color theme="1"/>
        <rFont val="Calibri"/>
        <family val="2"/>
        <scheme val="minor"/>
      </rPr>
      <t>» 40г</t>
    </r>
  </si>
  <si>
    <r>
      <t>Батончик протеиновый Bite Матрёшка «</t>
    </r>
    <r>
      <rPr>
        <b/>
        <sz val="10"/>
        <color theme="1"/>
        <rFont val="Calibri"/>
        <family val="2"/>
        <scheme val="minor"/>
      </rPr>
      <t>Фундучное пралине</t>
    </r>
    <r>
      <rPr>
        <sz val="10"/>
        <color theme="1"/>
        <rFont val="Calibri"/>
        <family val="2"/>
        <scheme val="minor"/>
      </rPr>
      <t>» 40г</t>
    </r>
  </si>
  <si>
    <r>
      <t>Батончик протеиновый Bite "</t>
    </r>
    <r>
      <rPr>
        <b/>
        <sz val="10"/>
        <color theme="1"/>
        <rFont val="Calibri"/>
        <family val="2"/>
        <scheme val="minor"/>
      </rPr>
      <t>Арахис-солёная карамель</t>
    </r>
    <r>
      <rPr>
        <sz val="10"/>
        <color theme="1"/>
        <rFont val="Calibri"/>
        <family val="2"/>
        <scheme val="minor"/>
      </rPr>
      <t>" 50г</t>
    </r>
  </si>
  <si>
    <r>
      <t>Батончик протеиновый Bite "</t>
    </r>
    <r>
      <rPr>
        <b/>
        <sz val="10"/>
        <color theme="1"/>
        <rFont val="Calibri"/>
        <family val="2"/>
        <scheme val="minor"/>
      </rPr>
      <t>Капучино</t>
    </r>
    <r>
      <rPr>
        <sz val="10"/>
        <color theme="1"/>
        <rFont val="Calibri"/>
        <family val="2"/>
        <scheme val="minor"/>
      </rPr>
      <t>" 50г</t>
    </r>
  </si>
  <si>
    <r>
      <t>Батончик Crispy в тёмном шоколаде "</t>
    </r>
    <r>
      <rPr>
        <b/>
        <sz val="10"/>
        <color theme="1"/>
        <rFont val="Calibri"/>
        <family val="2"/>
        <scheme val="minor"/>
      </rPr>
      <t>Арахис-Соленая Карамель</t>
    </r>
    <r>
      <rPr>
        <sz val="10"/>
        <color theme="1"/>
        <rFont val="Calibri"/>
        <family val="2"/>
        <scheme val="minor"/>
      </rPr>
      <t>" 45г</t>
    </r>
  </si>
  <si>
    <r>
      <t xml:space="preserve">Хлебцы кукурузно-рисовые </t>
    </r>
    <r>
      <rPr>
        <u/>
        <sz val="10"/>
        <color theme="9" tint="-0.249977111117893"/>
        <rFont val="Calibri"/>
        <family val="2"/>
        <scheme val="minor"/>
      </rPr>
      <t>хрустящие</t>
    </r>
    <r>
      <rPr>
        <sz val="10"/>
        <color theme="9" tint="-0.249977111117893"/>
        <rFont val="Calibri"/>
        <family val="2"/>
        <scheme val="minor"/>
      </rPr>
      <t xml:space="preserve">, </t>
    </r>
    <r>
      <rPr>
        <b/>
        <sz val="10"/>
        <color theme="9" tint="-0.249977111117893"/>
        <rFont val="Calibri"/>
        <family val="2"/>
        <scheme val="minor"/>
      </rPr>
      <t>ржаные с кориандром</t>
    </r>
    <r>
      <rPr>
        <sz val="10"/>
        <color theme="9" tint="-0.249977111117893"/>
        <rFont val="Calibri"/>
        <family val="2"/>
        <scheme val="minor"/>
      </rPr>
      <t xml:space="preserve"> 100г</t>
    </r>
  </si>
  <si>
    <r>
      <t xml:space="preserve">Хлебцы кукурузно-рисовые </t>
    </r>
    <r>
      <rPr>
        <u/>
        <sz val="10"/>
        <color theme="9" tint="-0.249977111117893"/>
        <rFont val="Calibri"/>
        <family val="2"/>
        <scheme val="minor"/>
      </rPr>
      <t>хрустящие</t>
    </r>
    <r>
      <rPr>
        <sz val="10"/>
        <color theme="9" tint="-0.249977111117893"/>
        <rFont val="Calibri"/>
        <family val="2"/>
        <scheme val="minor"/>
      </rPr>
      <t xml:space="preserve">, </t>
    </r>
    <r>
      <rPr>
        <b/>
        <sz val="10"/>
        <color theme="9" tint="-0.249977111117893"/>
        <rFont val="Calibri"/>
        <family val="2"/>
        <scheme val="minor"/>
      </rPr>
      <t>сыр чеддер</t>
    </r>
    <r>
      <rPr>
        <sz val="10"/>
        <color theme="9" tint="-0.249977111117893"/>
        <rFont val="Calibri"/>
        <family val="2"/>
        <scheme val="minor"/>
      </rPr>
      <t xml:space="preserve"> 100г</t>
    </r>
  </si>
  <si>
    <r>
      <t xml:space="preserve">Батончик Bitey </t>
    </r>
    <r>
      <rPr>
        <u/>
        <sz val="10"/>
        <color theme="9" tint="-0.249977111117893"/>
        <rFont val="Calibri"/>
        <family val="2"/>
        <scheme val="minor"/>
      </rPr>
      <t>Квадры</t>
    </r>
    <r>
      <rPr>
        <sz val="10"/>
        <color theme="9" tint="-0.249977111117893"/>
        <rFont val="Calibri"/>
        <family val="2"/>
        <scheme val="minor"/>
      </rPr>
      <t xml:space="preserve"> </t>
    </r>
    <r>
      <rPr>
        <b/>
        <sz val="10"/>
        <color theme="9" tint="-0.249977111117893"/>
        <rFont val="Calibri"/>
        <family val="2"/>
        <scheme val="minor"/>
      </rPr>
      <t>Чёрная смородина</t>
    </r>
    <r>
      <rPr>
        <sz val="10"/>
        <color theme="9" tint="-0.249977111117893"/>
        <rFont val="Calibri"/>
        <family val="2"/>
        <scheme val="minor"/>
      </rPr>
      <t xml:space="preserve"> фруктово-овсяный 30г</t>
    </r>
  </si>
  <si>
    <r>
      <t>Батончик Bitey "</t>
    </r>
    <r>
      <rPr>
        <b/>
        <sz val="10"/>
        <color theme="9" tint="-0.249977111117893"/>
        <rFont val="Calibri"/>
        <family val="2"/>
        <scheme val="minor"/>
      </rPr>
      <t>Клубника</t>
    </r>
    <r>
      <rPr>
        <sz val="10"/>
        <color theme="9" tint="-0.249977111117893"/>
        <rFont val="Calibri"/>
        <family val="2"/>
        <scheme val="minor"/>
      </rPr>
      <t>" в шоколаде 35гр</t>
    </r>
  </si>
  <si>
    <r>
      <t xml:space="preserve">Вафли Bitey </t>
    </r>
    <r>
      <rPr>
        <b/>
        <sz val="10"/>
        <color theme="9" tint="-0.249977111117893"/>
        <rFont val="Calibri"/>
        <family val="2"/>
        <scheme val="minor"/>
      </rPr>
      <t>Груша-Брокколи</t>
    </r>
    <r>
      <rPr>
        <sz val="10"/>
        <color theme="9" tint="-0.249977111117893"/>
        <rFont val="Calibri"/>
        <family val="2"/>
        <scheme val="minor"/>
      </rPr>
      <t xml:space="preserve"> 35г</t>
    </r>
  </si>
  <si>
    <r>
      <t xml:space="preserve">Вафли Bitey </t>
    </r>
    <r>
      <rPr>
        <b/>
        <sz val="10"/>
        <color theme="9" tint="-0.249977111117893"/>
        <rFont val="Calibri"/>
        <family val="2"/>
        <scheme val="minor"/>
      </rPr>
      <t xml:space="preserve">Шоколад </t>
    </r>
    <r>
      <rPr>
        <sz val="10"/>
        <color theme="9" tint="-0.249977111117893"/>
        <rFont val="Calibri"/>
        <family val="2"/>
        <scheme val="minor"/>
      </rPr>
      <t>35г</t>
    </r>
  </si>
  <si>
    <r>
      <t xml:space="preserve">Мармелад Bitey "Чувисы" </t>
    </r>
    <r>
      <rPr>
        <b/>
        <sz val="10"/>
        <color theme="9" tint="-0.249977111117893"/>
        <rFont val="Calibri"/>
        <family val="2"/>
        <scheme val="minor"/>
      </rPr>
      <t>Малина</t>
    </r>
    <r>
      <rPr>
        <sz val="10"/>
        <color theme="9" tint="-0.249977111117893"/>
        <rFont val="Calibri"/>
        <family val="2"/>
        <scheme val="minor"/>
      </rPr>
      <t xml:space="preserve"> 20г</t>
    </r>
  </si>
  <si>
    <r>
      <t>Печенье Bitey "</t>
    </r>
    <r>
      <rPr>
        <b/>
        <sz val="10"/>
        <color theme="9" tint="-0.249977111117893"/>
        <rFont val="Calibri"/>
        <family val="2"/>
        <scheme val="minor"/>
      </rPr>
      <t>Сливочная малина</t>
    </r>
    <r>
      <rPr>
        <sz val="10"/>
        <color theme="9" tint="-0.249977111117893"/>
        <rFont val="Calibri"/>
        <family val="2"/>
        <scheme val="minor"/>
      </rPr>
      <t>" безглютеновое 125г</t>
    </r>
  </si>
  <si>
    <r>
      <t xml:space="preserve">Печенье Bitey </t>
    </r>
    <r>
      <rPr>
        <u/>
        <sz val="10"/>
        <color theme="9" tint="-0.249977111117893"/>
        <rFont val="Calibri"/>
        <family val="2"/>
        <scheme val="minor"/>
      </rPr>
      <t>с глазурью</t>
    </r>
    <r>
      <rPr>
        <sz val="10"/>
        <color theme="9" tint="-0.249977111117893"/>
        <rFont val="Calibri"/>
        <family val="2"/>
        <scheme val="minor"/>
      </rPr>
      <t xml:space="preserve"> "</t>
    </r>
    <r>
      <rPr>
        <b/>
        <sz val="10"/>
        <color theme="9" tint="-0.249977111117893"/>
        <rFont val="Calibri"/>
        <family val="2"/>
        <scheme val="minor"/>
      </rPr>
      <t>Банан</t>
    </r>
    <r>
      <rPr>
        <sz val="10"/>
        <color theme="9" tint="-0.249977111117893"/>
        <rFont val="Calibri"/>
        <family val="2"/>
        <scheme val="minor"/>
      </rPr>
      <t>" безглютеновое 125г</t>
    </r>
  </si>
  <si>
    <r>
      <t>Печенье Bitey овсяное «</t>
    </r>
    <r>
      <rPr>
        <b/>
        <sz val="10"/>
        <color theme="9" tint="-0.249977111117893"/>
        <rFont val="Calibri"/>
        <family val="2"/>
        <scheme val="minor"/>
      </rPr>
      <t>Шоколад</t>
    </r>
    <r>
      <rPr>
        <sz val="10"/>
        <color theme="9" tint="-0.249977111117893"/>
        <rFont val="Calibri"/>
        <family val="2"/>
        <scheme val="minor"/>
      </rPr>
      <t>» 60г</t>
    </r>
  </si>
  <si>
    <r>
      <t xml:space="preserve">Крекеры овсяные с </t>
    </r>
    <r>
      <rPr>
        <b/>
        <sz val="10"/>
        <color theme="9" tint="-0.249977111117893"/>
        <rFont val="Calibri"/>
        <family val="2"/>
        <scheme val="minor"/>
      </rPr>
      <t>морской солью</t>
    </r>
    <r>
      <rPr>
        <sz val="10"/>
        <color theme="9" tint="-0.249977111117893"/>
        <rFont val="Calibri"/>
        <family val="2"/>
        <scheme val="minor"/>
      </rPr>
      <t xml:space="preserve"> 200г</t>
    </r>
  </si>
  <si>
    <r>
      <t xml:space="preserve">Крекеры овсяные сладкие </t>
    </r>
    <r>
      <rPr>
        <b/>
        <sz val="10"/>
        <color theme="9" tint="-0.249977111117893"/>
        <rFont val="Calibri"/>
        <family val="2"/>
        <scheme val="minor"/>
      </rPr>
      <t>кокос и семена чиа</t>
    </r>
    <r>
      <rPr>
        <sz val="10"/>
        <color theme="9" tint="-0.249977111117893"/>
        <rFont val="Calibri"/>
        <family val="2"/>
        <scheme val="minor"/>
      </rPr>
      <t xml:space="preserve"> 125г</t>
    </r>
  </si>
  <si>
    <r>
      <t xml:space="preserve">Хлебцы рисовые с </t>
    </r>
    <r>
      <rPr>
        <b/>
        <sz val="10"/>
        <color theme="9" tint="-0.249977111117893"/>
        <rFont val="Calibri"/>
        <family val="2"/>
        <scheme val="minor"/>
      </rPr>
      <t>морковью и томатом</t>
    </r>
    <r>
      <rPr>
        <sz val="10"/>
        <color theme="9" tint="-0.249977111117893"/>
        <rFont val="Calibri"/>
        <family val="2"/>
        <scheme val="minor"/>
      </rPr>
      <t xml:space="preserve"> 150г</t>
    </r>
  </si>
  <si>
    <r>
      <t>Вафли протеиновые Bite "</t>
    </r>
    <r>
      <rPr>
        <b/>
        <sz val="10"/>
        <color theme="9" tint="-0.249977111117893"/>
        <rFont val="Calibri"/>
        <family val="2"/>
        <scheme val="minor"/>
      </rPr>
      <t>Гречишный шоколад</t>
    </r>
    <r>
      <rPr>
        <sz val="10"/>
        <color theme="9" tint="-0.249977111117893"/>
        <rFont val="Calibri"/>
        <family val="2"/>
        <scheme val="minor"/>
      </rPr>
      <t>" 35г</t>
    </r>
  </si>
  <si>
    <r>
      <t xml:space="preserve">Печенье Bite протеиновое овсяное с </t>
    </r>
    <r>
      <rPr>
        <b/>
        <sz val="10"/>
        <color theme="9" tint="-0.249977111117893"/>
        <rFont val="Calibri"/>
        <family val="2"/>
        <scheme val="minor"/>
      </rPr>
      <t>фундуком</t>
    </r>
    <r>
      <rPr>
        <sz val="10"/>
        <color theme="9" tint="-0.249977111117893"/>
        <rFont val="Calibri"/>
        <family val="2"/>
        <scheme val="minor"/>
      </rPr>
      <t xml:space="preserve"> 69г</t>
    </r>
  </si>
  <si>
    <r>
      <t xml:space="preserve">Молоко </t>
    </r>
    <r>
      <rPr>
        <b/>
        <sz val="10"/>
        <color theme="9" tint="-0.249977111117893"/>
        <rFont val="Calibri"/>
        <family val="2"/>
        <scheme val="minor"/>
      </rPr>
      <t>миндальное</t>
    </r>
    <r>
      <rPr>
        <sz val="10"/>
        <color theme="9" tint="-0.249977111117893"/>
        <rFont val="Calibri"/>
        <family val="2"/>
        <scheme val="minor"/>
      </rPr>
      <t xml:space="preserve"> пастеризованное 1л</t>
    </r>
  </si>
  <si>
    <r>
      <t xml:space="preserve">Молоко </t>
    </r>
    <r>
      <rPr>
        <b/>
        <sz val="10"/>
        <color theme="9" tint="-0.249977111117893"/>
        <rFont val="Calibri"/>
        <family val="2"/>
        <scheme val="minor"/>
      </rPr>
      <t>рисовое с кокосом</t>
    </r>
    <r>
      <rPr>
        <sz val="10"/>
        <color theme="9" tint="-0.249977111117893"/>
        <rFont val="Calibri"/>
        <family val="2"/>
        <scheme val="minor"/>
      </rPr>
      <t xml:space="preserve"> пастеризованное 1л</t>
    </r>
  </si>
  <si>
    <r>
      <t xml:space="preserve">Молоко </t>
    </r>
    <r>
      <rPr>
        <b/>
        <sz val="10"/>
        <color theme="9" tint="-0.249977111117893"/>
        <rFont val="Calibri"/>
        <family val="2"/>
        <scheme val="minor"/>
      </rPr>
      <t>шоколадное</t>
    </r>
    <r>
      <rPr>
        <sz val="10"/>
        <color theme="9" tint="-0.249977111117893"/>
        <rFont val="Calibri"/>
        <family val="2"/>
        <scheme val="minor"/>
      </rPr>
      <t xml:space="preserve"> овсяное пастеризованное 1л</t>
    </r>
  </si>
  <si>
    <r>
      <t>Батончик протеиновый Bite Матрёшка «</t>
    </r>
    <r>
      <rPr>
        <b/>
        <sz val="10"/>
        <color theme="9" tint="-0.249977111117893"/>
        <rFont val="Calibri"/>
        <family val="2"/>
        <scheme val="minor"/>
      </rPr>
      <t>Ванильное суфле</t>
    </r>
    <r>
      <rPr>
        <sz val="10"/>
        <color theme="9" tint="-0.249977111117893"/>
        <rFont val="Calibri"/>
        <family val="2"/>
        <scheme val="minor"/>
      </rPr>
      <t>» 40г</t>
    </r>
  </si>
  <si>
    <r>
      <t>Батончик протеиновый Bite "</t>
    </r>
    <r>
      <rPr>
        <b/>
        <sz val="10"/>
        <color theme="9" tint="-0.249977111117893"/>
        <rFont val="Calibri"/>
        <family val="2"/>
        <scheme val="minor"/>
      </rPr>
      <t>Банан-миндаль</t>
    </r>
    <r>
      <rPr>
        <sz val="10"/>
        <color theme="9" tint="-0.249977111117893"/>
        <rFont val="Calibri"/>
        <family val="2"/>
        <scheme val="minor"/>
      </rPr>
      <t>" 50г</t>
    </r>
  </si>
  <si>
    <r>
      <t>Батончик протеиновый Bite "</t>
    </r>
    <r>
      <rPr>
        <b/>
        <sz val="10"/>
        <color theme="9" tint="-0.249977111117893"/>
        <rFont val="Calibri"/>
        <family val="2"/>
        <scheme val="minor"/>
      </rPr>
      <t>Кокос</t>
    </r>
    <r>
      <rPr>
        <sz val="10"/>
        <color theme="9" tint="-0.249977111117893"/>
        <rFont val="Calibri"/>
        <family val="2"/>
        <scheme val="minor"/>
      </rPr>
      <t>" 50г</t>
    </r>
  </si>
  <si>
    <r>
      <t>Батончик протеиновый Bite "</t>
    </r>
    <r>
      <rPr>
        <b/>
        <sz val="10"/>
        <color theme="9" tint="-0.249977111117893"/>
        <rFont val="Calibri"/>
        <family val="2"/>
        <scheme val="minor"/>
      </rPr>
      <t>Лесной орех--Шоколад</t>
    </r>
    <r>
      <rPr>
        <sz val="10"/>
        <color theme="9" tint="-0.249977111117893"/>
        <rFont val="Calibri"/>
        <family val="2"/>
        <scheme val="minor"/>
      </rPr>
      <t>" 50г</t>
    </r>
  </si>
  <si>
    <r>
      <t xml:space="preserve">Суфле нежное "УмСладости" "Птичка умная" </t>
    </r>
    <r>
      <rPr>
        <b/>
        <sz val="10"/>
        <rFont val="Calibri"/>
        <family val="2"/>
        <scheme val="minor"/>
      </rPr>
      <t>клюква</t>
    </r>
    <r>
      <rPr>
        <sz val="10"/>
        <rFont val="Calibri"/>
        <family val="2"/>
        <scheme val="minor"/>
      </rPr>
      <t xml:space="preserve"> 215г</t>
    </r>
  </si>
  <si>
    <r>
      <t xml:space="preserve">Суфле нежное "УмСладости" "Птичка умная" </t>
    </r>
    <r>
      <rPr>
        <b/>
        <sz val="10"/>
        <rFont val="Calibri"/>
        <family val="2"/>
        <scheme val="minor"/>
      </rPr>
      <t>крем-брюле</t>
    </r>
    <r>
      <rPr>
        <sz val="10"/>
        <rFont val="Calibri"/>
        <family val="2"/>
        <scheme val="minor"/>
      </rPr>
      <t xml:space="preserve"> 215г</t>
    </r>
  </si>
  <si>
    <r>
      <t xml:space="preserve">Суфле нежное "УмСладости" "Птичка умная" </t>
    </r>
    <r>
      <rPr>
        <b/>
        <sz val="10"/>
        <rFont val="Calibri"/>
        <family val="2"/>
        <scheme val="minor"/>
      </rPr>
      <t>лимон</t>
    </r>
    <r>
      <rPr>
        <sz val="10"/>
        <rFont val="Calibri"/>
        <family val="2"/>
        <scheme val="minor"/>
      </rPr>
      <t xml:space="preserve"> 215г</t>
    </r>
  </si>
  <si>
    <r>
      <t>Макароны гречневые "</t>
    </r>
    <r>
      <rPr>
        <b/>
        <sz val="10"/>
        <rFont val="Calibri"/>
        <family val="2"/>
        <scheme val="minor"/>
      </rPr>
      <t>Рожки</t>
    </r>
    <r>
      <rPr>
        <sz val="10"/>
        <rFont val="Calibri"/>
        <family val="2"/>
        <scheme val="minor"/>
      </rPr>
      <t>" с амарантом 250г</t>
    </r>
  </si>
  <si>
    <r>
      <t>Макароны из амарантовой муки, кукурузные "</t>
    </r>
    <r>
      <rPr>
        <b/>
        <sz val="10"/>
        <rFont val="Calibri"/>
        <family val="2"/>
        <scheme val="minor"/>
      </rPr>
      <t>Вермишель</t>
    </r>
    <r>
      <rPr>
        <sz val="10"/>
        <rFont val="Calibri"/>
        <family val="2"/>
        <scheme val="minor"/>
      </rPr>
      <t>" б/глютена 250г</t>
    </r>
  </si>
  <si>
    <r>
      <t>Макароны из амарантовой муки, кукурузные "</t>
    </r>
    <r>
      <rPr>
        <b/>
        <sz val="10"/>
        <rFont val="Calibri"/>
        <family val="2"/>
        <scheme val="minor"/>
      </rPr>
      <t>Ракушки</t>
    </r>
    <r>
      <rPr>
        <sz val="10"/>
        <rFont val="Calibri"/>
        <family val="2"/>
        <scheme val="minor"/>
      </rPr>
      <t>" б/глютена 250г</t>
    </r>
  </si>
  <si>
    <r>
      <t>Макароны из амарантовой муки, кукурузные "</t>
    </r>
    <r>
      <rPr>
        <b/>
        <sz val="10"/>
        <rFont val="Calibri"/>
        <family val="2"/>
        <scheme val="minor"/>
      </rPr>
      <t>Рожки</t>
    </r>
    <r>
      <rPr>
        <sz val="10"/>
        <rFont val="Calibri"/>
        <family val="2"/>
        <scheme val="minor"/>
      </rPr>
      <t>" б/глютена 250г</t>
    </r>
  </si>
  <si>
    <r>
      <t>Макароны из амарантовой муки, кукурузные "</t>
    </r>
    <r>
      <rPr>
        <b/>
        <sz val="10"/>
        <rFont val="Calibri"/>
        <family val="2"/>
        <scheme val="minor"/>
      </rPr>
      <t>Спиральки</t>
    </r>
    <r>
      <rPr>
        <sz val="10"/>
        <rFont val="Calibri"/>
        <family val="2"/>
        <scheme val="minor"/>
      </rPr>
      <t>" б/глютена 250г</t>
    </r>
  </si>
  <si>
    <r>
      <t>Зефир "УмСладости" глазированный на стевии "</t>
    </r>
    <r>
      <rPr>
        <b/>
        <sz val="10"/>
        <rFont val="Calibri"/>
        <family val="2"/>
        <scheme val="minor"/>
      </rPr>
      <t>Фисташка</t>
    </r>
    <r>
      <rPr>
        <sz val="10"/>
        <rFont val="Calibri"/>
        <family val="2"/>
        <scheme val="minor"/>
      </rPr>
      <t>" 180г</t>
    </r>
  </si>
  <si>
    <r>
      <t>Зефир "УмСладости" глазированный на стевии "</t>
    </r>
    <r>
      <rPr>
        <b/>
        <sz val="10"/>
        <rFont val="Calibri"/>
        <family val="2"/>
        <scheme val="minor"/>
      </rPr>
      <t>Фисташка</t>
    </r>
    <r>
      <rPr>
        <sz val="10"/>
        <rFont val="Calibri"/>
        <family val="2"/>
        <scheme val="minor"/>
      </rPr>
      <t>" 60г</t>
    </r>
  </si>
  <si>
    <r>
      <t>Зефир "Умсладости" на стевии "</t>
    </r>
    <r>
      <rPr>
        <b/>
        <sz val="10"/>
        <rFont val="Calibri"/>
        <family val="2"/>
        <scheme val="minor"/>
      </rPr>
      <t>Зеленое яблоко</t>
    </r>
    <r>
      <rPr>
        <sz val="10"/>
        <rFont val="Calibri"/>
        <family val="2"/>
        <scheme val="minor"/>
      </rPr>
      <t>" 150г</t>
    </r>
  </si>
  <si>
    <r>
      <t>Зефир "Умсладости" на стевии "</t>
    </r>
    <r>
      <rPr>
        <b/>
        <sz val="10"/>
        <rFont val="Calibri"/>
        <family val="2"/>
        <scheme val="minor"/>
      </rPr>
      <t>Зеленое яблоко</t>
    </r>
    <r>
      <rPr>
        <sz val="10"/>
        <rFont val="Calibri"/>
        <family val="2"/>
        <scheme val="minor"/>
      </rPr>
      <t>" 50г</t>
    </r>
  </si>
  <si>
    <r>
      <t>Зефир "УмСладости" на стевии "</t>
    </r>
    <r>
      <rPr>
        <b/>
        <sz val="10"/>
        <rFont val="Calibri"/>
        <family val="2"/>
        <scheme val="minor"/>
      </rPr>
      <t>Клубника со сливками</t>
    </r>
    <r>
      <rPr>
        <sz val="10"/>
        <rFont val="Calibri"/>
        <family val="2"/>
        <scheme val="minor"/>
      </rPr>
      <t>" 150г</t>
    </r>
  </si>
  <si>
    <r>
      <t>Зефир "УмСладости" на стевии "</t>
    </r>
    <r>
      <rPr>
        <b/>
        <sz val="10"/>
        <rFont val="Calibri"/>
        <family val="2"/>
        <scheme val="minor"/>
      </rPr>
      <t>Клубника со сливками</t>
    </r>
    <r>
      <rPr>
        <sz val="10"/>
        <rFont val="Calibri"/>
        <family val="2"/>
        <scheme val="minor"/>
      </rPr>
      <t>" 50г</t>
    </r>
  </si>
  <si>
    <r>
      <t>Зефир "УмСладости" на стевии "</t>
    </r>
    <r>
      <rPr>
        <b/>
        <sz val="10"/>
        <rFont val="Calibri"/>
        <family val="2"/>
        <scheme val="minor"/>
      </rPr>
      <t>Крём-брюле</t>
    </r>
    <r>
      <rPr>
        <sz val="10"/>
        <rFont val="Calibri"/>
        <family val="2"/>
        <scheme val="minor"/>
      </rPr>
      <t>" 150г</t>
    </r>
  </si>
  <si>
    <r>
      <t>Зефир "УмСладости" на стевии "</t>
    </r>
    <r>
      <rPr>
        <b/>
        <sz val="10"/>
        <rFont val="Calibri"/>
        <family val="2"/>
        <scheme val="minor"/>
      </rPr>
      <t>Фисташка</t>
    </r>
    <r>
      <rPr>
        <sz val="10"/>
        <rFont val="Calibri"/>
        <family val="2"/>
        <scheme val="minor"/>
      </rPr>
      <t>" 150г</t>
    </r>
  </si>
  <si>
    <r>
      <t>Зефир "УмСладости" на стевии "</t>
    </r>
    <r>
      <rPr>
        <b/>
        <sz val="10"/>
        <rFont val="Calibri"/>
        <family val="2"/>
        <scheme val="minor"/>
      </rPr>
      <t>Фисташка</t>
    </r>
    <r>
      <rPr>
        <sz val="10"/>
        <rFont val="Calibri"/>
        <family val="2"/>
        <scheme val="minor"/>
      </rPr>
      <t>" 50г</t>
    </r>
  </si>
  <si>
    <r>
      <t xml:space="preserve">Конфеты "УмСладости" желейные </t>
    </r>
    <r>
      <rPr>
        <b/>
        <sz val="10"/>
        <rFont val="Calibri"/>
        <family val="2"/>
        <scheme val="minor"/>
      </rPr>
      <t>Ананас-зеленая груша</t>
    </r>
    <r>
      <rPr>
        <sz val="10"/>
        <rFont val="Calibri"/>
        <family val="2"/>
        <scheme val="minor"/>
      </rPr>
      <t xml:space="preserve"> 90г</t>
    </r>
  </si>
  <si>
    <r>
      <t xml:space="preserve">Конфеты "УмСладости" желейные </t>
    </r>
    <r>
      <rPr>
        <b/>
        <sz val="10"/>
        <rFont val="Calibri"/>
        <family val="2"/>
        <scheme val="minor"/>
      </rPr>
      <t>Вишня</t>
    </r>
    <r>
      <rPr>
        <sz val="10"/>
        <rFont val="Calibri"/>
        <family val="2"/>
        <scheme val="minor"/>
      </rPr>
      <t xml:space="preserve"> 90г</t>
    </r>
  </si>
  <si>
    <r>
      <t xml:space="preserve">Конфеты "УмСладости" желейные </t>
    </r>
    <r>
      <rPr>
        <b/>
        <sz val="10"/>
        <rFont val="Calibri"/>
        <family val="2"/>
        <scheme val="minor"/>
      </rPr>
      <t>Кофе-пломбир</t>
    </r>
    <r>
      <rPr>
        <sz val="10"/>
        <rFont val="Calibri"/>
        <family val="2"/>
        <scheme val="minor"/>
      </rPr>
      <t xml:space="preserve"> в кондитерской глазури 105г</t>
    </r>
  </si>
  <si>
    <r>
      <t xml:space="preserve">Конфеты "УмСладости" желейные </t>
    </r>
    <r>
      <rPr>
        <b/>
        <sz val="10"/>
        <rFont val="Calibri"/>
        <family val="2"/>
        <scheme val="minor"/>
      </rPr>
      <t>Лимон</t>
    </r>
    <r>
      <rPr>
        <sz val="10"/>
        <rFont val="Calibri"/>
        <family val="2"/>
        <scheme val="minor"/>
      </rPr>
      <t xml:space="preserve"> 90г</t>
    </r>
  </si>
  <si>
    <r>
      <t xml:space="preserve">Конфеты "УмСладости" желейные </t>
    </r>
    <r>
      <rPr>
        <b/>
        <sz val="10"/>
        <rFont val="Calibri"/>
        <family val="2"/>
        <scheme val="minor"/>
      </rPr>
      <t>Малина</t>
    </r>
    <r>
      <rPr>
        <sz val="10"/>
        <rFont val="Calibri"/>
        <family val="2"/>
        <scheme val="minor"/>
      </rPr>
      <t xml:space="preserve"> 90г</t>
    </r>
  </si>
  <si>
    <r>
      <t xml:space="preserve">Конфеты "УмСладости" желейные </t>
    </r>
    <r>
      <rPr>
        <b/>
        <sz val="10"/>
        <rFont val="Calibri"/>
        <family val="2"/>
        <scheme val="minor"/>
      </rPr>
      <t>Манго-маракуйя</t>
    </r>
    <r>
      <rPr>
        <sz val="10"/>
        <rFont val="Calibri"/>
        <family val="2"/>
        <scheme val="minor"/>
      </rPr>
      <t xml:space="preserve"> 90г</t>
    </r>
  </si>
  <si>
    <r>
      <t xml:space="preserve">Конфеты "УмСладости" желейные </t>
    </r>
    <r>
      <rPr>
        <b/>
        <sz val="10"/>
        <rFont val="Calibri"/>
        <family val="2"/>
        <scheme val="minor"/>
      </rPr>
      <t>Манго-маракуйя</t>
    </r>
    <r>
      <rPr>
        <sz val="10"/>
        <rFont val="Calibri"/>
        <family val="2"/>
        <scheme val="minor"/>
      </rPr>
      <t xml:space="preserve"> в кондитреской глазури 105г</t>
    </r>
  </si>
  <si>
    <r>
      <t xml:space="preserve">Конфеты "УмСладости" желейные </t>
    </r>
    <r>
      <rPr>
        <b/>
        <sz val="10"/>
        <rFont val="Calibri"/>
        <family val="2"/>
        <scheme val="minor"/>
      </rPr>
      <t>Пина колада</t>
    </r>
    <r>
      <rPr>
        <sz val="10"/>
        <rFont val="Calibri"/>
        <family val="2"/>
        <scheme val="minor"/>
      </rPr>
      <t xml:space="preserve"> 90г</t>
    </r>
  </si>
  <si>
    <r>
      <t xml:space="preserve">Конфеты "УмСладости" желейные </t>
    </r>
    <r>
      <rPr>
        <b/>
        <sz val="10"/>
        <rFont val="Calibri"/>
        <family val="2"/>
        <scheme val="minor"/>
      </rPr>
      <t>Чёрная смородина</t>
    </r>
    <r>
      <rPr>
        <sz val="10"/>
        <rFont val="Calibri"/>
        <family val="2"/>
        <scheme val="minor"/>
      </rPr>
      <t xml:space="preserve"> 90г</t>
    </r>
  </si>
  <si>
    <r>
      <t xml:space="preserve">Батончик "УмСладости" с </t>
    </r>
    <r>
      <rPr>
        <b/>
        <sz val="10"/>
        <color theme="9" tint="-0.249977111117893"/>
        <rFont val="Calibri"/>
        <family val="2"/>
        <scheme val="minor"/>
      </rPr>
      <t>кокосовой начинкой</t>
    </r>
    <r>
      <rPr>
        <sz val="10"/>
        <color theme="9" tint="-0.249977111117893"/>
        <rFont val="Calibri"/>
        <family val="2"/>
        <scheme val="minor"/>
      </rPr>
      <t xml:space="preserve"> 20г</t>
    </r>
  </si>
  <si>
    <r>
      <t xml:space="preserve">Батончик "УмСладости" с </t>
    </r>
    <r>
      <rPr>
        <b/>
        <sz val="10"/>
        <color theme="9" tint="-0.249977111117893"/>
        <rFont val="Calibri"/>
        <family val="2"/>
        <scheme val="minor"/>
      </rPr>
      <t>лесной ягодой</t>
    </r>
    <r>
      <rPr>
        <sz val="10"/>
        <color theme="9" tint="-0.249977111117893"/>
        <rFont val="Calibri"/>
        <family val="2"/>
        <scheme val="minor"/>
      </rPr>
      <t xml:space="preserve"> 20г</t>
    </r>
  </si>
  <si>
    <r>
      <t xml:space="preserve">Батончик "УмСладости" с </t>
    </r>
    <r>
      <rPr>
        <b/>
        <sz val="10"/>
        <color theme="9" tint="-0.249977111117893"/>
        <rFont val="Calibri"/>
        <family val="2"/>
        <scheme val="minor"/>
      </rPr>
      <t>сливочной начинкой</t>
    </r>
    <r>
      <rPr>
        <sz val="10"/>
        <color theme="9" tint="-0.249977111117893"/>
        <rFont val="Calibri"/>
        <family val="2"/>
        <scheme val="minor"/>
      </rPr>
      <t xml:space="preserve"> 20г</t>
    </r>
  </si>
  <si>
    <r>
      <t xml:space="preserve">Батончик "УмСладости" с </t>
    </r>
    <r>
      <rPr>
        <b/>
        <sz val="10"/>
        <color theme="9" tint="-0.249977111117893"/>
        <rFont val="Calibri"/>
        <family val="2"/>
        <scheme val="minor"/>
      </rPr>
      <t>сливочной начинкой в белой глазури</t>
    </r>
    <r>
      <rPr>
        <sz val="10"/>
        <color theme="9" tint="-0.249977111117893"/>
        <rFont val="Calibri"/>
        <family val="2"/>
        <scheme val="minor"/>
      </rPr>
      <t xml:space="preserve"> 20г</t>
    </r>
  </si>
  <si>
    <r>
      <t xml:space="preserve">Батончик "УмСладости" с </t>
    </r>
    <r>
      <rPr>
        <b/>
        <sz val="10"/>
        <color theme="9" tint="-0.249977111117893"/>
        <rFont val="Calibri"/>
        <family val="2"/>
        <scheme val="minor"/>
      </rPr>
      <t>сливочной начинкой в молочно-шок глазури</t>
    </r>
    <r>
      <rPr>
        <sz val="10"/>
        <color theme="9" tint="-0.249977111117893"/>
        <rFont val="Calibri"/>
        <family val="2"/>
        <scheme val="minor"/>
      </rPr>
      <t xml:space="preserve"> 20г</t>
    </r>
  </si>
  <si>
    <r>
      <t xml:space="preserve">Батончик "УмСладости" с </t>
    </r>
    <r>
      <rPr>
        <b/>
        <sz val="10"/>
        <color theme="9" tint="-0.249977111117893"/>
        <rFont val="Calibri"/>
        <family val="2"/>
        <scheme val="minor"/>
      </rPr>
      <t>кокосовой начинкой</t>
    </r>
    <r>
      <rPr>
        <sz val="10"/>
        <color theme="9" tint="-0.249977111117893"/>
        <rFont val="Calibri"/>
        <family val="2"/>
        <scheme val="minor"/>
      </rPr>
      <t xml:space="preserve"> 110г</t>
    </r>
  </si>
  <si>
    <r>
      <t xml:space="preserve">Батончик "УмСладости" с </t>
    </r>
    <r>
      <rPr>
        <b/>
        <sz val="10"/>
        <color theme="9" tint="-0.249977111117893"/>
        <rFont val="Calibri"/>
        <family val="2"/>
        <scheme val="minor"/>
      </rPr>
      <t>лесной ягодой</t>
    </r>
    <r>
      <rPr>
        <sz val="10"/>
        <color theme="9" tint="-0.249977111117893"/>
        <rFont val="Calibri"/>
        <family val="2"/>
        <scheme val="minor"/>
      </rPr>
      <t xml:space="preserve"> 110г</t>
    </r>
  </si>
  <si>
    <r>
      <t>Батончики "УмСладости" амарант с какао</t>
    </r>
    <r>
      <rPr>
        <b/>
        <sz val="10"/>
        <color theme="9" tint="-0.249977111117893"/>
        <rFont val="Calibri"/>
        <family val="2"/>
        <scheme val="minor"/>
      </rPr>
      <t xml:space="preserve"> </t>
    </r>
    <r>
      <rPr>
        <sz val="10"/>
        <color theme="9" tint="-0.249977111117893"/>
        <rFont val="Calibri"/>
        <family val="2"/>
        <scheme val="minor"/>
      </rPr>
      <t>и</t>
    </r>
    <r>
      <rPr>
        <b/>
        <sz val="10"/>
        <color theme="9" tint="-0.249977111117893"/>
        <rFont val="Calibri"/>
        <family val="2"/>
        <scheme val="minor"/>
      </rPr>
      <t xml:space="preserve"> сливочной </t>
    </r>
    <r>
      <rPr>
        <sz val="10"/>
        <color theme="9" tint="-0.249977111117893"/>
        <rFont val="Calibri"/>
        <family val="2"/>
        <scheme val="minor"/>
      </rPr>
      <t>начинкой 90г</t>
    </r>
  </si>
  <si>
    <r>
      <t xml:space="preserve">Батончики "УмСладости" амарант с какао и </t>
    </r>
    <r>
      <rPr>
        <b/>
        <sz val="10"/>
        <color theme="9" tint="-0.249977111117893"/>
        <rFont val="Calibri"/>
        <family val="2"/>
        <scheme val="minor"/>
      </rPr>
      <t>шоколадной</t>
    </r>
    <r>
      <rPr>
        <sz val="10"/>
        <color theme="9" tint="-0.249977111117893"/>
        <rFont val="Calibri"/>
        <family val="2"/>
        <scheme val="minor"/>
      </rPr>
      <t xml:space="preserve"> начинкой 90г</t>
    </r>
  </si>
  <si>
    <r>
      <t xml:space="preserve">Мармелад "УмСладости" «Мишкины шишки» со вкусом </t>
    </r>
    <r>
      <rPr>
        <b/>
        <sz val="10"/>
        <color theme="9" tint="-0.249977111117893"/>
        <rFont val="Calibri"/>
        <family val="2"/>
        <scheme val="minor"/>
      </rPr>
      <t>колы</t>
    </r>
    <r>
      <rPr>
        <sz val="10"/>
        <color theme="9" tint="-0.249977111117893"/>
        <rFont val="Calibri"/>
        <family val="2"/>
        <scheme val="minor"/>
      </rPr>
      <t xml:space="preserve"> 150г</t>
    </r>
  </si>
  <si>
    <r>
      <t xml:space="preserve">Мармелад "УмСладости" «Мишкины шишки» со вкусом </t>
    </r>
    <r>
      <rPr>
        <b/>
        <sz val="10"/>
        <color theme="9" tint="-0.249977111117893"/>
        <rFont val="Calibri"/>
        <family val="2"/>
        <scheme val="minor"/>
      </rPr>
      <t>малины</t>
    </r>
    <r>
      <rPr>
        <sz val="10"/>
        <color theme="9" tint="-0.249977111117893"/>
        <rFont val="Calibri"/>
        <family val="2"/>
        <scheme val="minor"/>
      </rPr>
      <t xml:space="preserve"> 150г</t>
    </r>
  </si>
  <si>
    <r>
      <t xml:space="preserve">Мармелад "УмСладости" «Мишкины шишки» со вкусом </t>
    </r>
    <r>
      <rPr>
        <b/>
        <sz val="10"/>
        <color theme="9" tint="-0.249977111117893"/>
        <rFont val="Calibri"/>
        <family val="2"/>
        <scheme val="minor"/>
      </rPr>
      <t>тутти-фрутти</t>
    </r>
    <r>
      <rPr>
        <sz val="10"/>
        <color theme="9" tint="-0.249977111117893"/>
        <rFont val="Calibri"/>
        <family val="2"/>
        <scheme val="minor"/>
      </rPr>
      <t xml:space="preserve"> 150г</t>
    </r>
  </si>
  <si>
    <r>
      <t xml:space="preserve">Мармелад "УмСладости" диетический желейный </t>
    </r>
    <r>
      <rPr>
        <b/>
        <sz val="10"/>
        <color theme="9" tint="-0.249977111117893"/>
        <rFont val="Calibri"/>
        <family val="2"/>
        <scheme val="minor"/>
      </rPr>
      <t>в шок. глазури</t>
    </r>
    <r>
      <rPr>
        <sz val="10"/>
        <color theme="9" tint="-0.249977111117893"/>
        <rFont val="Calibri"/>
        <family val="2"/>
        <scheme val="minor"/>
      </rPr>
      <t xml:space="preserve"> 220г</t>
    </r>
  </si>
  <si>
    <r>
      <t xml:space="preserve">Мармелад "УмСладости" формовой на стевии </t>
    </r>
    <r>
      <rPr>
        <b/>
        <sz val="10"/>
        <color theme="9" tint="-0.249977111117893"/>
        <rFont val="Calibri"/>
        <family val="2"/>
        <scheme val="minor"/>
      </rPr>
      <t>со вкусом вишни</t>
    </r>
    <r>
      <rPr>
        <sz val="10"/>
        <color theme="9" tint="-0.249977111117893"/>
        <rFont val="Calibri"/>
        <family val="2"/>
        <scheme val="minor"/>
      </rPr>
      <t xml:space="preserve"> </t>
    </r>
    <r>
      <rPr>
        <u/>
        <sz val="10"/>
        <color theme="9" tint="-0.249977111117893"/>
        <rFont val="Calibri"/>
        <family val="2"/>
        <scheme val="minor"/>
      </rPr>
      <t>200г</t>
    </r>
  </si>
  <si>
    <r>
      <t xml:space="preserve">Мармелад "УмСладости" формовой на стевии </t>
    </r>
    <r>
      <rPr>
        <b/>
        <sz val="10"/>
        <color theme="9" tint="-0.249977111117893"/>
        <rFont val="Calibri"/>
        <family val="2"/>
        <scheme val="minor"/>
      </rPr>
      <t>со вкусом вишни</t>
    </r>
    <r>
      <rPr>
        <sz val="10"/>
        <color theme="9" tint="-0.249977111117893"/>
        <rFont val="Calibri"/>
        <family val="2"/>
        <scheme val="minor"/>
      </rPr>
      <t xml:space="preserve"> </t>
    </r>
    <r>
      <rPr>
        <u/>
        <sz val="10"/>
        <color theme="9" tint="-0.249977111117893"/>
        <rFont val="Calibri"/>
        <family val="2"/>
        <scheme val="minor"/>
      </rPr>
      <t>80г</t>
    </r>
  </si>
  <si>
    <r>
      <t xml:space="preserve">Мармелад "УмСладости" формовой на стевии </t>
    </r>
    <r>
      <rPr>
        <b/>
        <sz val="10"/>
        <color theme="9" tint="-0.249977111117893"/>
        <rFont val="Calibri"/>
        <family val="2"/>
        <scheme val="minor"/>
      </rPr>
      <t>со вкусом дыни</t>
    </r>
    <r>
      <rPr>
        <sz val="10"/>
        <color theme="9" tint="-0.249977111117893"/>
        <rFont val="Calibri"/>
        <family val="2"/>
        <scheme val="minor"/>
      </rPr>
      <t xml:space="preserve"> 200г</t>
    </r>
  </si>
  <si>
    <r>
      <t xml:space="preserve">Мармелад "УмСладости" формовой на стевии </t>
    </r>
    <r>
      <rPr>
        <b/>
        <sz val="10"/>
        <color theme="9" tint="-0.249977111117893"/>
        <rFont val="Calibri"/>
        <family val="2"/>
        <scheme val="minor"/>
      </rPr>
      <t>со вкусом лимона</t>
    </r>
    <r>
      <rPr>
        <sz val="10"/>
        <color theme="9" tint="-0.249977111117893"/>
        <rFont val="Calibri"/>
        <family val="2"/>
        <scheme val="minor"/>
      </rPr>
      <t xml:space="preserve"> 200г</t>
    </r>
  </si>
  <si>
    <r>
      <t xml:space="preserve">Хлебцы амарантовые кукурузно-рисовые </t>
    </r>
    <r>
      <rPr>
        <b/>
        <sz val="10"/>
        <color theme="9" tint="-0.249977111117893"/>
        <rFont val="Calibri"/>
        <family val="2"/>
        <scheme val="minor"/>
      </rPr>
      <t xml:space="preserve">с гречей </t>
    </r>
    <r>
      <rPr>
        <sz val="10"/>
        <color theme="9" tint="-0.249977111117893"/>
        <rFont val="Calibri"/>
        <family val="2"/>
        <scheme val="minor"/>
      </rPr>
      <t>195г</t>
    </r>
  </si>
  <si>
    <r>
      <t xml:space="preserve">Хлебцы амарантовые кукурузно-рисовые </t>
    </r>
    <r>
      <rPr>
        <b/>
        <sz val="10"/>
        <color theme="9" tint="-0.249977111117893"/>
        <rFont val="Calibri"/>
        <family val="2"/>
        <scheme val="minor"/>
      </rPr>
      <t>с ламинарией</t>
    </r>
    <r>
      <rPr>
        <sz val="10"/>
        <color theme="9" tint="-0.249977111117893"/>
        <rFont val="Calibri"/>
        <family val="2"/>
        <scheme val="minor"/>
      </rPr>
      <t xml:space="preserve"> 195г</t>
    </r>
  </si>
  <si>
    <r>
      <t xml:space="preserve">Хлебцы амарантовые кукурузно-рисовые </t>
    </r>
    <r>
      <rPr>
        <b/>
        <sz val="10"/>
        <color theme="9" tint="-0.249977111117893"/>
        <rFont val="Calibri"/>
        <family val="2"/>
        <scheme val="minor"/>
      </rPr>
      <t>с луком</t>
    </r>
    <r>
      <rPr>
        <sz val="10"/>
        <color theme="9" tint="-0.249977111117893"/>
        <rFont val="Calibri"/>
        <family val="2"/>
        <scheme val="minor"/>
      </rPr>
      <t xml:space="preserve"> 195г</t>
    </r>
  </si>
  <si>
    <r>
      <t xml:space="preserve">Хлебцы амарантовые кукурузно-рисовые </t>
    </r>
    <r>
      <rPr>
        <b/>
        <sz val="10"/>
        <color theme="9" tint="-0.249977111117893"/>
        <rFont val="Calibri"/>
        <family val="2"/>
        <scheme val="minor"/>
      </rPr>
      <t>с топинамбуром</t>
    </r>
    <r>
      <rPr>
        <sz val="10"/>
        <color theme="9" tint="-0.249977111117893"/>
        <rFont val="Calibri"/>
        <family val="2"/>
        <scheme val="minor"/>
      </rPr>
      <t xml:space="preserve"> 195г</t>
    </r>
  </si>
  <si>
    <r>
      <t>Хлебцы амарантовые кукурузно-рисовые</t>
    </r>
    <r>
      <rPr>
        <b/>
        <sz val="10"/>
        <color theme="9" tint="-0.249977111117893"/>
        <rFont val="Calibri"/>
        <family val="2"/>
        <scheme val="minor"/>
      </rPr>
      <t xml:space="preserve"> с чесноком </t>
    </r>
    <r>
      <rPr>
        <sz val="10"/>
        <color theme="9" tint="-0.249977111117893"/>
        <rFont val="Calibri"/>
        <family val="2"/>
        <scheme val="minor"/>
      </rPr>
      <t>195г</t>
    </r>
  </si>
  <si>
    <r>
      <t xml:space="preserve">Хлебцы амарантовые </t>
    </r>
    <r>
      <rPr>
        <b/>
        <sz val="10"/>
        <color theme="9" tint="-0.249977111117893"/>
        <rFont val="Calibri"/>
        <family val="2"/>
        <scheme val="minor"/>
      </rPr>
      <t>c гречей</t>
    </r>
    <r>
      <rPr>
        <sz val="10"/>
        <color theme="9" tint="-0.249977111117893"/>
        <rFont val="Calibri"/>
        <family val="2"/>
        <scheme val="minor"/>
      </rPr>
      <t xml:space="preserve"> 100г</t>
    </r>
  </si>
  <si>
    <r>
      <t xml:space="preserve">Хлебцы амарантовые </t>
    </r>
    <r>
      <rPr>
        <b/>
        <sz val="10"/>
        <color theme="9" tint="-0.249977111117893"/>
        <rFont val="Calibri"/>
        <family val="2"/>
        <scheme val="minor"/>
      </rPr>
      <t>c ламинарией</t>
    </r>
    <r>
      <rPr>
        <sz val="10"/>
        <color theme="9" tint="-0.249977111117893"/>
        <rFont val="Calibri"/>
        <family val="2"/>
        <scheme val="minor"/>
      </rPr>
      <t xml:space="preserve"> 100г</t>
    </r>
  </si>
  <si>
    <r>
      <t xml:space="preserve">Хлебцы амарантовые </t>
    </r>
    <r>
      <rPr>
        <b/>
        <sz val="10"/>
        <color theme="9" tint="-0.249977111117893"/>
        <rFont val="Calibri"/>
        <family val="2"/>
        <scheme val="minor"/>
      </rPr>
      <t>c луком</t>
    </r>
    <r>
      <rPr>
        <sz val="10"/>
        <color theme="9" tint="-0.249977111117893"/>
        <rFont val="Calibri"/>
        <family val="2"/>
        <scheme val="minor"/>
      </rPr>
      <t xml:space="preserve"> 100г</t>
    </r>
  </si>
  <si>
    <r>
      <t xml:space="preserve">Хлебцы амарантовые </t>
    </r>
    <r>
      <rPr>
        <b/>
        <sz val="10"/>
        <color theme="9" tint="-0.249977111117893"/>
        <rFont val="Calibri"/>
        <family val="2"/>
        <scheme val="minor"/>
      </rPr>
      <t>c чесноком</t>
    </r>
    <r>
      <rPr>
        <sz val="10"/>
        <color theme="9" tint="-0.249977111117893"/>
        <rFont val="Calibri"/>
        <family val="2"/>
        <scheme val="minor"/>
      </rPr>
      <t xml:space="preserve"> 100г</t>
    </r>
  </si>
  <si>
    <r>
      <t xml:space="preserve">Хлебцы амарантовые </t>
    </r>
    <r>
      <rPr>
        <b/>
        <sz val="10"/>
        <color theme="9" tint="-0.249977111117893"/>
        <rFont val="Calibri"/>
        <family val="2"/>
        <scheme val="minor"/>
      </rPr>
      <t>с топинамбуром</t>
    </r>
    <r>
      <rPr>
        <sz val="10"/>
        <color theme="9" tint="-0.249977111117893"/>
        <rFont val="Calibri"/>
        <family val="2"/>
        <scheme val="minor"/>
      </rPr>
      <t xml:space="preserve"> 100г</t>
    </r>
  </si>
  <si>
    <t>квант 20шт! СКИДКА 10%</t>
  </si>
  <si>
    <t>до: 17.06.26 | 20% ОСГ</t>
  </si>
  <si>
    <t>до: 01.07.26 | 26% ОСГ</t>
  </si>
  <si>
    <t>до: 14.08.26 | 35% ОСГ</t>
  </si>
  <si>
    <t>до: 03.08.26 | 35% ОСГ</t>
  </si>
  <si>
    <t>до: 05.07.26 | 24% ОСГ</t>
  </si>
  <si>
    <t>до: 24.06.26 | 30% ОСГ</t>
  </si>
  <si>
    <t>до: 11.06.26 | 23% ОСГ</t>
  </si>
  <si>
    <t>до: 01.06.26 | 18% ОСГ</t>
  </si>
  <si>
    <t>до: 16.06.26 | 26% ОСГ</t>
  </si>
  <si>
    <t>до: 19.06.26 | 27% ОСГ</t>
  </si>
  <si>
    <t>до: 22.06.26 | 29% ОСГ</t>
  </si>
  <si>
    <t>до: 31.10.26 | 50% ОСГ</t>
  </si>
  <si>
    <t>до: 22.09.26 | 40% ОСГ</t>
  </si>
  <si>
    <t>до: 30.08.26 | 33% ОСГ</t>
  </si>
  <si>
    <t>до: 29.05.26 | 8% ОСГ</t>
  </si>
  <si>
    <t>до: 13.01.27 | 35% ОСГ</t>
  </si>
  <si>
    <t>до: 18.06.26 | 13% ОСГ</t>
  </si>
  <si>
    <t>до: 04.08.26 | 26% ОСГ</t>
  </si>
  <si>
    <t>до: 26.06.26 | 16% ОСГ</t>
  </si>
  <si>
    <t>до: 27.06.26 | 16% ОСГ</t>
  </si>
  <si>
    <t>до: 17.06.26 | 13% ОСГ</t>
  </si>
  <si>
    <t>до: 07.07.26 | 15% ОСГ</t>
  </si>
  <si>
    <t>до: 01.07.26 | 8% ОСГ</t>
  </si>
  <si>
    <t>до: 12.05.26 | 3% ОСГ</t>
  </si>
  <si>
    <t>до: 31.07.26 | 8% ОСГ</t>
  </si>
  <si>
    <t>до: 26.07.26 | 48% ОСГ</t>
  </si>
  <si>
    <t>до: 02.08.26 | 52% ОСГ</t>
  </si>
  <si>
    <r>
      <t xml:space="preserve">Джем </t>
    </r>
    <r>
      <rPr>
        <b/>
        <sz val="10"/>
        <rFont val="Calibri"/>
        <family val="2"/>
        <scheme val="minor"/>
      </rPr>
      <t>Абрикосовый</t>
    </r>
    <r>
      <rPr>
        <sz val="10"/>
        <rFont val="Calibri"/>
        <family val="2"/>
        <scheme val="minor"/>
      </rPr>
      <t>, низкокаллорийный Yummy 200г</t>
    </r>
  </si>
  <si>
    <r>
      <t xml:space="preserve">Джем </t>
    </r>
    <r>
      <rPr>
        <b/>
        <sz val="10"/>
        <rFont val="Calibri"/>
        <family val="2"/>
        <scheme val="minor"/>
      </rPr>
      <t>Ананасовый</t>
    </r>
    <r>
      <rPr>
        <sz val="10"/>
        <rFont val="Calibri"/>
        <family val="2"/>
        <scheme val="minor"/>
      </rPr>
      <t>, низкокаллорийный Yummy 200г</t>
    </r>
  </si>
  <si>
    <r>
      <t xml:space="preserve">Джем </t>
    </r>
    <r>
      <rPr>
        <b/>
        <sz val="10"/>
        <rFont val="Calibri"/>
        <family val="2"/>
        <scheme val="minor"/>
      </rPr>
      <t>Апельсиновый с имбирём</t>
    </r>
    <r>
      <rPr>
        <sz val="10"/>
        <rFont val="Calibri"/>
        <family val="2"/>
        <scheme val="minor"/>
      </rPr>
      <t>, низкокаллорийный Yummy 200г</t>
    </r>
  </si>
  <si>
    <r>
      <t xml:space="preserve">Джем </t>
    </r>
    <r>
      <rPr>
        <b/>
        <sz val="10"/>
        <rFont val="Calibri"/>
        <family val="2"/>
        <scheme val="minor"/>
      </rPr>
      <t>Вишнёвый</t>
    </r>
    <r>
      <rPr>
        <sz val="10"/>
        <rFont val="Calibri"/>
        <family val="2"/>
        <scheme val="minor"/>
      </rPr>
      <t>, низкокаллорийный Yummy 200г</t>
    </r>
  </si>
  <si>
    <r>
      <t>Джем</t>
    </r>
    <r>
      <rPr>
        <b/>
        <sz val="10"/>
        <rFont val="Calibri"/>
        <family val="2"/>
        <scheme val="minor"/>
      </rPr>
      <t xml:space="preserve"> Грушевый с ванилью</t>
    </r>
    <r>
      <rPr>
        <sz val="10"/>
        <rFont val="Calibri"/>
        <family val="2"/>
        <scheme val="minor"/>
      </rPr>
      <t>, низкокаллорийный Yummy 200г</t>
    </r>
  </si>
  <si>
    <r>
      <t xml:space="preserve">Джем </t>
    </r>
    <r>
      <rPr>
        <b/>
        <sz val="10"/>
        <rFont val="Calibri"/>
        <family val="2"/>
        <scheme val="minor"/>
      </rPr>
      <t>Клубничный</t>
    </r>
    <r>
      <rPr>
        <sz val="10"/>
        <rFont val="Calibri"/>
        <family val="2"/>
        <scheme val="minor"/>
      </rPr>
      <t>, низкокаллорийный Yummy 200г</t>
    </r>
  </si>
  <si>
    <r>
      <t xml:space="preserve">Джем </t>
    </r>
    <r>
      <rPr>
        <b/>
        <sz val="10"/>
        <rFont val="Calibri"/>
        <family val="2"/>
        <scheme val="minor"/>
      </rPr>
      <t>Клюквенный</t>
    </r>
    <r>
      <rPr>
        <sz val="10"/>
        <rFont val="Calibri"/>
        <family val="2"/>
        <scheme val="minor"/>
      </rPr>
      <t>, низкокаллорийный Yummy 200г</t>
    </r>
  </si>
  <si>
    <r>
      <t xml:space="preserve">Джем </t>
    </r>
    <r>
      <rPr>
        <b/>
        <sz val="10"/>
        <rFont val="Calibri"/>
        <family val="2"/>
        <scheme val="minor"/>
      </rPr>
      <t>Крыжовник</t>
    </r>
    <r>
      <rPr>
        <sz val="10"/>
        <rFont val="Calibri"/>
        <family val="2"/>
        <scheme val="minor"/>
      </rPr>
      <t>, низкокаллорийный Yummy 200г</t>
    </r>
  </si>
  <si>
    <r>
      <t xml:space="preserve">Джем </t>
    </r>
    <r>
      <rPr>
        <b/>
        <sz val="10"/>
        <rFont val="Calibri"/>
        <family val="2"/>
        <scheme val="minor"/>
      </rPr>
      <t>Малиновый</t>
    </r>
    <r>
      <rPr>
        <sz val="10"/>
        <rFont val="Calibri"/>
        <family val="2"/>
        <scheme val="minor"/>
      </rPr>
      <t>, низкокаллорийный Yummy 200г</t>
    </r>
  </si>
  <si>
    <r>
      <t xml:space="preserve">Джем </t>
    </r>
    <r>
      <rPr>
        <b/>
        <sz val="10"/>
        <rFont val="Calibri"/>
        <family val="2"/>
        <scheme val="minor"/>
      </rPr>
      <t>Манго</t>
    </r>
    <r>
      <rPr>
        <sz val="10"/>
        <rFont val="Calibri"/>
        <family val="2"/>
        <scheme val="minor"/>
      </rPr>
      <t>, низкокаллорийный Yummy 200г</t>
    </r>
  </si>
  <si>
    <r>
      <t xml:space="preserve">Джем </t>
    </r>
    <r>
      <rPr>
        <b/>
        <sz val="10"/>
        <rFont val="Calibri"/>
        <family val="2"/>
        <scheme val="minor"/>
      </rPr>
      <t>Смородиновый</t>
    </r>
    <r>
      <rPr>
        <sz val="10"/>
        <rFont val="Calibri"/>
        <family val="2"/>
        <scheme val="minor"/>
      </rPr>
      <t>, низкокаллорийный Yummy 200г</t>
    </r>
  </si>
  <si>
    <r>
      <t xml:space="preserve">Джем </t>
    </r>
    <r>
      <rPr>
        <b/>
        <sz val="10"/>
        <rFont val="Calibri"/>
        <family val="2"/>
        <scheme val="minor"/>
      </rPr>
      <t>Яблочный с корицей</t>
    </r>
    <r>
      <rPr>
        <sz val="10"/>
        <rFont val="Calibri"/>
        <family val="2"/>
        <scheme val="minor"/>
      </rPr>
      <t>, низкокаллорийный Yummy 200г</t>
    </r>
  </si>
  <si>
    <r>
      <t xml:space="preserve">Джем </t>
    </r>
    <r>
      <rPr>
        <b/>
        <sz val="10"/>
        <rFont val="Calibri"/>
        <family val="2"/>
        <scheme val="minor"/>
      </rPr>
      <t>Абрикосовый</t>
    </r>
    <r>
      <rPr>
        <sz val="10"/>
        <rFont val="Calibri"/>
        <family val="2"/>
        <scheme val="minor"/>
      </rPr>
      <t xml:space="preserve"> низкокаллорийный 350г</t>
    </r>
  </si>
  <si>
    <r>
      <t xml:space="preserve">Джем </t>
    </r>
    <r>
      <rPr>
        <b/>
        <sz val="10"/>
        <rFont val="Calibri"/>
        <family val="2"/>
        <scheme val="minor"/>
      </rPr>
      <t>Апельсиновый</t>
    </r>
    <r>
      <rPr>
        <sz val="10"/>
        <rFont val="Calibri"/>
        <family val="2"/>
        <scheme val="minor"/>
      </rPr>
      <t xml:space="preserve"> низкокаллорийный 350г</t>
    </r>
  </si>
  <si>
    <r>
      <t xml:space="preserve">Джем </t>
    </r>
    <r>
      <rPr>
        <b/>
        <sz val="10"/>
        <rFont val="Calibri"/>
        <family val="2"/>
        <scheme val="minor"/>
      </rPr>
      <t>Вишневый</t>
    </r>
    <r>
      <rPr>
        <sz val="10"/>
        <rFont val="Calibri"/>
        <family val="2"/>
        <scheme val="minor"/>
      </rPr>
      <t xml:space="preserve"> низкокаллорийный 350г</t>
    </r>
  </si>
  <si>
    <r>
      <t xml:space="preserve">Джем </t>
    </r>
    <r>
      <rPr>
        <b/>
        <sz val="10"/>
        <rFont val="Calibri"/>
        <family val="2"/>
        <scheme val="minor"/>
      </rPr>
      <t>Клубничный</t>
    </r>
    <r>
      <rPr>
        <sz val="10"/>
        <rFont val="Calibri"/>
        <family val="2"/>
        <scheme val="minor"/>
      </rPr>
      <t xml:space="preserve"> низкокаллорийный 350г</t>
    </r>
  </si>
  <si>
    <r>
      <t xml:space="preserve">Джем </t>
    </r>
    <r>
      <rPr>
        <b/>
        <sz val="10"/>
        <rFont val="Calibri"/>
        <family val="2"/>
        <scheme val="minor"/>
      </rPr>
      <t>Манго</t>
    </r>
    <r>
      <rPr>
        <sz val="10"/>
        <rFont val="Calibri"/>
        <family val="2"/>
        <scheme val="minor"/>
      </rPr>
      <t xml:space="preserve"> низкокаллорийный 350г</t>
    </r>
  </si>
  <si>
    <r>
      <t xml:space="preserve">Джем </t>
    </r>
    <r>
      <rPr>
        <b/>
        <sz val="10"/>
        <rFont val="Calibri"/>
        <family val="2"/>
        <scheme val="minor"/>
      </rPr>
      <t>Смородиновый</t>
    </r>
    <r>
      <rPr>
        <sz val="10"/>
        <rFont val="Calibri"/>
        <family val="2"/>
        <scheme val="minor"/>
      </rPr>
      <t xml:space="preserve"> низкокаллорийный 350г</t>
    </r>
  </si>
  <si>
    <r>
      <t xml:space="preserve">Джем </t>
    </r>
    <r>
      <rPr>
        <b/>
        <sz val="10"/>
        <rFont val="Calibri"/>
        <family val="2"/>
        <scheme val="minor"/>
      </rPr>
      <t>Яблочный с корицей</t>
    </r>
    <r>
      <rPr>
        <sz val="10"/>
        <rFont val="Calibri"/>
        <family val="2"/>
        <scheme val="minor"/>
      </rPr>
      <t xml:space="preserve"> низкокаллорийный 350г</t>
    </r>
  </si>
  <si>
    <r>
      <t xml:space="preserve">Батончик "KICK energy" арахисовый </t>
    </r>
    <r>
      <rPr>
        <b/>
        <sz val="10"/>
        <rFont val="Calibri"/>
        <family val="2"/>
        <scheme val="minor"/>
      </rPr>
      <t>ванильный</t>
    </r>
    <r>
      <rPr>
        <sz val="10"/>
        <rFont val="Calibri"/>
        <family val="2"/>
        <scheme val="minor"/>
      </rPr>
      <t xml:space="preserve"> с какао-крупкой 45г</t>
    </r>
  </si>
  <si>
    <r>
      <t xml:space="preserve">Батончик "KICK energy" кокос с </t>
    </r>
    <r>
      <rPr>
        <b/>
        <sz val="10"/>
        <rFont val="Calibri"/>
        <family val="2"/>
        <scheme val="minor"/>
      </rPr>
      <t>лимоном и имбирем</t>
    </r>
    <r>
      <rPr>
        <sz val="10"/>
        <rFont val="Calibri"/>
        <family val="2"/>
        <scheme val="minor"/>
      </rPr>
      <t xml:space="preserve"> 45</t>
    </r>
  </si>
  <si>
    <r>
      <t xml:space="preserve">Батончик "KICK energy" кокос с </t>
    </r>
    <r>
      <rPr>
        <b/>
        <sz val="10"/>
        <rFont val="Calibri"/>
        <family val="2"/>
        <scheme val="minor"/>
      </rPr>
      <t>эфирным маслом мяты</t>
    </r>
    <r>
      <rPr>
        <sz val="10"/>
        <rFont val="Calibri"/>
        <family val="2"/>
        <scheme val="minor"/>
      </rPr>
      <t xml:space="preserve"> 45г</t>
    </r>
  </si>
  <si>
    <r>
      <t>Батончик "KICK brain" финик-</t>
    </r>
    <r>
      <rPr>
        <b/>
        <sz val="10"/>
        <rFont val="Calibri"/>
        <family val="2"/>
        <scheme val="minor"/>
      </rPr>
      <t>банан</t>
    </r>
    <r>
      <rPr>
        <sz val="10"/>
        <rFont val="Calibri"/>
        <family val="2"/>
        <scheme val="minor"/>
      </rPr>
      <t xml:space="preserve"> в шоколаде 45г</t>
    </r>
  </si>
  <si>
    <r>
      <t xml:space="preserve">Батончик "KICK beauty" </t>
    </r>
    <r>
      <rPr>
        <b/>
        <sz val="10"/>
        <rFont val="Calibri"/>
        <family val="2"/>
        <scheme val="minor"/>
      </rPr>
      <t xml:space="preserve">кокос-матча, </t>
    </r>
    <r>
      <rPr>
        <sz val="10"/>
        <rFont val="Calibri"/>
        <family val="2"/>
        <scheme val="minor"/>
      </rPr>
      <t xml:space="preserve">коллаген и витамины </t>
    </r>
    <r>
      <rPr>
        <u/>
        <sz val="10"/>
        <rFont val="Calibri"/>
        <family val="2"/>
        <scheme val="minor"/>
      </rPr>
      <t>без сахара</t>
    </r>
    <r>
      <rPr>
        <sz val="10"/>
        <rFont val="Calibri"/>
        <family val="2"/>
        <scheme val="minor"/>
      </rPr>
      <t xml:space="preserve"> 38г</t>
    </r>
  </si>
  <si>
    <t>до: 01.07.26 | 23% ОСГ</t>
  </si>
  <si>
    <t>до: 01.08.26 | 34% ОСГ</t>
  </si>
  <si>
    <t>до: 30.07.26 | 33% ОСГ</t>
  </si>
  <si>
    <t>до: 09.08.26 | 37% ОСГ</t>
  </si>
  <si>
    <t>до: 13.07.26 | 27% ОСГ</t>
  </si>
  <si>
    <t>до: 12.08.26 | 38% ОСГ</t>
  </si>
  <si>
    <t>до: 26.08.26 | 43% ОСГ</t>
  </si>
  <si>
    <t>до: 27.08.26 | 44% ОСГ</t>
  </si>
  <si>
    <t>до: 04.09.26 | 46% ОСГ</t>
  </si>
  <si>
    <t>s21026</t>
  </si>
  <si>
    <t>s21462</t>
  </si>
  <si>
    <t>s21463</t>
  </si>
  <si>
    <t>s21464</t>
  </si>
  <si>
    <t>s21024</t>
  </si>
  <si>
    <t>s21022</t>
  </si>
  <si>
    <t>s21065</t>
  </si>
  <si>
    <t>s21068</t>
  </si>
  <si>
    <t>s21009</t>
  </si>
  <si>
    <t>s21007</t>
  </si>
  <si>
    <t>s21010</t>
  </si>
  <si>
    <t>s21011</t>
  </si>
  <si>
    <r>
      <t>Пастила "Фрутилад KIDS"</t>
    </r>
    <r>
      <rPr>
        <b/>
        <sz val="10"/>
        <rFont val="Calibri"/>
        <family val="2"/>
        <charset val="204"/>
        <scheme val="minor"/>
      </rPr>
      <t xml:space="preserve"> Яблоко-Абрикос </t>
    </r>
    <r>
      <rPr>
        <sz val="10"/>
        <rFont val="Calibri"/>
        <family val="2"/>
        <scheme val="minor"/>
      </rPr>
      <t>детская ш\б 30г</t>
    </r>
  </si>
  <si>
    <r>
      <t xml:space="preserve">Пастила "Фрутилад KIDS" </t>
    </r>
    <r>
      <rPr>
        <b/>
        <sz val="10"/>
        <rFont val="Calibri"/>
        <family val="2"/>
        <charset val="204"/>
        <scheme val="minor"/>
      </rPr>
      <t>Яблоко-Малина</t>
    </r>
    <r>
      <rPr>
        <sz val="10"/>
        <rFont val="Calibri"/>
        <family val="2"/>
        <scheme val="minor"/>
      </rPr>
      <t xml:space="preserve"> детская ш\б 30г</t>
    </r>
  </si>
  <si>
    <r>
      <t>Печенье рисовое "</t>
    </r>
    <r>
      <rPr>
        <b/>
        <sz val="10"/>
        <rFont val="Calibri"/>
        <family val="2"/>
        <charset val="204"/>
        <scheme val="minor"/>
      </rPr>
      <t>Кокосовое</t>
    </r>
    <r>
      <rPr>
        <sz val="10"/>
        <rFont val="Calibri"/>
        <family val="2"/>
        <scheme val="minor"/>
      </rPr>
      <t>" без сахара "Диетика" 140г</t>
    </r>
  </si>
  <si>
    <r>
      <t>Печенье овсяное "</t>
    </r>
    <r>
      <rPr>
        <b/>
        <sz val="10"/>
        <rFont val="Calibri"/>
        <family val="2"/>
        <charset val="204"/>
        <scheme val="minor"/>
      </rPr>
      <t>Домашнее</t>
    </r>
    <r>
      <rPr>
        <sz val="10"/>
        <rFont val="Calibri"/>
        <family val="2"/>
        <scheme val="minor"/>
      </rPr>
      <t>" без сахара "Диетика" 140г</t>
    </r>
  </si>
  <si>
    <r>
      <t>Печенье овсяное "</t>
    </r>
    <r>
      <rPr>
        <b/>
        <sz val="10"/>
        <rFont val="Calibri"/>
        <family val="2"/>
        <charset val="204"/>
        <scheme val="minor"/>
      </rPr>
      <t>Наслаждение</t>
    </r>
    <r>
      <rPr>
        <sz val="10"/>
        <rFont val="Calibri"/>
        <family val="2"/>
        <scheme val="minor"/>
      </rPr>
      <t>" без сахара "Диетика" 140г</t>
    </r>
  </si>
  <si>
    <r>
      <t>Печенье рисовое "</t>
    </r>
    <r>
      <rPr>
        <b/>
        <sz val="10"/>
        <rFont val="Calibri"/>
        <family val="2"/>
        <charset val="204"/>
        <scheme val="minor"/>
      </rPr>
      <t>С кленовым сиропом</t>
    </r>
    <r>
      <rPr>
        <sz val="10"/>
        <rFont val="Calibri"/>
        <family val="2"/>
        <scheme val="minor"/>
      </rPr>
      <t>" без сахара "Диетика" 140г</t>
    </r>
  </si>
  <si>
    <r>
      <t xml:space="preserve">Печенье сдобное </t>
    </r>
    <r>
      <rPr>
        <b/>
        <sz val="10"/>
        <rFont val="Calibri"/>
        <family val="2"/>
        <charset val="204"/>
        <scheme val="minor"/>
      </rPr>
      <t>восторг</t>
    </r>
    <r>
      <rPr>
        <sz val="10"/>
        <rFont val="Calibri"/>
        <family val="2"/>
        <scheme val="minor"/>
      </rPr>
      <t xml:space="preserve"> "Диетика" 140г</t>
    </r>
  </si>
  <si>
    <r>
      <t xml:space="preserve">Печенье сдобное </t>
    </r>
    <r>
      <rPr>
        <b/>
        <sz val="10"/>
        <rFont val="Calibri"/>
        <family val="2"/>
        <charset val="204"/>
        <scheme val="minor"/>
      </rPr>
      <t>особое</t>
    </r>
    <r>
      <rPr>
        <sz val="10"/>
        <rFont val="Calibri"/>
        <family val="2"/>
        <scheme val="minor"/>
      </rPr>
      <t xml:space="preserve"> "Диетика" 200г</t>
    </r>
  </si>
  <si>
    <r>
      <t xml:space="preserve">Печенье сдобное с </t>
    </r>
    <r>
      <rPr>
        <b/>
        <sz val="10"/>
        <rFont val="Calibri"/>
        <family val="2"/>
        <charset val="204"/>
        <scheme val="minor"/>
      </rPr>
      <t>изюмом</t>
    </r>
    <r>
      <rPr>
        <sz val="10"/>
        <rFont val="Calibri"/>
        <family val="2"/>
        <scheme val="minor"/>
      </rPr>
      <t xml:space="preserve"> "Диетика" 200г</t>
    </r>
  </si>
  <si>
    <r>
      <t xml:space="preserve">Печенье сдобное с </t>
    </r>
    <r>
      <rPr>
        <b/>
        <sz val="10"/>
        <rFont val="Calibri"/>
        <family val="2"/>
        <charset val="204"/>
        <scheme val="minor"/>
      </rPr>
      <t>кленовым сиропом</t>
    </r>
    <r>
      <rPr>
        <sz val="10"/>
        <rFont val="Calibri"/>
        <family val="2"/>
        <scheme val="minor"/>
      </rPr>
      <t xml:space="preserve"> "Диетика" 200г</t>
    </r>
  </si>
  <si>
    <r>
      <t>Хлопья</t>
    </r>
    <r>
      <rPr>
        <b/>
        <sz val="10"/>
        <rFont val="Calibri"/>
        <family val="2"/>
        <charset val="204"/>
        <scheme val="minor"/>
      </rPr>
      <t xml:space="preserve"> овсяные</t>
    </r>
    <r>
      <rPr>
        <sz val="10"/>
        <rFont val="Calibri"/>
        <family val="2"/>
        <scheme val="minor"/>
      </rPr>
      <t xml:space="preserve"> "Диетика" 300г</t>
    </r>
  </si>
  <si>
    <r>
      <t xml:space="preserve">Хлопья </t>
    </r>
    <r>
      <rPr>
        <b/>
        <sz val="10"/>
        <rFont val="Calibri"/>
        <family val="2"/>
        <charset val="204"/>
        <scheme val="minor"/>
      </rPr>
      <t>пшённые</t>
    </r>
    <r>
      <rPr>
        <sz val="10"/>
        <rFont val="Calibri"/>
        <family val="2"/>
        <scheme val="minor"/>
      </rPr>
      <t xml:space="preserve"> "Диетика" 300г</t>
    </r>
  </si>
  <si>
    <r>
      <t xml:space="preserve">Хлопья </t>
    </r>
    <r>
      <rPr>
        <b/>
        <sz val="10"/>
        <rFont val="Calibri"/>
        <family val="2"/>
        <charset val="204"/>
        <scheme val="minor"/>
      </rPr>
      <t>рисовые</t>
    </r>
    <r>
      <rPr>
        <sz val="10"/>
        <rFont val="Calibri"/>
        <family val="2"/>
        <scheme val="minor"/>
      </rPr>
      <t xml:space="preserve"> "Диетика" 300г</t>
    </r>
  </si>
  <si>
    <r>
      <t xml:space="preserve">Хлопья </t>
    </r>
    <r>
      <rPr>
        <b/>
        <sz val="10"/>
        <rFont val="Calibri"/>
        <family val="2"/>
        <charset val="204"/>
        <scheme val="minor"/>
      </rPr>
      <t>кукурузные</t>
    </r>
    <r>
      <rPr>
        <sz val="10"/>
        <rFont val="Calibri"/>
        <family val="2"/>
        <scheme val="minor"/>
      </rPr>
      <t xml:space="preserve"> "Диетика" 300г</t>
    </r>
  </si>
  <si>
    <t>Паста крем-чиз соевый оргинальный стекло 90г</t>
  </si>
  <si>
    <t>до: 12.06.26 | 12% ОСГ</t>
  </si>
  <si>
    <t>Паста крем-чиз соевый с зеленью стекло 90г</t>
  </si>
  <si>
    <t>до: 12.11.26 | 54% ОСГ</t>
  </si>
  <si>
    <t>Хумус "Классический" стекло 90г</t>
  </si>
  <si>
    <t>Хумус "Свекольный" стекло 90г</t>
  </si>
  <si>
    <t>до: 27.05.26 | 7% ОСГ</t>
  </si>
  <si>
    <t>Хумус "С перчиком Халапеньо" стекло 90г</t>
  </si>
  <si>
    <t>s20520</t>
  </si>
  <si>
    <t>s20478</t>
  </si>
  <si>
    <t>s20477</t>
  </si>
  <si>
    <t>s20515</t>
  </si>
  <si>
    <t>s20485</t>
  </si>
  <si>
    <r>
      <t>Шампунь "</t>
    </r>
    <r>
      <rPr>
        <b/>
        <sz val="10"/>
        <color theme="0" tint="-0.34998626667073579"/>
        <rFont val="Calibri"/>
        <family val="2"/>
        <scheme val="minor"/>
      </rPr>
      <t>Увлажняющий</t>
    </r>
    <r>
      <rPr>
        <sz val="10"/>
        <color theme="0" tint="-0.34998626667073579"/>
        <rFont val="Calibri"/>
        <family val="2"/>
        <scheme val="minor"/>
      </rPr>
      <t xml:space="preserve">" для сухих и ломких волос 250мл </t>
    </r>
  </si>
  <si>
    <r>
      <t xml:space="preserve">Напиток сокосодержащий </t>
    </r>
    <r>
      <rPr>
        <b/>
        <sz val="10"/>
        <color theme="0" tint="-0.34998626667073579"/>
        <rFont val="Calibri"/>
        <family val="2"/>
        <scheme val="minor"/>
      </rPr>
      <t>Амла</t>
    </r>
    <r>
      <rPr>
        <sz val="10"/>
        <color theme="0" tint="-0.34998626667073579"/>
        <rFont val="Calibri"/>
        <family val="2"/>
        <scheme val="minor"/>
      </rPr>
      <t xml:space="preserve"> I am </t>
    </r>
    <r>
      <rPr>
        <b/>
        <sz val="10"/>
        <color theme="0" tint="-0.34998626667073579"/>
        <rFont val="Calibri"/>
        <family val="2"/>
        <scheme val="minor"/>
      </rPr>
      <t>Young</t>
    </r>
    <r>
      <rPr>
        <sz val="10"/>
        <color theme="0" tint="-0.34998626667073579"/>
        <rFont val="Calibri"/>
        <family val="2"/>
        <scheme val="minor"/>
      </rPr>
      <t>, Vitro Naturals 500мл</t>
    </r>
  </si>
  <si>
    <r>
      <t xml:space="preserve">Напиток сокосодержащий </t>
    </r>
    <r>
      <rPr>
        <b/>
        <sz val="10"/>
        <color theme="0" tint="-0.34998626667073579"/>
        <rFont val="Calibri"/>
        <family val="2"/>
        <scheme val="minor"/>
      </rPr>
      <t>Гарциния</t>
    </r>
    <r>
      <rPr>
        <sz val="10"/>
        <color theme="0" tint="-0.34998626667073579"/>
        <rFont val="Calibri"/>
        <family val="2"/>
        <scheme val="minor"/>
      </rPr>
      <t xml:space="preserve"> I am </t>
    </r>
    <r>
      <rPr>
        <b/>
        <sz val="10"/>
        <color theme="0" tint="-0.34998626667073579"/>
        <rFont val="Calibri"/>
        <family val="2"/>
        <scheme val="minor"/>
      </rPr>
      <t>Slim</t>
    </r>
    <r>
      <rPr>
        <sz val="10"/>
        <color theme="0" tint="-0.34998626667073579"/>
        <rFont val="Calibri"/>
        <family val="2"/>
        <scheme val="minor"/>
      </rPr>
      <t>, Vitro Naturals 500мл</t>
    </r>
  </si>
  <si>
    <r>
      <t xml:space="preserve">Напиток сокосодержащий </t>
    </r>
    <r>
      <rPr>
        <b/>
        <sz val="10"/>
        <color theme="0" tint="-0.34998626667073579"/>
        <rFont val="Calibri"/>
        <family val="2"/>
        <scheme val="minor"/>
      </rPr>
      <t>Куркума</t>
    </r>
    <r>
      <rPr>
        <sz val="10"/>
        <color theme="0" tint="-0.34998626667073579"/>
        <rFont val="Calibri"/>
        <family val="2"/>
        <scheme val="minor"/>
      </rPr>
      <t xml:space="preserve"> I am </t>
    </r>
    <r>
      <rPr>
        <b/>
        <sz val="10"/>
        <color theme="0" tint="-0.34998626667073579"/>
        <rFont val="Calibri"/>
        <family val="2"/>
        <scheme val="minor"/>
      </rPr>
      <t>Gold</t>
    </r>
    <r>
      <rPr>
        <sz val="10"/>
        <color theme="0" tint="-0.34998626667073579"/>
        <rFont val="Calibri"/>
        <family val="2"/>
        <scheme val="minor"/>
      </rPr>
      <t>, Vitro Naturals 500мл</t>
    </r>
  </si>
  <si>
    <r>
      <t>Вафли протеиновые Bite "</t>
    </r>
    <r>
      <rPr>
        <b/>
        <sz val="10"/>
        <color theme="0" tint="-0.34998626667073579"/>
        <rFont val="Calibri"/>
        <family val="2"/>
        <scheme val="minor"/>
      </rPr>
      <t>Арахис - солёная карамель</t>
    </r>
    <r>
      <rPr>
        <sz val="10"/>
        <color theme="0" tint="-0.34998626667073579"/>
        <rFont val="Calibri"/>
        <family val="2"/>
        <scheme val="minor"/>
      </rPr>
      <t>" 35г</t>
    </r>
  </si>
  <si>
    <r>
      <t>Пастила Bitey Фруктово-ягодные кусочки «</t>
    </r>
    <r>
      <rPr>
        <b/>
        <sz val="10"/>
        <color theme="0" tint="-0.34998626667073579"/>
        <rFont val="Calibri"/>
        <family val="2"/>
        <scheme val="minor"/>
      </rPr>
      <t>Дюшес</t>
    </r>
    <r>
      <rPr>
        <sz val="10"/>
        <color theme="0" tint="-0.34998626667073579"/>
        <rFont val="Calibri"/>
        <family val="2"/>
        <scheme val="minor"/>
      </rPr>
      <t>» 20г</t>
    </r>
  </si>
  <si>
    <r>
      <t>Пастила Bitey Фруктово-ягодные кусочки «</t>
    </r>
    <r>
      <rPr>
        <b/>
        <sz val="10"/>
        <color theme="0" tint="-0.34998626667073579"/>
        <rFont val="Calibri"/>
        <family val="2"/>
        <scheme val="minor"/>
      </rPr>
      <t>Малина</t>
    </r>
    <r>
      <rPr>
        <sz val="10"/>
        <color theme="0" tint="-0.34998626667073579"/>
        <rFont val="Calibri"/>
        <family val="2"/>
        <scheme val="minor"/>
      </rPr>
      <t>» 20г</t>
    </r>
  </si>
  <si>
    <r>
      <t>Макароны пшеничные "</t>
    </r>
    <r>
      <rPr>
        <b/>
        <sz val="10"/>
        <color theme="0" tint="-0.34998626667073579"/>
        <rFont val="Calibri"/>
        <family val="2"/>
        <scheme val="minor"/>
      </rPr>
      <t>Вермишель</t>
    </r>
    <r>
      <rPr>
        <sz val="10"/>
        <color theme="0" tint="-0.34998626667073579"/>
        <rFont val="Calibri"/>
        <family val="2"/>
        <scheme val="minor"/>
      </rPr>
      <t>" цельнозерновые  350г</t>
    </r>
  </si>
  <si>
    <t>Чай масала пряный 75г</t>
  </si>
  <si>
    <t>Плоды рожкового дерева, черный чай, имбирь, корица, бадьян, кардамон, перец душистый, перец черный, фенхель, гвоздика</t>
  </si>
  <si>
    <t>http://1.c8804.nichost.ru/pics/17057.jpg</t>
  </si>
  <si>
    <t>Сироп Топинамбура 250г</t>
  </si>
  <si>
    <t>клубни топинамбура, вода, лимонная кислота</t>
  </si>
  <si>
    <t>https://naturevector.ru/wp-content/uploads/2023/12/95b9d2609bf5ca1d73bb14fe050b260b.jpg</t>
  </si>
  <si>
    <t>Шоколад кокосовый Горький 70% Vegan 50г</t>
  </si>
  <si>
    <t>какао тертое, кокосовый сахар, какао-масло. Продукт содержит: общий сухой остаток какао - 70%, обезжиренный остаток какао - 28,2%, какао-масла - 41,8%</t>
  </si>
  <si>
    <t>http://1.c8804.nichost.ru/pics/18694.jpg</t>
  </si>
  <si>
    <t>s17057</t>
  </si>
  <si>
    <t>s13923</t>
  </si>
  <si>
    <t>s18694</t>
  </si>
  <si>
    <t>до: 01.06.26 | 6% ОСГ</t>
  </si>
  <si>
    <t>до: 01.09.26 | 17% ОСГ</t>
  </si>
  <si>
    <t>до: 01.07.26 | 17% ОСГ</t>
  </si>
  <si>
    <r>
      <t xml:space="preserve">Конфеты "Shoco Rolls" </t>
    </r>
    <r>
      <rPr>
        <b/>
        <sz val="10"/>
        <color theme="9" tint="-0.249977111117893"/>
        <rFont val="Calibri"/>
        <family val="2"/>
        <scheme val="minor"/>
      </rPr>
      <t>с солёным арахисом и медом в ш.глазури</t>
    </r>
    <r>
      <rPr>
        <sz val="10"/>
        <color theme="9" tint="-0.249977111117893"/>
        <rFont val="Calibri"/>
        <family val="2"/>
        <scheme val="minor"/>
      </rPr>
      <t xml:space="preserve"> 135г</t>
    </r>
  </si>
  <si>
    <r>
      <t xml:space="preserve">Конфеты "Нежное суфле" ассорти </t>
    </r>
    <r>
      <rPr>
        <b/>
        <sz val="10"/>
        <color theme="9" tint="-0.249977111117893"/>
        <rFont val="Calibri"/>
        <family val="2"/>
        <scheme val="minor"/>
      </rPr>
      <t>манго-маракуйя, лесная клубника</t>
    </r>
    <r>
      <rPr>
        <sz val="10"/>
        <color theme="9" tint="-0.249977111117893"/>
        <rFont val="Calibri"/>
        <family val="2"/>
        <scheme val="minor"/>
      </rPr>
      <t xml:space="preserve"> 155г</t>
    </r>
  </si>
  <si>
    <r>
      <t xml:space="preserve">Конфеты "FruitSticks" с </t>
    </r>
    <r>
      <rPr>
        <b/>
        <sz val="10"/>
        <color theme="9" tint="-0.249977111117893"/>
        <rFont val="Calibri"/>
        <family val="2"/>
        <scheme val="minor"/>
      </rPr>
      <t>фиником</t>
    </r>
    <r>
      <rPr>
        <sz val="10"/>
        <color theme="9" tint="-0.249977111117893"/>
        <rFont val="Calibri"/>
        <family val="2"/>
        <scheme val="minor"/>
      </rPr>
      <t>, миндалём, апельсином и медом 175г</t>
    </r>
  </si>
  <si>
    <r>
      <t>Пастила "Pastilla" медовая "</t>
    </r>
    <r>
      <rPr>
        <b/>
        <sz val="10"/>
        <color theme="9" tint="-0.249977111117893"/>
        <rFont val="Calibri"/>
        <family val="2"/>
        <scheme val="minor"/>
      </rPr>
      <t>Ванильная нега</t>
    </r>
    <r>
      <rPr>
        <sz val="10"/>
        <color theme="9" tint="-0.249977111117893"/>
        <rFont val="Calibri"/>
        <family val="2"/>
        <scheme val="minor"/>
      </rPr>
      <t>" и "</t>
    </r>
    <r>
      <rPr>
        <b/>
        <sz val="10"/>
        <color theme="9" tint="-0.249977111117893"/>
        <rFont val="Calibri"/>
        <family val="2"/>
        <scheme val="minor"/>
      </rPr>
      <t>Клюквенный бум</t>
    </r>
    <r>
      <rPr>
        <sz val="10"/>
        <color theme="9" tint="-0.249977111117893"/>
        <rFont val="Calibri"/>
        <family val="2"/>
        <scheme val="minor"/>
      </rPr>
      <t>" 190г</t>
    </r>
  </si>
  <si>
    <r>
      <t xml:space="preserve">Пастила "Pastilla" медовая </t>
    </r>
    <r>
      <rPr>
        <b/>
        <sz val="10"/>
        <color theme="9" tint="-0.249977111117893"/>
        <rFont val="Calibri"/>
        <family val="2"/>
        <scheme val="minor"/>
      </rPr>
      <t>черная смородина 190г</t>
    </r>
  </si>
  <si>
    <r>
      <t xml:space="preserve">Пастила "Маленькие радости" </t>
    </r>
    <r>
      <rPr>
        <b/>
        <sz val="10"/>
        <color theme="9" tint="-0.249977111117893"/>
        <rFont val="Calibri"/>
        <family val="2"/>
        <scheme val="minor"/>
      </rPr>
      <t>Лесные ягоды и мята</t>
    </r>
    <r>
      <rPr>
        <sz val="10"/>
        <color theme="9" tint="-0.249977111117893"/>
        <rFont val="Calibri"/>
        <family val="2"/>
        <scheme val="minor"/>
      </rPr>
      <t xml:space="preserve"> 95г</t>
    </r>
  </si>
  <si>
    <r>
      <t xml:space="preserve">Пастила "Маленькие радости" </t>
    </r>
    <r>
      <rPr>
        <b/>
        <sz val="10"/>
        <color theme="9" tint="-0.249977111117893"/>
        <rFont val="Calibri"/>
        <family val="2"/>
        <scheme val="minor"/>
      </rPr>
      <t>Манго, яблоко и мёд</t>
    </r>
    <r>
      <rPr>
        <sz val="10"/>
        <color theme="9" tint="-0.249977111117893"/>
        <rFont val="Calibri"/>
        <family val="2"/>
        <scheme val="minor"/>
      </rPr>
      <t xml:space="preserve"> 95г</t>
    </r>
  </si>
  <si>
    <r>
      <t xml:space="preserve">Мёд "Берестов А.С." </t>
    </r>
    <r>
      <rPr>
        <b/>
        <sz val="10"/>
        <color theme="9" tint="-0.249977111117893"/>
        <rFont val="Calibri"/>
        <family val="2"/>
        <scheme val="minor"/>
      </rPr>
      <t>Горный</t>
    </r>
    <r>
      <rPr>
        <sz val="10"/>
        <color theme="9" tint="-0.249977111117893"/>
        <rFont val="Calibri"/>
        <family val="2"/>
        <scheme val="minor"/>
      </rPr>
      <t xml:space="preserve"> ст.банка 500г</t>
    </r>
  </si>
  <si>
    <r>
      <t xml:space="preserve">Мёд "Берестов А.С." </t>
    </r>
    <r>
      <rPr>
        <b/>
        <sz val="10"/>
        <color theme="9" tint="-0.249977111117893"/>
        <rFont val="Calibri"/>
        <family val="2"/>
        <scheme val="minor"/>
      </rPr>
      <t>Дикий Таежный</t>
    </r>
    <r>
      <rPr>
        <sz val="10"/>
        <color theme="9" tint="-0.249977111117893"/>
        <rFont val="Calibri"/>
        <family val="2"/>
        <scheme val="minor"/>
      </rPr>
      <t xml:space="preserve"> ст. банка  500г</t>
    </r>
  </si>
  <si>
    <r>
      <t>Мёд "Берестов А.С."</t>
    </r>
    <r>
      <rPr>
        <b/>
        <sz val="10"/>
        <color theme="9" tint="-0.249977111117893"/>
        <rFont val="Calibri"/>
        <family val="2"/>
        <scheme val="minor"/>
      </rPr>
      <t xml:space="preserve"> Маточное молочко</t>
    </r>
    <r>
      <rPr>
        <sz val="10"/>
        <color theme="9" tint="-0.249977111117893"/>
        <rFont val="Calibri"/>
        <family val="2"/>
        <scheme val="minor"/>
      </rPr>
      <t xml:space="preserve"> ст. банка 500г</t>
    </r>
  </si>
  <si>
    <r>
      <t xml:space="preserve">Мёд "Берестов А.С." </t>
    </r>
    <r>
      <rPr>
        <b/>
        <sz val="10"/>
        <color theme="9" tint="-0.249977111117893"/>
        <rFont val="Calibri"/>
        <family val="2"/>
        <scheme val="minor"/>
      </rPr>
      <t>Башкирхан</t>
    </r>
    <r>
      <rPr>
        <sz val="10"/>
        <color theme="9" tint="-0.249977111117893"/>
        <rFont val="Calibri"/>
        <family val="2"/>
        <scheme val="minor"/>
      </rPr>
      <t xml:space="preserve"> ст.банка 200г</t>
    </r>
  </si>
  <si>
    <r>
      <t xml:space="preserve">Мёд "Берестов А.С." </t>
    </r>
    <r>
      <rPr>
        <b/>
        <sz val="10"/>
        <color theme="9" tint="-0.249977111117893"/>
        <rFont val="Calibri"/>
        <family val="2"/>
        <scheme val="minor"/>
      </rPr>
      <t>Майский</t>
    </r>
    <r>
      <rPr>
        <sz val="10"/>
        <color theme="9" tint="-0.249977111117893"/>
        <rFont val="Calibri"/>
        <family val="2"/>
        <scheme val="minor"/>
      </rPr>
      <t xml:space="preserve"> ст.банка 200г</t>
    </r>
  </si>
  <si>
    <t>до: 19.05.26 | 10% ОСГ</t>
  </si>
  <si>
    <t>до: 18.06.26 | 27% ОСГ</t>
  </si>
  <si>
    <t>s16839</t>
  </si>
  <si>
    <t>s18908</t>
  </si>
  <si>
    <r>
      <t>Соус майонезный "</t>
    </r>
    <r>
      <rPr>
        <b/>
        <sz val="10"/>
        <rFont val="Calibri"/>
        <family val="2"/>
        <charset val="204"/>
        <scheme val="minor"/>
      </rPr>
      <t>С оливками</t>
    </r>
    <r>
      <rPr>
        <sz val="10"/>
        <rFont val="Calibri"/>
        <family val="2"/>
        <scheme val="minor"/>
      </rPr>
      <t>" 270г</t>
    </r>
  </si>
  <si>
    <r>
      <t xml:space="preserve">Мука </t>
    </r>
    <r>
      <rPr>
        <b/>
        <sz val="10"/>
        <rFont val="Calibri"/>
        <family val="2"/>
        <charset val="204"/>
        <scheme val="minor"/>
      </rPr>
      <t>рисовая</t>
    </r>
    <r>
      <rPr>
        <sz val="10"/>
        <rFont val="Calibri"/>
        <family val="2"/>
        <scheme val="minor"/>
      </rPr>
      <t xml:space="preserve"> без глютена 300г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</si>
</sst>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quot;_-;\-* #,##0\ &quot;₽&quot;_-;_-* &quot;-&quot;\ &quot;₽&quot;_-;_-@_-"/>
    <numFmt numFmtId="164" formatCode="#,##0.00\ &quot;₽&quot;"/>
  </numFmts>
  <fonts count="122" x14ac:knownFonts="1">
    <font>
      <sz val="11"/>
      <color theme="1"/>
      <name val="Calibri"/>
      <family val="2"/>
      <charset val="204"/>
      <scheme val="minor"/>
    </font>
    <font>
      <sz val="11"/>
      <color theme="0"/>
      <name val="Calibri"/>
      <family val="2"/>
      <charset val="204"/>
      <scheme val="minor"/>
    </font>
    <font>
      <b/>
      <sz val="10"/>
      <name val="Calibri"/>
      <family val="2"/>
      <charset val="204"/>
      <scheme val="minor"/>
    </font>
    <font>
      <sz val="10"/>
      <color theme="1" tint="0.249977111117893"/>
      <name val="Calibri"/>
      <family val="2"/>
      <charset val="204"/>
      <scheme val="minor"/>
    </font>
    <font>
      <b/>
      <sz val="10"/>
      <color theme="1"/>
      <name val="Calibri"/>
      <family val="2"/>
      <charset val="204"/>
      <scheme val="minor"/>
    </font>
    <font>
      <sz val="11"/>
      <name val="Calibri"/>
      <family val="2"/>
      <charset val="204"/>
      <scheme val="minor"/>
    </font>
    <font>
      <sz val="10"/>
      <name val="Calibri"/>
      <family val="2"/>
      <charset val="204"/>
      <scheme val="minor"/>
    </font>
    <font>
      <sz val="9"/>
      <name val="Calibri"/>
      <family val="2"/>
      <charset val="204"/>
      <scheme val="minor"/>
    </font>
    <font>
      <b/>
      <sz val="8"/>
      <color theme="0"/>
      <name val="Calibri"/>
      <family val="2"/>
      <charset val="204"/>
      <scheme val="minor"/>
    </font>
    <font>
      <b/>
      <sz val="8"/>
      <name val="Calibri"/>
      <family val="2"/>
      <charset val="204"/>
      <scheme val="minor"/>
    </font>
    <font>
      <b/>
      <sz val="10"/>
      <color theme="1" tint="0.34998626667073579"/>
      <name val="Calibri"/>
      <family val="2"/>
      <charset val="204"/>
      <scheme val="minor"/>
    </font>
    <font>
      <sz val="9"/>
      <color theme="1" tint="0.249977111117893"/>
      <name val="Calibri"/>
      <family val="2"/>
      <charset val="204"/>
      <scheme val="minor"/>
    </font>
    <font>
      <u/>
      <sz val="11"/>
      <color theme="10"/>
      <name val="Calibri"/>
      <family val="2"/>
      <charset val="204"/>
      <scheme val="minor"/>
    </font>
    <font>
      <b/>
      <u/>
      <sz val="10"/>
      <name val="Calibri"/>
      <family val="2"/>
      <charset val="204"/>
      <scheme val="minor"/>
    </font>
    <font>
      <sz val="8"/>
      <name val="Calibri"/>
      <family val="2"/>
      <charset val="204"/>
      <scheme val="minor"/>
    </font>
    <font>
      <sz val="10"/>
      <color theme="1"/>
      <name val="Calibri"/>
      <family val="2"/>
      <scheme val="minor"/>
    </font>
    <font>
      <sz val="9"/>
      <color theme="0" tint="-0.499984740745262"/>
      <name val="Calibri"/>
      <family val="2"/>
      <charset val="204"/>
      <scheme val="minor"/>
    </font>
    <font>
      <b/>
      <sz val="10"/>
      <color theme="6" tint="-0.499984740745262"/>
      <name val="Calibri"/>
      <family val="2"/>
      <charset val="204"/>
      <scheme val="minor"/>
    </font>
    <font>
      <sz val="10"/>
      <color theme="0" tint="-0.499984740745262"/>
      <name val="Calibri"/>
      <family val="2"/>
      <charset val="204"/>
      <scheme val="minor"/>
    </font>
    <font>
      <sz val="10"/>
      <name val="Calibri"/>
      <family val="2"/>
      <scheme val="minor"/>
    </font>
    <font>
      <sz val="10"/>
      <color theme="1"/>
      <name val="Calibri"/>
      <family val="2"/>
      <charset val="204"/>
      <scheme val="minor"/>
    </font>
    <font>
      <b/>
      <sz val="10"/>
      <name val="Calibri"/>
      <family val="2"/>
      <scheme val="minor"/>
    </font>
    <font>
      <b/>
      <sz val="11"/>
      <color theme="1"/>
      <name val="Calibri"/>
      <family val="2"/>
      <charset val="204"/>
      <scheme val="minor"/>
    </font>
    <font>
      <sz val="9"/>
      <color theme="1"/>
      <name val="Calibri"/>
      <family val="2"/>
      <charset val="204"/>
      <scheme val="minor"/>
    </font>
    <font>
      <sz val="10"/>
      <color theme="1" tint="0.499984740745262"/>
      <name val="Calibri"/>
      <family val="2"/>
      <charset val="204"/>
      <scheme val="minor"/>
    </font>
    <font>
      <sz val="8"/>
      <color theme="1" tint="0.499984740745262"/>
      <name val="Calibri"/>
      <family val="2"/>
      <charset val="204"/>
      <scheme val="minor"/>
    </font>
    <font>
      <sz val="11"/>
      <color theme="1" tint="0.499984740745262"/>
      <name val="Calibri"/>
      <family val="2"/>
      <charset val="204"/>
      <scheme val="minor"/>
    </font>
    <font>
      <b/>
      <sz val="9"/>
      <color theme="1" tint="0.499984740745262"/>
      <name val="Calibri"/>
      <family val="2"/>
      <charset val="204"/>
      <scheme val="minor"/>
    </font>
    <font>
      <sz val="9"/>
      <color theme="1" tint="0.499984740745262"/>
      <name val="Calibri"/>
      <family val="2"/>
      <charset val="204"/>
      <scheme val="minor"/>
    </font>
    <font>
      <b/>
      <u/>
      <sz val="16"/>
      <color indexed="9"/>
      <name val="Calibri"/>
      <family val="2"/>
      <charset val="204"/>
    </font>
    <font>
      <sz val="14"/>
      <color theme="6" tint="-0.499984740745262"/>
      <name val="Calibri"/>
      <family val="2"/>
      <charset val="204"/>
      <scheme val="minor"/>
    </font>
    <font>
      <b/>
      <sz val="14"/>
      <color theme="6" tint="-0.499984740745262"/>
      <name val="Calibri"/>
      <family val="2"/>
      <charset val="204"/>
      <scheme val="minor"/>
    </font>
    <font>
      <b/>
      <sz val="9"/>
      <color theme="0"/>
      <name val="Calibri"/>
      <family val="2"/>
      <charset val="204"/>
      <scheme val="minor"/>
    </font>
    <font>
      <b/>
      <sz val="10"/>
      <color theme="0" tint="-0.249977111117893"/>
      <name val="Calibri"/>
      <family val="2"/>
      <charset val="204"/>
      <scheme val="minor"/>
    </font>
    <font>
      <sz val="10"/>
      <color theme="0" tint="-0.249977111117893"/>
      <name val="Calibri"/>
      <family val="2"/>
      <charset val="204"/>
      <scheme val="minor"/>
    </font>
    <font>
      <sz val="11"/>
      <color theme="0" tint="-0.249977111117893"/>
      <name val="Calibri"/>
      <family val="2"/>
      <charset val="204"/>
      <scheme val="minor"/>
    </font>
    <font>
      <b/>
      <sz val="10"/>
      <color theme="1" tint="0.249977111117893"/>
      <name val="Calibri"/>
      <family val="2"/>
      <charset val="204"/>
      <scheme val="minor"/>
    </font>
    <font>
      <sz val="11"/>
      <color theme="1" tint="0.249977111117893"/>
      <name val="Calibri"/>
      <family val="2"/>
      <charset val="204"/>
      <scheme val="minor"/>
    </font>
    <font>
      <sz val="12"/>
      <color theme="1"/>
      <name val="Calibri"/>
      <family val="2"/>
      <charset val="204"/>
      <scheme val="minor"/>
    </font>
    <font>
      <b/>
      <u/>
      <sz val="16"/>
      <name val="Calibri"/>
      <family val="2"/>
      <charset val="204"/>
      <scheme val="minor"/>
    </font>
    <font>
      <b/>
      <u/>
      <sz val="16"/>
      <name val="Calibri"/>
      <family val="2"/>
      <charset val="204"/>
    </font>
    <font>
      <sz val="9"/>
      <color theme="0"/>
      <name val="Calibri"/>
      <family val="2"/>
      <charset val="204"/>
      <scheme val="minor"/>
    </font>
    <font>
      <sz val="8"/>
      <color theme="0" tint="-0.249977111117893"/>
      <name val="Calibri"/>
      <family val="2"/>
      <charset val="204"/>
      <scheme val="minor"/>
    </font>
    <font>
      <b/>
      <sz val="10"/>
      <color theme="9" tint="-0.249977111117893"/>
      <name val="Calibri"/>
      <family val="2"/>
      <charset val="204"/>
      <scheme val="minor"/>
    </font>
    <font>
      <sz val="10"/>
      <color theme="9" tint="-0.249977111117893"/>
      <name val="Calibri"/>
      <family val="2"/>
      <scheme val="minor"/>
    </font>
    <font>
      <b/>
      <sz val="10"/>
      <color theme="9" tint="-0.249977111117893"/>
      <name val="Calibri"/>
      <family val="2"/>
      <scheme val="minor"/>
    </font>
    <font>
      <b/>
      <sz val="10"/>
      <color rgb="FFFF0000"/>
      <name val="Calibri"/>
      <family val="2"/>
      <charset val="204"/>
      <scheme val="minor"/>
    </font>
    <font>
      <strike/>
      <sz val="10"/>
      <color theme="1" tint="0.249977111117893"/>
      <name val="Calibri"/>
      <family val="2"/>
      <charset val="204"/>
      <scheme val="minor"/>
    </font>
    <font>
      <b/>
      <sz val="10"/>
      <color theme="6" tint="-0.249977111117893"/>
      <name val="Calibri"/>
      <family val="2"/>
      <charset val="204"/>
      <scheme val="minor"/>
    </font>
    <font>
      <b/>
      <u/>
      <sz val="11"/>
      <color theme="0"/>
      <name val="Calibri"/>
      <family val="2"/>
      <charset val="204"/>
      <scheme val="minor"/>
    </font>
    <font>
      <b/>
      <sz val="10"/>
      <color theme="0"/>
      <name val="Calibri"/>
      <family val="2"/>
      <charset val="204"/>
      <scheme val="minor"/>
    </font>
    <font>
      <i/>
      <u/>
      <sz val="11"/>
      <name val="Calibri"/>
      <family val="2"/>
      <charset val="204"/>
      <scheme val="minor"/>
    </font>
    <font>
      <b/>
      <i/>
      <u/>
      <sz val="11"/>
      <color theme="9" tint="-0.249977111117893"/>
      <name val="Calibri"/>
      <family val="2"/>
      <charset val="204"/>
      <scheme val="minor"/>
    </font>
    <font>
      <b/>
      <sz val="11"/>
      <color theme="9" tint="-0.249977111117893"/>
      <name val="Calibri"/>
      <family val="2"/>
      <charset val="204"/>
      <scheme val="minor"/>
    </font>
    <font>
      <b/>
      <sz val="11"/>
      <color theme="0"/>
      <name val="Calibri"/>
      <family val="2"/>
      <charset val="204"/>
      <scheme val="minor"/>
    </font>
    <font>
      <sz val="10"/>
      <color theme="0"/>
      <name val="Calibri"/>
      <family val="2"/>
      <charset val="204"/>
      <scheme val="minor"/>
    </font>
    <font>
      <b/>
      <sz val="9"/>
      <color theme="9" tint="-0.249977111117893"/>
      <name val="Calibri"/>
      <family val="2"/>
      <charset val="204"/>
      <scheme val="minor"/>
    </font>
    <font>
      <b/>
      <u/>
      <sz val="10"/>
      <name val="Calibri"/>
      <family val="2"/>
      <scheme val="minor"/>
    </font>
    <font>
      <sz val="8"/>
      <color theme="1"/>
      <name val="Calibri"/>
      <family val="2"/>
      <charset val="204"/>
      <scheme val="minor"/>
    </font>
    <font>
      <sz val="3"/>
      <color theme="0" tint="-0.249977111117893"/>
      <name val="Calibri"/>
      <family val="2"/>
      <charset val="204"/>
      <scheme val="minor"/>
    </font>
    <font>
      <sz val="14"/>
      <color theme="9" tint="-0.499984740745262"/>
      <name val="Calibri"/>
      <family val="2"/>
      <charset val="204"/>
      <scheme val="minor"/>
    </font>
    <font>
      <b/>
      <sz val="10"/>
      <color theme="0" tint="-0.14999847407452621"/>
      <name val="Calibri"/>
      <family val="2"/>
      <charset val="204"/>
      <scheme val="minor"/>
    </font>
    <font>
      <sz val="10"/>
      <color theme="9" tint="-0.249977111117893"/>
      <name val="Calibri"/>
      <family val="2"/>
      <charset val="204"/>
      <scheme val="minor"/>
    </font>
    <font>
      <u/>
      <sz val="10"/>
      <name val="Calibri"/>
      <family val="2"/>
      <scheme val="minor"/>
    </font>
    <font>
      <b/>
      <sz val="9"/>
      <color theme="1" tint="0.249977111117893"/>
      <name val="Calibri"/>
      <family val="2"/>
      <charset val="204"/>
      <scheme val="minor"/>
    </font>
    <font>
      <b/>
      <sz val="14"/>
      <name val="Calibri"/>
      <family val="2"/>
      <charset val="204"/>
      <scheme val="minor"/>
    </font>
    <font>
      <b/>
      <sz val="18"/>
      <color theme="0"/>
      <name val="Calibri"/>
      <family val="2"/>
      <charset val="204"/>
      <scheme val="minor"/>
    </font>
    <font>
      <b/>
      <sz val="10"/>
      <color theme="1"/>
      <name val="Calibri"/>
      <family val="2"/>
      <scheme val="minor"/>
    </font>
    <font>
      <b/>
      <sz val="9"/>
      <color theme="6" tint="-0.499984740745262"/>
      <name val="Calibri"/>
      <family val="2"/>
      <charset val="204"/>
      <scheme val="minor"/>
    </font>
    <font>
      <b/>
      <sz val="9"/>
      <color theme="6" tint="-0.249977111117893"/>
      <name val="Calibri"/>
      <family val="2"/>
      <charset val="204"/>
      <scheme val="minor"/>
    </font>
    <font>
      <sz val="10"/>
      <color theme="1" tint="0.249977111117893"/>
      <name val="Calibri"/>
      <family val="2"/>
      <scheme val="minor"/>
    </font>
    <font>
      <sz val="8"/>
      <name val="Arial"/>
      <family val="2"/>
      <charset val="204"/>
    </font>
    <font>
      <b/>
      <sz val="14"/>
      <color theme="9" tint="-0.499984740745262"/>
      <name val="Calibri"/>
      <family val="2"/>
      <charset val="204"/>
      <scheme val="minor"/>
    </font>
    <font>
      <b/>
      <sz val="12"/>
      <name val="Calibri"/>
      <family val="2"/>
      <charset val="204"/>
      <scheme val="minor"/>
    </font>
    <font>
      <b/>
      <sz val="9"/>
      <color theme="9" tint="-0.249977111117893"/>
      <name val="Calibri"/>
      <family val="2"/>
      <scheme val="minor"/>
    </font>
    <font>
      <sz val="11"/>
      <color theme="6" tint="-0.499984740745262"/>
      <name val="Wingdings 2"/>
      <family val="1"/>
      <charset val="2"/>
    </font>
    <font>
      <b/>
      <sz val="8"/>
      <color theme="6" tint="-0.499984740745262"/>
      <name val="Calibri"/>
      <family val="2"/>
      <charset val="204"/>
      <scheme val="minor"/>
    </font>
    <font>
      <sz val="9"/>
      <color theme="6" tint="-0.499984740745262"/>
      <name val="Calibri"/>
      <family val="2"/>
      <charset val="204"/>
      <scheme val="minor"/>
    </font>
    <font>
      <sz val="11"/>
      <color rgb="FFFF0000"/>
      <name val="Calibri"/>
      <family val="2"/>
      <charset val="204"/>
      <scheme val="minor"/>
    </font>
    <font>
      <b/>
      <sz val="11"/>
      <color rgb="FFFF0000"/>
      <name val="Calibri"/>
      <family val="2"/>
      <charset val="204"/>
      <scheme val="minor"/>
    </font>
    <font>
      <b/>
      <u/>
      <sz val="14"/>
      <color theme="9" tint="-0.249977111117893"/>
      <name val="Calibri"/>
      <family val="2"/>
      <charset val="204"/>
      <scheme val="minor"/>
    </font>
    <font>
      <b/>
      <sz val="14"/>
      <color rgb="FF002060"/>
      <name val="Calibri"/>
      <family val="2"/>
      <charset val="204"/>
      <scheme val="minor"/>
    </font>
    <font>
      <sz val="14"/>
      <color rgb="FF002060"/>
      <name val="Calibri"/>
      <family val="2"/>
      <charset val="204"/>
      <scheme val="minor"/>
    </font>
    <font>
      <b/>
      <sz val="9"/>
      <color theme="1"/>
      <name val="Calibri"/>
      <family val="2"/>
      <charset val="204"/>
      <scheme val="minor"/>
    </font>
    <font>
      <sz val="8"/>
      <color theme="6" tint="-0.499984740745262"/>
      <name val="Calibri"/>
      <family val="2"/>
      <charset val="204"/>
      <scheme val="minor"/>
    </font>
    <font>
      <sz val="9"/>
      <color theme="9" tint="-0.249977111117893"/>
      <name val="Calibri"/>
      <family val="2"/>
      <charset val="204"/>
      <scheme val="minor"/>
    </font>
    <font>
      <u/>
      <sz val="10"/>
      <color theme="1"/>
      <name val="Calibri"/>
      <family val="2"/>
      <charset val="204"/>
      <scheme val="minor"/>
    </font>
    <font>
      <sz val="9"/>
      <color theme="6" tint="-0.249977111117893"/>
      <name val="Calibri"/>
      <family val="2"/>
      <charset val="204"/>
      <scheme val="minor"/>
    </font>
    <font>
      <b/>
      <sz val="8"/>
      <color rgb="FF0070C0"/>
      <name val="Calibri"/>
      <family val="2"/>
      <charset val="204"/>
      <scheme val="minor"/>
    </font>
    <font>
      <sz val="10"/>
      <color rgb="FF0070C0"/>
      <name val="Calibri"/>
      <family val="2"/>
      <charset val="204"/>
      <scheme val="minor"/>
    </font>
    <font>
      <sz val="11"/>
      <color rgb="FF0070C0"/>
      <name val="Wingdings 2"/>
      <family val="1"/>
      <charset val="2"/>
    </font>
    <font>
      <u/>
      <sz val="10"/>
      <name val="Calibri"/>
      <family val="2"/>
      <charset val="204"/>
      <scheme val="minor"/>
    </font>
    <font>
      <sz val="8"/>
      <color theme="4" tint="-0.249977111117893"/>
      <name val="Calibri"/>
      <family val="2"/>
      <charset val="204"/>
      <scheme val="minor"/>
    </font>
    <font>
      <sz val="8"/>
      <color theme="0" tint="-0.14999847407452621"/>
      <name val="Calibri"/>
      <family val="2"/>
      <scheme val="minor"/>
    </font>
    <font>
      <sz val="10"/>
      <color theme="0" tint="-0.14999847407452621"/>
      <name val="Calibri"/>
      <family val="2"/>
      <scheme val="minor"/>
    </font>
    <font>
      <b/>
      <sz val="10"/>
      <color theme="0" tint="-0.14999847407452621"/>
      <name val="Calibri"/>
      <family val="2"/>
      <scheme val="minor"/>
    </font>
    <font>
      <sz val="9"/>
      <color theme="0" tint="-0.14999847407452621"/>
      <name val="Calibri"/>
      <family val="2"/>
      <scheme val="minor"/>
    </font>
    <font>
      <sz val="10"/>
      <color theme="0" tint="-0.34998626667073579"/>
      <name val="Calibri"/>
      <family val="2"/>
      <scheme val="minor"/>
    </font>
    <font>
      <b/>
      <sz val="10"/>
      <color theme="0" tint="-0.34998626667073579"/>
      <name val="Calibri"/>
      <family val="2"/>
      <scheme val="minor"/>
    </font>
    <font>
      <sz val="14"/>
      <color theme="4" tint="-0.249977111117893"/>
      <name val="Calibri"/>
      <family val="2"/>
      <charset val="204"/>
      <scheme val="minor"/>
    </font>
    <font>
      <b/>
      <sz val="11"/>
      <name val="Calibri"/>
      <family val="2"/>
      <charset val="204"/>
      <scheme val="minor"/>
    </font>
    <font>
      <b/>
      <sz val="9"/>
      <name val="Calibri"/>
      <family val="2"/>
      <charset val="204"/>
      <scheme val="minor"/>
    </font>
    <font>
      <b/>
      <sz val="18"/>
      <color rgb="FFFF0000"/>
      <name val="Calibri"/>
      <family val="2"/>
      <charset val="204"/>
      <scheme val="minor"/>
    </font>
    <font>
      <u/>
      <sz val="10"/>
      <color theme="9" tint="-0.249977111117893"/>
      <name val="Calibri"/>
      <family val="2"/>
      <scheme val="minor"/>
    </font>
    <font>
      <b/>
      <u/>
      <sz val="10"/>
      <color theme="1"/>
      <name val="Calibri"/>
      <family val="2"/>
      <scheme val="minor"/>
    </font>
    <font>
      <b/>
      <sz val="12"/>
      <color theme="0"/>
      <name val="Calibri"/>
      <family val="2"/>
      <charset val="204"/>
      <scheme val="minor"/>
    </font>
    <font>
      <b/>
      <sz val="14"/>
      <color theme="4" tint="-0.249977111117893"/>
      <name val="Calibri"/>
      <family val="2"/>
      <charset val="204"/>
      <scheme val="minor"/>
    </font>
    <font>
      <sz val="11"/>
      <color theme="4" tint="-0.249977111117893"/>
      <name val="Wingdings 2"/>
      <family val="1"/>
      <charset val="2"/>
    </font>
    <font>
      <b/>
      <sz val="8"/>
      <color theme="4" tint="-0.249977111117893"/>
      <name val="Calibri"/>
      <family val="2"/>
      <charset val="204"/>
      <scheme val="minor"/>
    </font>
    <font>
      <u/>
      <sz val="10"/>
      <color theme="1"/>
      <name val="Calibri"/>
      <family val="2"/>
      <scheme val="minor"/>
    </font>
    <font>
      <b/>
      <sz val="12"/>
      <color theme="6" tint="-0.499984740745262"/>
      <name val="Calibri"/>
      <family val="2"/>
      <charset val="204"/>
      <scheme val="minor"/>
    </font>
    <font>
      <sz val="10"/>
      <color theme="6" tint="-0.499984740745262"/>
      <name val="Calibri"/>
      <family val="2"/>
      <charset val="204"/>
      <scheme val="minor"/>
    </font>
    <font>
      <b/>
      <sz val="14"/>
      <color rgb="FFFF0000"/>
      <name val="Calibri"/>
      <family val="2"/>
      <charset val="204"/>
      <scheme val="minor"/>
    </font>
    <font>
      <b/>
      <u/>
      <sz val="12"/>
      <color rgb="FFFF0000"/>
      <name val="Calibri"/>
      <family val="2"/>
      <charset val="204"/>
      <scheme val="minor"/>
    </font>
    <font>
      <b/>
      <u/>
      <sz val="14"/>
      <name val="Calibri"/>
      <family val="2"/>
      <charset val="204"/>
      <scheme val="minor"/>
    </font>
    <font>
      <sz val="1"/>
      <color theme="0"/>
      <name val="Calibri"/>
      <family val="2"/>
      <charset val="204"/>
      <scheme val="minor"/>
    </font>
    <font>
      <b/>
      <sz val="14"/>
      <color theme="1"/>
      <name val="Calibri"/>
      <family val="2"/>
      <charset val="204"/>
      <scheme val="minor"/>
    </font>
    <font>
      <b/>
      <i/>
      <sz val="14"/>
      <color theme="6" tint="-0.499984740745262"/>
      <name val="Calibri"/>
      <family val="2"/>
      <charset val="204"/>
      <scheme val="minor"/>
    </font>
    <font>
      <i/>
      <sz val="14"/>
      <color theme="6" tint="-0.499984740745262"/>
      <name val="Calibri"/>
      <family val="2"/>
      <charset val="204"/>
      <scheme val="minor"/>
    </font>
    <font>
      <sz val="10"/>
      <color theme="1" tint="0.14999847407452621"/>
      <name val="Calibri"/>
      <family val="2"/>
      <charset val="204"/>
      <scheme val="minor"/>
    </font>
    <font>
      <sz val="9"/>
      <color theme="0" tint="-0.14999847407452621"/>
      <name val="Calibri"/>
      <family val="2"/>
      <charset val="204"/>
      <scheme val="minor"/>
    </font>
    <font>
      <sz val="8"/>
      <color theme="0" tint="-0.14999847407452621"/>
      <name val="Calibri"/>
      <family val="2"/>
      <charset val="204"/>
      <scheme val="minor"/>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499984740745262"/>
        <bgColor indexed="64"/>
      </patternFill>
    </fill>
    <fill>
      <patternFill patternType="solid">
        <fgColor rgb="FFFF0000"/>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499984740745262"/>
        <bgColor indexed="64"/>
      </patternFill>
    </fill>
  </fills>
  <borders count="218">
    <border>
      <left/>
      <right/>
      <top/>
      <bottom/>
      <diagonal/>
    </border>
    <border>
      <left style="thin">
        <color theme="0" tint="-0.14993743705557422"/>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34998626667073579"/>
      </top>
      <bottom style="thin">
        <color theme="0" tint="-0.34998626667073579"/>
      </bottom>
      <diagonal/>
    </border>
    <border>
      <left style="thin">
        <color theme="0" tint="-0.14993743705557422"/>
      </left>
      <right/>
      <top style="thin">
        <color theme="0" tint="-0.14996795556505021"/>
      </top>
      <bottom/>
      <diagonal/>
    </border>
    <border>
      <left style="thin">
        <color theme="0" tint="-0.14993743705557422"/>
      </left>
      <right style="thin">
        <color theme="0" tint="-0.14993743705557422"/>
      </right>
      <top style="thin">
        <color theme="0" tint="-0.14996795556505021"/>
      </top>
      <bottom/>
      <diagonal/>
    </border>
    <border>
      <left/>
      <right/>
      <top/>
      <bottom style="thin">
        <color theme="0" tint="-0.34998626667073579"/>
      </bottom>
      <diagonal/>
    </border>
    <border>
      <left style="thin">
        <color theme="0" tint="-0.14990691854609822"/>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3743705557422"/>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top/>
      <bottom style="thin">
        <color theme="0" tint="-0.14996795556505021"/>
      </bottom>
      <diagonal/>
    </border>
    <border>
      <left/>
      <right style="thin">
        <color theme="0" tint="-0.34998626667073579"/>
      </right>
      <top/>
      <bottom style="thin">
        <color theme="0" tint="-0.14996795556505021"/>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style="thin">
        <color theme="0" tint="-0.14990691854609822"/>
      </left>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3743705557422"/>
      </right>
      <top style="thin">
        <color theme="0" tint="-0.14996795556505021"/>
      </top>
      <bottom/>
      <diagonal/>
    </border>
    <border>
      <left/>
      <right style="thin">
        <color theme="0" tint="-0.34998626667073579"/>
      </right>
      <top style="thin">
        <color theme="0" tint="-0.14996795556505021"/>
      </top>
      <bottom/>
      <diagonal/>
    </border>
    <border>
      <left/>
      <right/>
      <top style="medium">
        <color theme="1" tint="0.499984740745262"/>
      </top>
      <bottom style="thin">
        <color theme="0" tint="-0.34998626667073579"/>
      </bottom>
      <diagonal/>
    </border>
    <border>
      <left style="thin">
        <color theme="0" tint="-0.14993743705557422"/>
      </left>
      <right/>
      <top style="thin">
        <color auto="1"/>
      </top>
      <bottom style="thin">
        <color theme="0" tint="-0.14996795556505021"/>
      </bottom>
      <diagonal/>
    </border>
    <border>
      <left/>
      <right style="thin">
        <color theme="0" tint="-0.14993743705557422"/>
      </right>
      <top style="thin">
        <color auto="1"/>
      </top>
      <bottom style="thin">
        <color theme="0" tint="-0.14996795556505021"/>
      </bottom>
      <diagonal/>
    </border>
    <border>
      <left style="thin">
        <color theme="0" tint="-0.14993743705557422"/>
      </left>
      <right style="thin">
        <color theme="0" tint="-0.14993743705557422"/>
      </right>
      <top style="thin">
        <color auto="1"/>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style="thin">
        <color theme="0" tint="-0.14993743705557422"/>
      </left>
      <right style="thin">
        <color theme="0" tint="-0.14990691854609822"/>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0" tint="-0.14996795556505021"/>
      </top>
      <bottom/>
      <diagonal/>
    </border>
    <border>
      <left style="thin">
        <color theme="1" tint="0.499984740745262"/>
      </left>
      <right style="thin">
        <color theme="1" tint="0.499984740745262"/>
      </right>
      <top style="thin">
        <color theme="0" tint="-0.24994659260841701"/>
      </top>
      <bottom/>
      <diagonal/>
    </border>
    <border>
      <left style="thin">
        <color theme="1" tint="0.499984740745262"/>
      </left>
      <right/>
      <top/>
      <bottom/>
      <diagonal/>
    </border>
    <border>
      <left style="thin">
        <color theme="1" tint="0.499984740745262"/>
      </left>
      <right/>
      <top style="thin">
        <color theme="0" tint="-0.34998626667073579"/>
      </top>
      <bottom/>
      <diagonal/>
    </border>
    <border>
      <left/>
      <right style="thick">
        <color theme="5" tint="-0.24994659260841701"/>
      </right>
      <top style="thick">
        <color theme="5" tint="-0.24994659260841701"/>
      </top>
      <bottom/>
      <diagonal/>
    </border>
    <border>
      <left/>
      <right style="thick">
        <color theme="5" tint="-0.24994659260841701"/>
      </right>
      <top/>
      <bottom style="medium">
        <color theme="5" tint="-0.24994659260841701"/>
      </bottom>
      <diagonal/>
    </border>
    <border>
      <left style="thin">
        <color theme="0" tint="-0.14990691854609822"/>
      </left>
      <right style="thin">
        <color theme="0" tint="-0.14993743705557422"/>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6795556505021"/>
      </top>
      <bottom/>
      <diagonal/>
    </border>
    <border>
      <left style="thin">
        <color theme="0" tint="-0.14990691854609822"/>
      </left>
      <right style="thin">
        <color theme="0" tint="-0.14993743705557422"/>
      </right>
      <top/>
      <bottom style="thin">
        <color theme="0" tint="-0.14996795556505021"/>
      </bottom>
      <diagonal/>
    </border>
    <border>
      <left style="thin">
        <color theme="0" tint="-0.14990691854609822"/>
      </left>
      <right style="thin">
        <color theme="0" tint="-0.14993743705557422"/>
      </right>
      <top style="thin">
        <color auto="1"/>
      </top>
      <bottom style="thin">
        <color theme="0" tint="-0.14996795556505021"/>
      </bottom>
      <diagonal/>
    </border>
    <border>
      <left style="thin">
        <color theme="0" tint="-0.14996795556505021"/>
      </left>
      <right/>
      <top/>
      <bottom/>
      <diagonal/>
    </border>
    <border>
      <left style="thin">
        <color theme="0" tint="-0.14996795556505021"/>
      </left>
      <right style="thin">
        <color theme="1" tint="0.499984740745262"/>
      </right>
      <top style="thin">
        <color theme="0" tint="-0.14996795556505021"/>
      </top>
      <bottom/>
      <diagonal/>
    </border>
    <border>
      <left style="thin">
        <color theme="0" tint="-0.14996795556505021"/>
      </left>
      <right style="thin">
        <color theme="1" tint="0.499984740745262"/>
      </right>
      <top/>
      <bottom/>
      <diagonal/>
    </border>
    <border>
      <left style="thin">
        <color theme="0" tint="-0.1499374370555742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top style="thin">
        <color theme="0" tint="-0.499984740745262"/>
      </top>
      <bottom/>
      <diagonal/>
    </border>
    <border>
      <left/>
      <right/>
      <top/>
      <bottom style="medium">
        <color theme="0" tint="-0.499984740745262"/>
      </bottom>
      <diagonal/>
    </border>
    <border>
      <left style="thin">
        <color theme="0" tint="-0.34998626667073579"/>
      </left>
      <right style="thin">
        <color theme="0" tint="-0.14996795556505021"/>
      </right>
      <top style="thin">
        <color theme="0" tint="-0.14996795556505021"/>
      </top>
      <bottom style="thin">
        <color theme="0" tint="-0.14996795556505021"/>
      </bottom>
      <diagonal/>
    </border>
    <border>
      <left style="thin">
        <color theme="0" tint="-0.34998626667073579"/>
      </left>
      <right style="thin">
        <color theme="0" tint="-0.14996795556505021"/>
      </right>
      <top style="thin">
        <color theme="0" tint="-0.14996795556505021"/>
      </top>
      <bottom/>
      <diagonal/>
    </border>
    <border>
      <left style="thin">
        <color theme="0" tint="-0.34998626667073579"/>
      </left>
      <right style="thin">
        <color theme="0" tint="-0.14996795556505021"/>
      </right>
      <top/>
      <bottom style="thin">
        <color theme="0" tint="-0.14996795556505021"/>
      </bottom>
      <diagonal/>
    </border>
    <border>
      <left style="thin">
        <color theme="0" tint="-0.34998626667073579"/>
      </left>
      <right style="thin">
        <color theme="0" tint="-0.14996795556505021"/>
      </right>
      <top style="thin">
        <color auto="1"/>
      </top>
      <bottom style="thin">
        <color theme="0" tint="-0.14996795556505021"/>
      </bottom>
      <diagonal/>
    </border>
    <border>
      <left style="thin">
        <color theme="0" tint="-0.14993743705557422"/>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style="thin">
        <color theme="0" tint="-0.499984740745262"/>
      </left>
      <right/>
      <top/>
      <bottom/>
      <diagonal/>
    </border>
    <border>
      <left style="thin">
        <color theme="0" tint="-0.1498764000366222"/>
      </left>
      <right style="thin">
        <color theme="0" tint="-0.14990691854609822"/>
      </right>
      <top style="thin">
        <color theme="0" tint="-0.24994659260841701"/>
      </top>
      <bottom style="thin">
        <color theme="0" tint="-0.24994659260841701"/>
      </bottom>
      <diagonal/>
    </border>
    <border>
      <left style="thin">
        <color theme="0" tint="-0.1498764000366222"/>
      </left>
      <right style="thin">
        <color theme="0" tint="-0.14990691854609822"/>
      </right>
      <top style="thin">
        <color theme="0" tint="-0.24994659260841701"/>
      </top>
      <bottom/>
      <diagonal/>
    </border>
    <border>
      <left style="thin">
        <color theme="0" tint="-0.1498764000366222"/>
      </left>
      <right style="thin">
        <color theme="0" tint="-0.14990691854609822"/>
      </right>
      <top style="thin">
        <color auto="1"/>
      </top>
      <bottom style="thin">
        <color theme="0" tint="-0.24994659260841701"/>
      </bottom>
      <diagonal/>
    </border>
    <border>
      <left/>
      <right/>
      <top style="thin">
        <color theme="1" tint="0.499984740745262"/>
      </top>
      <bottom style="thin">
        <color theme="0" tint="-0.34998626667073579"/>
      </bottom>
      <diagonal/>
    </border>
    <border>
      <left/>
      <right/>
      <top style="medium">
        <color theme="1" tint="0.499984740745262"/>
      </top>
      <bottom/>
      <diagonal/>
    </border>
    <border>
      <left/>
      <right/>
      <top/>
      <bottom style="thin">
        <color theme="1" tint="0.499984740745262"/>
      </bottom>
      <diagonal/>
    </border>
    <border>
      <left style="thin">
        <color theme="0" tint="-0.14993743705557422"/>
      </left>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style="thin">
        <color theme="0" tint="-0.34998626667073579"/>
      </left>
      <right style="thin">
        <color theme="0" tint="-0.14996795556505021"/>
      </right>
      <top style="thin">
        <color theme="0" tint="-0.14990691854609822"/>
      </top>
      <bottom style="thin">
        <color theme="0" tint="-0.14990691854609822"/>
      </bottom>
      <diagonal/>
    </border>
    <border>
      <left style="thin">
        <color theme="0" tint="-0.14987640003662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6795556505021"/>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right/>
      <top style="thin">
        <color theme="0" tint="-0.34998626667073579"/>
      </top>
      <bottom/>
      <diagonal/>
    </border>
    <border>
      <left style="thin">
        <color theme="0" tint="-0.34998626667073579"/>
      </left>
      <right style="thin">
        <color theme="0" tint="-0.14996795556505021"/>
      </right>
      <top style="thin">
        <color theme="0" tint="-0.14990691854609822"/>
      </top>
      <bottom/>
      <diagonal/>
    </border>
    <border>
      <left style="thin">
        <color theme="0" tint="-0.14993743705557422"/>
      </left>
      <right/>
      <top style="thin">
        <color theme="0" tint="-0.14990691854609822"/>
      </top>
      <bottom/>
      <diagonal/>
    </border>
    <border>
      <left style="thin">
        <color theme="0" tint="-0.1498764000366222"/>
      </left>
      <right style="thin">
        <color theme="0" tint="-0.14990691854609822"/>
      </right>
      <top style="thin">
        <color theme="0" tint="-0.14990691854609822"/>
      </top>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6795556505021"/>
      </left>
      <right/>
      <top style="thin">
        <color theme="0" tint="-0.14990691854609822"/>
      </top>
      <bottom/>
      <diagonal/>
    </border>
    <border>
      <left/>
      <right style="thin">
        <color theme="0" tint="-0.14993743705557422"/>
      </right>
      <top style="thin">
        <color theme="0" tint="-0.14990691854609822"/>
      </top>
      <bottom/>
      <diagonal/>
    </border>
    <border>
      <left style="thin">
        <color theme="0" tint="-0.14990691854609822"/>
      </left>
      <right/>
      <top style="thin">
        <color theme="0" tint="-0.14990691854609822"/>
      </top>
      <bottom/>
      <diagonal/>
    </border>
    <border>
      <left style="thin">
        <color theme="0" tint="-0.14993743705557422"/>
      </left>
      <right/>
      <top style="thin">
        <color auto="1"/>
      </top>
      <bottom style="thin">
        <color theme="0" tint="-0.14996795556505021"/>
      </bottom>
      <diagonal/>
    </border>
    <border>
      <left style="thin">
        <color theme="0" tint="-0.1498764000366222"/>
      </left>
      <right style="thin">
        <color theme="0" tint="-0.14990691854609822"/>
      </right>
      <top style="thin">
        <color auto="1"/>
      </top>
      <bottom style="thin">
        <color theme="0" tint="-0.24994659260841701"/>
      </bottom>
      <diagonal/>
    </border>
    <border>
      <left style="thin">
        <color theme="0" tint="-0.14996795556505021"/>
      </left>
      <right/>
      <top style="thin">
        <color auto="1"/>
      </top>
      <bottom style="thin">
        <color theme="0" tint="-0.14996795556505021"/>
      </bottom>
      <diagonal/>
    </border>
    <border>
      <left/>
      <right style="thin">
        <color theme="0" tint="-0.14993743705557422"/>
      </right>
      <top style="thin">
        <color auto="1"/>
      </top>
      <bottom style="thin">
        <color theme="0" tint="-0.14996795556505021"/>
      </bottom>
      <diagonal/>
    </border>
    <border>
      <left style="thin">
        <color theme="0" tint="-0.14990691854609822"/>
      </left>
      <right/>
      <top style="thin">
        <color auto="1"/>
      </top>
      <bottom style="thin">
        <color theme="0" tint="-0.14996795556505021"/>
      </bottom>
      <diagonal/>
    </border>
    <border>
      <left style="thin">
        <color theme="0" tint="-0.34998626667073579"/>
      </left>
      <right style="thin">
        <color theme="0" tint="-0.14996795556505021"/>
      </right>
      <top style="thin">
        <color auto="1"/>
      </top>
      <bottom style="thin">
        <color theme="0" tint="-0.14996795556505021"/>
      </bottom>
      <diagonal/>
    </border>
    <border>
      <left style="thin">
        <color theme="0" tint="-0.14990691854609822"/>
      </left>
      <right style="thin">
        <color theme="0" tint="-0.14993743705557422"/>
      </right>
      <top style="thin">
        <color auto="1"/>
      </top>
      <bottom style="thin">
        <color theme="0" tint="-0.14996795556505021"/>
      </bottom>
      <diagonal/>
    </border>
    <border>
      <left style="thin">
        <color theme="0" tint="-0.14993743705557422"/>
      </left>
      <right style="thin">
        <color theme="0" tint="-0.14993743705557422"/>
      </right>
      <top style="thin">
        <color auto="1"/>
      </top>
      <bottom style="thin">
        <color theme="0" tint="-0.14996795556505021"/>
      </bottom>
      <diagonal/>
    </border>
    <border>
      <left style="thin">
        <color theme="0" tint="-0.14996795556505021"/>
      </left>
      <right/>
      <top style="thin">
        <color theme="0" tint="-0.499984740745262"/>
      </top>
      <bottom/>
      <diagonal/>
    </border>
    <border>
      <left style="thin">
        <color theme="0" tint="-0.14993743705557422"/>
      </left>
      <right/>
      <top style="thin">
        <color theme="1" tint="0.24994659260841701"/>
      </top>
      <bottom style="thin">
        <color theme="0" tint="-0.14996795556505021"/>
      </bottom>
      <diagonal/>
    </border>
    <border>
      <left style="thin">
        <color theme="0" tint="-0.14990691854609822"/>
      </left>
      <right/>
      <top style="thin">
        <color theme="1" tint="0.24994659260841701"/>
      </top>
      <bottom style="thin">
        <color theme="0" tint="-0.14996795556505021"/>
      </bottom>
      <diagonal/>
    </border>
    <border>
      <left style="thin">
        <color theme="0" tint="-0.34998626667073579"/>
      </left>
      <right style="thin">
        <color theme="0" tint="-0.14996795556505021"/>
      </right>
      <top style="thin">
        <color theme="1" tint="0.24994659260841701"/>
      </top>
      <bottom style="thin">
        <color theme="0" tint="-0.14996795556505021"/>
      </bottom>
      <diagonal/>
    </border>
    <border>
      <left style="thin">
        <color theme="0" tint="-0.1498764000366222"/>
      </left>
      <right style="thin">
        <color theme="0" tint="-0.14990691854609822"/>
      </right>
      <top style="thin">
        <color theme="1" tint="0.24994659260841701"/>
      </top>
      <bottom style="thin">
        <color theme="0" tint="-0.24994659260841701"/>
      </bottom>
      <diagonal/>
    </border>
    <border>
      <left style="thin">
        <color theme="0" tint="-0.14990691854609822"/>
      </left>
      <right style="thin">
        <color theme="0" tint="-0.14993743705557422"/>
      </right>
      <top style="thin">
        <color theme="1" tint="0.24994659260841701"/>
      </top>
      <bottom style="thin">
        <color theme="0" tint="-0.14996795556505021"/>
      </bottom>
      <diagonal/>
    </border>
    <border>
      <left style="thin">
        <color theme="0" tint="-0.14993743705557422"/>
      </left>
      <right style="thin">
        <color theme="0" tint="-0.14993743705557422"/>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34998626667073579"/>
      </top>
      <bottom style="thin">
        <color theme="0" tint="-0.14996795556505021"/>
      </bottom>
      <diagonal/>
    </border>
    <border>
      <left/>
      <right style="thin">
        <color theme="0" tint="-0.14993743705557422"/>
      </right>
      <top/>
      <bottom/>
      <diagonal/>
    </border>
    <border>
      <left style="thin">
        <color theme="0" tint="-0.14993743705557422"/>
      </left>
      <right style="thin">
        <color theme="0" tint="-0.14990691854609822"/>
      </right>
      <top style="thin">
        <color theme="0" tint="-0.14990691854609822"/>
      </top>
      <bottom style="thin">
        <color theme="0" tint="-0.14996795556505021"/>
      </bottom>
      <diagonal/>
    </border>
    <border>
      <left style="thin">
        <color theme="0" tint="-0.14990691854609822"/>
      </left>
      <right/>
      <top style="thin">
        <color theme="0" tint="-0.14990691854609822"/>
      </top>
      <bottom style="thin">
        <color theme="0" tint="-0.14996795556505021"/>
      </bottom>
      <diagonal/>
    </border>
    <border>
      <left style="thin">
        <color theme="0" tint="-0.34998626667073579"/>
      </left>
      <right style="thin">
        <color theme="0" tint="-0.14996795556505021"/>
      </right>
      <top style="thin">
        <color theme="0" tint="-0.14990691854609822"/>
      </top>
      <bottom style="thin">
        <color theme="0" tint="-0.14996795556505021"/>
      </bottom>
      <diagonal/>
    </border>
    <border>
      <left style="thin">
        <color theme="0" tint="-0.14993743705557422"/>
      </left>
      <right/>
      <top style="thin">
        <color theme="0" tint="-0.14990691854609822"/>
      </top>
      <bottom style="thin">
        <color theme="0" tint="-0.14996795556505021"/>
      </bottom>
      <diagonal/>
    </border>
    <border>
      <left style="thin">
        <color theme="0" tint="-0.14990691854609822"/>
      </left>
      <right style="thin">
        <color theme="0" tint="-0.14993743705557422"/>
      </right>
      <top style="thin">
        <color theme="0" tint="-0.14990691854609822"/>
      </top>
      <bottom style="thin">
        <color theme="0" tint="-0.14996795556505021"/>
      </bottom>
      <diagonal/>
    </border>
    <border>
      <left style="thin">
        <color theme="0" tint="-0.14993743705557422"/>
      </left>
      <right style="thin">
        <color theme="0" tint="-0.14993743705557422"/>
      </right>
      <top style="thin">
        <color theme="0" tint="-0.14990691854609822"/>
      </top>
      <bottom style="thin">
        <color theme="0" tint="-0.14996795556505021"/>
      </bottom>
      <diagonal/>
    </border>
    <border>
      <left style="thin">
        <color theme="0" tint="-0.14996795556505021"/>
      </left>
      <right/>
      <top style="thin">
        <color theme="0" tint="-0.14990691854609822"/>
      </top>
      <bottom style="thin">
        <color theme="0" tint="-0.14996795556505021"/>
      </bottom>
      <diagonal/>
    </border>
    <border>
      <left/>
      <right style="thin">
        <color theme="0" tint="-0.14993743705557422"/>
      </right>
      <top style="thin">
        <color theme="0" tint="-0.14990691854609822"/>
      </top>
      <bottom style="thin">
        <color theme="0" tint="-0.14996795556505021"/>
      </bottom>
      <diagonal/>
    </border>
    <border>
      <left/>
      <right style="thin">
        <color theme="0" tint="-0.34998626667073579"/>
      </right>
      <top style="thin">
        <color theme="0" tint="-0.14990691854609822"/>
      </top>
      <bottom style="thin">
        <color theme="0" tint="-0.14996795556505021"/>
      </bottom>
      <diagonal/>
    </border>
    <border>
      <left style="thin">
        <color theme="0" tint="-0.14993743705557422"/>
      </left>
      <right style="thin">
        <color theme="0" tint="-0.14990691854609822"/>
      </right>
      <top style="thin">
        <color theme="0" tint="-0.14990691854609822"/>
      </top>
      <bottom/>
      <diagonal/>
    </border>
    <border>
      <left style="thin">
        <color theme="0" tint="-0.1498764000366222"/>
      </left>
      <right style="thin">
        <color theme="0" tint="-0.14990691854609822"/>
      </right>
      <top style="thin">
        <color theme="0" tint="-0.14990691854609822"/>
      </top>
      <bottom style="thin">
        <color theme="0" tint="-0.24994659260841701"/>
      </bottom>
      <diagonal/>
    </border>
    <border>
      <left style="thin">
        <color theme="0" tint="-0.1499374370555742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14993743705557422"/>
      </left>
      <right/>
      <top style="thin">
        <color theme="0" tint="-0.34998626667073579"/>
      </top>
      <bottom style="thin">
        <color theme="0" tint="-0.14996795556505021"/>
      </bottom>
      <diagonal/>
    </border>
    <border>
      <left style="thin">
        <color theme="0" tint="-0.14990691854609822"/>
      </left>
      <right/>
      <top style="thin">
        <color theme="0" tint="-0.34998626667073579"/>
      </top>
      <bottom style="thin">
        <color theme="0" tint="-0.14996795556505021"/>
      </bottom>
      <diagonal/>
    </border>
    <border>
      <left style="thin">
        <color theme="0" tint="-0.34998626667073579"/>
      </left>
      <right style="thin">
        <color theme="0" tint="-0.14996795556505021"/>
      </right>
      <top style="thin">
        <color theme="0" tint="-0.34998626667073579"/>
      </top>
      <bottom style="thin">
        <color theme="0" tint="-0.14996795556505021"/>
      </bottom>
      <diagonal/>
    </border>
    <border>
      <left style="thin">
        <color theme="0" tint="-0.1498764000366222"/>
      </left>
      <right style="thin">
        <color theme="0" tint="-0.14990691854609822"/>
      </right>
      <top style="thin">
        <color theme="0" tint="-0.34998626667073579"/>
      </top>
      <bottom style="thin">
        <color theme="0" tint="-0.24994659260841701"/>
      </bottom>
      <diagonal/>
    </border>
    <border>
      <left style="thin">
        <color theme="0" tint="-0.14990691854609822"/>
      </left>
      <right style="thin">
        <color theme="0" tint="-0.14993743705557422"/>
      </right>
      <top style="thin">
        <color theme="0" tint="-0.34998626667073579"/>
      </top>
      <bottom style="thin">
        <color theme="0" tint="-0.14996795556505021"/>
      </bottom>
      <diagonal/>
    </border>
    <border>
      <left style="thin">
        <color theme="0" tint="-0.14993743705557422"/>
      </left>
      <right style="thin">
        <color theme="0" tint="-0.14993743705557422"/>
      </right>
      <top style="thin">
        <color theme="0" tint="-0.34998626667073579"/>
      </top>
      <bottom style="thin">
        <color theme="0" tint="-0.14996795556505021"/>
      </bottom>
      <diagonal/>
    </border>
    <border>
      <left style="thin">
        <color theme="0" tint="-0.14996795556505021"/>
      </left>
      <right/>
      <top style="thin">
        <color theme="0" tint="-0.34998626667073579"/>
      </top>
      <bottom style="thin">
        <color theme="0" tint="-0.14996795556505021"/>
      </bottom>
      <diagonal/>
    </border>
    <border>
      <left/>
      <right style="thin">
        <color theme="0" tint="-0.14993743705557422"/>
      </right>
      <top style="thin">
        <color theme="0" tint="-0.34998626667073579"/>
      </top>
      <bottom style="thin">
        <color theme="0" tint="-0.14996795556505021"/>
      </bottom>
      <diagonal/>
    </border>
    <border>
      <left/>
      <right style="thin">
        <color theme="0" tint="-0.34998626667073579"/>
      </right>
      <top style="thin">
        <color theme="0" tint="-0.34998626667073579"/>
      </top>
      <bottom style="thin">
        <color theme="0" tint="-0.14996795556505021"/>
      </bottom>
      <diagonal/>
    </border>
    <border>
      <left/>
      <right style="thin">
        <color theme="0" tint="-0.34998626667073579"/>
      </right>
      <top style="thin">
        <color theme="0" tint="-0.14990691854609822"/>
      </top>
      <bottom style="thin">
        <color theme="0" tint="-0.14990691854609822"/>
      </bottom>
      <diagonal/>
    </border>
    <border>
      <left style="thin">
        <color theme="0" tint="-0.14993743705557422"/>
      </left>
      <right style="thin">
        <color theme="0" tint="-0.14996795556505021"/>
      </right>
      <top style="thin">
        <color theme="0" tint="-0.14990691854609822"/>
      </top>
      <bottom style="thin">
        <color theme="0" tint="-0.14990691854609822"/>
      </bottom>
      <diagonal/>
    </border>
    <border>
      <left/>
      <right/>
      <top style="thin">
        <color theme="1" tint="0.499984740745262"/>
      </top>
      <bottom/>
      <diagonal/>
    </border>
    <border>
      <left style="thin">
        <color theme="0" tint="-0.14993743705557422"/>
      </left>
      <right style="thin">
        <color theme="0" tint="-0.14990691854609822"/>
      </right>
      <top style="thin">
        <color theme="1" tint="0.24994659260841701"/>
      </top>
      <bottom style="thin">
        <color theme="0" tint="-0.14996795556505021"/>
      </bottom>
      <diagonal/>
    </border>
    <border>
      <left style="thin">
        <color theme="0" tint="-0.1498764000366222"/>
      </left>
      <right style="thin">
        <color theme="0" tint="-0.14990691854609822"/>
      </right>
      <top/>
      <bottom style="thin">
        <color theme="0" tint="-0.24994659260841701"/>
      </bottom>
      <diagonal/>
    </border>
    <border>
      <left style="thin">
        <color theme="0" tint="-0.14993743705557422"/>
      </left>
      <right/>
      <top style="thin">
        <color theme="0" tint="-0.499984740745262"/>
      </top>
      <bottom style="thin">
        <color theme="0" tint="-0.14996795556505021"/>
      </bottom>
      <diagonal/>
    </border>
    <border>
      <left style="thin">
        <color theme="0" tint="-0.14990691854609822"/>
      </left>
      <right/>
      <top style="thin">
        <color theme="0" tint="-0.499984740745262"/>
      </top>
      <bottom style="thin">
        <color theme="0" tint="-0.14996795556505021"/>
      </bottom>
      <diagonal/>
    </border>
    <border>
      <left style="thin">
        <color theme="0" tint="-0.34998626667073579"/>
      </left>
      <right style="thin">
        <color theme="0" tint="-0.14996795556505021"/>
      </right>
      <top style="thin">
        <color theme="0" tint="-0.499984740745262"/>
      </top>
      <bottom style="thin">
        <color theme="0" tint="-0.14996795556505021"/>
      </bottom>
      <diagonal/>
    </border>
    <border>
      <left style="thin">
        <color theme="0" tint="-0.1498764000366222"/>
      </left>
      <right style="thin">
        <color theme="0" tint="-0.14990691854609822"/>
      </right>
      <top style="thin">
        <color theme="0" tint="-0.499984740745262"/>
      </top>
      <bottom style="thin">
        <color theme="0" tint="-0.24994659260841701"/>
      </bottom>
      <diagonal/>
    </border>
    <border>
      <left style="thin">
        <color theme="0" tint="-0.14990691854609822"/>
      </left>
      <right style="thin">
        <color theme="0" tint="-0.14993743705557422"/>
      </right>
      <top style="thin">
        <color theme="0" tint="-0.499984740745262"/>
      </top>
      <bottom style="thin">
        <color theme="0" tint="-0.14996795556505021"/>
      </bottom>
      <diagonal/>
    </border>
    <border>
      <left style="thin">
        <color theme="0" tint="-0.14993743705557422"/>
      </left>
      <right style="thin">
        <color theme="0" tint="-0.14993743705557422"/>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
      <left/>
      <right style="thin">
        <color theme="0" tint="-0.14993743705557422"/>
      </right>
      <top style="thin">
        <color theme="0" tint="-0.499984740745262"/>
      </top>
      <bottom style="thin">
        <color theme="0" tint="-0.14996795556505021"/>
      </bottom>
      <diagonal/>
    </border>
    <border>
      <left style="thin">
        <color theme="0" tint="-0.14993743705557422"/>
      </left>
      <right style="thin">
        <color theme="0" tint="-0.14990691854609822"/>
      </right>
      <top style="thin">
        <color theme="0" tint="-0.499984740745262"/>
      </top>
      <bottom style="thin">
        <color theme="0" tint="-0.14996795556505021"/>
      </bottom>
      <diagonal/>
    </border>
    <border>
      <left style="thin">
        <color theme="0" tint="-0.14993743705557422"/>
      </left>
      <right style="thin">
        <color theme="0" tint="-0.14993743705557422"/>
      </right>
      <top style="thin">
        <color theme="0" tint="-0.499984740745262"/>
      </top>
      <bottom style="thin">
        <color theme="0" tint="-0.14990691854609822"/>
      </bottom>
      <diagonal/>
    </border>
    <border>
      <left style="thin">
        <color theme="0" tint="-0.14993743705557422"/>
      </left>
      <right/>
      <top style="thin">
        <color theme="0" tint="-0.499984740745262"/>
      </top>
      <bottom style="thin">
        <color theme="0" tint="-0.14990691854609822"/>
      </bottom>
      <diagonal/>
    </border>
    <border>
      <left style="thin">
        <color theme="0" tint="-0.14990691854609822"/>
      </left>
      <right/>
      <top style="thin">
        <color theme="0" tint="-0.499984740745262"/>
      </top>
      <bottom style="thin">
        <color theme="0" tint="-0.14990691854609822"/>
      </bottom>
      <diagonal/>
    </border>
    <border>
      <left style="thin">
        <color theme="0" tint="-0.34998626667073579"/>
      </left>
      <right style="thin">
        <color theme="0" tint="-0.14996795556505021"/>
      </right>
      <top style="thin">
        <color theme="0" tint="-0.499984740745262"/>
      </top>
      <bottom style="thin">
        <color theme="0" tint="-0.14990691854609822"/>
      </bottom>
      <diagonal/>
    </border>
    <border>
      <left style="thin">
        <color theme="0" tint="-0.1498764000366222"/>
      </left>
      <right style="thin">
        <color theme="0" tint="-0.14990691854609822"/>
      </right>
      <top style="thin">
        <color theme="0" tint="-0.499984740745262"/>
      </top>
      <bottom style="thin">
        <color theme="0" tint="-0.14990691854609822"/>
      </bottom>
      <diagonal/>
    </border>
    <border>
      <left style="thin">
        <color theme="0" tint="-0.14990691854609822"/>
      </left>
      <right style="thin">
        <color theme="0" tint="-0.14993743705557422"/>
      </right>
      <top style="thin">
        <color theme="0" tint="-0.499984740745262"/>
      </top>
      <bottom style="thin">
        <color theme="0" tint="-0.14990691854609822"/>
      </bottom>
      <diagonal/>
    </border>
    <border>
      <left style="thin">
        <color theme="0" tint="-0.14996795556505021"/>
      </left>
      <right/>
      <top style="thin">
        <color theme="0" tint="-0.499984740745262"/>
      </top>
      <bottom style="thin">
        <color theme="0" tint="-0.14990691854609822"/>
      </bottom>
      <diagonal/>
    </border>
    <border>
      <left/>
      <right style="thin">
        <color theme="0" tint="-0.14993743705557422"/>
      </right>
      <top style="thin">
        <color theme="0" tint="-0.499984740745262"/>
      </top>
      <bottom style="thin">
        <color theme="0" tint="-0.14990691854609822"/>
      </bottom>
      <diagonal/>
    </border>
    <border>
      <left style="thin">
        <color theme="0" tint="-0.14993743705557422"/>
      </left>
      <right style="thin">
        <color theme="0" tint="-0.14993743705557422"/>
      </right>
      <top style="thin">
        <color theme="0" tint="-0.499984740745262"/>
      </top>
      <bottom/>
      <diagonal/>
    </border>
    <border>
      <left style="thin">
        <color theme="0" tint="-0.14993743705557422"/>
      </left>
      <right/>
      <top style="thin">
        <color theme="0" tint="-0.499984740745262"/>
      </top>
      <bottom/>
      <diagonal/>
    </border>
    <border>
      <left style="thin">
        <color theme="0" tint="-0.14990691854609822"/>
      </left>
      <right/>
      <top style="thin">
        <color theme="0" tint="-0.499984740745262"/>
      </top>
      <bottom/>
      <diagonal/>
    </border>
    <border>
      <left style="thin">
        <color theme="0" tint="-0.34998626667073579"/>
      </left>
      <right style="thin">
        <color theme="0" tint="-0.14996795556505021"/>
      </right>
      <top style="thin">
        <color theme="0" tint="-0.499984740745262"/>
      </top>
      <bottom/>
      <diagonal/>
    </border>
    <border>
      <left style="thin">
        <color theme="0" tint="-0.1498764000366222"/>
      </left>
      <right style="thin">
        <color theme="0" tint="-0.14990691854609822"/>
      </right>
      <top style="thin">
        <color theme="0" tint="-0.499984740745262"/>
      </top>
      <bottom/>
      <diagonal/>
    </border>
    <border>
      <left style="thin">
        <color theme="0" tint="-0.14990691854609822"/>
      </left>
      <right style="thin">
        <color theme="0" tint="-0.14993743705557422"/>
      </right>
      <top style="thin">
        <color theme="0" tint="-0.499984740745262"/>
      </top>
      <bottom/>
      <diagonal/>
    </border>
    <border>
      <left/>
      <right style="thin">
        <color theme="0" tint="-0.14993743705557422"/>
      </right>
      <top style="thin">
        <color theme="0" tint="-0.499984740745262"/>
      </top>
      <bottom/>
      <diagonal/>
    </border>
    <border>
      <left style="thin">
        <color theme="0" tint="-0.14993743705557422"/>
      </left>
      <right style="thin">
        <color theme="0" tint="-0.14990691854609822"/>
      </right>
      <top style="thin">
        <color theme="0" tint="-0.499984740745262"/>
      </top>
      <bottom/>
      <diagonal/>
    </border>
    <border>
      <left style="thin">
        <color theme="0" tint="-0.14993743705557422"/>
      </left>
      <right/>
      <top style="thin">
        <color theme="0" tint="-0.34998626667073579"/>
      </top>
      <bottom style="thin">
        <color theme="0" tint="-0.14990691854609822"/>
      </bottom>
      <diagonal/>
    </border>
    <border>
      <left style="thin">
        <color theme="0" tint="-0.14990691854609822"/>
      </left>
      <right/>
      <top style="thin">
        <color theme="0" tint="-0.34998626667073579"/>
      </top>
      <bottom style="thin">
        <color theme="0" tint="-0.14990691854609822"/>
      </bottom>
      <diagonal/>
    </border>
    <border>
      <left style="thin">
        <color theme="0" tint="-0.34998626667073579"/>
      </left>
      <right style="thin">
        <color theme="0" tint="-0.14996795556505021"/>
      </right>
      <top style="thin">
        <color theme="0" tint="-0.34998626667073579"/>
      </top>
      <bottom style="thin">
        <color theme="0" tint="-0.14990691854609822"/>
      </bottom>
      <diagonal/>
    </border>
    <border>
      <left style="thin">
        <color theme="0" tint="-0.14990691854609822"/>
      </left>
      <right style="thin">
        <color theme="0" tint="-0.14993743705557422"/>
      </right>
      <top style="thin">
        <color theme="0" tint="-0.34998626667073579"/>
      </top>
      <bottom style="thin">
        <color theme="0" tint="-0.14990691854609822"/>
      </bottom>
      <diagonal/>
    </border>
    <border>
      <left style="thin">
        <color theme="0" tint="-0.14993743705557422"/>
      </left>
      <right style="thin">
        <color theme="0" tint="-0.14993743705557422"/>
      </right>
      <top style="thin">
        <color theme="0" tint="-0.34998626667073579"/>
      </top>
      <bottom style="thin">
        <color theme="0" tint="-0.14990691854609822"/>
      </bottom>
      <diagonal/>
    </border>
    <border>
      <left style="thin">
        <color theme="0" tint="-0.14996795556505021"/>
      </left>
      <right/>
      <top style="thin">
        <color theme="0" tint="-0.34998626667073579"/>
      </top>
      <bottom style="thin">
        <color theme="0" tint="-0.14990691854609822"/>
      </bottom>
      <diagonal/>
    </border>
    <border>
      <left/>
      <right style="thin">
        <color theme="0" tint="-0.14993743705557422"/>
      </right>
      <top style="thin">
        <color theme="0" tint="-0.34998626667073579"/>
      </top>
      <bottom style="thin">
        <color theme="0" tint="-0.14990691854609822"/>
      </bottom>
      <diagonal/>
    </border>
    <border>
      <left style="thin">
        <color theme="0" tint="-0.14993743705557422"/>
      </left>
      <right style="thin">
        <color theme="0" tint="-0.14990691854609822"/>
      </right>
      <top style="thin">
        <color theme="0" tint="-0.34998626667073579"/>
      </top>
      <bottom style="thin">
        <color theme="0" tint="-0.14990691854609822"/>
      </bottom>
      <diagonal/>
    </border>
    <border>
      <left style="thin">
        <color theme="0" tint="-0.14993743705557422"/>
      </left>
      <right style="thin">
        <color theme="0" tint="-0.14993743705557422"/>
      </right>
      <top style="thin">
        <color theme="0" tint="-0.499984740745262"/>
      </top>
      <bottom style="thin">
        <color theme="0" tint="-0.34998626667073579"/>
      </bottom>
      <diagonal/>
    </border>
    <border>
      <left style="thin">
        <color theme="0" tint="-0.14993743705557422"/>
      </left>
      <right/>
      <top style="thin">
        <color theme="0" tint="-0.499984740745262"/>
      </top>
      <bottom style="thin">
        <color theme="0" tint="-0.34998626667073579"/>
      </bottom>
      <diagonal/>
    </border>
    <border>
      <left style="thin">
        <color theme="0" tint="-0.14990691854609822"/>
      </left>
      <right/>
      <top style="thin">
        <color theme="0" tint="-0.499984740745262"/>
      </top>
      <bottom style="thin">
        <color theme="0" tint="-0.34998626667073579"/>
      </bottom>
      <diagonal/>
    </border>
    <border>
      <left style="thin">
        <color theme="0" tint="-0.34998626667073579"/>
      </left>
      <right style="thin">
        <color theme="0" tint="-0.14996795556505021"/>
      </right>
      <top style="thin">
        <color theme="0" tint="-0.499984740745262"/>
      </top>
      <bottom style="thin">
        <color theme="0" tint="-0.34998626667073579"/>
      </bottom>
      <diagonal/>
    </border>
    <border>
      <left style="thin">
        <color theme="0" tint="-0.1498764000366222"/>
      </left>
      <right style="thin">
        <color theme="0" tint="-0.14990691854609822"/>
      </right>
      <top style="thin">
        <color theme="0" tint="-0.499984740745262"/>
      </top>
      <bottom style="thin">
        <color theme="0" tint="-0.34998626667073579"/>
      </bottom>
      <diagonal/>
    </border>
    <border>
      <left style="thin">
        <color theme="0" tint="-0.14990691854609822"/>
      </left>
      <right style="thin">
        <color theme="0" tint="-0.14993743705557422"/>
      </right>
      <top style="thin">
        <color theme="0" tint="-0.499984740745262"/>
      </top>
      <bottom style="thin">
        <color theme="0" tint="-0.34998626667073579"/>
      </bottom>
      <diagonal/>
    </border>
    <border>
      <left style="thin">
        <color theme="0" tint="-0.14996795556505021"/>
      </left>
      <right/>
      <top style="thin">
        <color theme="0" tint="-0.499984740745262"/>
      </top>
      <bottom style="thin">
        <color theme="0" tint="-0.34998626667073579"/>
      </bottom>
      <diagonal/>
    </border>
    <border>
      <left/>
      <right style="thin">
        <color theme="0" tint="-0.14993743705557422"/>
      </right>
      <top style="thin">
        <color theme="0" tint="-0.499984740745262"/>
      </top>
      <bottom style="thin">
        <color theme="0" tint="-0.34998626667073579"/>
      </bottom>
      <diagonal/>
    </border>
    <border>
      <left style="thin">
        <color theme="0" tint="-0.14993743705557422"/>
      </left>
      <right/>
      <top/>
      <bottom/>
      <diagonal/>
    </border>
    <border>
      <left style="thin">
        <color theme="0" tint="-0.14990691854609822"/>
      </left>
      <right/>
      <top/>
      <bottom/>
      <diagonal/>
    </border>
    <border>
      <left style="thin">
        <color theme="0" tint="-0.34998626667073579"/>
      </left>
      <right style="thin">
        <color theme="0" tint="-0.14996795556505021"/>
      </right>
      <top/>
      <bottom/>
      <diagonal/>
    </border>
    <border>
      <left style="thin">
        <color theme="0" tint="-0.14990691854609822"/>
      </left>
      <right style="thin">
        <color theme="0" tint="-0.14993743705557422"/>
      </right>
      <top/>
      <bottom/>
      <diagonal/>
    </border>
    <border>
      <left/>
      <right/>
      <top style="thin">
        <color theme="1" tint="0.499984740745262"/>
      </top>
      <bottom style="thin">
        <color theme="1" tint="0.499984740745262"/>
      </bottom>
      <diagonal/>
    </border>
    <border>
      <left style="thin">
        <color theme="0" tint="-0.14993743705557422"/>
      </left>
      <right style="thin">
        <color theme="0" tint="-0.14990691854609822"/>
      </right>
      <top/>
      <bottom/>
      <diagonal/>
    </border>
    <border>
      <left style="thin">
        <color theme="0" tint="-0.14993743705557422"/>
      </left>
      <right style="thin">
        <color theme="0" tint="-0.14993743705557422"/>
      </right>
      <top/>
      <bottom/>
      <diagonal/>
    </border>
    <border>
      <left style="thin">
        <color theme="0" tint="-0.14993743705557422"/>
      </left>
      <right style="thin">
        <color theme="0" tint="-0.14990691854609822"/>
      </right>
      <top style="thin">
        <color theme="0" tint="-0.14996795556505021"/>
      </top>
      <bottom style="thin">
        <color theme="0" tint="-0.14990691854609822"/>
      </bottom>
      <diagonal/>
    </border>
    <border>
      <left style="thin">
        <color theme="0" tint="-0.14990691854609822"/>
      </left>
      <right/>
      <top style="thin">
        <color theme="0" tint="-0.14996795556505021"/>
      </top>
      <bottom style="thin">
        <color theme="0" tint="-0.14990691854609822"/>
      </bottom>
      <diagonal/>
    </border>
    <border>
      <left style="thin">
        <color theme="0" tint="-0.34998626667073579"/>
      </left>
      <right style="thin">
        <color theme="0" tint="-0.14996795556505021"/>
      </right>
      <top style="thin">
        <color theme="0" tint="-0.14996795556505021"/>
      </top>
      <bottom style="thin">
        <color theme="0" tint="-0.14990691854609822"/>
      </bottom>
      <diagonal/>
    </border>
    <border>
      <left style="thin">
        <color theme="0" tint="-0.14993743705557422"/>
      </left>
      <right/>
      <top style="thin">
        <color theme="0" tint="-0.14996795556505021"/>
      </top>
      <bottom style="thin">
        <color theme="0" tint="-0.14990691854609822"/>
      </bottom>
      <diagonal/>
    </border>
    <border>
      <left style="thin">
        <color theme="0" tint="-0.1498764000366222"/>
      </left>
      <right style="thin">
        <color theme="0" tint="-0.14990691854609822"/>
      </right>
      <top style="thin">
        <color theme="0" tint="-0.24994659260841701"/>
      </top>
      <bottom style="thin">
        <color theme="0" tint="-0.14990691854609822"/>
      </bottom>
      <diagonal/>
    </border>
    <border>
      <left style="thin">
        <color theme="0" tint="-0.14990691854609822"/>
      </left>
      <right style="thin">
        <color theme="0" tint="-0.14993743705557422"/>
      </right>
      <top style="thin">
        <color theme="0" tint="-0.14996795556505021"/>
      </top>
      <bottom style="thin">
        <color theme="0" tint="-0.14990691854609822"/>
      </bottom>
      <diagonal/>
    </border>
    <border>
      <left style="thin">
        <color theme="0" tint="-0.14993743705557422"/>
      </left>
      <right style="thin">
        <color theme="0" tint="-0.14993743705557422"/>
      </right>
      <top style="thin">
        <color theme="0" tint="-0.14996795556505021"/>
      </top>
      <bottom style="thin">
        <color theme="0" tint="-0.14990691854609822"/>
      </bottom>
      <diagonal/>
    </border>
    <border>
      <left style="thin">
        <color theme="0" tint="-0.14996795556505021"/>
      </left>
      <right/>
      <top style="thin">
        <color theme="0" tint="-0.14996795556505021"/>
      </top>
      <bottom style="thin">
        <color theme="0" tint="-0.14990691854609822"/>
      </bottom>
      <diagonal/>
    </border>
    <border>
      <left/>
      <right style="thin">
        <color theme="0" tint="-0.14993743705557422"/>
      </right>
      <top style="thin">
        <color theme="0" tint="-0.14996795556505021"/>
      </top>
      <bottom style="thin">
        <color theme="0" tint="-0.149906918546098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double">
        <color theme="6" tint="-0.499984740745262"/>
      </top>
      <bottom/>
      <diagonal/>
    </border>
    <border>
      <left/>
      <right/>
      <top/>
      <bottom style="double">
        <color theme="6" tint="-0.499984740745262"/>
      </bottom>
      <diagonal/>
    </border>
    <border>
      <left style="thin">
        <color theme="0" tint="-0.14996795556505021"/>
      </left>
      <right style="thin">
        <color theme="0" tint="-0.14996795556505021"/>
      </right>
      <top style="thin">
        <color theme="0" tint="-0.34998626667073579"/>
      </top>
      <bottom style="thin">
        <color theme="0" tint="-0.14996795556505021"/>
      </bottom>
      <diagonal/>
    </border>
    <border>
      <left style="thin">
        <color theme="0" tint="-0.14993743705557422"/>
      </left>
      <right style="thin">
        <color theme="0" tint="-0.14993743705557422"/>
      </right>
      <top style="thin">
        <color theme="0" tint="-0.34998626667073579"/>
      </top>
      <bottom/>
      <diagonal/>
    </border>
    <border>
      <left style="thin">
        <color theme="0" tint="-0.14993743705557422"/>
      </left>
      <right style="thin">
        <color theme="0" tint="-0.14990691854609822"/>
      </right>
      <top style="thin">
        <color theme="0" tint="-0.34998626667073579"/>
      </top>
      <bottom/>
      <diagonal/>
    </border>
    <border>
      <left style="thin">
        <color theme="0" tint="-0.14990691854609822"/>
      </left>
      <right/>
      <top style="thin">
        <color theme="0" tint="-0.34998626667073579"/>
      </top>
      <bottom/>
      <diagonal/>
    </border>
    <border>
      <left style="thin">
        <color theme="0" tint="-0.34998626667073579"/>
      </left>
      <right style="thin">
        <color theme="0" tint="-0.14996795556505021"/>
      </right>
      <top style="thin">
        <color theme="0" tint="-0.34998626667073579"/>
      </top>
      <bottom/>
      <diagonal/>
    </border>
    <border>
      <left style="thin">
        <color theme="0" tint="-0.14993743705557422"/>
      </left>
      <right/>
      <top style="thin">
        <color theme="0" tint="-0.34998626667073579"/>
      </top>
      <bottom/>
      <diagonal/>
    </border>
    <border>
      <left style="thin">
        <color theme="0" tint="-0.14990691854609822"/>
      </left>
      <right style="thin">
        <color theme="0" tint="-0.14993743705557422"/>
      </right>
      <top style="thin">
        <color theme="0" tint="-0.34998626667073579"/>
      </top>
      <bottom/>
      <diagonal/>
    </border>
    <border>
      <left style="thin">
        <color theme="0" tint="-0.14996795556505021"/>
      </left>
      <right/>
      <top style="thin">
        <color theme="0" tint="-0.34998626667073579"/>
      </top>
      <bottom/>
      <diagonal/>
    </border>
    <border>
      <left/>
      <right style="thin">
        <color theme="0" tint="-0.14993743705557422"/>
      </right>
      <top style="thin">
        <color theme="0" tint="-0.34998626667073579"/>
      </top>
      <bottom/>
      <diagonal/>
    </border>
    <border>
      <left style="thin">
        <color theme="0" tint="-0.1498764000366222"/>
      </left>
      <right style="thin">
        <color theme="0" tint="-0.14990691854609822"/>
      </right>
      <top style="thin">
        <color theme="0" tint="-0.34998626667073579"/>
      </top>
      <bottom/>
      <diagonal/>
    </border>
    <border>
      <left style="thin">
        <color theme="0" tint="-0.14993743705557422"/>
      </left>
      <right style="thin">
        <color theme="0" tint="-0.14990691854609822"/>
      </right>
      <top style="thin">
        <color theme="0" tint="-0.34998626667073579"/>
      </top>
      <bottom style="thin">
        <color theme="0" tint="-0.14996795556505021"/>
      </bottom>
      <diagonal/>
    </border>
    <border>
      <left style="thin">
        <color theme="0" tint="-0.14993743705557422"/>
      </left>
      <right style="thin">
        <color theme="0" tint="-0.14993743705557422"/>
      </right>
      <top style="thin">
        <color theme="0" tint="-0.34998626667073579"/>
      </top>
      <bottom style="thin">
        <color theme="0" tint="-0.34998626667073579"/>
      </bottom>
      <diagonal/>
    </border>
    <border>
      <left style="thin">
        <color theme="0" tint="-0.14993743705557422"/>
      </left>
      <right/>
      <top style="thin">
        <color theme="0" tint="-0.34998626667073579"/>
      </top>
      <bottom style="thin">
        <color theme="0" tint="-0.34998626667073579"/>
      </bottom>
      <diagonal/>
    </border>
    <border>
      <left style="thin">
        <color theme="0" tint="-0.14990691854609822"/>
      </left>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34998626667073579"/>
      </bottom>
      <diagonal/>
    </border>
    <border>
      <left style="thin">
        <color theme="0" tint="-0.1498764000366222"/>
      </left>
      <right style="thin">
        <color theme="0" tint="-0.14990691854609822"/>
      </right>
      <top style="thin">
        <color theme="0" tint="-0.34998626667073579"/>
      </top>
      <bottom style="thin">
        <color theme="0" tint="-0.34998626667073579"/>
      </bottom>
      <diagonal/>
    </border>
    <border>
      <left style="thin">
        <color theme="0" tint="-0.14990691854609822"/>
      </left>
      <right style="thin">
        <color theme="0" tint="-0.14993743705557422"/>
      </right>
      <top style="thin">
        <color theme="0" tint="-0.34998626667073579"/>
      </top>
      <bottom style="thin">
        <color theme="0" tint="-0.34998626667073579"/>
      </bottom>
      <diagonal/>
    </border>
    <border>
      <left style="thin">
        <color theme="0" tint="-0.14996795556505021"/>
      </left>
      <right/>
      <top style="thin">
        <color theme="0" tint="-0.34998626667073579"/>
      </top>
      <bottom style="thin">
        <color theme="0" tint="-0.34998626667073579"/>
      </bottom>
      <diagonal/>
    </border>
    <border>
      <left/>
      <right style="thin">
        <color theme="0" tint="-0.14993743705557422"/>
      </right>
      <top style="thin">
        <color theme="0" tint="-0.34998626667073579"/>
      </top>
      <bottom style="thin">
        <color theme="0" tint="-0.34998626667073579"/>
      </bottom>
      <diagonal/>
    </border>
    <border>
      <left style="thin">
        <color theme="0" tint="-0.14993743705557422"/>
      </left>
      <right style="thin">
        <color theme="0" tint="-0.14996795556505021"/>
      </right>
      <top style="thin">
        <color theme="0" tint="-0.14990691854609822"/>
      </top>
      <bottom/>
      <diagonal/>
    </border>
    <border>
      <left style="thin">
        <color theme="0" tint="-0.1498764000366222"/>
      </left>
      <right style="thin">
        <color theme="0" tint="-0.14990691854609822"/>
      </right>
      <top style="thin">
        <color theme="0" tint="-0.34998626667073579"/>
      </top>
      <bottom style="thin">
        <color theme="0" tint="-0.14990691854609822"/>
      </bottom>
      <diagonal/>
    </border>
    <border>
      <left style="thin">
        <color theme="0" tint="-0.14993743705557422"/>
      </left>
      <right style="thin">
        <color theme="0" tint="-0.14996795556505021"/>
      </right>
      <top style="thin">
        <color theme="0" tint="-0.34998626667073579"/>
      </top>
      <bottom style="thin">
        <color theme="0" tint="-0.14990691854609822"/>
      </bottom>
      <diagonal/>
    </border>
    <border>
      <left style="thin">
        <color theme="0" tint="-0.14996795556505021"/>
      </left>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34998626667073579"/>
      </top>
      <bottom style="thin">
        <color theme="0" tint="-0.14996795556505021"/>
      </bottom>
      <diagonal/>
    </border>
  </borders>
  <cellStyleXfs count="3">
    <xf numFmtId="0" fontId="0" fillId="0" borderId="0"/>
    <xf numFmtId="0" fontId="12" fillId="0" borderId="0" applyNumberFormat="0" applyFill="0" applyBorder="0" applyAlignment="0" applyProtection="0"/>
    <xf numFmtId="0" fontId="71" fillId="0" borderId="0">
      <alignment horizontal="left"/>
    </xf>
  </cellStyleXfs>
  <cellXfs count="1293">
    <xf numFmtId="0" fontId="0" fillId="0" borderId="0" xfId="0"/>
    <xf numFmtId="0" fontId="0" fillId="2" borderId="0" xfId="0" applyFill="1"/>
    <xf numFmtId="2" fontId="4" fillId="0" borderId="0" xfId="0" applyNumberFormat="1" applyFont="1" applyAlignment="1">
      <alignment horizontal="center"/>
    </xf>
    <xf numFmtId="0" fontId="1" fillId="0" borderId="0" xfId="0" applyFont="1"/>
    <xf numFmtId="0" fontId="5" fillId="0" borderId="0" xfId="0" applyFont="1"/>
    <xf numFmtId="2" fontId="3" fillId="2" borderId="5" xfId="0" applyNumberFormat="1" applyFont="1" applyFill="1" applyBorder="1" applyAlignment="1">
      <alignment horizontal="center"/>
    </xf>
    <xf numFmtId="2" fontId="12" fillId="0" borderId="0" xfId="1" applyNumberFormat="1" applyFill="1" applyAlignment="1">
      <alignment horizontal="center"/>
    </xf>
    <xf numFmtId="0" fontId="8" fillId="3" borderId="6" xfId="0" applyFont="1" applyFill="1" applyBorder="1" applyAlignment="1">
      <alignment horizontal="center"/>
    </xf>
    <xf numFmtId="0" fontId="9" fillId="3" borderId="6" xfId="0" applyFont="1" applyFill="1" applyBorder="1" applyAlignment="1">
      <alignment horizontal="center"/>
    </xf>
    <xf numFmtId="1" fontId="13" fillId="3" borderId="6" xfId="0" applyNumberFormat="1" applyFont="1" applyFill="1" applyBorder="1" applyAlignment="1">
      <alignment horizontal="left" vertical="center"/>
    </xf>
    <xf numFmtId="2" fontId="11" fillId="3" borderId="6" xfId="0" applyNumberFormat="1" applyFont="1" applyFill="1" applyBorder="1" applyAlignment="1">
      <alignment horizontal="center" vertical="center"/>
    </xf>
    <xf numFmtId="2" fontId="3" fillId="3" borderId="6" xfId="0" applyNumberFormat="1" applyFont="1" applyFill="1" applyBorder="1" applyAlignment="1">
      <alignment horizontal="center" vertical="center"/>
    </xf>
    <xf numFmtId="1" fontId="14" fillId="2" borderId="7" xfId="0" applyNumberFormat="1" applyFont="1" applyFill="1" applyBorder="1" applyAlignment="1">
      <alignment horizontal="center"/>
    </xf>
    <xf numFmtId="0" fontId="17" fillId="0" borderId="0" xfId="0" applyFont="1" applyAlignment="1">
      <alignment horizontal="center"/>
    </xf>
    <xf numFmtId="0" fontId="18" fillId="0" borderId="0" xfId="0" applyFont="1" applyAlignment="1">
      <alignment horizontal="left"/>
    </xf>
    <xf numFmtId="0" fontId="14" fillId="4" borderId="13" xfId="0" applyFont="1" applyFill="1" applyBorder="1" applyAlignment="1">
      <alignment horizontal="center"/>
    </xf>
    <xf numFmtId="1" fontId="14" fillId="4" borderId="14" xfId="0" applyNumberFormat="1" applyFont="1" applyFill="1" applyBorder="1" applyAlignment="1">
      <alignment horizontal="center"/>
    </xf>
    <xf numFmtId="2" fontId="3" fillId="4" borderId="2" xfId="0" applyNumberFormat="1" applyFont="1" applyFill="1" applyBorder="1" applyAlignment="1">
      <alignment horizontal="center"/>
    </xf>
    <xf numFmtId="2" fontId="3" fillId="4" borderId="1" xfId="0" applyNumberFormat="1" applyFont="1" applyFill="1" applyBorder="1" applyAlignment="1">
      <alignment horizontal="center"/>
    </xf>
    <xf numFmtId="0" fontId="14" fillId="2" borderId="13" xfId="0" applyFont="1" applyFill="1" applyBorder="1" applyAlignment="1">
      <alignment horizontal="center"/>
    </xf>
    <xf numFmtId="1" fontId="14" fillId="2" borderId="14" xfId="0" applyNumberFormat="1" applyFont="1" applyFill="1" applyBorder="1" applyAlignment="1">
      <alignment horizontal="center"/>
    </xf>
    <xf numFmtId="2" fontId="3" fillId="2" borderId="2" xfId="0" applyNumberFormat="1" applyFont="1" applyFill="1" applyBorder="1" applyAlignment="1">
      <alignment horizontal="center"/>
    </xf>
    <xf numFmtId="2" fontId="3" fillId="2" borderId="1" xfId="0" applyNumberFormat="1" applyFont="1" applyFill="1" applyBorder="1" applyAlignment="1">
      <alignment horizontal="center"/>
    </xf>
    <xf numFmtId="1" fontId="14" fillId="2" borderId="18" xfId="0" applyNumberFormat="1" applyFont="1" applyFill="1" applyBorder="1" applyAlignment="1">
      <alignment horizontal="center"/>
    </xf>
    <xf numFmtId="2" fontId="3" fillId="2" borderId="4" xfId="0" applyNumberFormat="1" applyFont="1" applyFill="1" applyBorder="1" applyAlignment="1">
      <alignment horizontal="center"/>
    </xf>
    <xf numFmtId="0" fontId="8" fillId="3" borderId="3" xfId="0" applyFont="1" applyFill="1" applyBorder="1" applyAlignment="1">
      <alignment horizontal="center"/>
    </xf>
    <xf numFmtId="0" fontId="9" fillId="3" borderId="3" xfId="0" applyFont="1" applyFill="1" applyBorder="1" applyAlignment="1">
      <alignment horizontal="center"/>
    </xf>
    <xf numFmtId="1" fontId="13" fillId="3" borderId="3" xfId="0" applyNumberFormat="1" applyFont="1" applyFill="1" applyBorder="1" applyAlignment="1">
      <alignment horizontal="left" vertical="center"/>
    </xf>
    <xf numFmtId="2" fontId="11" fillId="3" borderId="3" xfId="0" applyNumberFormat="1" applyFont="1" applyFill="1" applyBorder="1" applyAlignment="1">
      <alignment horizontal="center"/>
    </xf>
    <xf numFmtId="2" fontId="3" fillId="3" borderId="3" xfId="0" applyNumberFormat="1" applyFont="1" applyFill="1" applyBorder="1" applyAlignment="1">
      <alignment horizontal="center"/>
    </xf>
    <xf numFmtId="0" fontId="14" fillId="2" borderId="1" xfId="0" applyFont="1" applyFill="1" applyBorder="1" applyAlignment="1">
      <alignment horizontal="center"/>
    </xf>
    <xf numFmtId="0" fontId="14" fillId="4" borderId="1" xfId="0" applyFont="1" applyFill="1" applyBorder="1" applyAlignment="1">
      <alignment horizontal="center"/>
    </xf>
    <xf numFmtId="0" fontId="14" fillId="4" borderId="4" xfId="0" applyFont="1" applyFill="1" applyBorder="1" applyAlignment="1">
      <alignment horizontal="center"/>
    </xf>
    <xf numFmtId="1" fontId="14" fillId="4" borderId="18" xfId="0" applyNumberFormat="1" applyFont="1" applyFill="1" applyBorder="1" applyAlignment="1">
      <alignment horizontal="center"/>
    </xf>
    <xf numFmtId="2" fontId="3" fillId="4" borderId="5" xfId="0" applyNumberFormat="1" applyFont="1" applyFill="1" applyBorder="1" applyAlignment="1">
      <alignment horizontal="center"/>
    </xf>
    <xf numFmtId="2" fontId="3" fillId="4" borderId="4" xfId="0" applyNumberFormat="1" applyFont="1" applyFill="1" applyBorder="1" applyAlignment="1">
      <alignment horizontal="center"/>
    </xf>
    <xf numFmtId="0" fontId="14" fillId="2" borderId="11" xfId="0" applyFont="1" applyFill="1" applyBorder="1" applyAlignment="1">
      <alignment horizontal="center"/>
    </xf>
    <xf numFmtId="0" fontId="14" fillId="2" borderId="4" xfId="0" applyFont="1" applyFill="1" applyBorder="1" applyAlignment="1">
      <alignment horizontal="center"/>
    </xf>
    <xf numFmtId="1" fontId="14" fillId="3" borderId="22" xfId="0" applyNumberFormat="1" applyFont="1" applyFill="1" applyBorder="1" applyAlignment="1">
      <alignment horizontal="center"/>
    </xf>
    <xf numFmtId="1" fontId="13" fillId="3" borderId="22" xfId="0" applyNumberFormat="1" applyFont="1" applyFill="1" applyBorder="1" applyAlignment="1">
      <alignment horizontal="left" vertical="center"/>
    </xf>
    <xf numFmtId="2" fontId="11" fillId="3" borderId="22" xfId="0" applyNumberFormat="1" applyFont="1" applyFill="1" applyBorder="1" applyAlignment="1">
      <alignment horizontal="center" vertical="center"/>
    </xf>
    <xf numFmtId="2" fontId="3" fillId="3" borderId="22" xfId="0" applyNumberFormat="1" applyFont="1" applyFill="1" applyBorder="1" applyAlignment="1">
      <alignment horizontal="center" vertical="center"/>
    </xf>
    <xf numFmtId="0" fontId="24" fillId="3" borderId="6" xfId="0" applyFont="1" applyFill="1" applyBorder="1" applyAlignment="1">
      <alignment horizontal="center"/>
    </xf>
    <xf numFmtId="0" fontId="25" fillId="2" borderId="8" xfId="0" applyFont="1" applyFill="1" applyBorder="1" applyAlignment="1">
      <alignment horizontal="center"/>
    </xf>
    <xf numFmtId="0" fontId="25" fillId="4" borderId="15" xfId="0" applyFont="1" applyFill="1" applyBorder="1" applyAlignment="1">
      <alignment horizontal="center"/>
    </xf>
    <xf numFmtId="0" fontId="25" fillId="2" borderId="15" xfId="0" applyFont="1" applyFill="1" applyBorder="1" applyAlignment="1">
      <alignment horizontal="center"/>
    </xf>
    <xf numFmtId="0" fontId="25" fillId="2" borderId="19" xfId="0" applyFont="1" applyFill="1" applyBorder="1" applyAlignment="1">
      <alignment horizontal="center"/>
    </xf>
    <xf numFmtId="0" fontId="24" fillId="3" borderId="3" xfId="0" applyFont="1" applyFill="1" applyBorder="1" applyAlignment="1">
      <alignment horizontal="center"/>
    </xf>
    <xf numFmtId="0" fontId="24" fillId="3" borderId="22" xfId="0" applyFont="1" applyFill="1" applyBorder="1" applyAlignment="1">
      <alignment horizontal="center"/>
    </xf>
    <xf numFmtId="0" fontId="26" fillId="0" borderId="0" xfId="0" applyFont="1"/>
    <xf numFmtId="2" fontId="28" fillId="3" borderId="6" xfId="0" applyNumberFormat="1" applyFont="1" applyFill="1" applyBorder="1" applyAlignment="1">
      <alignment horizontal="center"/>
    </xf>
    <xf numFmtId="2" fontId="28" fillId="3" borderId="3" xfId="0" applyNumberFormat="1" applyFont="1" applyFill="1" applyBorder="1" applyAlignment="1">
      <alignment horizontal="center"/>
    </xf>
    <xf numFmtId="2" fontId="28" fillId="3" borderId="22" xfId="0" applyNumberFormat="1" applyFont="1" applyFill="1" applyBorder="1" applyAlignment="1">
      <alignment horizontal="center"/>
    </xf>
    <xf numFmtId="0" fontId="14" fillId="2" borderId="23" xfId="0" applyFont="1" applyFill="1" applyBorder="1" applyAlignment="1">
      <alignment horizontal="center"/>
    </xf>
    <xf numFmtId="2" fontId="3" fillId="2" borderId="25" xfId="0" applyNumberFormat="1" applyFont="1" applyFill="1" applyBorder="1" applyAlignment="1">
      <alignment horizontal="center"/>
    </xf>
    <xf numFmtId="2" fontId="3" fillId="2" borderId="23" xfId="0" applyNumberFormat="1" applyFont="1" applyFill="1" applyBorder="1" applyAlignment="1">
      <alignment horizontal="center"/>
    </xf>
    <xf numFmtId="0" fontId="14" fillId="4" borderId="26" xfId="0" applyFont="1" applyFill="1" applyBorder="1" applyAlignment="1">
      <alignment horizontal="center"/>
    </xf>
    <xf numFmtId="0" fontId="25" fillId="4" borderId="19" xfId="0" applyFont="1" applyFill="1" applyBorder="1" applyAlignment="1">
      <alignment horizontal="center"/>
    </xf>
    <xf numFmtId="0" fontId="25" fillId="2" borderId="28" xfId="0" applyFont="1" applyFill="1" applyBorder="1" applyAlignment="1">
      <alignment horizontal="center"/>
    </xf>
    <xf numFmtId="0" fontId="14" fillId="2" borderId="26" xfId="0" applyFont="1" applyFill="1" applyBorder="1" applyAlignment="1">
      <alignment horizontal="center"/>
    </xf>
    <xf numFmtId="0" fontId="2" fillId="2" borderId="30" xfId="0" applyFont="1" applyFill="1" applyBorder="1" applyAlignment="1">
      <alignment horizontal="center"/>
    </xf>
    <xf numFmtId="0" fontId="9" fillId="2" borderId="29" xfId="0" applyFont="1" applyFill="1" applyBorder="1" applyAlignment="1">
      <alignment horizontal="center"/>
    </xf>
    <xf numFmtId="1" fontId="10" fillId="2" borderId="29" xfId="0" applyNumberFormat="1" applyFont="1" applyFill="1" applyBorder="1" applyAlignment="1">
      <alignment horizontal="center"/>
    </xf>
    <xf numFmtId="2" fontId="11" fillId="2" borderId="29" xfId="0" applyNumberFormat="1" applyFont="1" applyFill="1" applyBorder="1" applyAlignment="1">
      <alignment horizontal="center"/>
    </xf>
    <xf numFmtId="2" fontId="3" fillId="2" borderId="29" xfId="0" applyNumberFormat="1" applyFont="1" applyFill="1" applyBorder="1" applyAlignment="1">
      <alignment horizontal="center"/>
    </xf>
    <xf numFmtId="2" fontId="36" fillId="2" borderId="30" xfId="0" applyNumberFormat="1" applyFont="1" applyFill="1" applyBorder="1" applyAlignment="1">
      <alignment horizontal="center"/>
    </xf>
    <xf numFmtId="0" fontId="11" fillId="2" borderId="16" xfId="0" applyFont="1" applyFill="1" applyBorder="1" applyAlignment="1">
      <alignment horizontal="center"/>
    </xf>
    <xf numFmtId="0" fontId="3" fillId="2" borderId="1" xfId="0" applyFont="1" applyFill="1" applyBorder="1" applyAlignment="1">
      <alignment horizontal="center"/>
    </xf>
    <xf numFmtId="0" fontId="11" fillId="4" borderId="16" xfId="0" applyFont="1" applyFill="1" applyBorder="1" applyAlignment="1">
      <alignment horizontal="center"/>
    </xf>
    <xf numFmtId="0" fontId="3" fillId="4" borderId="1" xfId="0" applyFont="1" applyFill="1" applyBorder="1" applyAlignment="1">
      <alignment horizontal="center"/>
    </xf>
    <xf numFmtId="0" fontId="11" fillId="4" borderId="20" xfId="0" applyFont="1" applyFill="1" applyBorder="1" applyAlignment="1">
      <alignment horizontal="center"/>
    </xf>
    <xf numFmtId="0" fontId="3" fillId="4" borderId="4" xfId="0" applyFont="1" applyFill="1" applyBorder="1" applyAlignment="1">
      <alignment horizontal="center"/>
    </xf>
    <xf numFmtId="0" fontId="11" fillId="2" borderId="24" xfId="0" applyFont="1" applyFill="1" applyBorder="1" applyAlignment="1">
      <alignment horizontal="center"/>
    </xf>
    <xf numFmtId="0" fontId="3" fillId="2" borderId="23" xfId="0" applyFont="1" applyFill="1" applyBorder="1" applyAlignment="1">
      <alignment horizontal="center"/>
    </xf>
    <xf numFmtId="0" fontId="11" fillId="2" borderId="20" xfId="0" applyFont="1" applyFill="1" applyBorder="1" applyAlignment="1">
      <alignment horizontal="center"/>
    </xf>
    <xf numFmtId="0" fontId="3" fillId="2" borderId="4" xfId="0" applyFont="1" applyFill="1" applyBorder="1" applyAlignment="1">
      <alignment horizontal="center"/>
    </xf>
    <xf numFmtId="0" fontId="36" fillId="3" borderId="6" xfId="0" applyFont="1" applyFill="1" applyBorder="1" applyAlignment="1">
      <alignment horizontal="center"/>
    </xf>
    <xf numFmtId="1" fontId="36" fillId="3" borderId="6" xfId="0" applyNumberFormat="1" applyFont="1" applyFill="1" applyBorder="1" applyAlignment="1">
      <alignment horizontal="center"/>
    </xf>
    <xf numFmtId="0" fontId="11" fillId="2" borderId="9" xfId="0" applyFont="1" applyFill="1" applyBorder="1" applyAlignment="1">
      <alignment horizontal="center"/>
    </xf>
    <xf numFmtId="0" fontId="36" fillId="3" borderId="3" xfId="0" applyFont="1" applyFill="1" applyBorder="1" applyAlignment="1">
      <alignment horizontal="center"/>
    </xf>
    <xf numFmtId="1" fontId="36" fillId="3" borderId="3" xfId="0" applyNumberFormat="1" applyFont="1" applyFill="1" applyBorder="1" applyAlignment="1">
      <alignment horizontal="center"/>
    </xf>
    <xf numFmtId="0" fontId="36" fillId="3" borderId="22" xfId="0" applyFont="1" applyFill="1" applyBorder="1" applyAlignment="1">
      <alignment horizontal="center"/>
    </xf>
    <xf numFmtId="1" fontId="36" fillId="3" borderId="22" xfId="0" applyNumberFormat="1" applyFont="1" applyFill="1" applyBorder="1" applyAlignment="1">
      <alignment horizontal="center"/>
    </xf>
    <xf numFmtId="0" fontId="37" fillId="0" borderId="0" xfId="0" applyFont="1"/>
    <xf numFmtId="0" fontId="20" fillId="0" borderId="0" xfId="0" applyFont="1"/>
    <xf numFmtId="0" fontId="2" fillId="2" borderId="1" xfId="0" applyFont="1" applyFill="1" applyBorder="1" applyAlignment="1">
      <alignment horizontal="center"/>
    </xf>
    <xf numFmtId="0" fontId="2" fillId="4" borderId="1" xfId="0" applyFont="1" applyFill="1" applyBorder="1" applyAlignment="1">
      <alignment horizontal="center"/>
    </xf>
    <xf numFmtId="0" fontId="2" fillId="4" borderId="4" xfId="0" applyFont="1" applyFill="1" applyBorder="1" applyAlignment="1">
      <alignment horizontal="center"/>
    </xf>
    <xf numFmtId="0" fontId="2" fillId="2" borderId="11" xfId="0" applyFont="1" applyFill="1" applyBorder="1" applyAlignment="1">
      <alignment horizontal="center"/>
    </xf>
    <xf numFmtId="0" fontId="2" fillId="2" borderId="4" xfId="0" applyFont="1" applyFill="1" applyBorder="1" applyAlignment="1">
      <alignment horizontal="center"/>
    </xf>
    <xf numFmtId="0" fontId="2" fillId="8" borderId="30" xfId="0" applyFont="1" applyFill="1" applyBorder="1" applyAlignment="1">
      <alignment horizontal="center"/>
    </xf>
    <xf numFmtId="0" fontId="8" fillId="2" borderId="29" xfId="0" applyFont="1" applyFill="1" applyBorder="1" applyAlignment="1">
      <alignment horizontal="center"/>
    </xf>
    <xf numFmtId="2" fontId="4" fillId="7" borderId="0" xfId="0" applyNumberFormat="1" applyFont="1" applyFill="1" applyAlignment="1">
      <alignment horizontal="center"/>
    </xf>
    <xf numFmtId="0" fontId="6" fillId="0" borderId="0" xfId="0" applyFont="1" applyAlignment="1">
      <alignment horizontal="left"/>
    </xf>
    <xf numFmtId="0" fontId="43" fillId="0" borderId="0" xfId="0" applyFont="1" applyAlignment="1">
      <alignment horizontal="center"/>
    </xf>
    <xf numFmtId="2" fontId="4" fillId="3" borderId="6" xfId="0" applyNumberFormat="1" applyFont="1" applyFill="1" applyBorder="1" applyAlignment="1">
      <alignment horizontal="center"/>
    </xf>
    <xf numFmtId="2" fontId="4" fillId="3" borderId="3" xfId="0" applyNumberFormat="1" applyFont="1" applyFill="1" applyBorder="1" applyAlignment="1">
      <alignment horizontal="center"/>
    </xf>
    <xf numFmtId="2" fontId="4" fillId="3" borderId="22" xfId="0" applyNumberFormat="1" applyFont="1" applyFill="1" applyBorder="1" applyAlignment="1">
      <alignment horizontal="center"/>
    </xf>
    <xf numFmtId="0" fontId="2" fillId="2" borderId="33" xfId="0" applyFont="1" applyFill="1" applyBorder="1" applyAlignment="1" applyProtection="1">
      <alignment horizontal="center"/>
      <protection hidden="1"/>
    </xf>
    <xf numFmtId="0" fontId="33" fillId="2" borderId="32" xfId="0" applyFont="1" applyFill="1" applyBorder="1" applyAlignment="1" applyProtection="1">
      <alignment horizontal="center"/>
      <protection hidden="1"/>
    </xf>
    <xf numFmtId="0" fontId="34" fillId="2" borderId="17" xfId="0" applyFont="1" applyFill="1" applyBorder="1" applyAlignment="1" applyProtection="1">
      <alignment horizontal="center"/>
      <protection hidden="1"/>
    </xf>
    <xf numFmtId="0" fontId="34" fillId="2" borderId="21" xfId="0" applyFont="1" applyFill="1" applyBorder="1" applyAlignment="1" applyProtection="1">
      <alignment horizontal="center"/>
      <protection hidden="1"/>
    </xf>
    <xf numFmtId="0" fontId="33" fillId="3" borderId="6" xfId="0" applyFont="1" applyFill="1" applyBorder="1" applyAlignment="1" applyProtection="1">
      <alignment horizontal="center"/>
      <protection hidden="1"/>
    </xf>
    <xf numFmtId="0" fontId="34" fillId="2" borderId="12" xfId="0" applyFont="1" applyFill="1" applyBorder="1" applyAlignment="1" applyProtection="1">
      <alignment horizontal="center"/>
      <protection hidden="1"/>
    </xf>
    <xf numFmtId="0" fontId="33" fillId="3" borderId="3" xfId="0" applyFont="1" applyFill="1" applyBorder="1" applyAlignment="1" applyProtection="1">
      <alignment horizontal="center"/>
      <protection hidden="1"/>
    </xf>
    <xf numFmtId="0" fontId="33" fillId="3" borderId="22" xfId="0" applyFont="1" applyFill="1" applyBorder="1" applyAlignment="1" applyProtection="1">
      <alignment horizontal="center"/>
      <protection hidden="1"/>
    </xf>
    <xf numFmtId="0" fontId="35" fillId="0" borderId="0" xfId="0" applyFont="1" applyProtection="1">
      <protection hidden="1"/>
    </xf>
    <xf numFmtId="2" fontId="3" fillId="2" borderId="36" xfId="0" applyNumberFormat="1" applyFont="1" applyFill="1" applyBorder="1" applyAlignment="1">
      <alignment horizontal="center"/>
    </xf>
    <xf numFmtId="2" fontId="3" fillId="4" borderId="36" xfId="0" applyNumberFormat="1" applyFont="1" applyFill="1" applyBorder="1" applyAlignment="1">
      <alignment horizontal="center"/>
    </xf>
    <xf numFmtId="2" fontId="3" fillId="4" borderId="37" xfId="0" applyNumberFormat="1" applyFont="1" applyFill="1" applyBorder="1" applyAlignment="1">
      <alignment horizontal="center"/>
    </xf>
    <xf numFmtId="2" fontId="3" fillId="2" borderId="39" xfId="0" applyNumberFormat="1" applyFont="1" applyFill="1" applyBorder="1" applyAlignment="1">
      <alignment horizontal="center"/>
    </xf>
    <xf numFmtId="2" fontId="3" fillId="2" borderId="37" xfId="0" applyNumberFormat="1" applyFont="1" applyFill="1" applyBorder="1" applyAlignment="1">
      <alignment horizontal="center"/>
    </xf>
    <xf numFmtId="0" fontId="28" fillId="2" borderId="15" xfId="0" applyFont="1" applyFill="1" applyBorder="1" applyAlignment="1">
      <alignment horizontal="center"/>
    </xf>
    <xf numFmtId="0" fontId="28" fillId="4" borderId="15" xfId="0" applyFont="1" applyFill="1" applyBorder="1" applyAlignment="1">
      <alignment horizontal="center"/>
    </xf>
    <xf numFmtId="0" fontId="28" fillId="4" borderId="19" xfId="0" applyFont="1" applyFill="1" applyBorder="1" applyAlignment="1">
      <alignment horizontal="center"/>
    </xf>
    <xf numFmtId="0" fontId="28" fillId="2" borderId="19" xfId="0" applyFont="1" applyFill="1" applyBorder="1" applyAlignment="1">
      <alignment horizontal="center"/>
    </xf>
    <xf numFmtId="0" fontId="28" fillId="2" borderId="28" xfId="0" applyFont="1" applyFill="1" applyBorder="1" applyAlignment="1">
      <alignment horizontal="center"/>
    </xf>
    <xf numFmtId="0" fontId="28" fillId="2" borderId="8" xfId="0" applyFont="1" applyFill="1" applyBorder="1" applyAlignment="1">
      <alignment horizontal="center"/>
    </xf>
    <xf numFmtId="0" fontId="28" fillId="2" borderId="15" xfId="0" applyFont="1" applyFill="1" applyBorder="1" applyAlignment="1">
      <alignment horizontal="left"/>
    </xf>
    <xf numFmtId="0" fontId="28" fillId="4" borderId="15" xfId="0" applyFont="1" applyFill="1" applyBorder="1" applyAlignment="1">
      <alignment horizontal="left"/>
    </xf>
    <xf numFmtId="0" fontId="28" fillId="2" borderId="19" xfId="0" applyFont="1" applyFill="1" applyBorder="1" applyAlignment="1">
      <alignment horizontal="left"/>
    </xf>
    <xf numFmtId="0" fontId="28" fillId="4" borderId="19" xfId="0" applyFont="1" applyFill="1" applyBorder="1" applyAlignment="1">
      <alignment horizontal="left"/>
    </xf>
    <xf numFmtId="0" fontId="2" fillId="8" borderId="41" xfId="0" applyFont="1" applyFill="1" applyBorder="1" applyAlignment="1">
      <alignment horizontal="center"/>
    </xf>
    <xf numFmtId="0" fontId="24" fillId="2" borderId="42" xfId="0" applyFont="1" applyFill="1" applyBorder="1" applyAlignment="1">
      <alignment horizontal="center"/>
    </xf>
    <xf numFmtId="0" fontId="26" fillId="0" borderId="40" xfId="0" applyFont="1" applyBorder="1"/>
    <xf numFmtId="0" fontId="14" fillId="2" borderId="45" xfId="0" applyFont="1" applyFill="1" applyBorder="1" applyAlignment="1">
      <alignment horizontal="center"/>
    </xf>
    <xf numFmtId="1" fontId="14" fillId="2" borderId="45" xfId="0" applyNumberFormat="1" applyFont="1" applyFill="1" applyBorder="1" applyAlignment="1">
      <alignment horizontal="center"/>
    </xf>
    <xf numFmtId="0" fontId="15" fillId="2" borderId="45" xfId="0" applyFont="1" applyFill="1" applyBorder="1"/>
    <xf numFmtId="0" fontId="28" fillId="2" borderId="45" xfId="0" applyFont="1" applyFill="1" applyBorder="1" applyAlignment="1">
      <alignment horizontal="center"/>
    </xf>
    <xf numFmtId="0" fontId="25" fillId="2" borderId="45" xfId="0" applyFont="1" applyFill="1" applyBorder="1" applyAlignment="1">
      <alignment horizontal="center"/>
    </xf>
    <xf numFmtId="2" fontId="43" fillId="2" borderId="45" xfId="0" applyNumberFormat="1" applyFont="1" applyFill="1" applyBorder="1" applyAlignment="1">
      <alignment horizontal="center"/>
    </xf>
    <xf numFmtId="2" fontId="47" fillId="2" borderId="45" xfId="0" applyNumberFormat="1" applyFont="1" applyFill="1" applyBorder="1" applyAlignment="1">
      <alignment horizontal="center"/>
    </xf>
    <xf numFmtId="9" fontId="43" fillId="2" borderId="45" xfId="0" applyNumberFormat="1" applyFont="1" applyFill="1" applyBorder="1" applyAlignment="1">
      <alignment horizontal="center"/>
    </xf>
    <xf numFmtId="0" fontId="11" fillId="2" borderId="45" xfId="0" applyFont="1" applyFill="1" applyBorder="1" applyAlignment="1">
      <alignment horizontal="center"/>
    </xf>
    <xf numFmtId="0" fontId="3" fillId="2" borderId="45" xfId="0" applyFont="1" applyFill="1" applyBorder="1" applyAlignment="1">
      <alignment horizontal="center"/>
    </xf>
    <xf numFmtId="0" fontId="34" fillId="2" borderId="45" xfId="0" applyFont="1" applyFill="1" applyBorder="1" applyAlignment="1" applyProtection="1">
      <alignment horizontal="center"/>
      <protection hidden="1"/>
    </xf>
    <xf numFmtId="0" fontId="14" fillId="2" borderId="46" xfId="0" applyFont="1" applyFill="1" applyBorder="1" applyAlignment="1">
      <alignment horizontal="center"/>
    </xf>
    <xf numFmtId="1" fontId="14" fillId="2" borderId="46" xfId="0" applyNumberFormat="1" applyFont="1" applyFill="1" applyBorder="1" applyAlignment="1">
      <alignment horizontal="center"/>
    </xf>
    <xf numFmtId="0" fontId="15" fillId="2" borderId="46" xfId="0" applyFont="1" applyFill="1" applyBorder="1"/>
    <xf numFmtId="0" fontId="28" fillId="2" borderId="46" xfId="0" applyFont="1" applyFill="1" applyBorder="1" applyAlignment="1">
      <alignment horizontal="center"/>
    </xf>
    <xf numFmtId="0" fontId="25" fillId="2" borderId="46" xfId="0" applyFont="1" applyFill="1" applyBorder="1" applyAlignment="1">
      <alignment horizontal="center"/>
    </xf>
    <xf numFmtId="2" fontId="43" fillId="2" borderId="46" xfId="0" applyNumberFormat="1" applyFont="1" applyFill="1" applyBorder="1" applyAlignment="1">
      <alignment horizontal="center"/>
    </xf>
    <xf numFmtId="2" fontId="47" fillId="2" borderId="46" xfId="0" applyNumberFormat="1" applyFont="1" applyFill="1" applyBorder="1" applyAlignment="1">
      <alignment horizontal="center"/>
    </xf>
    <xf numFmtId="9" fontId="43" fillId="2" borderId="46" xfId="0" applyNumberFormat="1" applyFont="1" applyFill="1" applyBorder="1" applyAlignment="1">
      <alignment horizontal="center"/>
    </xf>
    <xf numFmtId="0" fontId="11" fillId="2" borderId="46" xfId="0" applyFont="1" applyFill="1" applyBorder="1" applyAlignment="1">
      <alignment horizontal="center"/>
    </xf>
    <xf numFmtId="0" fontId="3" fillId="2" borderId="46" xfId="0" applyFont="1" applyFill="1" applyBorder="1" applyAlignment="1">
      <alignment horizontal="center"/>
    </xf>
    <xf numFmtId="0" fontId="34" fillId="2" borderId="46" xfId="0" applyFont="1" applyFill="1" applyBorder="1" applyAlignment="1" applyProtection="1">
      <alignment horizontal="center"/>
      <protection hidden="1"/>
    </xf>
    <xf numFmtId="0" fontId="27" fillId="2" borderId="29" xfId="0" applyFont="1" applyFill="1" applyBorder="1" applyAlignment="1">
      <alignment horizontal="center"/>
    </xf>
    <xf numFmtId="1" fontId="14" fillId="4" borderId="1" xfId="0" applyNumberFormat="1" applyFont="1" applyFill="1" applyBorder="1" applyAlignment="1">
      <alignment horizontal="center"/>
    </xf>
    <xf numFmtId="1" fontId="14" fillId="2" borderId="1" xfId="0" applyNumberFormat="1" applyFont="1" applyFill="1" applyBorder="1" applyAlignment="1">
      <alignment horizontal="center"/>
    </xf>
    <xf numFmtId="1" fontId="14" fillId="4" borderId="4" xfId="0" applyNumberFormat="1" applyFont="1" applyFill="1" applyBorder="1" applyAlignment="1">
      <alignment horizontal="center"/>
    </xf>
    <xf numFmtId="1" fontId="14" fillId="2" borderId="23" xfId="0" applyNumberFormat="1" applyFont="1" applyFill="1" applyBorder="1" applyAlignment="1">
      <alignment horizontal="center"/>
    </xf>
    <xf numFmtId="1" fontId="14" fillId="2" borderId="4" xfId="0" applyNumberFormat="1" applyFont="1" applyFill="1" applyBorder="1" applyAlignment="1">
      <alignment horizontal="center"/>
    </xf>
    <xf numFmtId="0" fontId="15" fillId="2" borderId="47" xfId="0" applyFont="1" applyFill="1" applyBorder="1"/>
    <xf numFmtId="0" fontId="15" fillId="4" borderId="47" xfId="0" applyFont="1" applyFill="1" applyBorder="1"/>
    <xf numFmtId="0" fontId="15" fillId="4" borderId="48" xfId="0" applyFont="1" applyFill="1" applyBorder="1"/>
    <xf numFmtId="0" fontId="15" fillId="2" borderId="48" xfId="0" applyFont="1" applyFill="1" applyBorder="1"/>
    <xf numFmtId="0" fontId="15" fillId="2" borderId="50" xfId="0" applyFont="1" applyFill="1" applyBorder="1"/>
    <xf numFmtId="0" fontId="14" fillId="2" borderId="0" xfId="0" applyFont="1" applyFill="1" applyAlignment="1">
      <alignment horizontal="center"/>
    </xf>
    <xf numFmtId="1" fontId="14" fillId="2" borderId="0" xfId="0" applyNumberFormat="1" applyFont="1" applyFill="1" applyAlignment="1">
      <alignment horizontal="center"/>
    </xf>
    <xf numFmtId="0" fontId="15" fillId="2" borderId="0" xfId="0" applyFont="1" applyFill="1"/>
    <xf numFmtId="0" fontId="28" fillId="2" borderId="0" xfId="0" applyFont="1" applyFill="1" applyAlignment="1">
      <alignment horizontal="center"/>
    </xf>
    <xf numFmtId="0" fontId="25" fillId="2" borderId="0" xfId="0" applyFont="1" applyFill="1" applyAlignment="1">
      <alignment horizontal="center"/>
    </xf>
    <xf numFmtId="2" fontId="43" fillId="2" borderId="0" xfId="0" applyNumberFormat="1" applyFont="1" applyFill="1" applyAlignment="1">
      <alignment horizontal="center"/>
    </xf>
    <xf numFmtId="2" fontId="47" fillId="2" borderId="0" xfId="0" applyNumberFormat="1" applyFont="1" applyFill="1" applyAlignment="1">
      <alignment horizontal="center"/>
    </xf>
    <xf numFmtId="9" fontId="43" fillId="2" borderId="0" xfId="0" applyNumberFormat="1" applyFont="1" applyFill="1" applyAlignment="1">
      <alignment horizontal="center"/>
    </xf>
    <xf numFmtId="0" fontId="11" fillId="2" borderId="0" xfId="0" applyFont="1" applyFill="1" applyAlignment="1">
      <alignment horizontal="center"/>
    </xf>
    <xf numFmtId="0" fontId="3" fillId="2" borderId="0" xfId="0" applyFont="1" applyFill="1" applyAlignment="1">
      <alignment horizontal="center"/>
    </xf>
    <xf numFmtId="0" fontId="34" fillId="2" borderId="0" xfId="0" applyFont="1" applyFill="1" applyAlignment="1" applyProtection="1">
      <alignment horizontal="center"/>
      <protection hidden="1"/>
    </xf>
    <xf numFmtId="0" fontId="8" fillId="11" borderId="51" xfId="0" applyFont="1" applyFill="1" applyBorder="1" applyAlignment="1">
      <alignment horizontal="center" vertical="center"/>
    </xf>
    <xf numFmtId="0" fontId="8" fillId="11" borderId="52" xfId="0" applyFont="1" applyFill="1" applyBorder="1" applyAlignment="1">
      <alignment horizontal="center" vertical="center"/>
    </xf>
    <xf numFmtId="3" fontId="49" fillId="11" borderId="52" xfId="0" applyNumberFormat="1" applyFont="1" applyFill="1" applyBorder="1" applyAlignment="1">
      <alignment horizontal="left" vertical="center"/>
    </xf>
    <xf numFmtId="0" fontId="32" fillId="11" borderId="52" xfId="0" applyFont="1" applyFill="1" applyBorder="1" applyAlignment="1">
      <alignment horizontal="center" vertical="center"/>
    </xf>
    <xf numFmtId="0" fontId="55" fillId="11" borderId="52" xfId="0" applyFont="1" applyFill="1" applyBorder="1" applyAlignment="1">
      <alignment horizontal="center" vertical="center"/>
    </xf>
    <xf numFmtId="2" fontId="55" fillId="11" borderId="52" xfId="0" applyNumberFormat="1" applyFont="1" applyFill="1" applyBorder="1" applyAlignment="1">
      <alignment horizontal="center" vertical="center"/>
    </xf>
    <xf numFmtId="0" fontId="50" fillId="11" borderId="52" xfId="0" applyFont="1" applyFill="1" applyBorder="1" applyAlignment="1">
      <alignment horizontal="center" vertical="center"/>
    </xf>
    <xf numFmtId="1" fontId="50" fillId="11" borderId="52" xfId="0" applyNumberFormat="1" applyFont="1" applyFill="1" applyBorder="1" applyAlignment="1">
      <alignment horizontal="center" vertical="center"/>
    </xf>
    <xf numFmtId="2" fontId="50" fillId="11" borderId="52" xfId="0" applyNumberFormat="1" applyFont="1" applyFill="1" applyBorder="1" applyAlignment="1">
      <alignment horizontal="center" vertical="center"/>
    </xf>
    <xf numFmtId="0" fontId="50" fillId="11" borderId="52" xfId="0" applyFont="1" applyFill="1" applyBorder="1" applyAlignment="1" applyProtection="1">
      <alignment horizontal="center" vertical="center"/>
      <protection hidden="1"/>
    </xf>
    <xf numFmtId="2" fontId="32" fillId="5" borderId="52" xfId="1" applyNumberFormat="1" applyFont="1" applyFill="1" applyBorder="1" applyAlignment="1">
      <alignment horizontal="center" vertical="center" wrapText="1"/>
    </xf>
    <xf numFmtId="0" fontId="54" fillId="11" borderId="52" xfId="0" applyFont="1" applyFill="1" applyBorder="1" applyAlignment="1">
      <alignment horizontal="left" vertical="center"/>
    </xf>
    <xf numFmtId="2" fontId="11" fillId="2" borderId="45" xfId="0" applyNumberFormat="1" applyFont="1" applyFill="1" applyBorder="1" applyAlignment="1">
      <alignment horizontal="center"/>
    </xf>
    <xf numFmtId="2" fontId="11" fillId="2" borderId="46" xfId="0" applyNumberFormat="1" applyFont="1" applyFill="1" applyBorder="1" applyAlignment="1">
      <alignment horizontal="center"/>
    </xf>
    <xf numFmtId="2" fontId="11" fillId="2" borderId="0" xfId="0" applyNumberFormat="1" applyFont="1" applyFill="1" applyAlignment="1">
      <alignment horizontal="center"/>
    </xf>
    <xf numFmtId="0" fontId="41" fillId="11" borderId="52" xfId="0" applyFont="1" applyFill="1" applyBorder="1" applyAlignment="1">
      <alignment horizontal="center" vertical="center"/>
    </xf>
    <xf numFmtId="0" fontId="11" fillId="3" borderId="6" xfId="0" applyFont="1" applyFill="1" applyBorder="1" applyAlignment="1">
      <alignment horizontal="center"/>
    </xf>
    <xf numFmtId="0" fontId="11" fillId="3" borderId="3" xfId="0" applyFont="1" applyFill="1" applyBorder="1" applyAlignment="1">
      <alignment horizontal="center"/>
    </xf>
    <xf numFmtId="0" fontId="11" fillId="3" borderId="22" xfId="0" applyFont="1" applyFill="1" applyBorder="1" applyAlignment="1">
      <alignment horizontal="center"/>
    </xf>
    <xf numFmtId="0" fontId="11" fillId="0" borderId="0" xfId="0" applyFont="1"/>
    <xf numFmtId="1" fontId="4" fillId="2" borderId="45" xfId="0" applyNumberFormat="1" applyFont="1" applyFill="1" applyBorder="1" applyAlignment="1" applyProtection="1">
      <alignment horizontal="center"/>
      <protection locked="0"/>
    </xf>
    <xf numFmtId="1" fontId="4" fillId="2" borderId="46" xfId="0" applyNumberFormat="1" applyFont="1" applyFill="1" applyBorder="1" applyAlignment="1" applyProtection="1">
      <alignment horizontal="center"/>
      <protection locked="0"/>
    </xf>
    <xf numFmtId="1" fontId="4" fillId="2" borderId="0" xfId="0" applyNumberFormat="1" applyFont="1" applyFill="1" applyAlignment="1" applyProtection="1">
      <alignment horizontal="center"/>
      <protection locked="0"/>
    </xf>
    <xf numFmtId="0" fontId="22" fillId="0" borderId="0" xfId="0" applyFont="1" applyProtection="1">
      <protection locked="0"/>
    </xf>
    <xf numFmtId="0" fontId="14" fillId="4" borderId="27" xfId="0" applyFont="1" applyFill="1" applyBorder="1" applyAlignment="1">
      <alignment horizontal="center"/>
    </xf>
    <xf numFmtId="4" fontId="53" fillId="2" borderId="30" xfId="0" applyNumberFormat="1" applyFont="1" applyFill="1" applyBorder="1" applyAlignment="1">
      <alignment horizontal="center"/>
    </xf>
    <xf numFmtId="0" fontId="8" fillId="2" borderId="0" xfId="0" applyFont="1" applyFill="1" applyAlignment="1">
      <alignment horizontal="center"/>
    </xf>
    <xf numFmtId="0" fontId="9" fillId="2" borderId="0" xfId="0" applyFont="1" applyFill="1" applyAlignment="1">
      <alignment horizontal="center"/>
    </xf>
    <xf numFmtId="1" fontId="10" fillId="2" borderId="0" xfId="0" applyNumberFormat="1" applyFont="1" applyFill="1" applyAlignment="1">
      <alignment horizontal="center"/>
    </xf>
    <xf numFmtId="0" fontId="2" fillId="2" borderId="0" xfId="0" applyFont="1" applyFill="1" applyAlignment="1">
      <alignment horizontal="center"/>
    </xf>
    <xf numFmtId="2" fontId="3" fillId="2" borderId="0" xfId="0" applyNumberFormat="1" applyFont="1" applyFill="1" applyAlignment="1">
      <alignment horizontal="center"/>
    </xf>
    <xf numFmtId="0" fontId="27" fillId="2" borderId="0" xfId="0" applyFont="1" applyFill="1" applyAlignment="1">
      <alignment horizontal="center"/>
    </xf>
    <xf numFmtId="0" fontId="24" fillId="2" borderId="0" xfId="0" applyFont="1" applyFill="1" applyAlignment="1">
      <alignment horizontal="center"/>
    </xf>
    <xf numFmtId="0" fontId="33" fillId="2" borderId="0" xfId="0" applyFont="1" applyFill="1" applyAlignment="1" applyProtection="1">
      <alignment horizontal="center"/>
      <protection hidden="1"/>
    </xf>
    <xf numFmtId="2" fontId="4" fillId="2" borderId="0" xfId="0" applyNumberFormat="1" applyFont="1" applyFill="1" applyAlignment="1">
      <alignment horizontal="center"/>
    </xf>
    <xf numFmtId="0" fontId="29" fillId="9" borderId="0" xfId="0" applyFont="1" applyFill="1" applyAlignment="1">
      <alignment vertical="center"/>
    </xf>
    <xf numFmtId="0" fontId="51" fillId="2" borderId="0" xfId="1" applyFont="1" applyFill="1" applyAlignment="1"/>
    <xf numFmtId="0" fontId="30" fillId="2" borderId="0" xfId="0" applyFont="1" applyFill="1" applyAlignment="1">
      <alignment vertical="center" wrapText="1"/>
    </xf>
    <xf numFmtId="2" fontId="12" fillId="0" borderId="0" xfId="1" applyNumberFormat="1" applyFill="1" applyBorder="1" applyAlignment="1">
      <alignment horizontal="center"/>
    </xf>
    <xf numFmtId="2" fontId="40" fillId="0" borderId="0" xfId="0" applyNumberFormat="1" applyFont="1" applyAlignment="1">
      <alignment horizontal="center" vertical="center"/>
    </xf>
    <xf numFmtId="2" fontId="56" fillId="2" borderId="15" xfId="0" applyNumberFormat="1" applyFont="1" applyFill="1" applyBorder="1" applyAlignment="1">
      <alignment horizontal="center"/>
    </xf>
    <xf numFmtId="2" fontId="56" fillId="4" borderId="15" xfId="0" applyNumberFormat="1" applyFont="1" applyFill="1" applyBorder="1" applyAlignment="1">
      <alignment horizontal="center"/>
    </xf>
    <xf numFmtId="2" fontId="56" fillId="2" borderId="19" xfId="0" applyNumberFormat="1" applyFont="1" applyFill="1" applyBorder="1" applyAlignment="1">
      <alignment horizontal="center"/>
    </xf>
    <xf numFmtId="2" fontId="11" fillId="2" borderId="15" xfId="0" applyNumberFormat="1" applyFont="1" applyFill="1" applyBorder="1" applyAlignment="1">
      <alignment horizontal="center"/>
    </xf>
    <xf numFmtId="2" fontId="11" fillId="2" borderId="28" xfId="0" applyNumberFormat="1" applyFont="1" applyFill="1" applyBorder="1" applyAlignment="1">
      <alignment horizontal="center"/>
    </xf>
    <xf numFmtId="2" fontId="11" fillId="2" borderId="19" xfId="0" applyNumberFormat="1" applyFont="1" applyFill="1" applyBorder="1" applyAlignment="1">
      <alignment horizontal="center"/>
    </xf>
    <xf numFmtId="2" fontId="11" fillId="2" borderId="8" xfId="0" applyNumberFormat="1" applyFont="1" applyFill="1" applyBorder="1" applyAlignment="1">
      <alignment horizontal="center"/>
    </xf>
    <xf numFmtId="2" fontId="7" fillId="2" borderId="15" xfId="0" applyNumberFormat="1" applyFont="1" applyFill="1" applyBorder="1" applyAlignment="1">
      <alignment horizontal="center"/>
    </xf>
    <xf numFmtId="2" fontId="11" fillId="4" borderId="15" xfId="0" applyNumberFormat="1" applyFont="1" applyFill="1" applyBorder="1" applyAlignment="1">
      <alignment horizontal="center"/>
    </xf>
    <xf numFmtId="2" fontId="11" fillId="4" borderId="19" xfId="0" applyNumberFormat="1" applyFont="1" applyFill="1" applyBorder="1" applyAlignment="1">
      <alignment horizontal="center"/>
    </xf>
    <xf numFmtId="2" fontId="56" fillId="4" borderId="19" xfId="0" applyNumberFormat="1" applyFont="1" applyFill="1" applyBorder="1" applyAlignment="1">
      <alignment horizontal="center"/>
    </xf>
    <xf numFmtId="2" fontId="7" fillId="4" borderId="15" xfId="0" applyNumberFormat="1" applyFont="1" applyFill="1" applyBorder="1" applyAlignment="1">
      <alignment horizontal="center"/>
    </xf>
    <xf numFmtId="0" fontId="5" fillId="0" borderId="0" xfId="0" applyFont="1" applyAlignment="1">
      <alignment wrapText="1"/>
    </xf>
    <xf numFmtId="1" fontId="4" fillId="3" borderId="54" xfId="0" applyNumberFormat="1" applyFont="1" applyFill="1" applyBorder="1" applyAlignment="1" applyProtection="1">
      <alignment horizontal="center"/>
      <protection locked="0"/>
    </xf>
    <xf numFmtId="1" fontId="4" fillId="3" borderId="55" xfId="0" applyNumberFormat="1" applyFont="1" applyFill="1" applyBorder="1" applyAlignment="1" applyProtection="1">
      <alignment horizontal="center"/>
      <protection locked="0"/>
    </xf>
    <xf numFmtId="1" fontId="4" fillId="3" borderId="56" xfId="0" applyNumberFormat="1" applyFont="1" applyFill="1" applyBorder="1" applyAlignment="1" applyProtection="1">
      <alignment horizontal="center"/>
      <protection locked="0"/>
    </xf>
    <xf numFmtId="0" fontId="19" fillId="2" borderId="47" xfId="0" applyFont="1" applyFill="1" applyBorder="1"/>
    <xf numFmtId="0" fontId="19" fillId="4" borderId="47" xfId="0" applyFont="1" applyFill="1" applyBorder="1"/>
    <xf numFmtId="0" fontId="19" fillId="4" borderId="48" xfId="0" applyFont="1" applyFill="1" applyBorder="1"/>
    <xf numFmtId="1" fontId="57" fillId="3" borderId="3" xfId="0" applyNumberFormat="1" applyFont="1" applyFill="1" applyBorder="1" applyAlignment="1">
      <alignment horizontal="left" vertical="center"/>
    </xf>
    <xf numFmtId="0" fontId="7" fillId="3" borderId="3" xfId="0" applyFont="1" applyFill="1" applyBorder="1" applyAlignment="1">
      <alignment horizontal="center"/>
    </xf>
    <xf numFmtId="0" fontId="58" fillId="2" borderId="0" xfId="0" applyFont="1" applyFill="1"/>
    <xf numFmtId="16" fontId="59" fillId="2" borderId="0" xfId="0" applyNumberFormat="1" applyFont="1" applyFill="1"/>
    <xf numFmtId="0" fontId="19" fillId="2" borderId="1" xfId="0" applyFont="1" applyFill="1" applyBorder="1" applyAlignment="1">
      <alignment horizontal="center"/>
    </xf>
    <xf numFmtId="1" fontId="21" fillId="3" borderId="54" xfId="0" applyNumberFormat="1" applyFont="1" applyFill="1" applyBorder="1" applyAlignment="1" applyProtection="1">
      <alignment horizontal="center"/>
      <protection locked="0"/>
    </xf>
    <xf numFmtId="0" fontId="19" fillId="4" borderId="1" xfId="0" applyFont="1" applyFill="1" applyBorder="1" applyAlignment="1">
      <alignment horizontal="center"/>
    </xf>
    <xf numFmtId="1" fontId="21" fillId="3" borderId="3" xfId="0" applyNumberFormat="1" applyFont="1" applyFill="1" applyBorder="1" applyAlignment="1">
      <alignment horizontal="center"/>
    </xf>
    <xf numFmtId="2" fontId="21" fillId="3" borderId="3" xfId="0" applyNumberFormat="1" applyFont="1" applyFill="1" applyBorder="1" applyAlignment="1">
      <alignment horizontal="center"/>
    </xf>
    <xf numFmtId="0" fontId="19" fillId="2" borderId="48" xfId="0" applyFont="1" applyFill="1" applyBorder="1"/>
    <xf numFmtId="1" fontId="36" fillId="2" borderId="0" xfId="0" applyNumberFormat="1" applyFont="1" applyFill="1" applyAlignment="1">
      <alignment horizontal="center"/>
    </xf>
    <xf numFmtId="2" fontId="11"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2" fontId="28" fillId="2" borderId="0" xfId="0" applyNumberFormat="1" applyFont="1" applyFill="1" applyAlignment="1">
      <alignment horizontal="center"/>
    </xf>
    <xf numFmtId="0" fontId="36" fillId="2" borderId="0" xfId="0" applyFont="1" applyFill="1" applyAlignment="1">
      <alignment horizontal="center"/>
    </xf>
    <xf numFmtId="1" fontId="14" fillId="2" borderId="58" xfId="0" applyNumberFormat="1" applyFont="1" applyFill="1" applyBorder="1" applyAlignment="1">
      <alignment horizontal="center"/>
    </xf>
    <xf numFmtId="1" fontId="36" fillId="2" borderId="58" xfId="0" applyNumberFormat="1" applyFont="1" applyFill="1" applyBorder="1" applyAlignment="1">
      <alignment horizontal="center"/>
    </xf>
    <xf numFmtId="2" fontId="4" fillId="2" borderId="58" xfId="0" applyNumberFormat="1" applyFont="1" applyFill="1" applyBorder="1" applyAlignment="1">
      <alignment horizontal="center"/>
    </xf>
    <xf numFmtId="2" fontId="11" fillId="2" borderId="58" xfId="0" applyNumberFormat="1" applyFont="1" applyFill="1" applyBorder="1" applyAlignment="1">
      <alignment horizontal="center" vertical="center"/>
    </xf>
    <xf numFmtId="2" fontId="3" fillId="2" borderId="58" xfId="0" applyNumberFormat="1" applyFont="1" applyFill="1" applyBorder="1" applyAlignment="1">
      <alignment horizontal="center" vertical="center"/>
    </xf>
    <xf numFmtId="2" fontId="28" fillId="2" borderId="58" xfId="0" applyNumberFormat="1" applyFont="1" applyFill="1" applyBorder="1" applyAlignment="1">
      <alignment horizontal="center"/>
    </xf>
    <xf numFmtId="0" fontId="24" fillId="2" borderId="58" xfId="0" applyFont="1" applyFill="1" applyBorder="1" applyAlignment="1">
      <alignment horizontal="center"/>
    </xf>
    <xf numFmtId="0" fontId="11" fillId="2" borderId="58" xfId="0" applyFont="1" applyFill="1" applyBorder="1" applyAlignment="1">
      <alignment horizontal="center"/>
    </xf>
    <xf numFmtId="0" fontId="36" fillId="2" borderId="58" xfId="0" applyFont="1" applyFill="1" applyBorder="1" applyAlignment="1">
      <alignment horizontal="center"/>
    </xf>
    <xf numFmtId="0" fontId="33" fillId="2" borderId="58" xfId="0" applyFont="1" applyFill="1" applyBorder="1" applyAlignment="1" applyProtection="1">
      <alignment horizontal="center"/>
      <protection hidden="1"/>
    </xf>
    <xf numFmtId="1" fontId="14" fillId="2" borderId="59" xfId="0" applyNumberFormat="1" applyFont="1" applyFill="1" applyBorder="1" applyAlignment="1">
      <alignment horizontal="center"/>
    </xf>
    <xf numFmtId="1" fontId="36" fillId="2" borderId="59" xfId="0" applyNumberFormat="1" applyFont="1" applyFill="1" applyBorder="1" applyAlignment="1">
      <alignment horizontal="center"/>
    </xf>
    <xf numFmtId="2" fontId="4" fillId="2" borderId="59" xfId="0" applyNumberFormat="1" applyFont="1" applyFill="1" applyBorder="1" applyAlignment="1">
      <alignment horizontal="center"/>
    </xf>
    <xf numFmtId="2" fontId="11" fillId="2" borderId="59" xfId="0" applyNumberFormat="1" applyFont="1" applyFill="1" applyBorder="1" applyAlignment="1">
      <alignment horizontal="center" vertical="center"/>
    </xf>
    <xf numFmtId="2" fontId="3" fillId="2" borderId="59" xfId="0" applyNumberFormat="1" applyFont="1" applyFill="1" applyBorder="1" applyAlignment="1">
      <alignment horizontal="center" vertical="center"/>
    </xf>
    <xf numFmtId="2" fontId="28" fillId="2" borderId="59" xfId="0" applyNumberFormat="1" applyFont="1" applyFill="1" applyBorder="1" applyAlignment="1">
      <alignment horizontal="center"/>
    </xf>
    <xf numFmtId="0" fontId="24" fillId="2" borderId="59" xfId="0" applyFont="1" applyFill="1" applyBorder="1" applyAlignment="1">
      <alignment horizontal="center"/>
    </xf>
    <xf numFmtId="0" fontId="11" fillId="2" borderId="59" xfId="0" applyFont="1" applyFill="1" applyBorder="1" applyAlignment="1">
      <alignment horizontal="center"/>
    </xf>
    <xf numFmtId="0" fontId="36" fillId="2" borderId="59" xfId="0" applyFont="1" applyFill="1" applyBorder="1" applyAlignment="1">
      <alignment horizontal="center"/>
    </xf>
    <xf numFmtId="0" fontId="33" fillId="2" borderId="59" xfId="0" applyFont="1" applyFill="1" applyBorder="1" applyAlignment="1" applyProtection="1">
      <alignment horizontal="center"/>
      <protection hidden="1"/>
    </xf>
    <xf numFmtId="1" fontId="13" fillId="2" borderId="0" xfId="0" applyNumberFormat="1" applyFont="1" applyFill="1" applyAlignment="1">
      <alignment horizontal="right" vertical="center"/>
    </xf>
    <xf numFmtId="0" fontId="6" fillId="2" borderId="47" xfId="0" applyFont="1" applyFill="1" applyBorder="1"/>
    <xf numFmtId="2" fontId="32" fillId="5" borderId="44" xfId="1" applyNumberFormat="1" applyFont="1" applyFill="1" applyBorder="1" applyAlignment="1">
      <alignment horizontal="center" vertical="center" wrapText="1"/>
    </xf>
    <xf numFmtId="0" fontId="8" fillId="11" borderId="43" xfId="0" applyFont="1" applyFill="1" applyBorder="1" applyAlignment="1">
      <alignment horizontal="center" vertical="center"/>
    </xf>
    <xf numFmtId="0" fontId="8" fillId="11" borderId="44" xfId="0" applyFont="1" applyFill="1" applyBorder="1" applyAlignment="1">
      <alignment horizontal="center" vertical="center"/>
    </xf>
    <xf numFmtId="3" fontId="49" fillId="11" borderId="44" xfId="0" applyNumberFormat="1" applyFont="1" applyFill="1" applyBorder="1" applyAlignment="1">
      <alignment horizontal="left" vertical="center"/>
    </xf>
    <xf numFmtId="1" fontId="50" fillId="11" borderId="44" xfId="0" applyNumberFormat="1" applyFont="1" applyFill="1" applyBorder="1" applyAlignment="1">
      <alignment horizontal="center" vertical="center"/>
    </xf>
    <xf numFmtId="2" fontId="50" fillId="11" borderId="44" xfId="0" applyNumberFormat="1" applyFont="1" applyFill="1" applyBorder="1" applyAlignment="1">
      <alignment horizontal="center" vertical="center"/>
    </xf>
    <xf numFmtId="0" fontId="54" fillId="11" borderId="44" xfId="0" applyFont="1" applyFill="1" applyBorder="1" applyAlignment="1">
      <alignment horizontal="left" vertical="center"/>
    </xf>
    <xf numFmtId="2" fontId="55" fillId="11" borderId="44" xfId="0" applyNumberFormat="1" applyFont="1" applyFill="1" applyBorder="1" applyAlignment="1">
      <alignment horizontal="center" vertical="center"/>
    </xf>
    <xf numFmtId="0" fontId="32" fillId="11" borderId="44" xfId="0" applyFont="1" applyFill="1" applyBorder="1" applyAlignment="1">
      <alignment horizontal="center" vertical="center"/>
    </xf>
    <xf numFmtId="0" fontId="55" fillId="11" borderId="44" xfId="0" applyFont="1" applyFill="1" applyBorder="1" applyAlignment="1">
      <alignment horizontal="center" vertical="center"/>
    </xf>
    <xf numFmtId="0" fontId="41" fillId="11" borderId="44" xfId="0" applyFont="1" applyFill="1" applyBorder="1" applyAlignment="1">
      <alignment horizontal="center" vertical="center"/>
    </xf>
    <xf numFmtId="0" fontId="50" fillId="11" borderId="44" xfId="0" applyFont="1" applyFill="1" applyBorder="1" applyAlignment="1">
      <alignment horizontal="center" vertical="center"/>
    </xf>
    <xf numFmtId="0" fontId="50" fillId="11" borderId="44" xfId="0" applyFont="1" applyFill="1" applyBorder="1" applyAlignment="1" applyProtection="1">
      <alignment horizontal="center" vertical="center"/>
      <protection hidden="1"/>
    </xf>
    <xf numFmtId="0" fontId="0" fillId="0" borderId="0" xfId="0" applyAlignment="1">
      <alignment vertical="center"/>
    </xf>
    <xf numFmtId="1" fontId="0" fillId="0" borderId="0" xfId="0" applyNumberFormat="1"/>
    <xf numFmtId="1" fontId="4" fillId="10" borderId="54" xfId="0" applyNumberFormat="1" applyFont="1" applyFill="1" applyBorder="1" applyAlignment="1" applyProtection="1">
      <alignment horizontal="center"/>
      <protection locked="0"/>
    </xf>
    <xf numFmtId="1" fontId="2" fillId="3" borderId="54" xfId="0" applyNumberFormat="1" applyFont="1" applyFill="1" applyBorder="1" applyAlignment="1" applyProtection="1">
      <alignment horizontal="center"/>
      <protection locked="0"/>
    </xf>
    <xf numFmtId="2" fontId="43" fillId="3" borderId="3" xfId="0" applyNumberFormat="1" applyFont="1" applyFill="1" applyBorder="1" applyAlignment="1">
      <alignment horizontal="center"/>
    </xf>
    <xf numFmtId="1" fontId="14" fillId="3" borderId="57" xfId="0" applyNumberFormat="1" applyFont="1" applyFill="1" applyBorder="1" applyAlignment="1">
      <alignment horizontal="center"/>
    </xf>
    <xf numFmtId="1" fontId="13" fillId="3" borderId="57" xfId="0" applyNumberFormat="1" applyFont="1" applyFill="1" applyBorder="1" applyAlignment="1">
      <alignment horizontal="left" vertical="center"/>
    </xf>
    <xf numFmtId="1" fontId="36" fillId="3" borderId="57" xfId="0" applyNumberFormat="1" applyFont="1" applyFill="1" applyBorder="1" applyAlignment="1">
      <alignment horizontal="center"/>
    </xf>
    <xf numFmtId="2" fontId="4" fillId="3" borderId="57" xfId="0" applyNumberFormat="1" applyFont="1" applyFill="1" applyBorder="1" applyAlignment="1">
      <alignment horizontal="center"/>
    </xf>
    <xf numFmtId="2" fontId="11" fillId="3" borderId="57" xfId="0" applyNumberFormat="1" applyFont="1" applyFill="1" applyBorder="1" applyAlignment="1">
      <alignment horizontal="center" vertical="center"/>
    </xf>
    <xf numFmtId="2" fontId="3" fillId="3" borderId="57" xfId="0" applyNumberFormat="1" applyFont="1" applyFill="1" applyBorder="1" applyAlignment="1">
      <alignment horizontal="center" vertical="center"/>
    </xf>
    <xf numFmtId="2" fontId="28" fillId="3" borderId="57" xfId="0" applyNumberFormat="1" applyFont="1" applyFill="1" applyBorder="1" applyAlignment="1">
      <alignment horizontal="center"/>
    </xf>
    <xf numFmtId="0" fontId="24" fillId="3" borderId="57" xfId="0" applyFont="1" applyFill="1" applyBorder="1" applyAlignment="1">
      <alignment horizontal="center"/>
    </xf>
    <xf numFmtId="0" fontId="11" fillId="3" borderId="57" xfId="0" applyFont="1" applyFill="1" applyBorder="1" applyAlignment="1">
      <alignment horizontal="center"/>
    </xf>
    <xf numFmtId="0" fontId="36" fillId="3" borderId="57" xfId="0" applyFont="1" applyFill="1" applyBorder="1" applyAlignment="1">
      <alignment horizontal="center"/>
    </xf>
    <xf numFmtId="0" fontId="33" fillId="3" borderId="57" xfId="0" applyFont="1" applyFill="1" applyBorder="1" applyAlignment="1" applyProtection="1">
      <alignment horizontal="center"/>
      <protection hidden="1"/>
    </xf>
    <xf numFmtId="0" fontId="14" fillId="2" borderId="58" xfId="0" applyFont="1" applyFill="1" applyBorder="1" applyAlignment="1">
      <alignment horizontal="center"/>
    </xf>
    <xf numFmtId="0" fontId="14" fillId="2" borderId="59" xfId="0" applyFont="1" applyFill="1" applyBorder="1" applyAlignment="1">
      <alignment horizontal="center"/>
    </xf>
    <xf numFmtId="0" fontId="14" fillId="3" borderId="22" xfId="0" applyFont="1" applyFill="1" applyBorder="1" applyAlignment="1">
      <alignment horizontal="center"/>
    </xf>
    <xf numFmtId="0" fontId="14" fillId="3" borderId="57" xfId="0" applyFont="1" applyFill="1" applyBorder="1" applyAlignment="1">
      <alignment horizontal="center"/>
    </xf>
    <xf numFmtId="0" fontId="0" fillId="0" borderId="0" xfId="0" applyAlignment="1">
      <alignment horizontal="center"/>
    </xf>
    <xf numFmtId="2" fontId="56" fillId="2" borderId="8" xfId="0" applyNumberFormat="1" applyFont="1" applyFill="1" applyBorder="1" applyAlignment="1">
      <alignment horizontal="center"/>
    </xf>
    <xf numFmtId="0" fontId="14" fillId="2" borderId="60" xfId="0" applyFont="1" applyFill="1" applyBorder="1" applyAlignment="1">
      <alignment horizontal="center"/>
    </xf>
    <xf numFmtId="1" fontId="14" fillId="2" borderId="61" xfId="0" applyNumberFormat="1" applyFont="1" applyFill="1" applyBorder="1" applyAlignment="1">
      <alignment horizontal="center"/>
    </xf>
    <xf numFmtId="0" fontId="3" fillId="2" borderId="60" xfId="0" applyFont="1" applyFill="1" applyBorder="1" applyAlignment="1">
      <alignment horizontal="center"/>
    </xf>
    <xf numFmtId="2" fontId="3" fillId="2" borderId="64" xfId="0" applyNumberFormat="1" applyFont="1" applyFill="1" applyBorder="1" applyAlignment="1">
      <alignment horizontal="center"/>
    </xf>
    <xf numFmtId="2" fontId="3" fillId="2" borderId="65" xfId="0" applyNumberFormat="1" applyFont="1" applyFill="1" applyBorder="1" applyAlignment="1">
      <alignment horizontal="center"/>
    </xf>
    <xf numFmtId="2" fontId="3" fillId="2" borderId="60" xfId="0" applyNumberFormat="1" applyFont="1" applyFill="1" applyBorder="1" applyAlignment="1">
      <alignment horizontal="center"/>
    </xf>
    <xf numFmtId="0" fontId="28" fillId="2" borderId="66" xfId="0" applyFont="1" applyFill="1" applyBorder="1" applyAlignment="1">
      <alignment horizontal="center"/>
    </xf>
    <xf numFmtId="0" fontId="25" fillId="2" borderId="66" xfId="0" applyFont="1" applyFill="1" applyBorder="1" applyAlignment="1">
      <alignment horizontal="center"/>
    </xf>
    <xf numFmtId="0" fontId="11" fillId="2" borderId="67" xfId="0" applyFont="1" applyFill="1" applyBorder="1" applyAlignment="1">
      <alignment horizontal="center"/>
    </xf>
    <xf numFmtId="2" fontId="56" fillId="2" borderId="66" xfId="0" applyNumberFormat="1" applyFont="1" applyFill="1" applyBorder="1" applyAlignment="1">
      <alignment horizontal="center"/>
    </xf>
    <xf numFmtId="2" fontId="64" fillId="2" borderId="15" xfId="0" applyNumberFormat="1" applyFont="1" applyFill="1" applyBorder="1" applyAlignment="1">
      <alignment horizontal="center"/>
    </xf>
    <xf numFmtId="0" fontId="6" fillId="0" borderId="0" xfId="0" applyFont="1" applyAlignment="1">
      <alignment horizontal="center" vertical="center"/>
    </xf>
    <xf numFmtId="0" fontId="31" fillId="2" borderId="0" xfId="0" applyFont="1" applyFill="1" applyAlignment="1">
      <alignment vertical="center" wrapText="1"/>
    </xf>
    <xf numFmtId="14" fontId="42" fillId="2" borderId="0" xfId="0" applyNumberFormat="1" applyFont="1" applyFill="1" applyAlignment="1">
      <alignment vertical="center" wrapText="1"/>
    </xf>
    <xf numFmtId="0" fontId="30" fillId="2" borderId="0" xfId="0" applyFont="1" applyFill="1" applyAlignment="1">
      <alignment horizontal="center" vertical="center" wrapText="1"/>
    </xf>
    <xf numFmtId="1" fontId="4" fillId="3" borderId="71" xfId="0" applyNumberFormat="1" applyFont="1" applyFill="1" applyBorder="1" applyAlignment="1" applyProtection="1">
      <alignment horizontal="center"/>
      <protection locked="0"/>
    </xf>
    <xf numFmtId="0" fontId="14" fillId="4" borderId="70" xfId="0" applyFont="1" applyFill="1" applyBorder="1" applyAlignment="1">
      <alignment horizontal="center"/>
    </xf>
    <xf numFmtId="1" fontId="14" fillId="4" borderId="76" xfId="0" applyNumberFormat="1" applyFont="1" applyFill="1" applyBorder="1" applyAlignment="1">
      <alignment horizontal="center"/>
    </xf>
    <xf numFmtId="0" fontId="3" fillId="4" borderId="70" xfId="0" applyFont="1" applyFill="1" applyBorder="1" applyAlignment="1">
      <alignment horizontal="center"/>
    </xf>
    <xf numFmtId="0" fontId="28" fillId="4" borderId="74" xfId="0" applyFont="1" applyFill="1" applyBorder="1" applyAlignment="1">
      <alignment horizontal="center"/>
    </xf>
    <xf numFmtId="0" fontId="25" fillId="4" borderId="74" xfId="0" applyFont="1" applyFill="1" applyBorder="1" applyAlignment="1">
      <alignment horizontal="center"/>
    </xf>
    <xf numFmtId="0" fontId="11" fillId="4" borderId="75" xfId="0" applyFont="1" applyFill="1" applyBorder="1" applyAlignment="1">
      <alignment horizontal="center"/>
    </xf>
    <xf numFmtId="2" fontId="56" fillId="4" borderId="74" xfId="0" applyNumberFormat="1" applyFont="1" applyFill="1" applyBorder="1" applyAlignment="1">
      <alignment horizontal="center"/>
    </xf>
    <xf numFmtId="0" fontId="4" fillId="4" borderId="1" xfId="0" applyFont="1" applyFill="1" applyBorder="1" applyAlignment="1">
      <alignment horizontal="center"/>
    </xf>
    <xf numFmtId="0" fontId="4" fillId="2" borderId="1" xfId="0" applyFont="1" applyFill="1" applyBorder="1" applyAlignment="1">
      <alignment horizontal="center"/>
    </xf>
    <xf numFmtId="2" fontId="69" fillId="2" borderId="15" xfId="0" applyNumberFormat="1" applyFont="1" applyFill="1" applyBorder="1" applyAlignment="1">
      <alignment horizontal="center"/>
    </xf>
    <xf numFmtId="2" fontId="69" fillId="4" borderId="15" xfId="0" applyNumberFormat="1" applyFont="1" applyFill="1" applyBorder="1" applyAlignment="1">
      <alignment horizontal="center"/>
    </xf>
    <xf numFmtId="0" fontId="70" fillId="2" borderId="1" xfId="0" applyFont="1" applyFill="1" applyBorder="1" applyAlignment="1">
      <alignment horizontal="center"/>
    </xf>
    <xf numFmtId="0" fontId="14" fillId="0" borderId="1" xfId="0" applyFont="1" applyBorder="1" applyAlignment="1">
      <alignment horizontal="center"/>
    </xf>
    <xf numFmtId="1" fontId="14" fillId="0" borderId="14" xfId="0" applyNumberFormat="1" applyFont="1" applyBorder="1" applyAlignment="1">
      <alignment horizontal="center"/>
    </xf>
    <xf numFmtId="0" fontId="19" fillId="0" borderId="47" xfId="0" applyFont="1" applyBorder="1"/>
    <xf numFmtId="2" fontId="3" fillId="0" borderId="36" xfId="0" applyNumberFormat="1" applyFont="1" applyBorder="1" applyAlignment="1">
      <alignment horizontal="center"/>
    </xf>
    <xf numFmtId="2" fontId="3" fillId="0" borderId="2" xfId="0" applyNumberFormat="1" applyFont="1" applyBorder="1" applyAlignment="1">
      <alignment horizontal="center"/>
    </xf>
    <xf numFmtId="2" fontId="3" fillId="0" borderId="1" xfId="0" applyNumberFormat="1" applyFont="1" applyBorder="1" applyAlignment="1">
      <alignment horizontal="center"/>
    </xf>
    <xf numFmtId="0" fontId="28" fillId="0" borderId="15" xfId="0" applyFont="1" applyBorder="1" applyAlignment="1">
      <alignment horizontal="center"/>
    </xf>
    <xf numFmtId="0" fontId="25" fillId="0" borderId="15" xfId="0" applyFont="1" applyBorder="1" applyAlignment="1">
      <alignment horizontal="center"/>
    </xf>
    <xf numFmtId="0" fontId="3" fillId="0" borderId="1" xfId="0" applyFont="1" applyBorder="1" applyAlignment="1">
      <alignment horizontal="center"/>
    </xf>
    <xf numFmtId="0" fontId="50" fillId="9" borderId="0" xfId="0" applyFont="1" applyFill="1" applyAlignment="1">
      <alignment horizontal="left" vertical="center"/>
    </xf>
    <xf numFmtId="0" fontId="8" fillId="9" borderId="0" xfId="0" applyFont="1" applyFill="1" applyAlignment="1">
      <alignment horizontal="center" vertical="center"/>
    </xf>
    <xf numFmtId="3" fontId="49" fillId="9" borderId="0" xfId="0" applyNumberFormat="1" applyFont="1" applyFill="1" applyAlignment="1">
      <alignment horizontal="left" vertical="center"/>
    </xf>
    <xf numFmtId="1" fontId="50" fillId="9" borderId="0" xfId="0" applyNumberFormat="1" applyFont="1" applyFill="1" applyAlignment="1">
      <alignment horizontal="center" vertical="center"/>
    </xf>
    <xf numFmtId="2" fontId="50" fillId="9" borderId="0" xfId="0" applyNumberFormat="1" applyFont="1" applyFill="1" applyAlignment="1">
      <alignment horizontal="center" vertical="center"/>
    </xf>
    <xf numFmtId="0" fontId="54" fillId="9" borderId="0" xfId="0" applyFont="1" applyFill="1" applyAlignment="1">
      <alignment horizontal="left" vertical="center"/>
    </xf>
    <xf numFmtId="2" fontId="55" fillId="9" borderId="0" xfId="0" applyNumberFormat="1" applyFont="1" applyFill="1" applyAlignment="1">
      <alignment horizontal="center" vertical="center"/>
    </xf>
    <xf numFmtId="0" fontId="32" fillId="9" borderId="0" xfId="0" applyFont="1" applyFill="1" applyAlignment="1">
      <alignment horizontal="center" vertical="center"/>
    </xf>
    <xf numFmtId="0" fontId="55" fillId="9" borderId="0" xfId="0" applyFont="1" applyFill="1" applyAlignment="1">
      <alignment horizontal="center" vertical="center"/>
    </xf>
    <xf numFmtId="0" fontId="41" fillId="9" borderId="0" xfId="0" applyFont="1" applyFill="1" applyAlignment="1">
      <alignment horizontal="center" vertical="center"/>
    </xf>
    <xf numFmtId="0" fontId="50" fillId="9" borderId="0" xfId="0" applyFont="1" applyFill="1" applyAlignment="1">
      <alignment horizontal="center" vertical="center"/>
    </xf>
    <xf numFmtId="0" fontId="50" fillId="9" borderId="0" xfId="0" applyFont="1" applyFill="1" applyAlignment="1" applyProtection="1">
      <alignment horizontal="center" vertical="center"/>
      <protection hidden="1"/>
    </xf>
    <xf numFmtId="2" fontId="69" fillId="2" borderId="19" xfId="0" applyNumberFormat="1" applyFont="1" applyFill="1" applyBorder="1" applyAlignment="1">
      <alignment horizontal="center"/>
    </xf>
    <xf numFmtId="1" fontId="4" fillId="3" borderId="78" xfId="0" applyNumberFormat="1" applyFont="1" applyFill="1" applyBorder="1" applyAlignment="1" applyProtection="1">
      <alignment horizontal="center"/>
      <protection locked="0"/>
    </xf>
    <xf numFmtId="0" fontId="72" fillId="2" borderId="0" xfId="0" applyFont="1" applyFill="1" applyAlignment="1">
      <alignment horizontal="left" vertical="center" wrapText="1"/>
    </xf>
    <xf numFmtId="1" fontId="14" fillId="4" borderId="81" xfId="0" applyNumberFormat="1" applyFont="1" applyFill="1" applyBorder="1" applyAlignment="1">
      <alignment horizontal="center"/>
    </xf>
    <xf numFmtId="0" fontId="19" fillId="4" borderId="82" xfId="0" applyFont="1" applyFill="1" applyBorder="1"/>
    <xf numFmtId="0" fontId="28" fillId="4" borderId="79" xfId="0" applyFont="1" applyFill="1" applyBorder="1" applyAlignment="1">
      <alignment horizontal="center"/>
    </xf>
    <xf numFmtId="0" fontId="25" fillId="4" borderId="79" xfId="0" applyFont="1" applyFill="1" applyBorder="1" applyAlignment="1">
      <alignment horizontal="center"/>
    </xf>
    <xf numFmtId="2" fontId="11" fillId="4" borderId="79" xfId="0" applyNumberFormat="1" applyFont="1" applyFill="1" applyBorder="1" applyAlignment="1">
      <alignment horizontal="center"/>
    </xf>
    <xf numFmtId="0" fontId="11" fillId="4" borderId="80" xfId="0" applyFont="1" applyFill="1" applyBorder="1" applyAlignment="1">
      <alignment horizontal="center"/>
    </xf>
    <xf numFmtId="0" fontId="12" fillId="0" borderId="0" xfId="1"/>
    <xf numFmtId="2" fontId="3" fillId="4" borderId="83" xfId="0" applyNumberFormat="1" applyFont="1" applyFill="1" applyBorder="1" applyAlignment="1">
      <alignment horizontal="center"/>
    </xf>
    <xf numFmtId="2" fontId="3" fillId="4" borderId="77" xfId="0" applyNumberFormat="1" applyFont="1" applyFill="1" applyBorder="1" applyAlignment="1">
      <alignment horizontal="center"/>
    </xf>
    <xf numFmtId="2" fontId="3" fillId="4" borderId="84" xfId="0" applyNumberFormat="1" applyFont="1" applyFill="1" applyBorder="1" applyAlignment="1">
      <alignment horizontal="center"/>
    </xf>
    <xf numFmtId="0" fontId="19" fillId="2" borderId="62" xfId="0" applyFont="1" applyFill="1" applyBorder="1"/>
    <xf numFmtId="0" fontId="28" fillId="2" borderId="79" xfId="0" applyFont="1" applyFill="1" applyBorder="1" applyAlignment="1">
      <alignment horizontal="left"/>
    </xf>
    <xf numFmtId="0" fontId="14" fillId="2" borderId="70" xfId="0" applyFont="1" applyFill="1" applyBorder="1" applyAlignment="1">
      <alignment horizontal="center"/>
    </xf>
    <xf numFmtId="1" fontId="14" fillId="2" borderId="76" xfId="0" applyNumberFormat="1" applyFont="1" applyFill="1" applyBorder="1" applyAlignment="1">
      <alignment horizontal="center"/>
    </xf>
    <xf numFmtId="0" fontId="3" fillId="2" borderId="70" xfId="0" applyFont="1" applyFill="1" applyBorder="1" applyAlignment="1">
      <alignment horizontal="center"/>
    </xf>
    <xf numFmtId="2" fontId="3" fillId="2" borderId="72" xfId="0" applyNumberFormat="1" applyFont="1" applyFill="1" applyBorder="1" applyAlignment="1">
      <alignment horizontal="center"/>
    </xf>
    <xf numFmtId="2" fontId="3" fillId="2" borderId="73" xfId="0" applyNumberFormat="1" applyFont="1" applyFill="1" applyBorder="1" applyAlignment="1">
      <alignment horizontal="center"/>
    </xf>
    <xf numFmtId="2" fontId="3" fillId="2" borderId="70" xfId="0" applyNumberFormat="1" applyFont="1" applyFill="1" applyBorder="1" applyAlignment="1">
      <alignment horizontal="center"/>
    </xf>
    <xf numFmtId="0" fontId="28" fillId="2" borderId="74" xfId="0" applyFont="1" applyFill="1" applyBorder="1" applyAlignment="1">
      <alignment horizontal="center"/>
    </xf>
    <xf numFmtId="0" fontId="25" fillId="2" borderId="74" xfId="0" applyFont="1" applyFill="1" applyBorder="1" applyAlignment="1">
      <alignment horizontal="center"/>
    </xf>
    <xf numFmtId="2" fontId="56" fillId="2" borderId="74" xfId="0" applyNumberFormat="1" applyFont="1" applyFill="1" applyBorder="1" applyAlignment="1">
      <alignment horizontal="center"/>
    </xf>
    <xf numFmtId="0" fontId="11" fillId="2" borderId="75" xfId="0" applyFont="1" applyFill="1" applyBorder="1" applyAlignment="1">
      <alignment horizontal="center"/>
    </xf>
    <xf numFmtId="0" fontId="78" fillId="3" borderId="22" xfId="0" applyFont="1" applyFill="1" applyBorder="1" applyAlignment="1">
      <alignment horizontal="center"/>
    </xf>
    <xf numFmtId="1" fontId="78" fillId="3" borderId="22" xfId="0" applyNumberFormat="1" applyFont="1" applyFill="1" applyBorder="1" applyAlignment="1">
      <alignment horizontal="center"/>
    </xf>
    <xf numFmtId="1" fontId="79" fillId="3" borderId="22" xfId="0" applyNumberFormat="1" applyFont="1" applyFill="1" applyBorder="1" applyAlignment="1">
      <alignment horizontal="center"/>
    </xf>
    <xf numFmtId="2" fontId="79" fillId="3" borderId="22" xfId="0" applyNumberFormat="1" applyFont="1" applyFill="1" applyBorder="1" applyAlignment="1">
      <alignment horizontal="center"/>
    </xf>
    <xf numFmtId="2" fontId="78" fillId="3" borderId="22" xfId="0" applyNumberFormat="1" applyFont="1" applyFill="1" applyBorder="1" applyAlignment="1">
      <alignment horizontal="center" vertical="center"/>
    </xf>
    <xf numFmtId="2" fontId="78" fillId="3" borderId="22" xfId="0" applyNumberFormat="1" applyFont="1" applyFill="1" applyBorder="1" applyAlignment="1">
      <alignment horizontal="center"/>
    </xf>
    <xf numFmtId="0" fontId="79" fillId="3" borderId="22" xfId="0" applyFont="1" applyFill="1" applyBorder="1" applyAlignment="1">
      <alignment horizontal="center"/>
    </xf>
    <xf numFmtId="0" fontId="79" fillId="3" borderId="22" xfId="0" applyFont="1" applyFill="1" applyBorder="1" applyAlignment="1" applyProtection="1">
      <alignment horizontal="center"/>
      <protection hidden="1"/>
    </xf>
    <xf numFmtId="1" fontId="80" fillId="3" borderId="22" xfId="0" applyNumberFormat="1" applyFont="1" applyFill="1" applyBorder="1" applyAlignment="1">
      <alignment horizontal="left" vertical="center"/>
    </xf>
    <xf numFmtId="0" fontId="15" fillId="2" borderId="82" xfId="0" applyFont="1" applyFill="1" applyBorder="1"/>
    <xf numFmtId="0" fontId="82" fillId="2" borderId="0" xfId="0" applyFont="1" applyFill="1" applyAlignment="1">
      <alignment vertical="center" wrapText="1"/>
    </xf>
    <xf numFmtId="0" fontId="6" fillId="4" borderId="47" xfId="0" applyFont="1" applyFill="1" applyBorder="1"/>
    <xf numFmtId="0" fontId="0" fillId="0" borderId="45" xfId="0" applyBorder="1" applyAlignment="1">
      <alignment horizontal="center"/>
    </xf>
    <xf numFmtId="0" fontId="0" fillId="0" borderId="45" xfId="0" applyBorder="1"/>
    <xf numFmtId="0" fontId="37" fillId="0" borderId="45" xfId="0" applyFont="1" applyBorder="1"/>
    <xf numFmtId="0" fontId="22" fillId="0" borderId="45" xfId="0" applyFont="1" applyBorder="1" applyProtection="1">
      <protection locked="0"/>
    </xf>
    <xf numFmtId="0" fontId="26" fillId="0" borderId="45" xfId="0" applyFont="1" applyBorder="1"/>
    <xf numFmtId="0" fontId="26" fillId="0" borderId="85" xfId="0" applyFont="1" applyBorder="1"/>
    <xf numFmtId="0" fontId="11" fillId="0" borderId="45" xfId="0" applyFont="1" applyBorder="1"/>
    <xf numFmtId="0" fontId="35" fillId="0" borderId="45" xfId="0" applyFont="1" applyBorder="1" applyProtection="1">
      <protection hidden="1"/>
    </xf>
    <xf numFmtId="0" fontId="15" fillId="2" borderId="47" xfId="0" applyFont="1" applyFill="1" applyBorder="1" applyAlignment="1">
      <alignment horizontal="left"/>
    </xf>
    <xf numFmtId="0" fontId="15" fillId="4" borderId="48" xfId="0" applyFont="1" applyFill="1" applyBorder="1" applyAlignment="1">
      <alignment horizontal="left"/>
    </xf>
    <xf numFmtId="9" fontId="56" fillId="3" borderId="3" xfId="0" applyNumberFormat="1" applyFont="1" applyFill="1" applyBorder="1" applyAlignment="1">
      <alignment horizontal="center"/>
    </xf>
    <xf numFmtId="2" fontId="69" fillId="3" borderId="3" xfId="0" applyNumberFormat="1" applyFont="1" applyFill="1" applyBorder="1" applyAlignment="1">
      <alignment horizontal="center"/>
    </xf>
    <xf numFmtId="2" fontId="48" fillId="3" borderId="3" xfId="0" applyNumberFormat="1" applyFont="1" applyFill="1" applyBorder="1" applyAlignment="1">
      <alignment horizontal="center"/>
    </xf>
    <xf numFmtId="0" fontId="15" fillId="2" borderId="48" xfId="0" applyFont="1" applyFill="1" applyBorder="1" applyAlignment="1">
      <alignment horizontal="left"/>
    </xf>
    <xf numFmtId="0" fontId="20" fillId="0" borderId="0" xfId="0" applyFont="1" applyAlignment="1">
      <alignment vertical="center"/>
    </xf>
    <xf numFmtId="0" fontId="2" fillId="4" borderId="77" xfId="0" applyFont="1" applyFill="1" applyBorder="1" applyAlignment="1">
      <alignment horizontal="center"/>
    </xf>
    <xf numFmtId="0" fontId="77" fillId="3" borderId="3" xfId="0" applyFont="1" applyFill="1" applyBorder="1" applyAlignment="1">
      <alignment horizontal="center"/>
    </xf>
    <xf numFmtId="2" fontId="68" fillId="3" borderId="3" xfId="0" applyNumberFormat="1" applyFont="1" applyFill="1" applyBorder="1" applyAlignment="1">
      <alignment horizontal="center"/>
    </xf>
    <xf numFmtId="2" fontId="17" fillId="3" borderId="3" xfId="0" applyNumberFormat="1" applyFont="1" applyFill="1" applyBorder="1" applyAlignment="1">
      <alignment horizontal="center"/>
    </xf>
    <xf numFmtId="1" fontId="5" fillId="0" borderId="0" xfId="0" applyNumberFormat="1" applyFont="1"/>
    <xf numFmtId="0" fontId="85" fillId="3" borderId="3" xfId="0" applyFont="1" applyFill="1" applyBorder="1" applyAlignment="1">
      <alignment horizontal="center"/>
    </xf>
    <xf numFmtId="0" fontId="14" fillId="2" borderId="77" xfId="0" applyFont="1" applyFill="1" applyBorder="1" applyAlignment="1">
      <alignment horizontal="center"/>
    </xf>
    <xf numFmtId="1" fontId="14" fillId="2" borderId="81" xfId="0" applyNumberFormat="1" applyFont="1" applyFill="1" applyBorder="1" applyAlignment="1">
      <alignment horizontal="center"/>
    </xf>
    <xf numFmtId="2" fontId="3" fillId="2" borderId="84" xfId="0" applyNumberFormat="1" applyFont="1" applyFill="1" applyBorder="1" applyAlignment="1">
      <alignment horizontal="center"/>
    </xf>
    <xf numFmtId="2" fontId="3" fillId="2" borderId="77" xfId="0" applyNumberFormat="1" applyFont="1" applyFill="1" applyBorder="1" applyAlignment="1">
      <alignment horizontal="center"/>
    </xf>
    <xf numFmtId="0" fontId="25" fillId="2" borderId="79" xfId="0" applyFont="1" applyFill="1" applyBorder="1" applyAlignment="1">
      <alignment horizontal="center"/>
    </xf>
    <xf numFmtId="0" fontId="11" fillId="2" borderId="80" xfId="0" applyFont="1" applyFill="1" applyBorder="1" applyAlignment="1">
      <alignment horizontal="center"/>
    </xf>
    <xf numFmtId="0" fontId="3" fillId="2" borderId="77" xfId="0" applyFont="1" applyFill="1" applyBorder="1" applyAlignment="1">
      <alignment horizontal="center"/>
    </xf>
    <xf numFmtId="2" fontId="3" fillId="2" borderId="83" xfId="0" applyNumberFormat="1" applyFont="1" applyFill="1" applyBorder="1" applyAlignment="1">
      <alignment horizontal="center"/>
    </xf>
    <xf numFmtId="2" fontId="43" fillId="4" borderId="2" xfId="0" applyNumberFormat="1" applyFont="1" applyFill="1" applyBorder="1" applyAlignment="1">
      <alignment horizontal="center"/>
    </xf>
    <xf numFmtId="2" fontId="43" fillId="4" borderId="1" xfId="0" applyNumberFormat="1" applyFont="1" applyFill="1" applyBorder="1" applyAlignment="1">
      <alignment horizontal="center"/>
    </xf>
    <xf numFmtId="2" fontId="43" fillId="2" borderId="2" xfId="0" applyNumberFormat="1" applyFont="1" applyFill="1" applyBorder="1" applyAlignment="1">
      <alignment horizontal="center"/>
    </xf>
    <xf numFmtId="2" fontId="43" fillId="2" borderId="1" xfId="0" applyNumberFormat="1" applyFont="1" applyFill="1" applyBorder="1" applyAlignment="1">
      <alignment horizontal="center"/>
    </xf>
    <xf numFmtId="2" fontId="43" fillId="2" borderId="36" xfId="0" applyNumberFormat="1" applyFont="1" applyFill="1" applyBorder="1" applyAlignment="1">
      <alignment horizontal="center"/>
    </xf>
    <xf numFmtId="2" fontId="43" fillId="4" borderId="36" xfId="0" applyNumberFormat="1" applyFont="1" applyFill="1" applyBorder="1" applyAlignment="1">
      <alignment horizontal="center"/>
    </xf>
    <xf numFmtId="0" fontId="44" fillId="2" borderId="47" xfId="0" applyFont="1" applyFill="1" applyBorder="1"/>
    <xf numFmtId="0" fontId="44" fillId="4" borderId="47" xfId="0" applyFont="1" applyFill="1" applyBorder="1"/>
    <xf numFmtId="0" fontId="75" fillId="2" borderId="0" xfId="0" applyFont="1" applyFill="1" applyAlignment="1">
      <alignment vertical="center" wrapText="1"/>
    </xf>
    <xf numFmtId="2" fontId="69" fillId="2" borderId="79" xfId="0" applyNumberFormat="1" applyFont="1" applyFill="1" applyBorder="1" applyAlignment="1">
      <alignment horizontal="center"/>
    </xf>
    <xf numFmtId="2" fontId="17" fillId="0" borderId="0" xfId="0" applyNumberFormat="1" applyFont="1" applyAlignment="1">
      <alignment horizontal="center"/>
    </xf>
    <xf numFmtId="0" fontId="87" fillId="3" borderId="3" xfId="0" applyFont="1" applyFill="1" applyBorder="1" applyAlignment="1">
      <alignment horizontal="center"/>
    </xf>
    <xf numFmtId="0" fontId="44" fillId="4" borderId="48" xfId="0" applyFont="1" applyFill="1" applyBorder="1" applyAlignment="1">
      <alignment horizontal="left"/>
    </xf>
    <xf numFmtId="49" fontId="24" fillId="2" borderId="0" xfId="0" applyNumberFormat="1" applyFont="1" applyFill="1" applyAlignment="1">
      <alignment horizontal="center"/>
    </xf>
    <xf numFmtId="49" fontId="82" fillId="2" borderId="0" xfId="0" applyNumberFormat="1" applyFont="1" applyFill="1" applyAlignment="1">
      <alignment vertical="center" wrapText="1"/>
    </xf>
    <xf numFmtId="49" fontId="30" fillId="2" borderId="0" xfId="0" applyNumberFormat="1" applyFont="1" applyFill="1" applyAlignment="1">
      <alignment vertical="center" wrapText="1"/>
    </xf>
    <xf numFmtId="49" fontId="25" fillId="2" borderId="74" xfId="0" applyNumberFormat="1" applyFont="1" applyFill="1" applyBorder="1" applyAlignment="1">
      <alignment horizontal="center"/>
    </xf>
    <xf numFmtId="49" fontId="25" fillId="4" borderId="74" xfId="0" applyNumberFormat="1" applyFont="1" applyFill="1" applyBorder="1" applyAlignment="1">
      <alignment horizontal="center"/>
    </xf>
    <xf numFmtId="49" fontId="25" fillId="2" borderId="45" xfId="0" applyNumberFormat="1" applyFont="1" applyFill="1" applyBorder="1" applyAlignment="1">
      <alignment horizontal="center"/>
    </xf>
    <xf numFmtId="49" fontId="25" fillId="2" borderId="46" xfId="0" applyNumberFormat="1" applyFont="1" applyFill="1" applyBorder="1" applyAlignment="1">
      <alignment horizontal="center"/>
    </xf>
    <xf numFmtId="49" fontId="24" fillId="2" borderId="58" xfId="0" applyNumberFormat="1" applyFont="1" applyFill="1" applyBorder="1" applyAlignment="1">
      <alignment horizontal="center"/>
    </xf>
    <xf numFmtId="49" fontId="24" fillId="2" borderId="59" xfId="0" applyNumberFormat="1" applyFont="1" applyFill="1" applyBorder="1" applyAlignment="1">
      <alignment horizontal="center"/>
    </xf>
    <xf numFmtId="49" fontId="25" fillId="2" borderId="15" xfId="0" applyNumberFormat="1" applyFont="1" applyFill="1" applyBorder="1" applyAlignment="1">
      <alignment horizontal="center"/>
    </xf>
    <xf numFmtId="49" fontId="25" fillId="4" borderId="19" xfId="0" applyNumberFormat="1" applyFont="1" applyFill="1" applyBorder="1" applyAlignment="1">
      <alignment horizontal="center"/>
    </xf>
    <xf numFmtId="49" fontId="25" fillId="2" borderId="0" xfId="0" applyNumberFormat="1" applyFont="1" applyFill="1" applyAlignment="1">
      <alignment horizontal="center"/>
    </xf>
    <xf numFmtId="49" fontId="25" fillId="2" borderId="19" xfId="0" applyNumberFormat="1" applyFont="1" applyFill="1" applyBorder="1" applyAlignment="1">
      <alignment horizontal="center"/>
    </xf>
    <xf numFmtId="49" fontId="25" fillId="2" borderId="79" xfId="0" applyNumberFormat="1" applyFont="1" applyFill="1" applyBorder="1" applyAlignment="1">
      <alignment horizontal="center"/>
    </xf>
    <xf numFmtId="49" fontId="25" fillId="4" borderId="15" xfId="0" applyNumberFormat="1" applyFont="1" applyFill="1" applyBorder="1" applyAlignment="1">
      <alignment horizontal="center"/>
    </xf>
    <xf numFmtId="49" fontId="25" fillId="4" borderId="79" xfId="0" applyNumberFormat="1" applyFont="1" applyFill="1" applyBorder="1" applyAlignment="1">
      <alignment horizontal="center"/>
    </xf>
    <xf numFmtId="49" fontId="55" fillId="11" borderId="52" xfId="0" applyNumberFormat="1" applyFont="1" applyFill="1" applyBorder="1" applyAlignment="1">
      <alignment horizontal="center" vertical="center"/>
    </xf>
    <xf numFmtId="49" fontId="24" fillId="3" borderId="6" xfId="0" applyNumberFormat="1" applyFont="1" applyFill="1" applyBorder="1" applyAlignment="1">
      <alignment horizontal="center"/>
    </xf>
    <xf numFmtId="49" fontId="25" fillId="2" borderId="8" xfId="0" applyNumberFormat="1" applyFont="1" applyFill="1" applyBorder="1" applyAlignment="1">
      <alignment horizontal="center"/>
    </xf>
    <xf numFmtId="49" fontId="24" fillId="3" borderId="3" xfId="0" applyNumberFormat="1" applyFont="1" applyFill="1" applyBorder="1" applyAlignment="1">
      <alignment horizontal="center"/>
    </xf>
    <xf numFmtId="49" fontId="24" fillId="3" borderId="22" xfId="0" applyNumberFormat="1" applyFont="1" applyFill="1" applyBorder="1" applyAlignment="1">
      <alignment horizontal="center"/>
    </xf>
    <xf numFmtId="49" fontId="78" fillId="3" borderId="22" xfId="0" applyNumberFormat="1" applyFont="1" applyFill="1" applyBorder="1" applyAlignment="1">
      <alignment horizontal="center"/>
    </xf>
    <xf numFmtId="49" fontId="25" fillId="2" borderId="66" xfId="0" applyNumberFormat="1" applyFont="1" applyFill="1" applyBorder="1" applyAlignment="1">
      <alignment horizontal="center"/>
    </xf>
    <xf numFmtId="49" fontId="55" fillId="11" borderId="44" xfId="0" applyNumberFormat="1" applyFont="1" applyFill="1" applyBorder="1" applyAlignment="1">
      <alignment horizontal="center" vertical="center"/>
    </xf>
    <xf numFmtId="49" fontId="24" fillId="3" borderId="57" xfId="0" applyNumberFormat="1" applyFont="1" applyFill="1" applyBorder="1" applyAlignment="1">
      <alignment horizontal="center"/>
    </xf>
    <xf numFmtId="49" fontId="55" fillId="9" borderId="0" xfId="0" applyNumberFormat="1" applyFont="1" applyFill="1" applyAlignment="1">
      <alignment horizontal="center" vertical="center"/>
    </xf>
    <xf numFmtId="49" fontId="25" fillId="0" borderId="15" xfId="0" applyNumberFormat="1" applyFont="1" applyBorder="1" applyAlignment="1">
      <alignment horizontal="center"/>
    </xf>
    <xf numFmtId="49" fontId="26" fillId="0" borderId="45" xfId="0" applyNumberFormat="1" applyFont="1" applyBorder="1"/>
    <xf numFmtId="49" fontId="26" fillId="0" borderId="0" xfId="0" applyNumberFormat="1" applyFont="1"/>
    <xf numFmtId="1" fontId="14" fillId="2" borderId="87" xfId="0" applyNumberFormat="1" applyFont="1" applyFill="1" applyBorder="1" applyAlignment="1">
      <alignment horizontal="center"/>
    </xf>
    <xf numFmtId="1" fontId="4" fillId="3" borderId="89" xfId="0" applyNumberFormat="1" applyFont="1" applyFill="1" applyBorder="1" applyAlignment="1" applyProtection="1">
      <alignment horizontal="center"/>
      <protection locked="0"/>
    </xf>
    <xf numFmtId="2" fontId="3" fillId="2" borderId="90" xfId="0" applyNumberFormat="1" applyFont="1" applyFill="1" applyBorder="1" applyAlignment="1">
      <alignment horizontal="center"/>
    </xf>
    <xf numFmtId="2" fontId="3" fillId="2" borderId="91" xfId="0" applyNumberFormat="1" applyFont="1" applyFill="1" applyBorder="1" applyAlignment="1">
      <alignment horizontal="center"/>
    </xf>
    <xf numFmtId="2" fontId="3" fillId="2" borderId="86" xfId="0" applyNumberFormat="1" applyFont="1" applyFill="1" applyBorder="1" applyAlignment="1">
      <alignment horizontal="center"/>
    </xf>
    <xf numFmtId="0" fontId="28" fillId="2" borderId="92" xfId="0" applyFont="1" applyFill="1" applyBorder="1" applyAlignment="1">
      <alignment horizontal="center"/>
    </xf>
    <xf numFmtId="0" fontId="25" fillId="2" borderId="92" xfId="0" applyFont="1" applyFill="1" applyBorder="1" applyAlignment="1">
      <alignment horizontal="center"/>
    </xf>
    <xf numFmtId="49" fontId="25" fillId="2" borderId="92" xfId="0" applyNumberFormat="1" applyFont="1" applyFill="1" applyBorder="1" applyAlignment="1">
      <alignment horizontal="center"/>
    </xf>
    <xf numFmtId="2" fontId="11" fillId="2" borderId="92" xfId="0" applyNumberFormat="1" applyFont="1" applyFill="1" applyBorder="1" applyAlignment="1">
      <alignment horizontal="center"/>
    </xf>
    <xf numFmtId="0" fontId="11" fillId="2" borderId="93" xfId="0" applyFont="1" applyFill="1" applyBorder="1" applyAlignment="1">
      <alignment horizontal="center"/>
    </xf>
    <xf numFmtId="0" fontId="75" fillId="2" borderId="0" xfId="0" applyFont="1" applyFill="1" applyAlignment="1">
      <alignment horizontal="center"/>
    </xf>
    <xf numFmtId="0" fontId="75" fillId="2" borderId="46" xfId="0" applyFont="1" applyFill="1" applyBorder="1" applyAlignment="1">
      <alignment horizontal="center"/>
    </xf>
    <xf numFmtId="0" fontId="75" fillId="2" borderId="58" xfId="0" applyFont="1" applyFill="1" applyBorder="1" applyAlignment="1">
      <alignment horizontal="center"/>
    </xf>
    <xf numFmtId="0" fontId="75" fillId="2" borderId="59" xfId="0" applyFont="1" applyFill="1" applyBorder="1" applyAlignment="1">
      <alignment horizontal="center"/>
    </xf>
    <xf numFmtId="0" fontId="75" fillId="2" borderId="45" xfId="0" applyFont="1" applyFill="1" applyBorder="1" applyAlignment="1">
      <alignment horizontal="center"/>
    </xf>
    <xf numFmtId="0" fontId="75" fillId="0" borderId="45" xfId="0" applyFont="1" applyBorder="1"/>
    <xf numFmtId="0" fontId="75" fillId="0" borderId="0" xfId="0" applyFont="1"/>
    <xf numFmtId="0" fontId="90" fillId="2" borderId="15" xfId="0" applyFont="1" applyFill="1" applyBorder="1" applyAlignment="1">
      <alignment horizontal="center"/>
    </xf>
    <xf numFmtId="0" fontId="90" fillId="2" borderId="0" xfId="0" applyFont="1" applyFill="1" applyAlignment="1">
      <alignment horizontal="center"/>
    </xf>
    <xf numFmtId="0" fontId="90" fillId="2" borderId="0" xfId="0" applyFont="1" applyFill="1" applyAlignment="1">
      <alignment vertical="center" wrapText="1"/>
    </xf>
    <xf numFmtId="0" fontId="90" fillId="2" borderId="46" xfId="0" applyFont="1" applyFill="1" applyBorder="1" applyAlignment="1">
      <alignment horizontal="center"/>
    </xf>
    <xf numFmtId="0" fontId="90" fillId="2" borderId="58" xfId="0" applyFont="1" applyFill="1" applyBorder="1" applyAlignment="1">
      <alignment horizontal="center"/>
    </xf>
    <xf numFmtId="0" fontId="90" fillId="2" borderId="59" xfId="0" applyFont="1" applyFill="1" applyBorder="1" applyAlignment="1">
      <alignment horizontal="center"/>
    </xf>
    <xf numFmtId="0" fontId="90" fillId="4" borderId="15" xfId="0" applyFont="1" applyFill="1" applyBorder="1" applyAlignment="1">
      <alignment horizontal="center"/>
    </xf>
    <xf numFmtId="0" fontId="90" fillId="2" borderId="45" xfId="0" applyFont="1" applyFill="1" applyBorder="1" applyAlignment="1">
      <alignment horizontal="center"/>
    </xf>
    <xf numFmtId="0" fontId="90" fillId="2" borderId="19" xfId="0" applyFont="1" applyFill="1" applyBorder="1" applyAlignment="1">
      <alignment horizontal="center"/>
    </xf>
    <xf numFmtId="0" fontId="90" fillId="4" borderId="79" xfId="0" applyFont="1" applyFill="1" applyBorder="1" applyAlignment="1">
      <alignment horizontal="center"/>
    </xf>
    <xf numFmtId="0" fontId="90" fillId="4" borderId="19" xfId="0" applyFont="1" applyFill="1" applyBorder="1" applyAlignment="1">
      <alignment horizontal="center"/>
    </xf>
    <xf numFmtId="0" fontId="90" fillId="2" borderId="79" xfId="0" applyFont="1" applyFill="1" applyBorder="1" applyAlignment="1">
      <alignment horizontal="center"/>
    </xf>
    <xf numFmtId="0" fontId="90" fillId="11" borderId="52" xfId="0" applyFont="1" applyFill="1" applyBorder="1" applyAlignment="1">
      <alignment horizontal="center" vertical="center"/>
    </xf>
    <xf numFmtId="0" fontId="90" fillId="3" borderId="6" xfId="0" applyFont="1" applyFill="1" applyBorder="1" applyAlignment="1">
      <alignment horizontal="center"/>
    </xf>
    <xf numFmtId="0" fontId="90" fillId="2" borderId="8" xfId="0" applyFont="1" applyFill="1" applyBorder="1" applyAlignment="1">
      <alignment horizontal="center"/>
    </xf>
    <xf numFmtId="0" fontId="90" fillId="3" borderId="3" xfId="0" applyFont="1" applyFill="1" applyBorder="1" applyAlignment="1">
      <alignment horizontal="center"/>
    </xf>
    <xf numFmtId="0" fontId="90" fillId="2" borderId="28" xfId="0" applyFont="1" applyFill="1" applyBorder="1" applyAlignment="1">
      <alignment horizontal="center"/>
    </xf>
    <xf numFmtId="0" fontId="90" fillId="3" borderId="22" xfId="0" applyFont="1" applyFill="1" applyBorder="1" applyAlignment="1">
      <alignment horizontal="center"/>
    </xf>
    <xf numFmtId="0" fontId="90" fillId="2" borderId="66" xfId="0" applyFont="1" applyFill="1" applyBorder="1" applyAlignment="1">
      <alignment horizontal="center"/>
    </xf>
    <xf numFmtId="0" fontId="90" fillId="4" borderId="74" xfId="0" applyFont="1" applyFill="1" applyBorder="1" applyAlignment="1">
      <alignment horizontal="center"/>
    </xf>
    <xf numFmtId="0" fontId="90" fillId="2" borderId="74" xfId="0" applyFont="1" applyFill="1" applyBorder="1" applyAlignment="1">
      <alignment horizontal="center"/>
    </xf>
    <xf numFmtId="0" fontId="90" fillId="11" borderId="44" xfId="0" applyFont="1" applyFill="1" applyBorder="1" applyAlignment="1">
      <alignment horizontal="center" vertical="center"/>
    </xf>
    <xf numFmtId="0" fontId="90" fillId="3" borderId="57" xfId="0" applyFont="1" applyFill="1" applyBorder="1" applyAlignment="1">
      <alignment horizontal="center"/>
    </xf>
    <xf numFmtId="0" fontId="90" fillId="2" borderId="92" xfId="0" applyFont="1" applyFill="1" applyBorder="1" applyAlignment="1">
      <alignment horizontal="center"/>
    </xf>
    <xf numFmtId="0" fontId="90" fillId="9" borderId="0" xfId="0" applyFont="1" applyFill="1" applyAlignment="1">
      <alignment horizontal="center" vertical="center"/>
    </xf>
    <xf numFmtId="0" fontId="89" fillId="3" borderId="3" xfId="0" applyFont="1" applyFill="1" applyBorder="1" applyAlignment="1">
      <alignment horizontal="center"/>
    </xf>
    <xf numFmtId="0" fontId="90" fillId="0" borderId="15" xfId="0" applyFont="1" applyBorder="1" applyAlignment="1">
      <alignment horizontal="center"/>
    </xf>
    <xf numFmtId="0" fontId="90" fillId="0" borderId="45" xfId="0" applyFont="1" applyBorder="1"/>
    <xf numFmtId="0" fontId="90" fillId="0" borderId="0" xfId="0" applyFont="1"/>
    <xf numFmtId="0" fontId="88" fillId="12" borderId="30" xfId="0" applyFont="1" applyFill="1" applyBorder="1" applyAlignment="1">
      <alignment horizontal="center" vertical="top" wrapText="1"/>
    </xf>
    <xf numFmtId="0" fontId="88" fillId="12" borderId="29" xfId="0" applyFont="1" applyFill="1" applyBorder="1" applyAlignment="1">
      <alignment horizontal="left" vertical="top" wrapText="1"/>
    </xf>
    <xf numFmtId="49" fontId="9" fillId="8" borderId="30" xfId="0" applyNumberFormat="1" applyFont="1" applyFill="1" applyBorder="1" applyAlignment="1">
      <alignment vertical="top" wrapText="1"/>
    </xf>
    <xf numFmtId="49" fontId="9" fillId="8" borderId="29" xfId="0" applyNumberFormat="1" applyFont="1" applyFill="1" applyBorder="1" applyAlignment="1">
      <alignment vertical="top" wrapText="1"/>
    </xf>
    <xf numFmtId="0" fontId="81" fillId="2" borderId="0" xfId="0" applyFont="1" applyFill="1" applyAlignment="1">
      <alignment vertical="center" wrapText="1"/>
    </xf>
    <xf numFmtId="14" fontId="84" fillId="2" borderId="0" xfId="0" applyNumberFormat="1" applyFont="1" applyFill="1" applyAlignment="1">
      <alignment vertical="center" wrapText="1"/>
    </xf>
    <xf numFmtId="4" fontId="5" fillId="0" borderId="0" xfId="0" applyNumberFormat="1" applyFont="1"/>
    <xf numFmtId="2" fontId="3" fillId="4" borderId="72" xfId="0" applyNumberFormat="1" applyFont="1" applyFill="1" applyBorder="1" applyAlignment="1">
      <alignment horizontal="center"/>
    </xf>
    <xf numFmtId="2" fontId="3" fillId="4" borderId="73" xfId="0" applyNumberFormat="1" applyFont="1" applyFill="1" applyBorder="1" applyAlignment="1">
      <alignment horizontal="center"/>
    </xf>
    <xf numFmtId="2" fontId="3" fillId="4" borderId="70" xfId="0" applyNumberFormat="1" applyFont="1" applyFill="1" applyBorder="1" applyAlignment="1">
      <alignment horizontal="center"/>
    </xf>
    <xf numFmtId="0" fontId="19" fillId="4" borderId="69" xfId="0" applyFont="1" applyFill="1" applyBorder="1"/>
    <xf numFmtId="0" fontId="19" fillId="2" borderId="69" xfId="0" applyFont="1" applyFill="1" applyBorder="1"/>
    <xf numFmtId="0" fontId="5" fillId="0" borderId="0" xfId="0" applyFont="1" applyAlignment="1">
      <alignment horizontal="center"/>
    </xf>
    <xf numFmtId="0" fontId="51" fillId="2" borderId="0" xfId="1" applyFont="1" applyFill="1" applyBorder="1" applyAlignment="1"/>
    <xf numFmtId="0" fontId="16" fillId="4" borderId="15" xfId="0" applyFont="1" applyFill="1" applyBorder="1" applyAlignment="1">
      <alignment horizontal="center"/>
    </xf>
    <xf numFmtId="0" fontId="16" fillId="2" borderId="15" xfId="0" applyFont="1" applyFill="1" applyBorder="1" applyAlignment="1">
      <alignment horizontal="center"/>
    </xf>
    <xf numFmtId="0" fontId="2" fillId="0" borderId="1" xfId="0" applyFont="1" applyBorder="1" applyAlignment="1">
      <alignment horizontal="center"/>
    </xf>
    <xf numFmtId="0" fontId="0" fillId="4" borderId="0" xfId="0" applyFill="1"/>
    <xf numFmtId="0" fontId="34" fillId="2" borderId="104" xfId="0" applyFont="1" applyFill="1" applyBorder="1" applyAlignment="1" applyProtection="1">
      <alignment horizontal="center"/>
      <protection hidden="1"/>
    </xf>
    <xf numFmtId="0" fontId="14" fillId="4" borderId="96" xfId="0" applyFont="1" applyFill="1" applyBorder="1" applyAlignment="1">
      <alignment horizontal="center"/>
    </xf>
    <xf numFmtId="1" fontId="14" fillId="4" borderId="97" xfId="0" applyNumberFormat="1" applyFont="1" applyFill="1" applyBorder="1" applyAlignment="1">
      <alignment horizontal="center"/>
    </xf>
    <xf numFmtId="0" fontId="3" fillId="4" borderId="99" xfId="0" applyFont="1" applyFill="1" applyBorder="1" applyAlignment="1">
      <alignment horizontal="center"/>
    </xf>
    <xf numFmtId="2" fontId="3" fillId="4" borderId="100" xfId="0" applyNumberFormat="1" applyFont="1" applyFill="1" applyBorder="1" applyAlignment="1">
      <alignment horizontal="center"/>
    </xf>
    <xf numFmtId="2" fontId="3" fillId="4" borderId="101" xfId="0" applyNumberFormat="1" applyFont="1" applyFill="1" applyBorder="1" applyAlignment="1">
      <alignment horizontal="center"/>
    </xf>
    <xf numFmtId="2" fontId="3" fillId="4" borderId="99" xfId="0" applyNumberFormat="1" applyFont="1" applyFill="1" applyBorder="1" applyAlignment="1">
      <alignment horizontal="center"/>
    </xf>
    <xf numFmtId="0" fontId="28" fillId="4" borderId="102" xfId="0" applyFont="1" applyFill="1" applyBorder="1" applyAlignment="1">
      <alignment horizontal="center"/>
    </xf>
    <xf numFmtId="0" fontId="25" fillId="4" borderId="102" xfId="0" applyFont="1" applyFill="1" applyBorder="1" applyAlignment="1">
      <alignment horizontal="center"/>
    </xf>
    <xf numFmtId="49" fontId="25" fillId="4" borderId="102" xfId="0" applyNumberFormat="1" applyFont="1" applyFill="1" applyBorder="1" applyAlignment="1">
      <alignment horizontal="center"/>
    </xf>
    <xf numFmtId="0" fontId="90" fillId="4" borderId="102" xfId="0" applyFont="1" applyFill="1" applyBorder="1" applyAlignment="1">
      <alignment horizontal="center"/>
    </xf>
    <xf numFmtId="2" fontId="56" fillId="4" borderId="102" xfId="0" applyNumberFormat="1" applyFont="1" applyFill="1" applyBorder="1" applyAlignment="1">
      <alignment horizontal="center"/>
    </xf>
    <xf numFmtId="0" fontId="11" fillId="4" borderId="103" xfId="0" applyFont="1" applyFill="1" applyBorder="1" applyAlignment="1">
      <alignment horizontal="center"/>
    </xf>
    <xf numFmtId="0" fontId="19" fillId="4" borderId="98" xfId="0" applyFont="1" applyFill="1" applyBorder="1"/>
    <xf numFmtId="0" fontId="0" fillId="13" borderId="0" xfId="0" applyFill="1" applyAlignment="1">
      <alignment horizontal="center"/>
    </xf>
    <xf numFmtId="0" fontId="14" fillId="4" borderId="105" xfId="0" applyFont="1" applyFill="1" applyBorder="1" applyAlignment="1">
      <alignment horizontal="center"/>
    </xf>
    <xf numFmtId="0" fontId="8" fillId="10" borderId="3" xfId="0" applyFont="1" applyFill="1" applyBorder="1" applyAlignment="1">
      <alignment horizontal="center"/>
    </xf>
    <xf numFmtId="0" fontId="9" fillId="10" borderId="3" xfId="0" applyFont="1" applyFill="1" applyBorder="1" applyAlignment="1">
      <alignment horizontal="center"/>
    </xf>
    <xf numFmtId="1" fontId="36" fillId="10" borderId="3" xfId="0" applyNumberFormat="1" applyFont="1" applyFill="1" applyBorder="1" applyAlignment="1">
      <alignment horizontal="center"/>
    </xf>
    <xf numFmtId="2" fontId="4" fillId="10" borderId="3" xfId="0" applyNumberFormat="1" applyFont="1" applyFill="1" applyBorder="1" applyAlignment="1">
      <alignment horizontal="center"/>
    </xf>
    <xf numFmtId="2" fontId="11" fillId="10" borderId="3" xfId="0" applyNumberFormat="1" applyFont="1" applyFill="1" applyBorder="1" applyAlignment="1">
      <alignment horizontal="center"/>
    </xf>
    <xf numFmtId="2" fontId="3" fillId="10" borderId="3" xfId="0" applyNumberFormat="1" applyFont="1" applyFill="1" applyBorder="1" applyAlignment="1">
      <alignment horizontal="center"/>
    </xf>
    <xf numFmtId="2" fontId="28" fillId="10" borderId="3" xfId="0" applyNumberFormat="1" applyFont="1" applyFill="1" applyBorder="1" applyAlignment="1">
      <alignment horizontal="center"/>
    </xf>
    <xf numFmtId="0" fontId="24" fillId="10" borderId="3" xfId="0" applyFont="1" applyFill="1" applyBorder="1" applyAlignment="1">
      <alignment horizontal="center"/>
    </xf>
    <xf numFmtId="49" fontId="24" fillId="10" borderId="3" xfId="0" applyNumberFormat="1" applyFont="1" applyFill="1" applyBorder="1" applyAlignment="1">
      <alignment horizontal="center"/>
    </xf>
    <xf numFmtId="0" fontId="90" fillId="10" borderId="3" xfId="0" applyFont="1" applyFill="1" applyBorder="1" applyAlignment="1">
      <alignment horizontal="center"/>
    </xf>
    <xf numFmtId="0" fontId="11" fillId="10" borderId="3" xfId="0" applyFont="1" applyFill="1" applyBorder="1" applyAlignment="1">
      <alignment horizontal="center"/>
    </xf>
    <xf numFmtId="0" fontId="36" fillId="10" borderId="3" xfId="0" applyFont="1" applyFill="1" applyBorder="1" applyAlignment="1">
      <alignment horizontal="center"/>
    </xf>
    <xf numFmtId="0" fontId="33" fillId="10" borderId="3" xfId="0" applyFont="1" applyFill="1" applyBorder="1" applyAlignment="1" applyProtection="1">
      <alignment horizontal="center"/>
      <protection hidden="1"/>
    </xf>
    <xf numFmtId="14" fontId="11" fillId="2" borderId="15" xfId="0" applyNumberFormat="1" applyFont="1" applyFill="1" applyBorder="1" applyAlignment="1">
      <alignment horizontal="center"/>
    </xf>
    <xf numFmtId="14" fontId="11" fillId="4" borderId="15" xfId="0" applyNumberFormat="1" applyFont="1" applyFill="1" applyBorder="1" applyAlignment="1">
      <alignment horizontal="center"/>
    </xf>
    <xf numFmtId="0" fontId="14" fillId="2" borderId="99" xfId="0" applyFont="1" applyFill="1" applyBorder="1" applyAlignment="1">
      <alignment horizontal="center"/>
    </xf>
    <xf numFmtId="1" fontId="14" fillId="2" borderId="97" xfId="0" applyNumberFormat="1" applyFont="1" applyFill="1" applyBorder="1" applyAlignment="1">
      <alignment horizontal="center"/>
    </xf>
    <xf numFmtId="0" fontId="19" fillId="2" borderId="98" xfId="0" applyFont="1" applyFill="1" applyBorder="1"/>
    <xf numFmtId="0" fontId="3" fillId="2" borderId="99" xfId="0" applyFont="1" applyFill="1" applyBorder="1" applyAlignment="1">
      <alignment horizontal="center"/>
    </xf>
    <xf numFmtId="2" fontId="3" fillId="2" borderId="100" xfId="0" applyNumberFormat="1" applyFont="1" applyFill="1" applyBorder="1" applyAlignment="1">
      <alignment horizontal="center"/>
    </xf>
    <xf numFmtId="2" fontId="3" fillId="2" borderId="101" xfId="0" applyNumberFormat="1" applyFont="1" applyFill="1" applyBorder="1" applyAlignment="1">
      <alignment horizontal="center"/>
    </xf>
    <xf numFmtId="2" fontId="3" fillId="2" borderId="99" xfId="0" applyNumberFormat="1" applyFont="1" applyFill="1" applyBorder="1" applyAlignment="1">
      <alignment horizontal="center"/>
    </xf>
    <xf numFmtId="0" fontId="28" fillId="2" borderId="102" xfId="0" applyFont="1" applyFill="1" applyBorder="1" applyAlignment="1">
      <alignment horizontal="center"/>
    </xf>
    <xf numFmtId="0" fontId="25" fillId="2" borderId="102" xfId="0" applyFont="1" applyFill="1" applyBorder="1" applyAlignment="1">
      <alignment horizontal="center"/>
    </xf>
    <xf numFmtId="49" fontId="25" fillId="2" borderId="102" xfId="0" applyNumberFormat="1" applyFont="1" applyFill="1" applyBorder="1" applyAlignment="1">
      <alignment horizontal="center"/>
    </xf>
    <xf numFmtId="0" fontId="90" fillId="2" borderId="102" xfId="0" applyFont="1" applyFill="1" applyBorder="1" applyAlignment="1">
      <alignment horizontal="center"/>
    </xf>
    <xf numFmtId="2" fontId="56" fillId="2" borderId="102" xfId="0" applyNumberFormat="1" applyFont="1" applyFill="1" applyBorder="1" applyAlignment="1">
      <alignment horizontal="center"/>
    </xf>
    <xf numFmtId="0" fontId="11" fillId="2" borderId="103" xfId="0" applyFont="1" applyFill="1" applyBorder="1" applyAlignment="1">
      <alignment horizontal="center"/>
    </xf>
    <xf numFmtId="0" fontId="19" fillId="2" borderId="47" xfId="0" applyFont="1" applyFill="1" applyBorder="1" applyAlignment="1">
      <alignment horizontal="left"/>
    </xf>
    <xf numFmtId="0" fontId="19" fillId="4" borderId="48" xfId="0" applyFont="1" applyFill="1" applyBorder="1" applyAlignment="1">
      <alignment horizontal="left"/>
    </xf>
    <xf numFmtId="0" fontId="19" fillId="2" borderId="48" xfId="0" applyFont="1" applyFill="1" applyBorder="1" applyAlignment="1">
      <alignment horizontal="left"/>
    </xf>
    <xf numFmtId="0" fontId="46" fillId="0" borderId="0" xfId="0" applyFont="1" applyAlignment="1">
      <alignment horizontal="center" vertical="center"/>
    </xf>
    <xf numFmtId="0" fontId="56" fillId="4" borderId="15" xfId="0" applyFont="1" applyFill="1" applyBorder="1" applyAlignment="1">
      <alignment horizontal="center"/>
    </xf>
    <xf numFmtId="0" fontId="4" fillId="4" borderId="77" xfId="0" applyFont="1" applyFill="1" applyBorder="1" applyAlignment="1">
      <alignment horizontal="center"/>
    </xf>
    <xf numFmtId="0" fontId="75" fillId="11" borderId="44" xfId="0" applyFont="1" applyFill="1" applyBorder="1" applyAlignment="1">
      <alignment horizontal="center" vertical="center"/>
    </xf>
    <xf numFmtId="0" fontId="75" fillId="3" borderId="57" xfId="0" applyFont="1" applyFill="1" applyBorder="1" applyAlignment="1">
      <alignment horizontal="center"/>
    </xf>
    <xf numFmtId="0" fontId="11" fillId="4" borderId="95" xfId="0" applyFont="1" applyFill="1" applyBorder="1" applyAlignment="1">
      <alignment horizontal="center"/>
    </xf>
    <xf numFmtId="2" fontId="64" fillId="4" borderId="15" xfId="0" applyNumberFormat="1" applyFont="1" applyFill="1" applyBorder="1" applyAlignment="1">
      <alignment horizontal="center"/>
    </xf>
    <xf numFmtId="0" fontId="0" fillId="0" borderId="0" xfId="0" applyAlignment="1">
      <alignment horizontal="left"/>
    </xf>
    <xf numFmtId="0" fontId="56" fillId="2" borderId="15" xfId="0" applyFont="1" applyFill="1" applyBorder="1" applyAlignment="1">
      <alignment horizontal="center"/>
    </xf>
    <xf numFmtId="0" fontId="56" fillId="3" borderId="3" xfId="0" applyFont="1" applyFill="1" applyBorder="1" applyAlignment="1">
      <alignment horizontal="center"/>
    </xf>
    <xf numFmtId="0" fontId="93" fillId="2" borderId="1" xfId="0" applyFont="1" applyFill="1" applyBorder="1" applyAlignment="1">
      <alignment horizontal="center"/>
    </xf>
    <xf numFmtId="1" fontId="93" fillId="2" borderId="14" xfId="0" applyNumberFormat="1" applyFont="1" applyFill="1" applyBorder="1" applyAlignment="1">
      <alignment horizontal="center"/>
    </xf>
    <xf numFmtId="0" fontId="94" fillId="2" borderId="1" xfId="0" applyFont="1" applyFill="1" applyBorder="1" applyAlignment="1">
      <alignment horizontal="center"/>
    </xf>
    <xf numFmtId="1" fontId="95" fillId="3" borderId="54" xfId="0" applyNumberFormat="1" applyFont="1" applyFill="1" applyBorder="1" applyAlignment="1" applyProtection="1">
      <alignment horizontal="center"/>
      <protection locked="0"/>
    </xf>
    <xf numFmtId="2" fontId="94" fillId="2" borderId="36" xfId="0" applyNumberFormat="1" applyFont="1" applyFill="1" applyBorder="1" applyAlignment="1">
      <alignment horizontal="center"/>
    </xf>
    <xf numFmtId="2" fontId="94" fillId="2" borderId="2" xfId="0" applyNumberFormat="1" applyFont="1" applyFill="1" applyBorder="1" applyAlignment="1">
      <alignment horizontal="center"/>
    </xf>
    <xf numFmtId="2" fontId="94" fillId="2" borderId="1" xfId="0" applyNumberFormat="1" applyFont="1" applyFill="1" applyBorder="1" applyAlignment="1">
      <alignment horizontal="center"/>
    </xf>
    <xf numFmtId="0" fontId="96" fillId="2" borderId="15" xfId="0" applyFont="1" applyFill="1" applyBorder="1" applyAlignment="1">
      <alignment horizontal="center"/>
    </xf>
    <xf numFmtId="0" fontId="93" fillId="2" borderId="15" xfId="0" applyFont="1" applyFill="1" applyBorder="1" applyAlignment="1">
      <alignment horizontal="center"/>
    </xf>
    <xf numFmtId="0" fontId="93" fillId="4" borderId="1" xfId="0" applyFont="1" applyFill="1" applyBorder="1" applyAlignment="1">
      <alignment horizontal="center"/>
    </xf>
    <xf numFmtId="1" fontId="93" fillId="4" borderId="14" xfId="0" applyNumberFormat="1" applyFont="1" applyFill="1" applyBorder="1" applyAlignment="1">
      <alignment horizontal="center"/>
    </xf>
    <xf numFmtId="0" fontId="94" fillId="4" borderId="1" xfId="0" applyFont="1" applyFill="1" applyBorder="1" applyAlignment="1">
      <alignment horizontal="center"/>
    </xf>
    <xf numFmtId="2" fontId="94" fillId="4" borderId="36" xfId="0" applyNumberFormat="1" applyFont="1" applyFill="1" applyBorder="1" applyAlignment="1">
      <alignment horizontal="center"/>
    </xf>
    <xf numFmtId="2" fontId="94" fillId="4" borderId="2" xfId="0" applyNumberFormat="1" applyFont="1" applyFill="1" applyBorder="1" applyAlignment="1">
      <alignment horizontal="center"/>
    </xf>
    <xf numFmtId="2" fontId="94" fillId="4" borderId="1" xfId="0" applyNumberFormat="1" applyFont="1" applyFill="1" applyBorder="1" applyAlignment="1">
      <alignment horizontal="center"/>
    </xf>
    <xf numFmtId="0" fontId="96" fillId="4" borderId="15" xfId="0" applyFont="1" applyFill="1" applyBorder="1" applyAlignment="1">
      <alignment horizontal="center"/>
    </xf>
    <xf numFmtId="0" fontId="93" fillId="4" borderId="15" xfId="0" applyFont="1" applyFill="1" applyBorder="1" applyAlignment="1">
      <alignment horizontal="center"/>
    </xf>
    <xf numFmtId="0" fontId="97" fillId="2" borderId="47" xfId="0" applyFont="1" applyFill="1" applyBorder="1"/>
    <xf numFmtId="0" fontId="97" fillId="4" borderId="47" xfId="0" applyFont="1" applyFill="1" applyBorder="1"/>
    <xf numFmtId="0" fontId="8" fillId="11" borderId="107" xfId="0" applyFont="1" applyFill="1" applyBorder="1" applyAlignment="1">
      <alignment horizontal="center" vertical="center"/>
    </xf>
    <xf numFmtId="0" fontId="8" fillId="11" borderId="108" xfId="0" applyFont="1" applyFill="1" applyBorder="1" applyAlignment="1">
      <alignment horizontal="center" vertical="center"/>
    </xf>
    <xf numFmtId="3" fontId="49" fillId="11" borderId="108" xfId="0" applyNumberFormat="1" applyFont="1" applyFill="1" applyBorder="1" applyAlignment="1">
      <alignment horizontal="left" vertical="center"/>
    </xf>
    <xf numFmtId="1" fontId="50" fillId="11" borderId="108" xfId="0" applyNumberFormat="1" applyFont="1" applyFill="1" applyBorder="1" applyAlignment="1">
      <alignment horizontal="center" vertical="center"/>
    </xf>
    <xf numFmtId="2" fontId="50" fillId="11" borderId="108" xfId="0" applyNumberFormat="1" applyFont="1" applyFill="1" applyBorder="1" applyAlignment="1">
      <alignment horizontal="center" vertical="center"/>
    </xf>
    <xf numFmtId="0" fontId="54" fillId="11" borderId="108" xfId="0" applyFont="1" applyFill="1" applyBorder="1" applyAlignment="1">
      <alignment horizontal="left" vertical="center"/>
    </xf>
    <xf numFmtId="2" fontId="55" fillId="11" borderId="108" xfId="0" applyNumberFormat="1" applyFont="1" applyFill="1" applyBorder="1" applyAlignment="1">
      <alignment horizontal="center" vertical="center"/>
    </xf>
    <xf numFmtId="0" fontId="32" fillId="11" borderId="108" xfId="0" applyFont="1" applyFill="1" applyBorder="1" applyAlignment="1">
      <alignment horizontal="center" vertical="center"/>
    </xf>
    <xf numFmtId="0" fontId="55" fillId="11" borderId="108" xfId="0" applyFont="1" applyFill="1" applyBorder="1" applyAlignment="1">
      <alignment horizontal="center" vertical="center"/>
    </xf>
    <xf numFmtId="49" fontId="55" fillId="11" borderId="108" xfId="0" applyNumberFormat="1" applyFont="1" applyFill="1" applyBorder="1" applyAlignment="1">
      <alignment horizontal="center" vertical="center"/>
    </xf>
    <xf numFmtId="0" fontId="90" fillId="11" borderId="108" xfId="0" applyFont="1" applyFill="1" applyBorder="1" applyAlignment="1">
      <alignment horizontal="center" vertical="center"/>
    </xf>
    <xf numFmtId="0" fontId="41" fillId="11" borderId="108" xfId="0" applyFont="1" applyFill="1" applyBorder="1" applyAlignment="1">
      <alignment horizontal="center" vertical="center"/>
    </xf>
    <xf numFmtId="0" fontId="50" fillId="11" borderId="108" xfId="0" applyFont="1" applyFill="1" applyBorder="1" applyAlignment="1">
      <alignment horizontal="center" vertical="center"/>
    </xf>
    <xf numFmtId="0" fontId="50" fillId="11" borderId="108" xfId="0" applyFont="1" applyFill="1" applyBorder="1" applyAlignment="1" applyProtection="1">
      <alignment horizontal="center" vertical="center"/>
      <protection hidden="1"/>
    </xf>
    <xf numFmtId="2" fontId="32" fillId="5" borderId="108" xfId="1" applyNumberFormat="1" applyFont="1" applyFill="1" applyBorder="1" applyAlignment="1">
      <alignment horizontal="center" vertical="center" wrapText="1"/>
    </xf>
    <xf numFmtId="0" fontId="14" fillId="3" borderId="6" xfId="0" applyFont="1" applyFill="1" applyBorder="1" applyAlignment="1">
      <alignment horizontal="center"/>
    </xf>
    <xf numFmtId="1" fontId="14" fillId="3" borderId="6" xfId="0" applyNumberFormat="1" applyFont="1" applyFill="1" applyBorder="1" applyAlignment="1">
      <alignment horizontal="center"/>
    </xf>
    <xf numFmtId="2" fontId="46" fillId="2" borderId="0" xfId="0" applyNumberFormat="1" applyFont="1" applyFill="1" applyAlignment="1">
      <alignment horizontal="left"/>
    </xf>
    <xf numFmtId="0" fontId="44" fillId="4" borderId="48" xfId="0" applyFont="1" applyFill="1" applyBorder="1"/>
    <xf numFmtId="0" fontId="44" fillId="2" borderId="48" xfId="0" applyFont="1" applyFill="1" applyBorder="1"/>
    <xf numFmtId="1" fontId="57" fillId="10" borderId="3" xfId="0" applyNumberFormat="1" applyFont="1" applyFill="1" applyBorder="1" applyAlignment="1">
      <alignment horizontal="left" vertical="center"/>
    </xf>
    <xf numFmtId="14" fontId="56" fillId="2" borderId="15" xfId="0" applyNumberFormat="1" applyFont="1" applyFill="1" applyBorder="1" applyAlignment="1">
      <alignment horizontal="center"/>
    </xf>
    <xf numFmtId="14" fontId="56" fillId="4" borderId="15" xfId="0" applyNumberFormat="1" applyFont="1" applyFill="1" applyBorder="1" applyAlignment="1">
      <alignment horizontal="center"/>
    </xf>
    <xf numFmtId="0" fontId="62" fillId="2" borderId="17" xfId="0" applyFont="1" applyFill="1" applyBorder="1" applyAlignment="1" applyProtection="1">
      <alignment horizontal="center"/>
      <protection hidden="1"/>
    </xf>
    <xf numFmtId="2" fontId="101" fillId="2" borderId="19" xfId="0" applyNumberFormat="1" applyFont="1" applyFill="1" applyBorder="1" applyAlignment="1">
      <alignment horizontal="center"/>
    </xf>
    <xf numFmtId="2" fontId="101" fillId="4" borderId="19" xfId="0" applyNumberFormat="1" applyFont="1" applyFill="1" applyBorder="1" applyAlignment="1">
      <alignment horizontal="center"/>
    </xf>
    <xf numFmtId="0" fontId="4" fillId="4" borderId="4" xfId="0" applyFont="1" applyFill="1" applyBorder="1" applyAlignment="1">
      <alignment horizontal="center"/>
    </xf>
    <xf numFmtId="0" fontId="44" fillId="2" borderId="48" xfId="0" applyFont="1" applyFill="1" applyBorder="1" applyAlignment="1">
      <alignment horizontal="left"/>
    </xf>
    <xf numFmtId="0" fontId="8" fillId="9" borderId="43" xfId="0" applyFont="1" applyFill="1" applyBorder="1" applyAlignment="1">
      <alignment horizontal="center" vertical="center"/>
    </xf>
    <xf numFmtId="0" fontId="8" fillId="9" borderId="44" xfId="0" applyFont="1" applyFill="1" applyBorder="1" applyAlignment="1">
      <alignment horizontal="center" vertical="center"/>
    </xf>
    <xf numFmtId="3" fontId="49" fillId="9" borderId="44" xfId="0" applyNumberFormat="1" applyFont="1" applyFill="1" applyBorder="1" applyAlignment="1">
      <alignment horizontal="left" vertical="center"/>
    </xf>
    <xf numFmtId="1" fontId="50" fillId="9" borderId="44"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0" fontId="54" fillId="9" borderId="44" xfId="0" applyFont="1" applyFill="1" applyBorder="1" applyAlignment="1">
      <alignment horizontal="left" vertical="center"/>
    </xf>
    <xf numFmtId="2" fontId="55" fillId="9" borderId="44" xfId="0" applyNumberFormat="1" applyFont="1" applyFill="1" applyBorder="1" applyAlignment="1">
      <alignment horizontal="center" vertical="center"/>
    </xf>
    <xf numFmtId="0" fontId="32" fillId="9" borderId="44" xfId="0" applyFont="1" applyFill="1" applyBorder="1" applyAlignment="1">
      <alignment horizontal="center" vertical="center"/>
    </xf>
    <xf numFmtId="0" fontId="55" fillId="9" borderId="44" xfId="0" applyFont="1" applyFill="1" applyBorder="1" applyAlignment="1">
      <alignment horizontal="center" vertical="center"/>
    </xf>
    <xf numFmtId="49" fontId="55" fillId="9" borderId="44" xfId="0" applyNumberFormat="1" applyFont="1" applyFill="1" applyBorder="1" applyAlignment="1">
      <alignment horizontal="center" vertical="center"/>
    </xf>
    <xf numFmtId="0" fontId="90" fillId="9" borderId="44" xfId="0" applyFont="1" applyFill="1" applyBorder="1" applyAlignment="1">
      <alignment horizontal="center" vertical="center"/>
    </xf>
    <xf numFmtId="0" fontId="41" fillId="9" borderId="44" xfId="0" applyFont="1" applyFill="1" applyBorder="1" applyAlignment="1">
      <alignment horizontal="center" vertical="center"/>
    </xf>
    <xf numFmtId="0" fontId="50" fillId="9" borderId="44" xfId="0" applyFont="1" applyFill="1" applyBorder="1" applyAlignment="1">
      <alignment horizontal="center" vertical="center"/>
    </xf>
    <xf numFmtId="0" fontId="50" fillId="9" borderId="44" xfId="0" applyFont="1" applyFill="1" applyBorder="1" applyAlignment="1" applyProtection="1">
      <alignment horizontal="center" vertical="center"/>
      <protection hidden="1"/>
    </xf>
    <xf numFmtId="2" fontId="32" fillId="14" borderId="44" xfId="1" applyNumberFormat="1" applyFont="1" applyFill="1" applyBorder="1" applyAlignment="1">
      <alignment horizontal="center" vertical="center" wrapText="1"/>
    </xf>
    <xf numFmtId="0" fontId="14" fillId="10" borderId="22" xfId="0" applyFont="1" applyFill="1" applyBorder="1" applyAlignment="1">
      <alignment horizontal="center"/>
    </xf>
    <xf numFmtId="1" fontId="14" fillId="10" borderId="22" xfId="0" applyNumberFormat="1" applyFont="1" applyFill="1" applyBorder="1" applyAlignment="1">
      <alignment horizontal="center"/>
    </xf>
    <xf numFmtId="1" fontId="13" fillId="10" borderId="22" xfId="0" applyNumberFormat="1" applyFont="1" applyFill="1" applyBorder="1" applyAlignment="1">
      <alignment horizontal="left" vertical="center"/>
    </xf>
    <xf numFmtId="1" fontId="36" fillId="10" borderId="22" xfId="0" applyNumberFormat="1" applyFont="1" applyFill="1" applyBorder="1" applyAlignment="1">
      <alignment horizontal="center"/>
    </xf>
    <xf numFmtId="2" fontId="4" fillId="10" borderId="22" xfId="0" applyNumberFormat="1" applyFont="1" applyFill="1" applyBorder="1" applyAlignment="1">
      <alignment horizontal="center"/>
    </xf>
    <xf numFmtId="2" fontId="11" fillId="10" borderId="22" xfId="0" applyNumberFormat="1" applyFont="1" applyFill="1" applyBorder="1" applyAlignment="1">
      <alignment horizontal="center" vertical="center"/>
    </xf>
    <xf numFmtId="2" fontId="3" fillId="10" borderId="22" xfId="0" applyNumberFormat="1" applyFont="1" applyFill="1" applyBorder="1" applyAlignment="1">
      <alignment horizontal="center" vertical="center"/>
    </xf>
    <xf numFmtId="2" fontId="28" fillId="10" borderId="22" xfId="0" applyNumberFormat="1" applyFont="1" applyFill="1" applyBorder="1" applyAlignment="1">
      <alignment horizontal="center"/>
    </xf>
    <xf numFmtId="0" fontId="24" fillId="10" borderId="22" xfId="0" applyFont="1" applyFill="1" applyBorder="1" applyAlignment="1">
      <alignment horizontal="center"/>
    </xf>
    <xf numFmtId="49" fontId="24" fillId="10" borderId="22" xfId="0" applyNumberFormat="1" applyFont="1" applyFill="1" applyBorder="1" applyAlignment="1">
      <alignment horizontal="center"/>
    </xf>
    <xf numFmtId="0" fontId="90" fillId="10" borderId="22" xfId="0" applyFont="1" applyFill="1" applyBorder="1" applyAlignment="1">
      <alignment horizontal="center"/>
    </xf>
    <xf numFmtId="0" fontId="11" fillId="10" borderId="22" xfId="0" applyFont="1" applyFill="1" applyBorder="1" applyAlignment="1">
      <alignment horizontal="center"/>
    </xf>
    <xf numFmtId="0" fontId="36" fillId="10" borderId="22" xfId="0" applyFont="1" applyFill="1" applyBorder="1" applyAlignment="1">
      <alignment horizontal="center"/>
    </xf>
    <xf numFmtId="0" fontId="33" fillId="10" borderId="22" xfId="0" applyFont="1" applyFill="1" applyBorder="1" applyAlignment="1" applyProtection="1">
      <alignment horizontal="center"/>
      <protection hidden="1"/>
    </xf>
    <xf numFmtId="0" fontId="102" fillId="2" borderId="0" xfId="0" applyFont="1" applyFill="1" applyAlignment="1">
      <alignment horizontal="center"/>
    </xf>
    <xf numFmtId="0" fontId="14" fillId="3" borderId="58" xfId="0" applyFont="1" applyFill="1" applyBorder="1" applyAlignment="1">
      <alignment horizontal="center"/>
    </xf>
    <xf numFmtId="1" fontId="14" fillId="3" borderId="58" xfId="0" applyNumberFormat="1" applyFont="1" applyFill="1" applyBorder="1" applyAlignment="1">
      <alignment horizontal="center"/>
    </xf>
    <xf numFmtId="1" fontId="13" fillId="3" borderId="58" xfId="0" applyNumberFormat="1" applyFont="1" applyFill="1" applyBorder="1" applyAlignment="1">
      <alignment horizontal="left" vertical="center"/>
    </xf>
    <xf numFmtId="1" fontId="36" fillId="3" borderId="58" xfId="0" applyNumberFormat="1" applyFont="1" applyFill="1" applyBorder="1" applyAlignment="1">
      <alignment horizontal="center"/>
    </xf>
    <xf numFmtId="2" fontId="4" fillId="3" borderId="58" xfId="0" applyNumberFormat="1" applyFont="1" applyFill="1" applyBorder="1" applyAlignment="1">
      <alignment horizontal="center"/>
    </xf>
    <xf numFmtId="2" fontId="11" fillId="3" borderId="58" xfId="0" applyNumberFormat="1" applyFont="1" applyFill="1" applyBorder="1" applyAlignment="1">
      <alignment horizontal="center" vertical="center"/>
    </xf>
    <xf numFmtId="2" fontId="3" fillId="3" borderId="58" xfId="0" applyNumberFormat="1" applyFont="1" applyFill="1" applyBorder="1" applyAlignment="1">
      <alignment horizontal="center" vertical="center"/>
    </xf>
    <xf numFmtId="2" fontId="28" fillId="3" borderId="58" xfId="0" applyNumberFormat="1" applyFont="1" applyFill="1" applyBorder="1" applyAlignment="1">
      <alignment horizontal="center"/>
    </xf>
    <xf numFmtId="0" fontId="24" fillId="3" borderId="58" xfId="0" applyFont="1" applyFill="1" applyBorder="1" applyAlignment="1">
      <alignment horizontal="center"/>
    </xf>
    <xf numFmtId="49" fontId="24" fillId="3" borderId="58" xfId="0" applyNumberFormat="1" applyFont="1" applyFill="1" applyBorder="1" applyAlignment="1">
      <alignment horizontal="center"/>
    </xf>
    <xf numFmtId="0" fontId="90" fillId="3" borderId="58" xfId="0" applyFont="1" applyFill="1" applyBorder="1" applyAlignment="1">
      <alignment horizontal="center"/>
    </xf>
    <xf numFmtId="0" fontId="11" fillId="3" borderId="58" xfId="0" applyFont="1" applyFill="1" applyBorder="1" applyAlignment="1">
      <alignment horizontal="center"/>
    </xf>
    <xf numFmtId="0" fontId="36" fillId="3" borderId="58" xfId="0" applyFont="1" applyFill="1" applyBorder="1" applyAlignment="1">
      <alignment horizontal="center"/>
    </xf>
    <xf numFmtId="0" fontId="33" fillId="3" borderId="58" xfId="0" applyFont="1" applyFill="1" applyBorder="1" applyAlignment="1" applyProtection="1">
      <alignment horizontal="center"/>
      <protection hidden="1"/>
    </xf>
    <xf numFmtId="0" fontId="14" fillId="2" borderId="109" xfId="0" applyFont="1" applyFill="1" applyBorder="1" applyAlignment="1">
      <alignment horizontal="center"/>
    </xf>
    <xf numFmtId="1" fontId="14" fillId="2" borderId="110" xfId="0" applyNumberFormat="1" applyFont="1" applyFill="1" applyBorder="1" applyAlignment="1">
      <alignment horizontal="center"/>
    </xf>
    <xf numFmtId="0" fontId="19" fillId="2" borderId="111" xfId="0" applyFont="1" applyFill="1" applyBorder="1"/>
    <xf numFmtId="0" fontId="3" fillId="2" borderId="109" xfId="0" applyFont="1" applyFill="1" applyBorder="1" applyAlignment="1">
      <alignment horizontal="center"/>
    </xf>
    <xf numFmtId="1" fontId="4" fillId="3" borderId="112" xfId="0" applyNumberFormat="1" applyFont="1" applyFill="1" applyBorder="1" applyAlignment="1" applyProtection="1">
      <alignment horizontal="center"/>
      <protection locked="0"/>
    </xf>
    <xf numFmtId="2" fontId="3" fillId="2" borderId="113" xfId="0" applyNumberFormat="1" applyFont="1" applyFill="1" applyBorder="1" applyAlignment="1">
      <alignment horizontal="center"/>
    </xf>
    <xf numFmtId="2" fontId="3" fillId="2" borderId="114" xfId="0" applyNumberFormat="1" applyFont="1" applyFill="1" applyBorder="1" applyAlignment="1">
      <alignment horizontal="center"/>
    </xf>
    <xf numFmtId="2" fontId="3" fillId="2" borderId="109" xfId="0" applyNumberFormat="1" applyFont="1" applyFill="1" applyBorder="1" applyAlignment="1">
      <alignment horizontal="center"/>
    </xf>
    <xf numFmtId="0" fontId="28" fillId="2" borderId="115" xfId="0" applyFont="1" applyFill="1" applyBorder="1" applyAlignment="1">
      <alignment horizontal="left"/>
    </xf>
    <xf numFmtId="0" fontId="25" fillId="2" borderId="115" xfId="0" applyFont="1" applyFill="1" applyBorder="1" applyAlignment="1">
      <alignment horizontal="center"/>
    </xf>
    <xf numFmtId="49" fontId="25" fillId="2" borderId="115" xfId="0" applyNumberFormat="1" applyFont="1" applyFill="1" applyBorder="1" applyAlignment="1">
      <alignment horizontal="center"/>
    </xf>
    <xf numFmtId="0" fontId="90" fillId="2" borderId="115" xfId="0" applyFont="1" applyFill="1" applyBorder="1" applyAlignment="1">
      <alignment horizontal="center"/>
    </xf>
    <xf numFmtId="2" fontId="56" fillId="2" borderId="115" xfId="0" applyNumberFormat="1" applyFont="1" applyFill="1" applyBorder="1" applyAlignment="1">
      <alignment horizontal="center"/>
    </xf>
    <xf numFmtId="0" fontId="11" fillId="2" borderId="116" xfId="0" applyFont="1" applyFill="1" applyBorder="1" applyAlignment="1">
      <alignment horizontal="center"/>
    </xf>
    <xf numFmtId="0" fontId="34" fillId="2" borderId="117" xfId="0" applyFont="1" applyFill="1" applyBorder="1" applyAlignment="1" applyProtection="1">
      <alignment horizontal="center"/>
      <protection hidden="1"/>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3" fontId="49" fillId="9" borderId="52" xfId="0" applyNumberFormat="1" applyFont="1" applyFill="1" applyBorder="1" applyAlignment="1">
      <alignment horizontal="left" vertical="center"/>
    </xf>
    <xf numFmtId="1" fontId="50" fillId="9" borderId="52" xfId="0" applyNumberFormat="1" applyFont="1" applyFill="1" applyBorder="1" applyAlignment="1">
      <alignment horizontal="center" vertical="center"/>
    </xf>
    <xf numFmtId="2" fontId="50" fillId="9" borderId="52" xfId="0" applyNumberFormat="1" applyFont="1" applyFill="1" applyBorder="1" applyAlignment="1">
      <alignment horizontal="center" vertical="center"/>
    </xf>
    <xf numFmtId="0" fontId="54" fillId="9" borderId="52" xfId="0" applyFont="1" applyFill="1" applyBorder="1" applyAlignment="1">
      <alignment horizontal="left" vertical="center"/>
    </xf>
    <xf numFmtId="2" fontId="55" fillId="9" borderId="52" xfId="0" applyNumberFormat="1" applyFont="1" applyFill="1" applyBorder="1" applyAlignment="1">
      <alignment horizontal="center" vertical="center"/>
    </xf>
    <xf numFmtId="0" fontId="32" fillId="9" borderId="52" xfId="0" applyFont="1" applyFill="1" applyBorder="1" applyAlignment="1">
      <alignment horizontal="center" vertical="center"/>
    </xf>
    <xf numFmtId="0" fontId="55" fillId="9" borderId="52" xfId="0" applyFont="1" applyFill="1" applyBorder="1" applyAlignment="1">
      <alignment horizontal="center" vertical="center"/>
    </xf>
    <xf numFmtId="49" fontId="55" fillId="9" borderId="52" xfId="0" applyNumberFormat="1" applyFont="1" applyFill="1" applyBorder="1" applyAlignment="1">
      <alignment horizontal="center" vertical="center"/>
    </xf>
    <xf numFmtId="0" fontId="90" fillId="9" borderId="52" xfId="0" applyFont="1" applyFill="1" applyBorder="1" applyAlignment="1">
      <alignment horizontal="center" vertical="center"/>
    </xf>
    <xf numFmtId="0" fontId="41" fillId="9" borderId="52" xfId="0" applyFont="1" applyFill="1" applyBorder="1" applyAlignment="1">
      <alignment horizontal="center" vertical="center"/>
    </xf>
    <xf numFmtId="0" fontId="50" fillId="9" borderId="52" xfId="0" applyFont="1" applyFill="1" applyBorder="1" applyAlignment="1">
      <alignment horizontal="center" vertical="center"/>
    </xf>
    <xf numFmtId="0" fontId="50" fillId="9" borderId="52" xfId="0" applyFont="1" applyFill="1" applyBorder="1" applyAlignment="1" applyProtection="1">
      <alignment horizontal="center" vertical="center"/>
      <protection hidden="1"/>
    </xf>
    <xf numFmtId="2" fontId="32" fillId="14" borderId="52" xfId="1" applyNumberFormat="1" applyFont="1" applyFill="1" applyBorder="1" applyAlignment="1">
      <alignment horizontal="center" vertical="center" wrapText="1"/>
    </xf>
    <xf numFmtId="0" fontId="14" fillId="10" borderId="57" xfId="0" applyFont="1" applyFill="1" applyBorder="1" applyAlignment="1">
      <alignment horizontal="center"/>
    </xf>
    <xf numFmtId="1" fontId="14" fillId="10" borderId="57" xfId="0" applyNumberFormat="1" applyFont="1" applyFill="1" applyBorder="1" applyAlignment="1">
      <alignment horizontal="center"/>
    </xf>
    <xf numFmtId="1" fontId="13" fillId="10" borderId="57" xfId="0" applyNumberFormat="1" applyFont="1" applyFill="1" applyBorder="1" applyAlignment="1">
      <alignment horizontal="left" vertical="center"/>
    </xf>
    <xf numFmtId="1" fontId="36" fillId="10" borderId="57" xfId="0" applyNumberFormat="1" applyFont="1" applyFill="1" applyBorder="1" applyAlignment="1">
      <alignment horizontal="center"/>
    </xf>
    <xf numFmtId="2" fontId="4" fillId="10" borderId="57" xfId="0" applyNumberFormat="1" applyFont="1" applyFill="1" applyBorder="1" applyAlignment="1">
      <alignment horizontal="center"/>
    </xf>
    <xf numFmtId="2" fontId="28" fillId="10" borderId="57" xfId="0" applyNumberFormat="1" applyFont="1" applyFill="1" applyBorder="1" applyAlignment="1">
      <alignment horizontal="center"/>
    </xf>
    <xf numFmtId="0" fontId="24" fillId="10" borderId="57" xfId="0" applyFont="1" applyFill="1" applyBorder="1" applyAlignment="1">
      <alignment horizontal="center"/>
    </xf>
    <xf numFmtId="49" fontId="24" fillId="10" borderId="57" xfId="0" applyNumberFormat="1" applyFont="1" applyFill="1" applyBorder="1" applyAlignment="1">
      <alignment horizontal="center"/>
    </xf>
    <xf numFmtId="0" fontId="90" fillId="10" borderId="57" xfId="0" applyFont="1" applyFill="1" applyBorder="1" applyAlignment="1">
      <alignment horizontal="center"/>
    </xf>
    <xf numFmtId="0" fontId="36" fillId="10" borderId="57" xfId="0" applyFont="1" applyFill="1" applyBorder="1" applyAlignment="1">
      <alignment horizontal="center"/>
    </xf>
    <xf numFmtId="0" fontId="33" fillId="10" borderId="57" xfId="0" applyFont="1" applyFill="1" applyBorder="1" applyAlignment="1" applyProtection="1">
      <alignment horizontal="center"/>
      <protection hidden="1"/>
    </xf>
    <xf numFmtId="0" fontId="76" fillId="2" borderId="0" xfId="0" applyFont="1" applyFill="1" applyAlignment="1">
      <alignment horizontal="center"/>
    </xf>
    <xf numFmtId="0" fontId="60" fillId="2" borderId="0" xfId="0" applyFont="1" applyFill="1" applyAlignment="1">
      <alignment horizontal="left" vertical="center" wrapText="1"/>
    </xf>
    <xf numFmtId="49" fontId="99" fillId="2" borderId="0" xfId="0" applyNumberFormat="1" applyFont="1" applyFill="1" applyAlignment="1">
      <alignment horizontal="right" vertical="center"/>
    </xf>
    <xf numFmtId="2" fontId="11" fillId="3" borderId="22" xfId="0" applyNumberFormat="1" applyFont="1" applyFill="1" applyBorder="1" applyAlignment="1">
      <alignment horizontal="right" vertical="center"/>
    </xf>
    <xf numFmtId="2" fontId="3" fillId="3" borderId="22" xfId="0" applyNumberFormat="1" applyFont="1" applyFill="1" applyBorder="1" applyAlignment="1">
      <alignment horizontal="left" vertical="center"/>
    </xf>
    <xf numFmtId="0" fontId="75" fillId="3" borderId="22" xfId="0" applyFont="1" applyFill="1" applyBorder="1" applyAlignment="1">
      <alignment horizontal="center"/>
    </xf>
    <xf numFmtId="0" fontId="75" fillId="3" borderId="3" xfId="0" applyFont="1" applyFill="1" applyBorder="1" applyAlignment="1">
      <alignment horizontal="center"/>
    </xf>
    <xf numFmtId="0" fontId="75" fillId="11" borderId="52" xfId="0" applyFont="1" applyFill="1" applyBorder="1" applyAlignment="1">
      <alignment horizontal="center" vertical="center"/>
    </xf>
    <xf numFmtId="1" fontId="4" fillId="3" borderId="63" xfId="0" applyNumberFormat="1" applyFont="1" applyFill="1" applyBorder="1" applyAlignment="1" applyProtection="1">
      <alignment horizontal="center"/>
      <protection locked="0"/>
    </xf>
    <xf numFmtId="1" fontId="53" fillId="3" borderId="22" xfId="0" applyNumberFormat="1" applyFont="1" applyFill="1" applyBorder="1" applyAlignment="1">
      <alignment horizontal="center"/>
    </xf>
    <xf numFmtId="0" fontId="19" fillId="2" borderId="88" xfId="0" applyFont="1" applyFill="1" applyBorder="1"/>
    <xf numFmtId="0" fontId="34" fillId="2" borderId="118" xfId="0" applyFont="1" applyFill="1" applyBorder="1" applyAlignment="1" applyProtection="1">
      <alignment horizontal="center"/>
      <protection hidden="1"/>
    </xf>
    <xf numFmtId="1" fontId="14" fillId="4" borderId="61" xfId="0" applyNumberFormat="1" applyFont="1" applyFill="1" applyBorder="1" applyAlignment="1">
      <alignment horizontal="center"/>
    </xf>
    <xf numFmtId="0" fontId="19" fillId="4" borderId="62" xfId="0" applyFont="1" applyFill="1" applyBorder="1"/>
    <xf numFmtId="0" fontId="3" fillId="4" borderId="60" xfId="0" applyFont="1" applyFill="1" applyBorder="1" applyAlignment="1">
      <alignment horizontal="center"/>
    </xf>
    <xf numFmtId="2" fontId="43" fillId="4" borderId="64" xfId="0" applyNumberFormat="1" applyFont="1" applyFill="1" applyBorder="1" applyAlignment="1">
      <alignment horizontal="center"/>
    </xf>
    <xf numFmtId="2" fontId="47" fillId="4" borderId="65" xfId="0" applyNumberFormat="1" applyFont="1" applyFill="1" applyBorder="1" applyAlignment="1">
      <alignment horizontal="center"/>
    </xf>
    <xf numFmtId="9" fontId="43" fillId="4" borderId="119" xfId="0" applyNumberFormat="1" applyFont="1" applyFill="1" applyBorder="1" applyAlignment="1">
      <alignment horizontal="center"/>
    </xf>
    <xf numFmtId="0" fontId="28" fillId="4" borderId="66" xfId="0" applyFont="1" applyFill="1" applyBorder="1" applyAlignment="1">
      <alignment horizontal="center"/>
    </xf>
    <xf numFmtId="0" fontId="25" fillId="4" borderId="66" xfId="0" applyFont="1" applyFill="1" applyBorder="1" applyAlignment="1">
      <alignment horizontal="center"/>
    </xf>
    <xf numFmtId="49" fontId="25" fillId="4" borderId="66" xfId="0" applyNumberFormat="1" applyFont="1" applyFill="1" applyBorder="1" applyAlignment="1">
      <alignment horizontal="center"/>
    </xf>
    <xf numFmtId="0" fontId="90" fillId="4" borderId="66" xfId="0" applyFont="1" applyFill="1" applyBorder="1" applyAlignment="1">
      <alignment horizontal="center"/>
    </xf>
    <xf numFmtId="2" fontId="11" fillId="4" borderId="66" xfId="0" applyNumberFormat="1" applyFont="1" applyFill="1" applyBorder="1" applyAlignment="1">
      <alignment horizontal="center"/>
    </xf>
    <xf numFmtId="0" fontId="11" fillId="4" borderId="67" xfId="0" applyFont="1" applyFill="1" applyBorder="1" applyAlignment="1">
      <alignment horizontal="center"/>
    </xf>
    <xf numFmtId="2" fontId="101" fillId="10" borderId="22" xfId="0" applyNumberFormat="1" applyFont="1" applyFill="1" applyBorder="1" applyAlignment="1">
      <alignment horizontal="center" vertical="center" wrapText="1"/>
    </xf>
    <xf numFmtId="2" fontId="2" fillId="10" borderId="22" xfId="0" applyNumberFormat="1" applyFont="1" applyFill="1" applyBorder="1" applyAlignment="1">
      <alignment horizontal="center" vertical="center" wrapText="1"/>
    </xf>
    <xf numFmtId="2" fontId="2" fillId="10" borderId="22" xfId="0" applyNumberFormat="1" applyFont="1" applyFill="1" applyBorder="1" applyAlignment="1">
      <alignment horizontal="center" vertical="center"/>
    </xf>
    <xf numFmtId="0" fontId="14" fillId="2" borderId="120" xfId="0" applyFont="1" applyFill="1" applyBorder="1" applyAlignment="1">
      <alignment horizontal="center"/>
    </xf>
    <xf numFmtId="1" fontId="14" fillId="2" borderId="120" xfId="0" applyNumberFormat="1" applyFont="1" applyFill="1" applyBorder="1" applyAlignment="1">
      <alignment horizontal="center"/>
    </xf>
    <xf numFmtId="0" fontId="15" fillId="2" borderId="120" xfId="0" applyFont="1" applyFill="1" applyBorder="1"/>
    <xf numFmtId="0" fontId="3" fillId="2" borderId="120" xfId="0" applyFont="1" applyFill="1" applyBorder="1" applyAlignment="1">
      <alignment horizontal="center"/>
    </xf>
    <xf numFmtId="1" fontId="4" fillId="2" borderId="120" xfId="0" applyNumberFormat="1" applyFont="1" applyFill="1" applyBorder="1" applyAlignment="1" applyProtection="1">
      <alignment horizontal="center"/>
      <protection locked="0"/>
    </xf>
    <xf numFmtId="2" fontId="43" fillId="2" borderId="120" xfId="0" applyNumberFormat="1" applyFont="1" applyFill="1" applyBorder="1" applyAlignment="1">
      <alignment horizontal="center"/>
    </xf>
    <xf numFmtId="2" fontId="47" fillId="2" borderId="120" xfId="0" applyNumberFormat="1" applyFont="1" applyFill="1" applyBorder="1" applyAlignment="1">
      <alignment horizontal="center"/>
    </xf>
    <xf numFmtId="9" fontId="43" fillId="2" borderId="120" xfId="0" applyNumberFormat="1" applyFont="1" applyFill="1" applyBorder="1" applyAlignment="1">
      <alignment horizontal="center"/>
    </xf>
    <xf numFmtId="0" fontId="28" fillId="2" borderId="120" xfId="0" applyFont="1" applyFill="1" applyBorder="1" applyAlignment="1">
      <alignment horizontal="center"/>
    </xf>
    <xf numFmtId="0" fontId="25" fillId="2" borderId="120" xfId="0" applyFont="1" applyFill="1" applyBorder="1" applyAlignment="1">
      <alignment horizontal="center"/>
    </xf>
    <xf numFmtId="49" fontId="25" fillId="2" borderId="120" xfId="0" applyNumberFormat="1" applyFont="1" applyFill="1" applyBorder="1" applyAlignment="1">
      <alignment horizontal="center"/>
    </xf>
    <xf numFmtId="0" fontId="90" fillId="2" borderId="120" xfId="0" applyFont="1" applyFill="1" applyBorder="1" applyAlignment="1">
      <alignment horizontal="center"/>
    </xf>
    <xf numFmtId="0" fontId="75" fillId="2" borderId="120" xfId="0" applyFont="1" applyFill="1" applyBorder="1" applyAlignment="1">
      <alignment horizontal="center"/>
    </xf>
    <xf numFmtId="2" fontId="11" fillId="2" borderId="120" xfId="0" applyNumberFormat="1" applyFont="1" applyFill="1" applyBorder="1" applyAlignment="1">
      <alignment horizontal="center"/>
    </xf>
    <xf numFmtId="0" fontId="11" fillId="2" borderId="120" xfId="0" applyFont="1" applyFill="1" applyBorder="1" applyAlignment="1">
      <alignment horizontal="center"/>
    </xf>
    <xf numFmtId="0" fontId="34" fillId="2" borderId="120" xfId="0" applyFont="1" applyFill="1" applyBorder="1" applyAlignment="1" applyProtection="1">
      <alignment horizontal="center"/>
      <protection hidden="1"/>
    </xf>
    <xf numFmtId="0" fontId="66" fillId="6" borderId="68" xfId="0" applyFont="1" applyFill="1" applyBorder="1" applyAlignment="1">
      <alignment vertical="center"/>
    </xf>
    <xf numFmtId="0" fontId="73" fillId="6" borderId="94" xfId="0" applyFont="1" applyFill="1" applyBorder="1" applyAlignment="1">
      <alignment vertical="center" wrapText="1"/>
    </xf>
    <xf numFmtId="42" fontId="65" fillId="6" borderId="68" xfId="0" applyNumberFormat="1" applyFont="1" applyFill="1" applyBorder="1" applyAlignment="1">
      <alignment vertical="center"/>
    </xf>
    <xf numFmtId="1" fontId="104" fillId="3" borderId="3" xfId="0" applyNumberFormat="1" applyFont="1" applyFill="1" applyBorder="1" applyAlignment="1">
      <alignment horizontal="left" vertical="center"/>
    </xf>
    <xf numFmtId="0" fontId="11" fillId="10" borderId="57" xfId="0" applyFont="1" applyFill="1" applyBorder="1" applyAlignment="1">
      <alignment horizontal="left"/>
    </xf>
    <xf numFmtId="2" fontId="43" fillId="2" borderId="72" xfId="0" applyNumberFormat="1" applyFont="1" applyFill="1" applyBorder="1" applyAlignment="1">
      <alignment horizontal="center"/>
    </xf>
    <xf numFmtId="2" fontId="47" fillId="2" borderId="73" xfId="0" applyNumberFormat="1" applyFont="1" applyFill="1" applyBorder="1" applyAlignment="1">
      <alignment horizontal="center"/>
    </xf>
    <xf numFmtId="9" fontId="43" fillId="2" borderId="70" xfId="0" applyNumberFormat="1" applyFont="1" applyFill="1" applyBorder="1" applyAlignment="1">
      <alignment horizontal="center"/>
    </xf>
    <xf numFmtId="14" fontId="11" fillId="2" borderId="74" xfId="0" applyNumberFormat="1" applyFont="1" applyFill="1" applyBorder="1" applyAlignment="1">
      <alignment horizontal="center"/>
    </xf>
    <xf numFmtId="0" fontId="73" fillId="6" borderId="94" xfId="0" applyFont="1" applyFill="1" applyBorder="1" applyAlignment="1">
      <alignment horizontal="left" vertical="center" wrapText="1"/>
    </xf>
    <xf numFmtId="0" fontId="105" fillId="6" borderId="94" xfId="0" applyFont="1" applyFill="1" applyBorder="1" applyAlignment="1">
      <alignment horizontal="left" vertical="center"/>
    </xf>
    <xf numFmtId="0" fontId="14" fillId="2" borderId="121" xfId="0" applyFont="1" applyFill="1" applyBorder="1" applyAlignment="1">
      <alignment horizontal="center"/>
    </xf>
    <xf numFmtId="0" fontId="4" fillId="2" borderId="86" xfId="0" applyFont="1" applyFill="1" applyBorder="1" applyAlignment="1">
      <alignment horizontal="center"/>
    </xf>
    <xf numFmtId="1" fontId="13" fillId="10" borderId="3" xfId="0" applyNumberFormat="1" applyFont="1" applyFill="1" applyBorder="1" applyAlignment="1">
      <alignment horizontal="left" vertical="center"/>
    </xf>
    <xf numFmtId="0" fontId="14" fillId="4" borderId="11" xfId="0" applyFont="1" applyFill="1" applyBorder="1" applyAlignment="1">
      <alignment horizontal="center"/>
    </xf>
    <xf numFmtId="1" fontId="14" fillId="4" borderId="7" xfId="0" applyNumberFormat="1" applyFont="1" applyFill="1" applyBorder="1" applyAlignment="1">
      <alignment horizontal="center"/>
    </xf>
    <xf numFmtId="0" fontId="3" fillId="4" borderId="11" xfId="0" applyFont="1" applyFill="1" applyBorder="1" applyAlignment="1">
      <alignment horizontal="center"/>
    </xf>
    <xf numFmtId="2" fontId="3" fillId="4" borderId="38" xfId="0" applyNumberFormat="1" applyFont="1" applyFill="1" applyBorder="1" applyAlignment="1">
      <alignment horizontal="center"/>
    </xf>
    <xf numFmtId="2" fontId="3" fillId="4" borderId="11" xfId="0" applyNumberFormat="1" applyFont="1" applyFill="1" applyBorder="1" applyAlignment="1">
      <alignment horizontal="center"/>
    </xf>
    <xf numFmtId="0" fontId="28" fillId="4" borderId="8" xfId="0" applyFont="1" applyFill="1" applyBorder="1" applyAlignment="1">
      <alignment horizontal="center"/>
    </xf>
    <xf numFmtId="0" fontId="25" fillId="4" borderId="8" xfId="0" applyFont="1" applyFill="1" applyBorder="1" applyAlignment="1">
      <alignment horizontal="center"/>
    </xf>
    <xf numFmtId="49" fontId="25" fillId="4" borderId="8" xfId="0" applyNumberFormat="1" applyFont="1" applyFill="1" applyBorder="1" applyAlignment="1">
      <alignment horizontal="center"/>
    </xf>
    <xf numFmtId="0" fontId="90" fillId="4" borderId="8" xfId="0" applyFont="1" applyFill="1" applyBorder="1" applyAlignment="1">
      <alignment horizontal="center"/>
    </xf>
    <xf numFmtId="0" fontId="8" fillId="3" borderId="22" xfId="0" applyFont="1" applyFill="1" applyBorder="1" applyAlignment="1">
      <alignment horizontal="center"/>
    </xf>
    <xf numFmtId="0" fontId="9" fillId="3" borderId="22" xfId="0" applyFont="1" applyFill="1" applyBorder="1" applyAlignment="1">
      <alignment horizontal="center"/>
    </xf>
    <xf numFmtId="2" fontId="6" fillId="3" borderId="3" xfId="0" applyNumberFormat="1" applyFont="1" applyFill="1" applyBorder="1" applyAlignment="1">
      <alignment horizontal="center"/>
    </xf>
    <xf numFmtId="2" fontId="2" fillId="4" borderId="1" xfId="0" applyNumberFormat="1" applyFont="1" applyFill="1" applyBorder="1" applyAlignment="1">
      <alignment horizontal="center"/>
    </xf>
    <xf numFmtId="2" fontId="2" fillId="2" borderId="1" xfId="0" applyNumberFormat="1" applyFont="1" applyFill="1" applyBorder="1" applyAlignment="1">
      <alignment horizontal="center"/>
    </xf>
    <xf numFmtId="49" fontId="25" fillId="2" borderId="129" xfId="0" applyNumberFormat="1" applyFont="1" applyFill="1" applyBorder="1" applyAlignment="1">
      <alignment horizontal="center"/>
    </xf>
    <xf numFmtId="0" fontId="90" fillId="2" borderId="129" xfId="0" applyFont="1" applyFill="1" applyBorder="1" applyAlignment="1">
      <alignment horizontal="center"/>
    </xf>
    <xf numFmtId="2" fontId="11" fillId="2" borderId="129" xfId="0" applyNumberFormat="1" applyFont="1" applyFill="1" applyBorder="1" applyAlignment="1">
      <alignment horizontal="center"/>
    </xf>
    <xf numFmtId="0" fontId="11" fillId="2" borderId="130" xfId="0" applyFont="1" applyFill="1" applyBorder="1" applyAlignment="1">
      <alignment horizontal="center"/>
    </xf>
    <xf numFmtId="0" fontId="14" fillId="2" borderId="123" xfId="0" applyFont="1" applyFill="1" applyBorder="1" applyAlignment="1">
      <alignment horizontal="center"/>
    </xf>
    <xf numFmtId="1" fontId="14" fillId="2" borderId="124" xfId="0" applyNumberFormat="1" applyFont="1" applyFill="1" applyBorder="1" applyAlignment="1">
      <alignment horizontal="center"/>
    </xf>
    <xf numFmtId="0" fontId="19" fillId="2" borderId="125" xfId="0" applyFont="1" applyFill="1" applyBorder="1"/>
    <xf numFmtId="0" fontId="3" fillId="2" borderId="123" xfId="0" applyFont="1" applyFill="1" applyBorder="1" applyAlignment="1">
      <alignment horizontal="center"/>
    </xf>
    <xf numFmtId="1" fontId="4" fillId="3" borderId="126" xfId="0" applyNumberFormat="1" applyFont="1" applyFill="1" applyBorder="1" applyAlignment="1" applyProtection="1">
      <alignment horizontal="center"/>
      <protection locked="0"/>
    </xf>
    <xf numFmtId="2" fontId="3" fillId="2" borderId="128" xfId="0" applyNumberFormat="1" applyFont="1" applyFill="1" applyBorder="1" applyAlignment="1">
      <alignment horizontal="center"/>
    </xf>
    <xf numFmtId="2" fontId="3" fillId="2" borderId="123" xfId="0" applyNumberFormat="1" applyFont="1" applyFill="1" applyBorder="1" applyAlignment="1">
      <alignment horizontal="center"/>
    </xf>
    <xf numFmtId="0" fontId="28" fillId="2" borderId="129" xfId="0" applyFont="1" applyFill="1" applyBorder="1" applyAlignment="1">
      <alignment horizontal="center"/>
    </xf>
    <xf numFmtId="0" fontId="25" fillId="2" borderId="129" xfId="0" applyFont="1" applyFill="1" applyBorder="1" applyAlignment="1">
      <alignment horizontal="center"/>
    </xf>
    <xf numFmtId="2" fontId="56" fillId="2" borderId="129" xfId="0" applyNumberFormat="1" applyFont="1" applyFill="1" applyBorder="1" applyAlignment="1">
      <alignment horizontal="center"/>
    </xf>
    <xf numFmtId="0" fontId="14" fillId="4" borderId="123" xfId="0" applyFont="1" applyFill="1" applyBorder="1" applyAlignment="1">
      <alignment horizontal="center"/>
    </xf>
    <xf numFmtId="1" fontId="14" fillId="4" borderId="124" xfId="0" applyNumberFormat="1" applyFont="1" applyFill="1" applyBorder="1" applyAlignment="1">
      <alignment horizontal="center"/>
    </xf>
    <xf numFmtId="0" fontId="19" fillId="4" borderId="125" xfId="0" applyFont="1" applyFill="1" applyBorder="1"/>
    <xf numFmtId="0" fontId="3" fillId="4" borderId="123" xfId="0" applyFont="1" applyFill="1" applyBorder="1" applyAlignment="1">
      <alignment horizontal="center"/>
    </xf>
    <xf numFmtId="2" fontId="3" fillId="4" borderId="128" xfId="0" applyNumberFormat="1" applyFont="1" applyFill="1" applyBorder="1" applyAlignment="1">
      <alignment horizontal="center"/>
    </xf>
    <xf numFmtId="2" fontId="3" fillId="4" borderId="123" xfId="0" applyNumberFormat="1" applyFont="1" applyFill="1" applyBorder="1" applyAlignment="1">
      <alignment horizontal="center"/>
    </xf>
    <xf numFmtId="0" fontId="28" fillId="4" borderId="129" xfId="0" applyFont="1" applyFill="1" applyBorder="1" applyAlignment="1">
      <alignment horizontal="center"/>
    </xf>
    <xf numFmtId="0" fontId="25" fillId="4" borderId="129" xfId="0" applyFont="1" applyFill="1" applyBorder="1" applyAlignment="1">
      <alignment horizontal="center"/>
    </xf>
    <xf numFmtId="49" fontId="25" fillId="4" borderId="129" xfId="0" applyNumberFormat="1" applyFont="1" applyFill="1" applyBorder="1" applyAlignment="1">
      <alignment horizontal="center"/>
    </xf>
    <xf numFmtId="0" fontId="90" fillId="4" borderId="129" xfId="0" applyFont="1" applyFill="1" applyBorder="1" applyAlignment="1">
      <alignment horizontal="center"/>
    </xf>
    <xf numFmtId="2" fontId="56" fillId="4" borderId="129" xfId="0" applyNumberFormat="1" applyFont="1" applyFill="1" applyBorder="1" applyAlignment="1">
      <alignment horizontal="center"/>
    </xf>
    <xf numFmtId="0" fontId="11" fillId="4" borderId="130" xfId="0" applyFont="1" applyFill="1" applyBorder="1" applyAlignment="1">
      <alignment horizontal="center"/>
    </xf>
    <xf numFmtId="0" fontId="14" fillId="4" borderId="131" xfId="0" applyFont="1" applyFill="1" applyBorder="1" applyAlignment="1">
      <alignment horizontal="center"/>
    </xf>
    <xf numFmtId="0" fontId="44" fillId="4" borderId="125" xfId="0" applyFont="1" applyFill="1" applyBorder="1"/>
    <xf numFmtId="0" fontId="4" fillId="4" borderId="123" xfId="0" applyFont="1" applyFill="1" applyBorder="1" applyAlignment="1">
      <alignment horizontal="center"/>
    </xf>
    <xf numFmtId="2" fontId="3" fillId="4" borderId="127" xfId="0" applyNumberFormat="1" applyFont="1" applyFill="1" applyBorder="1" applyAlignment="1">
      <alignment horizontal="center"/>
    </xf>
    <xf numFmtId="2" fontId="3" fillId="2" borderId="127" xfId="0" applyNumberFormat="1" applyFont="1" applyFill="1" applyBorder="1" applyAlignment="1">
      <alignment horizontal="center"/>
    </xf>
    <xf numFmtId="1" fontId="14" fillId="4" borderId="134" xfId="0" applyNumberFormat="1" applyFont="1" applyFill="1" applyBorder="1" applyAlignment="1">
      <alignment horizontal="center"/>
    </xf>
    <xf numFmtId="0" fontId="19" fillId="4" borderId="135" xfId="0" applyFont="1" applyFill="1" applyBorder="1"/>
    <xf numFmtId="0" fontId="3" fillId="4" borderId="133" xfId="0" applyFont="1" applyFill="1" applyBorder="1" applyAlignment="1">
      <alignment horizontal="center"/>
    </xf>
    <xf numFmtId="1" fontId="4" fillId="3" borderId="136" xfId="0" applyNumberFormat="1" applyFont="1" applyFill="1" applyBorder="1" applyAlignment="1" applyProtection="1">
      <alignment horizontal="center"/>
      <protection locked="0"/>
    </xf>
    <xf numFmtId="0" fontId="28" fillId="4" borderId="138" xfId="0" applyFont="1" applyFill="1" applyBorder="1" applyAlignment="1">
      <alignment horizontal="center"/>
    </xf>
    <xf numFmtId="0" fontId="25" fillId="4" borderId="138" xfId="0" applyFont="1" applyFill="1" applyBorder="1" applyAlignment="1">
      <alignment horizontal="center"/>
    </xf>
    <xf numFmtId="49" fontId="25" fillId="4" borderId="138" xfId="0" applyNumberFormat="1" applyFont="1" applyFill="1" applyBorder="1" applyAlignment="1">
      <alignment horizontal="center"/>
    </xf>
    <xf numFmtId="0" fontId="90" fillId="4" borderId="138" xfId="0" applyFont="1" applyFill="1" applyBorder="1" applyAlignment="1">
      <alignment horizontal="center"/>
    </xf>
    <xf numFmtId="0" fontId="11" fillId="4" borderId="139" xfId="0" applyFont="1" applyFill="1" applyBorder="1" applyAlignment="1">
      <alignment horizontal="center"/>
    </xf>
    <xf numFmtId="0" fontId="4" fillId="2" borderId="123" xfId="0" applyFont="1" applyFill="1" applyBorder="1" applyAlignment="1">
      <alignment horizontal="center"/>
    </xf>
    <xf numFmtId="0" fontId="4" fillId="2" borderId="99" xfId="0" applyFont="1" applyFill="1" applyBorder="1" applyAlignment="1">
      <alignment horizontal="center"/>
    </xf>
    <xf numFmtId="0" fontId="6" fillId="4" borderId="1" xfId="0" applyFont="1" applyFill="1" applyBorder="1" applyAlignment="1">
      <alignment horizontal="center"/>
    </xf>
    <xf numFmtId="0" fontId="15" fillId="2" borderId="125" xfId="0" applyFont="1" applyFill="1" applyBorder="1"/>
    <xf numFmtId="0" fontId="14" fillId="4" borderId="99" xfId="0" applyFont="1" applyFill="1" applyBorder="1" applyAlignment="1">
      <alignment horizontal="center"/>
    </xf>
    <xf numFmtId="0" fontId="28" fillId="4" borderId="102" xfId="0" applyFont="1" applyFill="1" applyBorder="1" applyAlignment="1">
      <alignment horizontal="left"/>
    </xf>
    <xf numFmtId="0" fontId="14" fillId="2" borderId="133" xfId="0" applyFont="1" applyFill="1" applyBorder="1" applyAlignment="1">
      <alignment horizontal="center"/>
    </xf>
    <xf numFmtId="1" fontId="14" fillId="2" borderId="134" xfId="0" applyNumberFormat="1" applyFont="1" applyFill="1" applyBorder="1" applyAlignment="1">
      <alignment horizontal="center"/>
    </xf>
    <xf numFmtId="0" fontId="19" fillId="2" borderId="135" xfId="0" applyFont="1" applyFill="1" applyBorder="1"/>
    <xf numFmtId="0" fontId="3" fillId="2" borderId="133" xfId="0" applyFont="1" applyFill="1" applyBorder="1" applyAlignment="1">
      <alignment horizontal="center"/>
    </xf>
    <xf numFmtId="2" fontId="3" fillId="2" borderId="137" xfId="0" applyNumberFormat="1" applyFont="1" applyFill="1" applyBorder="1" applyAlignment="1">
      <alignment horizontal="center"/>
    </xf>
    <xf numFmtId="2" fontId="3" fillId="2" borderId="132" xfId="0" applyNumberFormat="1" applyFont="1" applyFill="1" applyBorder="1" applyAlignment="1">
      <alignment horizontal="center"/>
    </xf>
    <xf numFmtId="2" fontId="3" fillId="2" borderId="133" xfId="0" applyNumberFormat="1" applyFont="1" applyFill="1" applyBorder="1" applyAlignment="1">
      <alignment horizontal="center"/>
    </xf>
    <xf numFmtId="0" fontId="28" fillId="2" borderId="138" xfId="0" applyFont="1" applyFill="1" applyBorder="1" applyAlignment="1">
      <alignment horizontal="left"/>
    </xf>
    <xf numFmtId="0" fontId="25" fillId="2" borderId="138" xfId="0" applyFont="1" applyFill="1" applyBorder="1" applyAlignment="1">
      <alignment horizontal="center"/>
    </xf>
    <xf numFmtId="49" fontId="25" fillId="2" borderId="138" xfId="0" applyNumberFormat="1" applyFont="1" applyFill="1" applyBorder="1" applyAlignment="1">
      <alignment horizontal="center"/>
    </xf>
    <xf numFmtId="0" fontId="90" fillId="2" borderId="138" xfId="0" applyFont="1" applyFill="1" applyBorder="1" applyAlignment="1">
      <alignment horizontal="center"/>
    </xf>
    <xf numFmtId="2" fontId="56" fillId="2" borderId="138" xfId="0" applyNumberFormat="1" applyFont="1" applyFill="1" applyBorder="1" applyAlignment="1">
      <alignment horizontal="center"/>
    </xf>
    <xf numFmtId="0" fontId="11" fillId="2" borderId="139" xfId="0" applyFont="1" applyFill="1" applyBorder="1" applyAlignment="1">
      <alignment horizontal="center"/>
    </xf>
    <xf numFmtId="0" fontId="75" fillId="9" borderId="44" xfId="0" applyFont="1" applyFill="1" applyBorder="1" applyAlignment="1">
      <alignment horizontal="center" vertical="center"/>
    </xf>
    <xf numFmtId="2" fontId="11" fillId="10" borderId="57" xfId="0" applyNumberFormat="1" applyFont="1" applyFill="1" applyBorder="1" applyAlignment="1">
      <alignment horizontal="center" vertical="center"/>
    </xf>
    <xf numFmtId="2" fontId="3" fillId="10" borderId="57" xfId="0" applyNumberFormat="1" applyFont="1" applyFill="1" applyBorder="1" applyAlignment="1">
      <alignment horizontal="center" vertical="center"/>
    </xf>
    <xf numFmtId="0" fontId="75" fillId="10" borderId="57" xfId="0" applyFont="1" applyFill="1" applyBorder="1" applyAlignment="1">
      <alignment horizontal="center"/>
    </xf>
    <xf numFmtId="0" fontId="11" fillId="10" borderId="57" xfId="0" applyFont="1" applyFill="1" applyBorder="1" applyAlignment="1">
      <alignment horizontal="center"/>
    </xf>
    <xf numFmtId="1" fontId="4" fillId="10" borderId="55" xfId="0" applyNumberFormat="1" applyFont="1" applyFill="1" applyBorder="1" applyAlignment="1" applyProtection="1">
      <alignment horizontal="center"/>
      <protection locked="0"/>
    </xf>
    <xf numFmtId="0" fontId="14" fillId="4" borderId="141" xfId="0" applyFont="1" applyFill="1" applyBorder="1" applyAlignment="1">
      <alignment horizontal="center"/>
    </xf>
    <xf numFmtId="1" fontId="14" fillId="4" borderId="142" xfId="0" applyNumberFormat="1" applyFont="1" applyFill="1" applyBorder="1" applyAlignment="1">
      <alignment horizontal="center"/>
    </xf>
    <xf numFmtId="0" fontId="19" fillId="4" borderId="143" xfId="0" applyFont="1" applyFill="1" applyBorder="1"/>
    <xf numFmtId="0" fontId="3" fillId="4" borderId="141" xfId="0" applyFont="1" applyFill="1" applyBorder="1" applyAlignment="1">
      <alignment horizontal="center"/>
    </xf>
    <xf numFmtId="2" fontId="3" fillId="4" borderId="145" xfId="0" applyNumberFormat="1" applyFont="1" applyFill="1" applyBorder="1" applyAlignment="1">
      <alignment horizontal="center"/>
    </xf>
    <xf numFmtId="2" fontId="3" fillId="4" borderId="140" xfId="0" applyNumberFormat="1" applyFont="1" applyFill="1" applyBorder="1" applyAlignment="1">
      <alignment horizontal="center"/>
    </xf>
    <xf numFmtId="2" fontId="3" fillId="4" borderId="141" xfId="0" applyNumberFormat="1" applyFont="1" applyFill="1" applyBorder="1" applyAlignment="1">
      <alignment horizontal="center"/>
    </xf>
    <xf numFmtId="0" fontId="28" fillId="4" borderId="85" xfId="0" applyFont="1" applyFill="1" applyBorder="1" applyAlignment="1">
      <alignment horizontal="center"/>
    </xf>
    <xf numFmtId="0" fontId="25" fillId="4" borderId="85" xfId="0" applyFont="1" applyFill="1" applyBorder="1" applyAlignment="1">
      <alignment horizontal="center"/>
    </xf>
    <xf numFmtId="49" fontId="25" fillId="4" borderId="85" xfId="0" applyNumberFormat="1" applyFont="1" applyFill="1" applyBorder="1" applyAlignment="1">
      <alignment horizontal="center"/>
    </xf>
    <xf numFmtId="0" fontId="90" fillId="4" borderId="85" xfId="0" applyFont="1" applyFill="1" applyBorder="1" applyAlignment="1">
      <alignment horizontal="center"/>
    </xf>
    <xf numFmtId="2" fontId="56" fillId="4" borderId="85" xfId="0" applyNumberFormat="1" applyFont="1" applyFill="1" applyBorder="1" applyAlignment="1">
      <alignment horizontal="center"/>
    </xf>
    <xf numFmtId="0" fontId="11" fillId="4" borderId="146" xfId="0" applyFont="1" applyFill="1" applyBorder="1" applyAlignment="1">
      <alignment horizontal="center"/>
    </xf>
    <xf numFmtId="0" fontId="75" fillId="10" borderId="3" xfId="0" applyFont="1" applyFill="1" applyBorder="1" applyAlignment="1">
      <alignment horizontal="center"/>
    </xf>
    <xf numFmtId="1" fontId="4" fillId="10" borderId="126" xfId="0" applyNumberFormat="1" applyFont="1" applyFill="1" applyBorder="1" applyAlignment="1" applyProtection="1">
      <alignment horizontal="center"/>
      <protection locked="0"/>
    </xf>
    <xf numFmtId="0" fontId="99" fillId="2" borderId="0" xfId="0" applyFont="1" applyFill="1" applyAlignment="1">
      <alignment vertical="center" wrapText="1"/>
    </xf>
    <xf numFmtId="49" fontId="99" fillId="2" borderId="0" xfId="0" applyNumberFormat="1" applyFont="1" applyFill="1" applyAlignment="1">
      <alignment vertical="center" wrapText="1"/>
    </xf>
    <xf numFmtId="0" fontId="107" fillId="2" borderId="0" xfId="0" applyFont="1" applyFill="1" applyAlignment="1">
      <alignment vertical="center" wrapText="1"/>
    </xf>
    <xf numFmtId="0" fontId="3" fillId="2" borderId="37" xfId="0" applyFont="1" applyFill="1" applyBorder="1" applyAlignment="1">
      <alignment horizontal="center"/>
    </xf>
    <xf numFmtId="0" fontId="3" fillId="4" borderId="100" xfId="0" applyFont="1" applyFill="1" applyBorder="1" applyAlignment="1">
      <alignment horizontal="center"/>
    </xf>
    <xf numFmtId="0" fontId="14" fillId="2" borderId="141" xfId="0" applyFont="1" applyFill="1" applyBorder="1" applyAlignment="1">
      <alignment horizontal="center"/>
    </xf>
    <xf numFmtId="1" fontId="14" fillId="2" borderId="142" xfId="0" applyNumberFormat="1" applyFont="1" applyFill="1" applyBorder="1" applyAlignment="1">
      <alignment horizontal="center"/>
    </xf>
    <xf numFmtId="0" fontId="19" fillId="2" borderId="143" xfId="0" applyFont="1" applyFill="1" applyBorder="1"/>
    <xf numFmtId="0" fontId="3" fillId="2" borderId="141" xfId="0" applyFont="1" applyFill="1" applyBorder="1" applyAlignment="1">
      <alignment horizontal="center"/>
    </xf>
    <xf numFmtId="1" fontId="4" fillId="3" borderId="144" xfId="0" applyNumberFormat="1" applyFont="1" applyFill="1" applyBorder="1" applyAlignment="1" applyProtection="1">
      <alignment horizontal="center"/>
      <protection locked="0"/>
    </xf>
    <xf numFmtId="2" fontId="3" fillId="2" borderId="145" xfId="0" applyNumberFormat="1" applyFont="1" applyFill="1" applyBorder="1" applyAlignment="1">
      <alignment horizontal="center"/>
    </xf>
    <xf numFmtId="2" fontId="3" fillId="2" borderId="140" xfId="0" applyNumberFormat="1" applyFont="1" applyFill="1" applyBorder="1" applyAlignment="1">
      <alignment horizontal="center"/>
    </xf>
    <xf numFmtId="2" fontId="3" fillId="2" borderId="141" xfId="0" applyNumberFormat="1" applyFont="1" applyFill="1" applyBorder="1" applyAlignment="1">
      <alignment horizontal="center"/>
    </xf>
    <xf numFmtId="0" fontId="28" fillId="2" borderId="85" xfId="0" applyFont="1" applyFill="1" applyBorder="1" applyAlignment="1">
      <alignment horizontal="center"/>
    </xf>
    <xf numFmtId="0" fontId="25" fillId="2" borderId="85" xfId="0" applyFont="1" applyFill="1" applyBorder="1" applyAlignment="1">
      <alignment horizontal="center"/>
    </xf>
    <xf numFmtId="49" fontId="25" fillId="2" borderId="85" xfId="0" applyNumberFormat="1" applyFont="1" applyFill="1" applyBorder="1" applyAlignment="1">
      <alignment horizontal="center"/>
    </xf>
    <xf numFmtId="0" fontId="90" fillId="2" borderId="85" xfId="0" applyFont="1" applyFill="1" applyBorder="1" applyAlignment="1">
      <alignment horizontal="center"/>
    </xf>
    <xf numFmtId="2" fontId="56" fillId="2" borderId="85" xfId="0" applyNumberFormat="1" applyFont="1" applyFill="1" applyBorder="1" applyAlignment="1">
      <alignment horizontal="center"/>
    </xf>
    <xf numFmtId="0" fontId="11" fillId="2" borderId="146" xfId="0" applyFont="1" applyFill="1" applyBorder="1" applyAlignment="1">
      <alignment horizontal="center"/>
    </xf>
    <xf numFmtId="0" fontId="14" fillId="4" borderId="60" xfId="0" applyFont="1" applyFill="1" applyBorder="1" applyAlignment="1">
      <alignment horizontal="center"/>
    </xf>
    <xf numFmtId="0" fontId="14" fillId="4" borderId="133" xfId="0" applyFont="1" applyFill="1" applyBorder="1" applyAlignment="1">
      <alignment horizontal="center"/>
    </xf>
    <xf numFmtId="2" fontId="3" fillId="4" borderId="137" xfId="0" applyNumberFormat="1" applyFont="1" applyFill="1" applyBorder="1" applyAlignment="1">
      <alignment horizontal="center"/>
    </xf>
    <xf numFmtId="2" fontId="3" fillId="4" borderId="132" xfId="0" applyNumberFormat="1" applyFont="1" applyFill="1" applyBorder="1" applyAlignment="1">
      <alignment horizontal="center"/>
    </xf>
    <xf numFmtId="2" fontId="3" fillId="4" borderId="133" xfId="0" applyNumberFormat="1" applyFont="1" applyFill="1" applyBorder="1" applyAlignment="1">
      <alignment horizontal="center"/>
    </xf>
    <xf numFmtId="2" fontId="56" fillId="4" borderId="138" xfId="0" applyNumberFormat="1" applyFont="1" applyFill="1" applyBorder="1" applyAlignment="1">
      <alignment horizontal="center"/>
    </xf>
    <xf numFmtId="0" fontId="16" fillId="2" borderId="129" xfId="0" applyFont="1" applyFill="1" applyBorder="1" applyAlignment="1">
      <alignment horizontal="center"/>
    </xf>
    <xf numFmtId="2" fontId="11" fillId="4" borderId="129" xfId="0" applyNumberFormat="1" applyFont="1" applyFill="1" applyBorder="1" applyAlignment="1">
      <alignment horizontal="center"/>
    </xf>
    <xf numFmtId="0" fontId="28" fillId="2" borderId="138" xfId="0" applyFont="1" applyFill="1" applyBorder="1" applyAlignment="1">
      <alignment horizontal="center"/>
    </xf>
    <xf numFmtId="0" fontId="14" fillId="2" borderId="147" xfId="0" applyFont="1" applyFill="1" applyBorder="1" applyAlignment="1">
      <alignment horizontal="center"/>
    </xf>
    <xf numFmtId="0" fontId="19" fillId="2" borderId="143" xfId="0" applyFont="1" applyFill="1" applyBorder="1" applyAlignment="1">
      <alignment horizontal="left"/>
    </xf>
    <xf numFmtId="0" fontId="28" fillId="2" borderId="85" xfId="0" applyFont="1" applyFill="1" applyBorder="1" applyAlignment="1">
      <alignment horizontal="left"/>
    </xf>
    <xf numFmtId="14" fontId="100" fillId="10" borderId="0" xfId="1" applyNumberFormat="1" applyFont="1" applyFill="1" applyBorder="1" applyAlignment="1"/>
    <xf numFmtId="14" fontId="100" fillId="2" borderId="0" xfId="1" applyNumberFormat="1" applyFont="1" applyFill="1" applyBorder="1" applyAlignment="1"/>
    <xf numFmtId="0" fontId="2" fillId="2" borderId="123" xfId="0" applyFont="1" applyFill="1" applyBorder="1" applyAlignment="1">
      <alignment horizontal="center"/>
    </xf>
    <xf numFmtId="0" fontId="2" fillId="4" borderId="123" xfId="0" applyFont="1" applyFill="1" applyBorder="1" applyAlignment="1">
      <alignment horizontal="center"/>
    </xf>
    <xf numFmtId="0" fontId="19" fillId="4" borderId="47" xfId="0" applyFont="1" applyFill="1" applyBorder="1" applyAlignment="1">
      <alignment wrapText="1"/>
    </xf>
    <xf numFmtId="2" fontId="56" fillId="2" borderId="15" xfId="0" applyNumberFormat="1" applyFont="1" applyFill="1" applyBorder="1" applyAlignment="1">
      <alignment horizontal="center" wrapText="1"/>
    </xf>
    <xf numFmtId="0" fontId="15" fillId="4" borderId="125" xfId="0" applyFont="1" applyFill="1" applyBorder="1"/>
    <xf numFmtId="0" fontId="28" fillId="2" borderId="115" xfId="0" applyFont="1" applyFill="1" applyBorder="1" applyAlignment="1">
      <alignment horizontal="center"/>
    </xf>
    <xf numFmtId="0" fontId="14" fillId="4" borderId="148" xfId="0" applyFont="1" applyFill="1" applyBorder="1" applyAlignment="1">
      <alignment horizontal="center"/>
    </xf>
    <xf numFmtId="1" fontId="14" fillId="4" borderId="149" xfId="0" applyNumberFormat="1" applyFont="1" applyFill="1" applyBorder="1" applyAlignment="1">
      <alignment horizontal="center"/>
    </xf>
    <xf numFmtId="0" fontId="19" fillId="4" borderId="150" xfId="0" applyFont="1" applyFill="1" applyBorder="1"/>
    <xf numFmtId="0" fontId="3" fillId="4" borderId="148" xfId="0" applyFont="1" applyFill="1" applyBorder="1" applyAlignment="1">
      <alignment horizontal="center"/>
    </xf>
    <xf numFmtId="2" fontId="3" fillId="4" borderId="151" xfId="0" applyNumberFormat="1" applyFont="1" applyFill="1" applyBorder="1" applyAlignment="1">
      <alignment horizontal="center"/>
    </xf>
    <xf numFmtId="2" fontId="3" fillId="4" borderId="152" xfId="0" applyNumberFormat="1" applyFont="1" applyFill="1" applyBorder="1" applyAlignment="1">
      <alignment horizontal="center"/>
    </xf>
    <xf numFmtId="2" fontId="3" fillId="4" borderId="148" xfId="0" applyNumberFormat="1" applyFont="1" applyFill="1" applyBorder="1" applyAlignment="1">
      <alignment horizontal="center"/>
    </xf>
    <xf numFmtId="0" fontId="28" fillId="4" borderId="153" xfId="0" applyFont="1" applyFill="1" applyBorder="1" applyAlignment="1">
      <alignment horizontal="center"/>
    </xf>
    <xf numFmtId="0" fontId="25" fillId="4" borderId="153" xfId="0" applyFont="1" applyFill="1" applyBorder="1" applyAlignment="1">
      <alignment horizontal="center"/>
    </xf>
    <xf numFmtId="49" fontId="25" fillId="4" borderId="153" xfId="0" applyNumberFormat="1" applyFont="1" applyFill="1" applyBorder="1" applyAlignment="1">
      <alignment horizontal="center"/>
    </xf>
    <xf numFmtId="0" fontId="90" fillId="4" borderId="153" xfId="0" applyFont="1" applyFill="1" applyBorder="1" applyAlignment="1">
      <alignment horizontal="center"/>
    </xf>
    <xf numFmtId="2" fontId="56" fillId="4" borderId="153" xfId="0" applyNumberFormat="1" applyFont="1" applyFill="1" applyBorder="1" applyAlignment="1">
      <alignment horizontal="center"/>
    </xf>
    <xf numFmtId="0" fontId="11" fillId="4" borderId="154" xfId="0" applyFont="1" applyFill="1" applyBorder="1" applyAlignment="1">
      <alignment horizontal="center"/>
    </xf>
    <xf numFmtId="0" fontId="4" fillId="2" borderId="109" xfId="0" applyFont="1" applyFill="1" applyBorder="1" applyAlignment="1">
      <alignment horizontal="center"/>
    </xf>
    <xf numFmtId="0" fontId="14" fillId="2" borderId="155" xfId="0" applyFont="1" applyFill="1" applyBorder="1" applyAlignment="1">
      <alignment horizontal="center"/>
    </xf>
    <xf numFmtId="1" fontId="14" fillId="2" borderId="149" xfId="0" applyNumberFormat="1" applyFont="1" applyFill="1" applyBorder="1" applyAlignment="1">
      <alignment horizontal="center"/>
    </xf>
    <xf numFmtId="0" fontId="19" fillId="2" borderId="150" xfId="0" applyFont="1" applyFill="1" applyBorder="1"/>
    <xf numFmtId="0" fontId="3" fillId="2" borderId="148" xfId="0" applyFont="1" applyFill="1" applyBorder="1" applyAlignment="1">
      <alignment horizontal="center"/>
    </xf>
    <xf numFmtId="2" fontId="3" fillId="2" borderId="151" xfId="0" applyNumberFormat="1" applyFont="1" applyFill="1" applyBorder="1" applyAlignment="1">
      <alignment horizontal="center"/>
    </xf>
    <xf numFmtId="2" fontId="3" fillId="2" borderId="152" xfId="0" applyNumberFormat="1" applyFont="1" applyFill="1" applyBorder="1" applyAlignment="1">
      <alignment horizontal="center"/>
    </xf>
    <xf numFmtId="2" fontId="3" fillId="2" borderId="148" xfId="0" applyNumberFormat="1" applyFont="1" applyFill="1" applyBorder="1" applyAlignment="1">
      <alignment horizontal="center"/>
    </xf>
    <xf numFmtId="0" fontId="28" fillId="2" borderId="153" xfId="0" applyFont="1" applyFill="1" applyBorder="1" applyAlignment="1">
      <alignment horizontal="center"/>
    </xf>
    <xf numFmtId="0" fontId="25" fillId="2" borderId="153" xfId="0" applyFont="1" applyFill="1" applyBorder="1" applyAlignment="1">
      <alignment horizontal="center"/>
    </xf>
    <xf numFmtId="49" fontId="25" fillId="2" borderId="153" xfId="0" applyNumberFormat="1" applyFont="1" applyFill="1" applyBorder="1" applyAlignment="1">
      <alignment horizontal="center"/>
    </xf>
    <xf numFmtId="0" fontId="90" fillId="2" borderId="153" xfId="0" applyFont="1" applyFill="1" applyBorder="1" applyAlignment="1">
      <alignment horizontal="center"/>
    </xf>
    <xf numFmtId="2" fontId="56" fillId="2" borderId="153" xfId="0" applyNumberFormat="1" applyFont="1" applyFill="1" applyBorder="1" applyAlignment="1">
      <alignment horizontal="center"/>
    </xf>
    <xf numFmtId="0" fontId="11" fillId="2" borderId="154" xfId="0" applyFont="1" applyFill="1" applyBorder="1" applyAlignment="1">
      <alignment horizontal="center"/>
    </xf>
    <xf numFmtId="2" fontId="43" fillId="2" borderId="37" xfId="0" applyNumberFormat="1" applyFont="1" applyFill="1" applyBorder="1" applyAlignment="1">
      <alignment horizontal="center"/>
    </xf>
    <xf numFmtId="2" fontId="43" fillId="2" borderId="5" xfId="0" applyNumberFormat="1" applyFont="1" applyFill="1" applyBorder="1" applyAlignment="1">
      <alignment horizontal="center"/>
    </xf>
    <xf numFmtId="2" fontId="43" fillId="2" borderId="4" xfId="0" applyNumberFormat="1" applyFont="1" applyFill="1" applyBorder="1" applyAlignment="1">
      <alignment horizontal="center"/>
    </xf>
    <xf numFmtId="2" fontId="43" fillId="4" borderId="100" xfId="0" applyNumberFormat="1" applyFont="1" applyFill="1" applyBorder="1" applyAlignment="1">
      <alignment horizontal="center"/>
    </xf>
    <xf numFmtId="2" fontId="43" fillId="4" borderId="101" xfId="0" applyNumberFormat="1" applyFont="1" applyFill="1" applyBorder="1" applyAlignment="1">
      <alignment horizontal="center"/>
    </xf>
    <xf numFmtId="2" fontId="43" fillId="4" borderId="99" xfId="0" applyNumberFormat="1" applyFont="1" applyFill="1" applyBorder="1" applyAlignment="1">
      <alignment horizontal="center"/>
    </xf>
    <xf numFmtId="0" fontId="44" fillId="2" borderId="125" xfId="0" applyFont="1" applyFill="1" applyBorder="1"/>
    <xf numFmtId="0" fontId="44" fillId="4" borderId="48" xfId="0" applyFont="1" applyFill="1" applyBorder="1" applyAlignment="1">
      <alignment horizontal="left" wrapText="1"/>
    </xf>
    <xf numFmtId="0" fontId="3" fillId="4" borderId="37" xfId="0" applyFont="1" applyFill="1" applyBorder="1" applyAlignment="1">
      <alignment horizontal="center"/>
    </xf>
    <xf numFmtId="0" fontId="14" fillId="4" borderId="157" xfId="0" applyFont="1" applyFill="1" applyBorder="1" applyAlignment="1">
      <alignment horizontal="center"/>
    </xf>
    <xf numFmtId="1" fontId="14" fillId="4" borderId="158" xfId="0" applyNumberFormat="1" applyFont="1" applyFill="1" applyBorder="1" applyAlignment="1">
      <alignment horizontal="center"/>
    </xf>
    <xf numFmtId="0" fontId="19" fillId="4" borderId="159" xfId="0" applyFont="1" applyFill="1" applyBorder="1"/>
    <xf numFmtId="0" fontId="3" fillId="4" borderId="157" xfId="0" applyFont="1" applyFill="1" applyBorder="1" applyAlignment="1">
      <alignment horizontal="center"/>
    </xf>
    <xf numFmtId="0" fontId="3" fillId="4" borderId="161" xfId="0" applyFont="1" applyFill="1" applyBorder="1" applyAlignment="1">
      <alignment horizontal="center"/>
    </xf>
    <xf numFmtId="2" fontId="3" fillId="4" borderId="156" xfId="0" applyNumberFormat="1" applyFont="1" applyFill="1" applyBorder="1" applyAlignment="1">
      <alignment horizontal="center"/>
    </xf>
    <xf numFmtId="2" fontId="3" fillId="4" borderId="157" xfId="0" applyNumberFormat="1" applyFont="1" applyFill="1" applyBorder="1" applyAlignment="1">
      <alignment horizontal="center"/>
    </xf>
    <xf numFmtId="0" fontId="28" fillId="4" borderId="162" xfId="0" applyFont="1" applyFill="1" applyBorder="1" applyAlignment="1">
      <alignment horizontal="center"/>
    </xf>
    <xf numFmtId="0" fontId="25" fillId="4" borderId="162" xfId="0" applyFont="1" applyFill="1" applyBorder="1" applyAlignment="1">
      <alignment horizontal="center"/>
    </xf>
    <xf numFmtId="49" fontId="25" fillId="4" borderId="162" xfId="0" applyNumberFormat="1" applyFont="1" applyFill="1" applyBorder="1" applyAlignment="1">
      <alignment horizontal="center"/>
    </xf>
    <xf numFmtId="0" fontId="90" fillId="4" borderId="162" xfId="0" applyFont="1" applyFill="1" applyBorder="1" applyAlignment="1">
      <alignment horizontal="center"/>
    </xf>
    <xf numFmtId="2" fontId="56" fillId="4" borderId="162" xfId="0" applyNumberFormat="1" applyFont="1" applyFill="1" applyBorder="1" applyAlignment="1">
      <alignment horizontal="center"/>
    </xf>
    <xf numFmtId="0" fontId="11" fillId="4" borderId="163" xfId="0" applyFont="1" applyFill="1" applyBorder="1" applyAlignment="1">
      <alignment horizontal="center"/>
    </xf>
    <xf numFmtId="0" fontId="3" fillId="2" borderId="145" xfId="0" applyFont="1" applyFill="1" applyBorder="1" applyAlignment="1">
      <alignment horizontal="center"/>
    </xf>
    <xf numFmtId="0" fontId="19" fillId="4" borderId="49" xfId="0" applyFont="1" applyFill="1" applyBorder="1"/>
    <xf numFmtId="2" fontId="56" fillId="3" borderId="3" xfId="0" applyNumberFormat="1" applyFont="1" applyFill="1" applyBorder="1" applyAlignment="1">
      <alignment horizontal="center"/>
    </xf>
    <xf numFmtId="0" fontId="12" fillId="4" borderId="0" xfId="1" applyFill="1"/>
    <xf numFmtId="2" fontId="74" fillId="4" borderId="129" xfId="0" applyNumberFormat="1" applyFont="1" applyFill="1" applyBorder="1" applyAlignment="1">
      <alignment horizontal="center"/>
    </xf>
    <xf numFmtId="1" fontId="4" fillId="3" borderId="122" xfId="0" applyNumberFormat="1" applyFont="1" applyFill="1" applyBorder="1" applyAlignment="1" applyProtection="1">
      <alignment horizontal="center"/>
      <protection locked="0"/>
    </xf>
    <xf numFmtId="2" fontId="11" fillId="4" borderId="8" xfId="0" applyNumberFormat="1" applyFont="1" applyFill="1" applyBorder="1" applyAlignment="1">
      <alignment horizontal="center"/>
    </xf>
    <xf numFmtId="0" fontId="11" fillId="4" borderId="9" xfId="0" applyFont="1" applyFill="1" applyBorder="1" applyAlignment="1">
      <alignment horizontal="center"/>
    </xf>
    <xf numFmtId="0" fontId="14" fillId="3" borderId="168" xfId="0" applyFont="1" applyFill="1" applyBorder="1" applyAlignment="1">
      <alignment horizontal="center"/>
    </xf>
    <xf numFmtId="1" fontId="14" fillId="3" borderId="168" xfId="0" applyNumberFormat="1" applyFont="1" applyFill="1" applyBorder="1" applyAlignment="1">
      <alignment horizontal="center"/>
    </xf>
    <xf numFmtId="1" fontId="13" fillId="3" borderId="168" xfId="0" applyNumberFormat="1" applyFont="1" applyFill="1" applyBorder="1" applyAlignment="1">
      <alignment horizontal="left" vertical="center"/>
    </xf>
    <xf numFmtId="1" fontId="36" fillId="3" borderId="168" xfId="0" applyNumberFormat="1" applyFont="1" applyFill="1" applyBorder="1" applyAlignment="1">
      <alignment horizontal="center"/>
    </xf>
    <xf numFmtId="2" fontId="4" fillId="3" borderId="168" xfId="0" applyNumberFormat="1" applyFont="1" applyFill="1" applyBorder="1" applyAlignment="1">
      <alignment horizontal="center"/>
    </xf>
    <xf numFmtId="2" fontId="11" fillId="3" borderId="168" xfId="0" applyNumberFormat="1" applyFont="1" applyFill="1" applyBorder="1" applyAlignment="1">
      <alignment horizontal="center" vertical="center"/>
    </xf>
    <xf numFmtId="2" fontId="3" fillId="3" borderId="168" xfId="0" applyNumberFormat="1" applyFont="1" applyFill="1" applyBorder="1" applyAlignment="1">
      <alignment horizontal="center" vertical="center"/>
    </xf>
    <xf numFmtId="2" fontId="28" fillId="3" borderId="168" xfId="0" applyNumberFormat="1" applyFont="1" applyFill="1" applyBorder="1" applyAlignment="1">
      <alignment horizontal="center"/>
    </xf>
    <xf numFmtId="0" fontId="24" fillId="3" borderId="168" xfId="0" applyFont="1" applyFill="1" applyBorder="1" applyAlignment="1">
      <alignment horizontal="center"/>
    </xf>
    <xf numFmtId="49" fontId="24" fillId="3" borderId="168" xfId="0" applyNumberFormat="1" applyFont="1" applyFill="1" applyBorder="1" applyAlignment="1">
      <alignment horizontal="center"/>
    </xf>
    <xf numFmtId="0" fontId="90" fillId="3" borderId="168" xfId="0" applyFont="1" applyFill="1" applyBorder="1" applyAlignment="1">
      <alignment horizontal="center"/>
    </xf>
    <xf numFmtId="0" fontId="11" fillId="3" borderId="168" xfId="0" applyFont="1" applyFill="1" applyBorder="1" applyAlignment="1">
      <alignment horizontal="center"/>
    </xf>
    <xf numFmtId="0" fontId="36" fillId="3" borderId="168" xfId="0" applyFont="1" applyFill="1" applyBorder="1" applyAlignment="1">
      <alignment horizontal="center"/>
    </xf>
    <xf numFmtId="0" fontId="33" fillId="3" borderId="168" xfId="0" applyFont="1" applyFill="1" applyBorder="1" applyAlignment="1" applyProtection="1">
      <alignment horizontal="center"/>
      <protection hidden="1"/>
    </xf>
    <xf numFmtId="0" fontId="14" fillId="2" borderId="169" xfId="0" applyFont="1" applyFill="1" applyBorder="1" applyAlignment="1">
      <alignment horizontal="center"/>
    </xf>
    <xf numFmtId="1" fontId="14" fillId="2" borderId="165" xfId="0" applyNumberFormat="1" applyFont="1" applyFill="1" applyBorder="1" applyAlignment="1">
      <alignment horizontal="center"/>
    </xf>
    <xf numFmtId="0" fontId="15" fillId="2" borderId="166" xfId="0" applyFont="1" applyFill="1" applyBorder="1" applyAlignment="1">
      <alignment horizontal="left"/>
    </xf>
    <xf numFmtId="0" fontId="3" fillId="2" borderId="164" xfId="0" applyFont="1" applyFill="1" applyBorder="1" applyAlignment="1">
      <alignment horizontal="center"/>
    </xf>
    <xf numFmtId="2" fontId="3" fillId="2" borderId="167" xfId="0" applyNumberFormat="1" applyFont="1" applyFill="1" applyBorder="1" applyAlignment="1">
      <alignment horizontal="center"/>
    </xf>
    <xf numFmtId="2" fontId="3" fillId="2" borderId="170" xfId="0" applyNumberFormat="1" applyFont="1" applyFill="1" applyBorder="1" applyAlignment="1">
      <alignment horizontal="center"/>
    </xf>
    <xf numFmtId="2" fontId="3" fillId="2" borderId="164" xfId="0" applyNumberFormat="1" applyFont="1" applyFill="1" applyBorder="1" applyAlignment="1">
      <alignment horizontal="center"/>
    </xf>
    <xf numFmtId="0" fontId="28" fillId="2" borderId="40" xfId="0" applyFont="1" applyFill="1" applyBorder="1" applyAlignment="1">
      <alignment horizontal="center"/>
    </xf>
    <xf numFmtId="0" fontId="25" fillId="2" borderId="40" xfId="0" applyFont="1" applyFill="1" applyBorder="1" applyAlignment="1">
      <alignment horizontal="center"/>
    </xf>
    <xf numFmtId="49" fontId="25" fillId="2" borderId="40" xfId="0" applyNumberFormat="1" applyFont="1" applyFill="1" applyBorder="1" applyAlignment="1">
      <alignment horizontal="center"/>
    </xf>
    <xf numFmtId="2" fontId="56" fillId="2" borderId="40" xfId="0" applyNumberFormat="1" applyFont="1" applyFill="1" applyBorder="1" applyAlignment="1">
      <alignment horizontal="center"/>
    </xf>
    <xf numFmtId="0" fontId="11" fillId="2" borderId="95" xfId="0" applyFont="1" applyFill="1" applyBorder="1" applyAlignment="1">
      <alignment horizontal="center"/>
    </xf>
    <xf numFmtId="0" fontId="14" fillId="4" borderId="171" xfId="0" applyFont="1" applyFill="1" applyBorder="1" applyAlignment="1">
      <alignment horizontal="center"/>
    </xf>
    <xf numFmtId="1" fontId="14" fillId="4" borderId="172" xfId="0" applyNumberFormat="1" applyFont="1" applyFill="1" applyBorder="1" applyAlignment="1">
      <alignment horizontal="center"/>
    </xf>
    <xf numFmtId="0" fontId="15" fillId="4" borderId="173" xfId="0" applyFont="1" applyFill="1" applyBorder="1" applyAlignment="1">
      <alignment horizontal="left"/>
    </xf>
    <xf numFmtId="0" fontId="3" fillId="4" borderId="174" xfId="0" applyFont="1" applyFill="1" applyBorder="1" applyAlignment="1">
      <alignment horizontal="center"/>
    </xf>
    <xf numFmtId="1" fontId="4" fillId="3" borderId="175" xfId="0" applyNumberFormat="1" applyFont="1" applyFill="1" applyBorder="1" applyAlignment="1" applyProtection="1">
      <alignment horizontal="center"/>
      <protection locked="0"/>
    </xf>
    <xf numFmtId="2" fontId="3" fillId="4" borderId="176" xfId="0" applyNumberFormat="1" applyFont="1" applyFill="1" applyBorder="1" applyAlignment="1">
      <alignment horizontal="center"/>
    </xf>
    <xf numFmtId="2" fontId="3" fillId="4" borderId="177" xfId="0" applyNumberFormat="1" applyFont="1" applyFill="1" applyBorder="1" applyAlignment="1">
      <alignment horizontal="center"/>
    </xf>
    <xf numFmtId="2" fontId="3" fillId="4" borderId="174" xfId="0" applyNumberFormat="1" applyFont="1" applyFill="1" applyBorder="1" applyAlignment="1">
      <alignment horizontal="center"/>
    </xf>
    <xf numFmtId="0" fontId="28" fillId="4" borderId="178" xfId="0" applyFont="1" applyFill="1" applyBorder="1" applyAlignment="1">
      <alignment horizontal="center"/>
    </xf>
    <xf numFmtId="0" fontId="25" fillId="4" borderId="178" xfId="0" applyFont="1" applyFill="1" applyBorder="1" applyAlignment="1">
      <alignment horizontal="center"/>
    </xf>
    <xf numFmtId="49" fontId="25" fillId="4" borderId="178" xfId="0" applyNumberFormat="1" applyFont="1" applyFill="1" applyBorder="1" applyAlignment="1">
      <alignment horizontal="center"/>
    </xf>
    <xf numFmtId="0" fontId="90" fillId="4" borderId="178" xfId="0" applyFont="1" applyFill="1" applyBorder="1" applyAlignment="1">
      <alignment horizontal="center"/>
    </xf>
    <xf numFmtId="2" fontId="56" fillId="4" borderId="178" xfId="0" applyNumberFormat="1" applyFont="1" applyFill="1" applyBorder="1" applyAlignment="1">
      <alignment horizontal="center"/>
    </xf>
    <xf numFmtId="0" fontId="11" fillId="4" borderId="179" xfId="0" applyFont="1" applyFill="1" applyBorder="1" applyAlignment="1">
      <alignment horizontal="center"/>
    </xf>
    <xf numFmtId="0" fontId="8" fillId="11" borderId="30" xfId="0" applyFont="1" applyFill="1" applyBorder="1" applyAlignment="1">
      <alignment horizontal="center" vertical="top" wrapText="1"/>
    </xf>
    <xf numFmtId="0" fontId="8" fillId="11" borderId="29" xfId="0" applyFont="1" applyFill="1" applyBorder="1" applyAlignment="1">
      <alignment horizontal="left" vertical="top" wrapText="1"/>
    </xf>
    <xf numFmtId="0" fontId="75" fillId="9" borderId="52" xfId="0" applyFont="1" applyFill="1" applyBorder="1" applyAlignment="1">
      <alignment horizontal="center" vertical="center"/>
    </xf>
    <xf numFmtId="0" fontId="75" fillId="2" borderId="74" xfId="0" applyFont="1" applyFill="1" applyBorder="1" applyAlignment="1">
      <alignment horizontal="center"/>
    </xf>
    <xf numFmtId="0" fontId="75" fillId="4" borderId="66" xfId="0" applyFont="1" applyFill="1" applyBorder="1" applyAlignment="1">
      <alignment horizontal="center"/>
    </xf>
    <xf numFmtId="0" fontId="75" fillId="2" borderId="19" xfId="0" applyFont="1" applyFill="1" applyBorder="1" applyAlignment="1">
      <alignment horizontal="center"/>
    </xf>
    <xf numFmtId="0" fontId="75" fillId="4" borderId="102" xfId="0" applyFont="1" applyFill="1" applyBorder="1" applyAlignment="1">
      <alignment horizontal="center"/>
    </xf>
    <xf numFmtId="0" fontId="75" fillId="4" borderId="74" xfId="0" applyFont="1" applyFill="1" applyBorder="1" applyAlignment="1">
      <alignment horizontal="center"/>
    </xf>
    <xf numFmtId="0" fontId="75" fillId="2" borderId="138" xfId="0" applyFont="1" applyFill="1" applyBorder="1" applyAlignment="1">
      <alignment horizontal="center"/>
    </xf>
    <xf numFmtId="0" fontId="75" fillId="4" borderId="129" xfId="0" applyFont="1" applyFill="1" applyBorder="1" applyAlignment="1">
      <alignment horizontal="center"/>
    </xf>
    <xf numFmtId="0" fontId="75" fillId="2" borderId="102" xfId="0" applyFont="1" applyFill="1" applyBorder="1" applyAlignment="1">
      <alignment horizontal="center"/>
    </xf>
    <xf numFmtId="0" fontId="75" fillId="4" borderId="19" xfId="0" applyFont="1" applyFill="1" applyBorder="1" applyAlignment="1">
      <alignment horizontal="center"/>
    </xf>
    <xf numFmtId="0" fontId="75" fillId="2" borderId="129" xfId="0" applyFont="1" applyFill="1" applyBorder="1" applyAlignment="1">
      <alignment horizontal="center"/>
    </xf>
    <xf numFmtId="0" fontId="75" fillId="4" borderId="85" xfId="0" applyFont="1" applyFill="1" applyBorder="1" applyAlignment="1">
      <alignment horizontal="center"/>
    </xf>
    <xf numFmtId="0" fontId="75" fillId="4" borderId="138" xfId="0" applyFont="1" applyFill="1" applyBorder="1" applyAlignment="1">
      <alignment horizontal="center"/>
    </xf>
    <xf numFmtId="0" fontId="75" fillId="4" borderId="162" xfId="0" applyFont="1" applyFill="1" applyBorder="1" applyAlignment="1">
      <alignment horizontal="center"/>
    </xf>
    <xf numFmtId="0" fontId="75" fillId="2" borderId="15" xfId="0" applyFont="1" applyFill="1" applyBorder="1" applyAlignment="1">
      <alignment horizontal="center"/>
    </xf>
    <xf numFmtId="0" fontId="75" fillId="2" borderId="92" xfId="0" applyFont="1" applyFill="1" applyBorder="1" applyAlignment="1">
      <alignment horizontal="center"/>
    </xf>
    <xf numFmtId="0" fontId="75" fillId="4" borderId="15" xfId="0" applyFont="1" applyFill="1" applyBorder="1" applyAlignment="1">
      <alignment horizontal="center"/>
    </xf>
    <xf numFmtId="0" fontId="75" fillId="4" borderId="8" xfId="0" applyFont="1" applyFill="1" applyBorder="1" applyAlignment="1">
      <alignment horizontal="center"/>
    </xf>
    <xf numFmtId="0" fontId="75" fillId="3" borderId="6" xfId="0" applyFont="1" applyFill="1" applyBorder="1" applyAlignment="1">
      <alignment horizontal="center"/>
    </xf>
    <xf numFmtId="0" fontId="75" fillId="2" borderId="8" xfId="0" applyFont="1" applyFill="1" applyBorder="1" applyAlignment="1">
      <alignment horizontal="center"/>
    </xf>
    <xf numFmtId="0" fontId="75" fillId="4" borderId="79" xfId="0" applyFont="1" applyFill="1" applyBorder="1" applyAlignment="1">
      <alignment horizontal="center"/>
    </xf>
    <xf numFmtId="0" fontId="75" fillId="2" borderId="85" xfId="0" applyFont="1" applyFill="1" applyBorder="1" applyAlignment="1">
      <alignment horizontal="center"/>
    </xf>
    <xf numFmtId="0" fontId="75" fillId="2" borderId="66" xfId="0" applyFont="1" applyFill="1" applyBorder="1" applyAlignment="1">
      <alignment horizontal="center"/>
    </xf>
    <xf numFmtId="0" fontId="110" fillId="6" borderId="94" xfId="0" applyFont="1" applyFill="1" applyBorder="1" applyAlignment="1">
      <alignment horizontal="left" vertical="center" wrapText="1"/>
    </xf>
    <xf numFmtId="0" fontId="75" fillId="2" borderId="79" xfId="0" applyFont="1" applyFill="1" applyBorder="1" applyAlignment="1">
      <alignment horizontal="center"/>
    </xf>
    <xf numFmtId="0" fontId="75" fillId="4" borderId="178" xfId="0" applyFont="1" applyFill="1" applyBorder="1" applyAlignment="1">
      <alignment horizontal="center"/>
    </xf>
    <xf numFmtId="0" fontId="75" fillId="2" borderId="153" xfId="0" applyFont="1" applyFill="1" applyBorder="1" applyAlignment="1">
      <alignment horizontal="center"/>
    </xf>
    <xf numFmtId="0" fontId="75" fillId="4" borderId="153" xfId="0" applyFont="1" applyFill="1" applyBorder="1" applyAlignment="1">
      <alignment horizontal="center"/>
    </xf>
    <xf numFmtId="0" fontId="75" fillId="2" borderId="115" xfId="0" applyFont="1" applyFill="1" applyBorder="1" applyAlignment="1">
      <alignment horizontal="center"/>
    </xf>
    <xf numFmtId="0" fontId="75" fillId="9" borderId="0" xfId="0" applyFont="1" applyFill="1" applyAlignment="1">
      <alignment horizontal="center" vertical="center"/>
    </xf>
    <xf numFmtId="0" fontId="111" fillId="3" borderId="3" xfId="0" applyFont="1" applyFill="1" applyBorder="1" applyAlignment="1">
      <alignment horizontal="center"/>
    </xf>
    <xf numFmtId="0" fontId="75" fillId="0" borderId="15" xfId="0" applyFont="1" applyBorder="1" applyAlignment="1">
      <alignment horizontal="center"/>
    </xf>
    <xf numFmtId="0" fontId="75" fillId="3" borderId="58" xfId="0" applyFont="1" applyFill="1" applyBorder="1" applyAlignment="1">
      <alignment horizontal="center"/>
    </xf>
    <xf numFmtId="0" fontId="75" fillId="10" borderId="22" xfId="0" applyFont="1" applyFill="1" applyBorder="1" applyAlignment="1">
      <alignment horizontal="center"/>
    </xf>
    <xf numFmtId="0" fontId="75" fillId="11" borderId="108" xfId="0" applyFont="1" applyFill="1" applyBorder="1" applyAlignment="1">
      <alignment horizontal="center" vertical="center"/>
    </xf>
    <xf numFmtId="0" fontId="75" fillId="2" borderId="28" xfId="0" applyFont="1" applyFill="1" applyBorder="1" applyAlignment="1">
      <alignment horizontal="center"/>
    </xf>
    <xf numFmtId="0" fontId="75" fillId="3" borderId="168" xfId="0" applyFont="1" applyFill="1" applyBorder="1" applyAlignment="1">
      <alignment horizontal="center"/>
    </xf>
    <xf numFmtId="0" fontId="22" fillId="0" borderId="0" xfId="0" applyFont="1"/>
    <xf numFmtId="0" fontId="46" fillId="0" borderId="0" xfId="0" applyFont="1" applyAlignment="1">
      <alignment horizontal="center"/>
    </xf>
    <xf numFmtId="0" fontId="46" fillId="0" borderId="0" xfId="0" applyFont="1"/>
    <xf numFmtId="0" fontId="6" fillId="0" borderId="0" xfId="0" applyFont="1"/>
    <xf numFmtId="0" fontId="0" fillId="2" borderId="0" xfId="0" applyFill="1" applyProtection="1">
      <protection hidden="1"/>
    </xf>
    <xf numFmtId="0" fontId="0" fillId="2" borderId="0" xfId="0" applyFill="1" applyAlignment="1" applyProtection="1">
      <alignment vertical="center"/>
      <protection hidden="1"/>
    </xf>
    <xf numFmtId="0" fontId="0" fillId="2" borderId="0" xfId="0" applyFill="1" applyAlignment="1" applyProtection="1">
      <alignment horizontal="left" vertical="center"/>
      <protection hidden="1"/>
    </xf>
    <xf numFmtId="4" fontId="0" fillId="2" borderId="0" xfId="0" applyNumberFormat="1" applyFill="1" applyAlignment="1" applyProtection="1">
      <alignment vertical="center"/>
      <protection hidden="1"/>
    </xf>
    <xf numFmtId="0" fontId="49" fillId="0" borderId="0" xfId="0" applyFont="1"/>
    <xf numFmtId="0" fontId="0" fillId="2" borderId="185" xfId="0" applyFill="1" applyBorder="1" applyAlignment="1" applyProtection="1">
      <alignment horizontal="right" vertical="center"/>
      <protection hidden="1"/>
    </xf>
    <xf numFmtId="0" fontId="0" fillId="2" borderId="180" xfId="0" applyFill="1" applyBorder="1" applyAlignment="1" applyProtection="1">
      <alignment horizontal="right" vertical="center"/>
      <protection hidden="1"/>
    </xf>
    <xf numFmtId="0" fontId="41" fillId="0" borderId="0" xfId="0" applyFont="1"/>
    <xf numFmtId="0" fontId="50" fillId="0" borderId="0" xfId="0" applyFont="1"/>
    <xf numFmtId="0" fontId="22" fillId="0" borderId="190" xfId="0" applyFont="1" applyBorder="1" applyAlignment="1" applyProtection="1">
      <alignment horizontal="center" vertical="center"/>
      <protection hidden="1"/>
    </xf>
    <xf numFmtId="4" fontId="22" fillId="0" borderId="190" xfId="0" applyNumberFormat="1" applyFont="1" applyBorder="1" applyAlignment="1" applyProtection="1">
      <alignment horizontal="center" vertical="center"/>
      <protection hidden="1"/>
    </xf>
    <xf numFmtId="1" fontId="115" fillId="2" borderId="0" xfId="0" applyNumberFormat="1" applyFont="1" applyFill="1" applyProtection="1">
      <protection hidden="1"/>
    </xf>
    <xf numFmtId="0" fontId="23" fillId="0" borderId="191" xfId="0" applyFont="1" applyBorder="1" applyAlignment="1" applyProtection="1">
      <alignment horizontal="center" vertical="center"/>
      <protection hidden="1"/>
    </xf>
    <xf numFmtId="0" fontId="23" fillId="0" borderId="191" xfId="0" applyFont="1" applyBorder="1" applyAlignment="1" applyProtection="1">
      <alignment horizontal="left" vertical="center"/>
      <protection hidden="1"/>
    </xf>
    <xf numFmtId="0" fontId="16" fillId="0" borderId="191" xfId="0" applyFont="1" applyBorder="1" applyAlignment="1" applyProtection="1">
      <alignment horizontal="center" vertical="center"/>
      <protection hidden="1"/>
    </xf>
    <xf numFmtId="4" fontId="23" fillId="0" borderId="191" xfId="0" applyNumberFormat="1"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xf numFmtId="4" fontId="23" fillId="0" borderId="0" xfId="0" applyNumberFormat="1" applyFont="1" applyAlignment="1" applyProtection="1">
      <alignment horizontal="center" vertical="center"/>
      <protection hidden="1"/>
    </xf>
    <xf numFmtId="0" fontId="38" fillId="0" borderId="0" xfId="0" applyFont="1"/>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4" fontId="0" fillId="0" borderId="0" xfId="0" applyNumberFormat="1" applyAlignment="1" applyProtection="1">
      <alignment vertical="center"/>
      <protection hidden="1"/>
    </xf>
    <xf numFmtId="0" fontId="29" fillId="5" borderId="0" xfId="0" applyFont="1" applyFill="1" applyAlignment="1">
      <alignment vertical="center"/>
    </xf>
    <xf numFmtId="0" fontId="51" fillId="3" borderId="0" xfId="1" applyFont="1" applyFill="1" applyBorder="1" applyAlignment="1"/>
    <xf numFmtId="0" fontId="51" fillId="3" borderId="0" xfId="1" applyFont="1" applyFill="1" applyAlignment="1"/>
    <xf numFmtId="49" fontId="30" fillId="2" borderId="0" xfId="0" applyNumberFormat="1" applyFont="1" applyFill="1" applyAlignment="1">
      <alignment horizontal="right" vertical="center"/>
    </xf>
    <xf numFmtId="0" fontId="106" fillId="2" borderId="0" xfId="0" applyFont="1" applyFill="1" applyAlignment="1">
      <alignment vertical="center" wrapText="1"/>
    </xf>
    <xf numFmtId="14" fontId="92" fillId="2" borderId="0" xfId="0" applyNumberFormat="1" applyFont="1" applyFill="1" applyAlignment="1">
      <alignment vertical="center" wrapText="1"/>
    </xf>
    <xf numFmtId="0" fontId="72" fillId="2" borderId="192" xfId="0" applyFont="1" applyFill="1" applyBorder="1" applyAlignment="1">
      <alignment horizontal="left" vertical="center" wrapText="1"/>
    </xf>
    <xf numFmtId="0" fontId="30" fillId="2" borderId="192" xfId="0" applyFont="1" applyFill="1" applyBorder="1" applyAlignment="1">
      <alignment vertical="center" wrapText="1"/>
    </xf>
    <xf numFmtId="0" fontId="106" fillId="2" borderId="192" xfId="0" applyFont="1" applyFill="1" applyBorder="1" applyAlignment="1">
      <alignment vertical="center" wrapText="1"/>
    </xf>
    <xf numFmtId="0" fontId="99" fillId="2" borderId="192" xfId="0" applyFont="1" applyFill="1" applyBorder="1" applyAlignment="1">
      <alignment vertical="center" wrapText="1"/>
    </xf>
    <xf numFmtId="49" fontId="99" fillId="2" borderId="192" xfId="0" applyNumberFormat="1" applyFont="1" applyFill="1" applyBorder="1" applyAlignment="1">
      <alignment vertical="center" wrapText="1"/>
    </xf>
    <xf numFmtId="0" fontId="107" fillId="2" borderId="192" xfId="0" applyFont="1" applyFill="1" applyBorder="1" applyAlignment="1">
      <alignment vertical="center" wrapText="1"/>
    </xf>
    <xf numFmtId="0" fontId="75" fillId="2" borderId="192" xfId="0" applyFont="1" applyFill="1" applyBorder="1" applyAlignment="1">
      <alignment vertical="center" wrapText="1"/>
    </xf>
    <xf numFmtId="14" fontId="84" fillId="2" borderId="192" xfId="0" applyNumberFormat="1" applyFont="1" applyFill="1" applyBorder="1" applyAlignment="1">
      <alignment vertical="center" wrapText="1"/>
    </xf>
    <xf numFmtId="0" fontId="106" fillId="2" borderId="0" xfId="0" applyFont="1" applyFill="1" applyAlignment="1">
      <alignment horizontal="right" vertical="center"/>
    </xf>
    <xf numFmtId="0" fontId="108" fillId="2" borderId="0" xfId="0" applyFont="1" applyFill="1" applyAlignment="1">
      <alignment horizontal="center"/>
    </xf>
    <xf numFmtId="0" fontId="31" fillId="2" borderId="0" xfId="0" applyFont="1" applyFill="1" applyAlignment="1">
      <alignment horizontal="right" vertical="center"/>
    </xf>
    <xf numFmtId="0" fontId="60" fillId="2" borderId="193" xfId="0" applyFont="1" applyFill="1" applyBorder="1" applyAlignment="1">
      <alignment horizontal="left" vertical="center" wrapText="1"/>
    </xf>
    <xf numFmtId="0" fontId="76" fillId="2" borderId="193" xfId="0" applyFont="1" applyFill="1" applyBorder="1" applyAlignment="1">
      <alignment horizontal="center"/>
    </xf>
    <xf numFmtId="0" fontId="99" fillId="2" borderId="193" xfId="0" applyFont="1" applyFill="1" applyBorder="1" applyAlignment="1">
      <alignment vertical="center" wrapText="1"/>
    </xf>
    <xf numFmtId="49" fontId="99" fillId="2" borderId="193" xfId="0" applyNumberFormat="1" applyFont="1" applyFill="1" applyBorder="1" applyAlignment="1">
      <alignment vertical="center" wrapText="1"/>
    </xf>
    <xf numFmtId="0" fontId="107" fillId="2" borderId="193" xfId="0" applyFont="1" applyFill="1" applyBorder="1" applyAlignment="1">
      <alignment vertical="center" wrapText="1"/>
    </xf>
    <xf numFmtId="0" fontId="75" fillId="2" borderId="193" xfId="0" applyFont="1" applyFill="1" applyBorder="1" applyAlignment="1">
      <alignment vertical="center" wrapText="1"/>
    </xf>
    <xf numFmtId="49" fontId="99" fillId="2" borderId="193" xfId="0" applyNumberFormat="1" applyFont="1" applyFill="1" applyBorder="1" applyAlignment="1">
      <alignment horizontal="right" vertical="center"/>
    </xf>
    <xf numFmtId="0" fontId="108" fillId="2" borderId="193" xfId="0" applyFont="1" applyFill="1" applyBorder="1" applyAlignment="1">
      <alignment horizontal="center"/>
    </xf>
    <xf numFmtId="49" fontId="30" fillId="2" borderId="193" xfId="0" applyNumberFormat="1" applyFont="1" applyFill="1" applyBorder="1" applyAlignment="1">
      <alignment horizontal="right" vertical="center"/>
    </xf>
    <xf numFmtId="0" fontId="117" fillId="2" borderId="0" xfId="0" applyFont="1" applyFill="1" applyAlignment="1">
      <alignment vertical="center" wrapText="1"/>
    </xf>
    <xf numFmtId="0" fontId="118" fillId="2" borderId="0" xfId="0" applyFont="1" applyFill="1" applyAlignment="1">
      <alignment vertical="center" wrapText="1"/>
    </xf>
    <xf numFmtId="0" fontId="117" fillId="2" borderId="193" xfId="0" applyFont="1" applyFill="1" applyBorder="1" applyAlignment="1">
      <alignment vertical="center" wrapText="1"/>
    </xf>
    <xf numFmtId="1" fontId="61" fillId="3" borderId="55" xfId="0" applyNumberFormat="1" applyFont="1" applyFill="1" applyBorder="1" applyAlignment="1" applyProtection="1">
      <alignment horizontal="center"/>
      <protection locked="0"/>
    </xf>
    <xf numFmtId="0" fontId="17" fillId="0" borderId="0" xfId="0" applyFont="1" applyAlignment="1">
      <alignment horizontal="center" vertical="center"/>
    </xf>
    <xf numFmtId="2" fontId="16" fillId="3" borderId="3" xfId="0" applyNumberFormat="1" applyFont="1" applyFill="1" applyBorder="1" applyAlignment="1">
      <alignment horizontal="center"/>
    </xf>
    <xf numFmtId="2" fontId="3" fillId="2" borderId="38" xfId="0" applyNumberFormat="1" applyFont="1" applyFill="1" applyBorder="1" applyAlignment="1">
      <alignment horizontal="center"/>
    </xf>
    <xf numFmtId="2" fontId="3" fillId="2" borderId="10" xfId="0" applyNumberFormat="1" applyFont="1" applyFill="1" applyBorder="1" applyAlignment="1">
      <alignment horizontal="center"/>
    </xf>
    <xf numFmtId="2" fontId="3" fillId="2" borderId="11" xfId="0" applyNumberFormat="1" applyFont="1" applyFill="1" applyBorder="1" applyAlignment="1">
      <alignment horizontal="center"/>
    </xf>
    <xf numFmtId="0" fontId="19" fillId="2" borderId="49" xfId="0" applyFont="1" applyFill="1" applyBorder="1"/>
    <xf numFmtId="9" fontId="5" fillId="0" borderId="0" xfId="0" applyNumberFormat="1" applyFont="1"/>
    <xf numFmtId="0" fontId="70" fillId="2" borderId="4" xfId="0" applyFont="1" applyFill="1" applyBorder="1" applyAlignment="1">
      <alignment horizontal="center"/>
    </xf>
    <xf numFmtId="0" fontId="44" fillId="4" borderId="143" xfId="0" applyFont="1" applyFill="1" applyBorder="1"/>
    <xf numFmtId="0" fontId="6" fillId="2" borderId="48" xfId="0" applyFont="1" applyFill="1" applyBorder="1"/>
    <xf numFmtId="0" fontId="6" fillId="2" borderId="125" xfId="0" applyFont="1" applyFill="1" applyBorder="1"/>
    <xf numFmtId="1" fontId="14" fillId="4" borderId="123" xfId="0" applyNumberFormat="1" applyFont="1" applyFill="1" applyBorder="1" applyAlignment="1">
      <alignment horizontal="center"/>
    </xf>
    <xf numFmtId="0" fontId="15" fillId="4" borderId="143" xfId="0" applyFont="1" applyFill="1" applyBorder="1"/>
    <xf numFmtId="0" fontId="28" fillId="4" borderId="85" xfId="0" applyFont="1" applyFill="1" applyBorder="1" applyAlignment="1">
      <alignment horizontal="left"/>
    </xf>
    <xf numFmtId="2" fontId="11" fillId="4" borderId="85" xfId="0" applyNumberFormat="1" applyFont="1" applyFill="1" applyBorder="1" applyAlignment="1">
      <alignment horizontal="center"/>
    </xf>
    <xf numFmtId="2" fontId="11" fillId="2" borderId="115" xfId="0" applyNumberFormat="1" applyFont="1" applyFill="1" applyBorder="1" applyAlignment="1">
      <alignment horizontal="center"/>
    </xf>
    <xf numFmtId="2" fontId="11" fillId="2" borderId="102" xfId="0" applyNumberFormat="1" applyFont="1" applyFill="1" applyBorder="1" applyAlignment="1">
      <alignment horizontal="center"/>
    </xf>
    <xf numFmtId="0" fontId="43" fillId="0" borderId="0" xfId="0" applyFont="1" applyAlignment="1">
      <alignment horizontal="center" vertical="center"/>
    </xf>
    <xf numFmtId="0" fontId="14" fillId="3" borderId="3" xfId="0" applyFont="1" applyFill="1" applyBorder="1" applyAlignment="1">
      <alignment horizontal="center"/>
    </xf>
    <xf numFmtId="1" fontId="14" fillId="3" borderId="3" xfId="0" applyNumberFormat="1" applyFont="1" applyFill="1" applyBorder="1" applyAlignment="1">
      <alignment horizontal="center"/>
    </xf>
    <xf numFmtId="2" fontId="11" fillId="3" borderId="3" xfId="0" applyNumberFormat="1" applyFont="1" applyFill="1" applyBorder="1" applyAlignment="1">
      <alignment horizontal="center" vertical="center"/>
    </xf>
    <xf numFmtId="2" fontId="3" fillId="3" borderId="3" xfId="0" applyNumberFormat="1" applyFont="1" applyFill="1" applyBorder="1" applyAlignment="1">
      <alignment horizontal="center" vertical="center"/>
    </xf>
    <xf numFmtId="1" fontId="4" fillId="3" borderId="106" xfId="0" applyNumberFormat="1" applyFont="1" applyFill="1" applyBorder="1" applyAlignment="1" applyProtection="1">
      <alignment horizontal="center"/>
      <protection locked="0"/>
    </xf>
    <xf numFmtId="1" fontId="4" fillId="3" borderId="160" xfId="0" applyNumberFormat="1" applyFont="1" applyFill="1" applyBorder="1" applyAlignment="1" applyProtection="1">
      <alignment horizontal="center"/>
      <protection locked="0"/>
    </xf>
    <xf numFmtId="0" fontId="15" fillId="2" borderId="143" xfId="0" applyFont="1" applyFill="1" applyBorder="1"/>
    <xf numFmtId="0" fontId="14" fillId="4" borderId="109" xfId="0" applyFont="1" applyFill="1" applyBorder="1" applyAlignment="1">
      <alignment horizontal="center"/>
    </xf>
    <xf numFmtId="1" fontId="14" fillId="4" borderId="110" xfId="0" applyNumberFormat="1" applyFont="1" applyFill="1" applyBorder="1" applyAlignment="1">
      <alignment horizontal="center"/>
    </xf>
    <xf numFmtId="0" fontId="19" fillId="4" borderId="111" xfId="0" applyFont="1" applyFill="1" applyBorder="1"/>
    <xf numFmtId="0" fontId="3" fillId="4" borderId="109" xfId="0" applyFont="1" applyFill="1" applyBorder="1" applyAlignment="1">
      <alignment horizontal="center"/>
    </xf>
    <xf numFmtId="2" fontId="3" fillId="4" borderId="113" xfId="0" applyNumberFormat="1" applyFont="1" applyFill="1" applyBorder="1" applyAlignment="1">
      <alignment horizontal="center"/>
    </xf>
    <xf numFmtId="2" fontId="3" fillId="4" borderId="114" xfId="0" applyNumberFormat="1" applyFont="1" applyFill="1" applyBorder="1" applyAlignment="1">
      <alignment horizontal="center"/>
    </xf>
    <xf numFmtId="2" fontId="3" fillId="4" borderId="109" xfId="0" applyNumberFormat="1" applyFont="1" applyFill="1" applyBorder="1" applyAlignment="1">
      <alignment horizontal="center"/>
    </xf>
    <xf numFmtId="0" fontId="28" fillId="4" borderId="115" xfId="0" applyFont="1" applyFill="1" applyBorder="1" applyAlignment="1">
      <alignment horizontal="center"/>
    </xf>
    <xf numFmtId="0" fontId="25" fillId="4" borderId="115" xfId="0" applyFont="1" applyFill="1" applyBorder="1" applyAlignment="1">
      <alignment horizontal="center"/>
    </xf>
    <xf numFmtId="49" fontId="25" fillId="4" borderId="194" xfId="0" applyNumberFormat="1" applyFont="1" applyFill="1" applyBorder="1" applyAlignment="1">
      <alignment horizontal="center"/>
    </xf>
    <xf numFmtId="0" fontId="90" fillId="4" borderId="194" xfId="0" applyFont="1" applyFill="1" applyBorder="1" applyAlignment="1">
      <alignment horizontal="center"/>
    </xf>
    <xf numFmtId="0" fontId="75" fillId="4" borderId="194" xfId="0" applyFont="1" applyFill="1" applyBorder="1" applyAlignment="1">
      <alignment horizontal="center"/>
    </xf>
    <xf numFmtId="2" fontId="69" fillId="4" borderId="115" xfId="0" applyNumberFormat="1" applyFont="1" applyFill="1" applyBorder="1" applyAlignment="1">
      <alignment horizontal="center"/>
    </xf>
    <xf numFmtId="0" fontId="11" fillId="4" borderId="116" xfId="0" applyFont="1" applyFill="1" applyBorder="1" applyAlignment="1">
      <alignment horizontal="center"/>
    </xf>
    <xf numFmtId="0" fontId="14" fillId="2" borderId="164" xfId="0" applyFont="1" applyFill="1" applyBorder="1" applyAlignment="1">
      <alignment horizontal="center"/>
    </xf>
    <xf numFmtId="0" fontId="19" fillId="2" borderId="166" xfId="0" applyFont="1" applyFill="1" applyBorder="1"/>
    <xf numFmtId="0" fontId="2" fillId="2" borderId="164" xfId="0" applyFont="1" applyFill="1" applyBorder="1" applyAlignment="1">
      <alignment horizontal="center"/>
    </xf>
    <xf numFmtId="0" fontId="90" fillId="2" borderId="40" xfId="0" applyFont="1" applyFill="1" applyBorder="1" applyAlignment="1">
      <alignment horizontal="center"/>
    </xf>
    <xf numFmtId="0" fontId="75" fillId="2" borderId="40" xfId="0" applyFont="1" applyFill="1" applyBorder="1" applyAlignment="1">
      <alignment horizontal="center"/>
    </xf>
    <xf numFmtId="2" fontId="11" fillId="2" borderId="40" xfId="0" applyNumberFormat="1" applyFont="1" applyFill="1" applyBorder="1" applyAlignment="1">
      <alignment horizontal="center"/>
    </xf>
    <xf numFmtId="0" fontId="2" fillId="4" borderId="109" xfId="0" applyFont="1" applyFill="1" applyBorder="1" applyAlignment="1">
      <alignment horizontal="center"/>
    </xf>
    <xf numFmtId="49" fontId="25" fillId="4" borderId="115" xfId="0" applyNumberFormat="1" applyFont="1" applyFill="1" applyBorder="1" applyAlignment="1">
      <alignment horizontal="center"/>
    </xf>
    <xf numFmtId="0" fontId="90" fillId="4" borderId="115" xfId="0" applyFont="1" applyFill="1" applyBorder="1" applyAlignment="1">
      <alignment horizontal="center"/>
    </xf>
    <xf numFmtId="0" fontId="75" fillId="4" borderId="115" xfId="0" applyFont="1" applyFill="1" applyBorder="1" applyAlignment="1">
      <alignment horizontal="center"/>
    </xf>
    <xf numFmtId="2" fontId="11" fillId="4" borderId="115" xfId="0" applyNumberFormat="1" applyFont="1" applyFill="1" applyBorder="1" applyAlignment="1">
      <alignment horizontal="center"/>
    </xf>
    <xf numFmtId="0" fontId="2" fillId="2" borderId="109" xfId="0" applyFont="1" applyFill="1" applyBorder="1" applyAlignment="1">
      <alignment horizontal="center"/>
    </xf>
    <xf numFmtId="0" fontId="44" fillId="4" borderId="98" xfId="0" applyFont="1" applyFill="1" applyBorder="1"/>
    <xf numFmtId="0" fontId="93" fillId="2" borderId="4" xfId="0" applyFont="1" applyFill="1" applyBorder="1" applyAlignment="1">
      <alignment horizontal="center"/>
    </xf>
    <xf numFmtId="1" fontId="93" fillId="2" borderId="18" xfId="0" applyNumberFormat="1" applyFont="1" applyFill="1" applyBorder="1" applyAlignment="1">
      <alignment horizontal="center"/>
    </xf>
    <xf numFmtId="0" fontId="94" fillId="2" borderId="4" xfId="0" applyFont="1" applyFill="1" applyBorder="1" applyAlignment="1">
      <alignment horizontal="center"/>
    </xf>
    <xf numFmtId="0" fontId="94" fillId="2" borderId="37" xfId="0" applyFont="1" applyFill="1" applyBorder="1" applyAlignment="1">
      <alignment horizontal="center"/>
    </xf>
    <xf numFmtId="2" fontId="94" fillId="2" borderId="5" xfId="0" applyNumberFormat="1" applyFont="1" applyFill="1" applyBorder="1" applyAlignment="1">
      <alignment horizontal="center"/>
    </xf>
    <xf numFmtId="2" fontId="94" fillId="2" borderId="4" xfId="0" applyNumberFormat="1" applyFont="1" applyFill="1" applyBorder="1" applyAlignment="1">
      <alignment horizontal="center"/>
    </xf>
    <xf numFmtId="0" fontId="96" fillId="2" borderId="19" xfId="0" applyFont="1" applyFill="1" applyBorder="1" applyAlignment="1">
      <alignment horizontal="center"/>
    </xf>
    <xf numFmtId="0" fontId="93" fillId="2" borderId="19" xfId="0" applyFont="1" applyFill="1" applyBorder="1" applyAlignment="1">
      <alignment horizontal="center"/>
    </xf>
    <xf numFmtId="0" fontId="97" fillId="2" borderId="48" xfId="0" applyFont="1" applyFill="1" applyBorder="1"/>
    <xf numFmtId="1" fontId="61" fillId="10" borderId="55" xfId="0" applyNumberFormat="1" applyFont="1" applyFill="1" applyBorder="1" applyAlignment="1" applyProtection="1">
      <alignment horizontal="center"/>
      <protection locked="0"/>
    </xf>
    <xf numFmtId="2" fontId="56" fillId="4" borderId="115" xfId="0" applyNumberFormat="1" applyFont="1" applyFill="1" applyBorder="1" applyAlignment="1">
      <alignment horizontal="center"/>
    </xf>
    <xf numFmtId="0" fontId="70" fillId="2" borderId="109" xfId="0" applyFont="1" applyFill="1" applyBorder="1" applyAlignment="1">
      <alignment horizontal="center"/>
    </xf>
    <xf numFmtId="0" fontId="40" fillId="0" borderId="0" xfId="0" applyFont="1" applyAlignment="1">
      <alignment horizontal="center" vertical="center"/>
    </xf>
    <xf numFmtId="2" fontId="43" fillId="4" borderId="37" xfId="0" applyNumberFormat="1" applyFont="1" applyFill="1" applyBorder="1" applyAlignment="1">
      <alignment horizontal="center"/>
    </xf>
    <xf numFmtId="2" fontId="43" fillId="4" borderId="5" xfId="0" applyNumberFormat="1" applyFont="1" applyFill="1" applyBorder="1" applyAlignment="1">
      <alignment horizontal="center"/>
    </xf>
    <xf numFmtId="2" fontId="43" fillId="4" borderId="4" xfId="0" applyNumberFormat="1" applyFont="1" applyFill="1" applyBorder="1" applyAlignment="1">
      <alignment horizontal="center"/>
    </xf>
    <xf numFmtId="2" fontId="43" fillId="2" borderId="127" xfId="0" applyNumberFormat="1" applyFont="1" applyFill="1" applyBorder="1" applyAlignment="1">
      <alignment horizontal="center"/>
    </xf>
    <xf numFmtId="2" fontId="43" fillId="2" borderId="128" xfId="0" applyNumberFormat="1" applyFont="1" applyFill="1" applyBorder="1" applyAlignment="1">
      <alignment horizontal="center"/>
    </xf>
    <xf numFmtId="2" fontId="43" fillId="2" borderId="123" xfId="0" applyNumberFormat="1" applyFont="1" applyFill="1" applyBorder="1" applyAlignment="1">
      <alignment horizontal="center"/>
    </xf>
    <xf numFmtId="0" fontId="14" fillId="2" borderId="196" xfId="0" applyFont="1" applyFill="1" applyBorder="1" applyAlignment="1">
      <alignment horizontal="center"/>
    </xf>
    <xf numFmtId="1" fontId="14" fillId="2" borderId="197" xfId="0" applyNumberFormat="1" applyFont="1" applyFill="1" applyBorder="1" applyAlignment="1">
      <alignment horizontal="center"/>
    </xf>
    <xf numFmtId="0" fontId="19" fillId="2" borderId="198" xfId="0" applyFont="1" applyFill="1" applyBorder="1" applyAlignment="1">
      <alignment horizontal="left"/>
    </xf>
    <xf numFmtId="2" fontId="3" fillId="2" borderId="200" xfId="0" applyNumberFormat="1" applyFont="1" applyFill="1" applyBorder="1" applyAlignment="1">
      <alignment horizontal="center"/>
    </xf>
    <xf numFmtId="2" fontId="3" fillId="2" borderId="195" xfId="0" applyNumberFormat="1" applyFont="1" applyFill="1" applyBorder="1" applyAlignment="1">
      <alignment horizontal="center"/>
    </xf>
    <xf numFmtId="2" fontId="3" fillId="2" borderId="199" xfId="0" applyNumberFormat="1" applyFont="1" applyFill="1" applyBorder="1" applyAlignment="1">
      <alignment horizontal="center"/>
    </xf>
    <xf numFmtId="0" fontId="28" fillId="2" borderId="201" xfId="0" applyFont="1" applyFill="1" applyBorder="1" applyAlignment="1">
      <alignment horizontal="center"/>
    </xf>
    <xf numFmtId="0" fontId="25" fillId="2" borderId="201" xfId="0" applyFont="1" applyFill="1" applyBorder="1" applyAlignment="1">
      <alignment horizontal="center"/>
    </xf>
    <xf numFmtId="49" fontId="25" fillId="2" borderId="201" xfId="0" applyNumberFormat="1" applyFont="1" applyFill="1" applyBorder="1" applyAlignment="1">
      <alignment horizontal="center"/>
    </xf>
    <xf numFmtId="2" fontId="11" fillId="2" borderId="201" xfId="0" applyNumberFormat="1" applyFont="1" applyFill="1" applyBorder="1" applyAlignment="1">
      <alignment horizontal="center"/>
    </xf>
    <xf numFmtId="0" fontId="11" fillId="2" borderId="202" xfId="0" applyFont="1" applyFill="1" applyBorder="1" applyAlignment="1">
      <alignment horizontal="center"/>
    </xf>
    <xf numFmtId="2" fontId="119" fillId="2" borderId="37" xfId="0" applyNumberFormat="1" applyFont="1" applyFill="1" applyBorder="1" applyAlignment="1">
      <alignment horizontal="center"/>
    </xf>
    <xf numFmtId="2" fontId="119" fillId="2" borderId="5" xfId="0" applyNumberFormat="1" applyFont="1" applyFill="1" applyBorder="1" applyAlignment="1">
      <alignment horizontal="center"/>
    </xf>
    <xf numFmtId="2" fontId="119" fillId="2" borderId="4" xfId="0" applyNumberFormat="1" applyFont="1" applyFill="1" applyBorder="1" applyAlignment="1">
      <alignment horizontal="center"/>
    </xf>
    <xf numFmtId="0" fontId="44" fillId="4" borderId="48" xfId="0" applyFont="1" applyFill="1" applyBorder="1" applyAlignment="1">
      <alignment wrapText="1"/>
    </xf>
    <xf numFmtId="0" fontId="19" fillId="4" borderId="125" xfId="0" applyFont="1" applyFill="1" applyBorder="1" applyAlignment="1">
      <alignment wrapText="1"/>
    </xf>
    <xf numFmtId="0" fontId="44" fillId="4" borderId="47" xfId="0" applyFont="1" applyFill="1" applyBorder="1" applyAlignment="1">
      <alignment wrapText="1"/>
    </xf>
    <xf numFmtId="1" fontId="4" fillId="3" borderId="203" xfId="0" applyNumberFormat="1" applyFont="1" applyFill="1" applyBorder="1" applyAlignment="1" applyProtection="1">
      <alignment horizontal="center"/>
      <protection locked="0"/>
    </xf>
    <xf numFmtId="2" fontId="56" fillId="0" borderId="15" xfId="0" applyNumberFormat="1" applyFont="1" applyBorder="1" applyAlignment="1">
      <alignment horizontal="center"/>
    </xf>
    <xf numFmtId="2" fontId="11" fillId="0" borderId="15" xfId="0" applyNumberFormat="1" applyFont="1" applyBorder="1" applyAlignment="1">
      <alignment horizontal="center"/>
    </xf>
    <xf numFmtId="14" fontId="0" fillId="0" borderId="0" xfId="0" applyNumberFormat="1"/>
    <xf numFmtId="0" fontId="14" fillId="2" borderId="204" xfId="0" applyFont="1" applyFill="1" applyBorder="1" applyAlignment="1">
      <alignment horizontal="center"/>
    </xf>
    <xf numFmtId="0" fontId="14" fillId="2" borderId="206" xfId="0" applyFont="1" applyFill="1" applyBorder="1" applyAlignment="1">
      <alignment horizontal="center"/>
    </xf>
    <xf numFmtId="1" fontId="14" fillId="2" borderId="207" xfId="0" applyNumberFormat="1" applyFont="1" applyFill="1" applyBorder="1" applyAlignment="1">
      <alignment horizontal="center"/>
    </xf>
    <xf numFmtId="0" fontId="15" fillId="2" borderId="208" xfId="0" applyFont="1" applyFill="1" applyBorder="1"/>
    <xf numFmtId="0" fontId="3" fillId="2" borderId="206" xfId="0" applyFont="1" applyFill="1" applyBorder="1" applyAlignment="1">
      <alignment horizontal="center"/>
    </xf>
    <xf numFmtId="1" fontId="4" fillId="3" borderId="209" xfId="0" applyNumberFormat="1" applyFont="1" applyFill="1" applyBorder="1" applyAlignment="1" applyProtection="1">
      <alignment horizontal="center"/>
      <protection locked="0"/>
    </xf>
    <xf numFmtId="2" fontId="3" fillId="2" borderId="210" xfId="0" applyNumberFormat="1" applyFont="1" applyFill="1" applyBorder="1" applyAlignment="1">
      <alignment horizontal="center"/>
    </xf>
    <xf numFmtId="2" fontId="3" fillId="2" borderId="205" xfId="0" applyNumberFormat="1" applyFont="1" applyFill="1" applyBorder="1" applyAlignment="1">
      <alignment horizontal="center"/>
    </xf>
    <xf numFmtId="2" fontId="3" fillId="2" borderId="206" xfId="0" applyNumberFormat="1" applyFont="1" applyFill="1" applyBorder="1" applyAlignment="1">
      <alignment horizontal="center"/>
    </xf>
    <xf numFmtId="0" fontId="28" fillId="2" borderId="211" xfId="0" applyFont="1" applyFill="1" applyBorder="1" applyAlignment="1">
      <alignment horizontal="center"/>
    </xf>
    <xf numFmtId="0" fontId="25" fillId="2" borderId="211" xfId="0" applyFont="1" applyFill="1" applyBorder="1" applyAlignment="1">
      <alignment horizontal="center"/>
    </xf>
    <xf numFmtId="49" fontId="25" fillId="2" borderId="211" xfId="0" applyNumberFormat="1" applyFont="1" applyFill="1" applyBorder="1" applyAlignment="1">
      <alignment horizontal="center"/>
    </xf>
    <xf numFmtId="0" fontId="90" fillId="2" borderId="211" xfId="0" applyFont="1" applyFill="1" applyBorder="1" applyAlignment="1">
      <alignment horizontal="center"/>
    </xf>
    <xf numFmtId="0" fontId="75" fillId="2" borderId="211" xfId="0" applyFont="1" applyFill="1" applyBorder="1" applyAlignment="1">
      <alignment horizontal="center"/>
    </xf>
    <xf numFmtId="2" fontId="11" fillId="2" borderId="211" xfId="0" applyNumberFormat="1" applyFont="1" applyFill="1" applyBorder="1" applyAlignment="1">
      <alignment horizontal="center"/>
    </xf>
    <xf numFmtId="0" fontId="11" fillId="2" borderId="212" xfId="0" applyFont="1" applyFill="1" applyBorder="1" applyAlignment="1">
      <alignment horizontal="center"/>
    </xf>
    <xf numFmtId="0" fontId="15" fillId="2" borderId="111" xfId="0" applyFont="1" applyFill="1" applyBorder="1"/>
    <xf numFmtId="1" fontId="14" fillId="4" borderId="109" xfId="0" applyNumberFormat="1" applyFont="1" applyFill="1" applyBorder="1" applyAlignment="1">
      <alignment horizontal="center"/>
    </xf>
    <xf numFmtId="0" fontId="15" fillId="4" borderId="111" xfId="0" applyFont="1" applyFill="1" applyBorder="1"/>
    <xf numFmtId="0" fontId="36" fillId="2" borderId="1" xfId="0" applyFont="1" applyFill="1" applyBorder="1" applyAlignment="1">
      <alignment horizontal="center"/>
    </xf>
    <xf numFmtId="0" fontId="36" fillId="4" borderId="1" xfId="0" applyFont="1" applyFill="1" applyBorder="1" applyAlignment="1">
      <alignment horizontal="center"/>
    </xf>
    <xf numFmtId="2" fontId="43" fillId="4" borderId="72" xfId="0" applyNumberFormat="1" applyFont="1" applyFill="1" applyBorder="1" applyAlignment="1">
      <alignment horizontal="center"/>
    </xf>
    <xf numFmtId="2" fontId="47" fillId="4" borderId="73" xfId="0" applyNumberFormat="1" applyFont="1" applyFill="1" applyBorder="1" applyAlignment="1">
      <alignment horizontal="center"/>
    </xf>
    <xf numFmtId="9" fontId="43" fillId="4" borderId="213" xfId="0" applyNumberFormat="1" applyFont="1" applyFill="1" applyBorder="1" applyAlignment="1">
      <alignment horizontal="center"/>
    </xf>
    <xf numFmtId="2" fontId="11" fillId="4" borderId="74" xfId="0" applyNumberFormat="1" applyFont="1" applyFill="1" applyBorder="1" applyAlignment="1">
      <alignment horizontal="center"/>
    </xf>
    <xf numFmtId="1" fontId="4" fillId="3" borderId="214" xfId="0" applyNumberFormat="1" applyFont="1" applyFill="1" applyBorder="1" applyAlignment="1" applyProtection="1">
      <alignment horizontal="center"/>
      <protection locked="0"/>
    </xf>
    <xf numFmtId="2" fontId="43" fillId="4" borderId="151" xfId="0" applyNumberFormat="1" applyFont="1" applyFill="1" applyBorder="1" applyAlignment="1">
      <alignment horizontal="center"/>
    </xf>
    <xf numFmtId="2" fontId="47" fillId="4" borderId="152" xfId="0" applyNumberFormat="1" applyFont="1" applyFill="1" applyBorder="1" applyAlignment="1">
      <alignment horizontal="center"/>
    </xf>
    <xf numFmtId="9" fontId="43" fillId="4" borderId="215" xfId="0" applyNumberFormat="1" applyFont="1" applyFill="1" applyBorder="1" applyAlignment="1">
      <alignment horizontal="center"/>
    </xf>
    <xf numFmtId="2" fontId="11" fillId="4" borderId="153" xfId="0" applyNumberFormat="1" applyFont="1" applyFill="1" applyBorder="1" applyAlignment="1">
      <alignment horizontal="center"/>
    </xf>
    <xf numFmtId="0" fontId="14" fillId="2" borderId="148" xfId="0" applyFont="1" applyFill="1" applyBorder="1" applyAlignment="1">
      <alignment horizontal="center"/>
    </xf>
    <xf numFmtId="2" fontId="43" fillId="2" borderId="151" xfId="0" applyNumberFormat="1" applyFont="1" applyFill="1" applyBorder="1" applyAlignment="1">
      <alignment horizontal="center"/>
    </xf>
    <xf numFmtId="2" fontId="47" fillId="2" borderId="152" xfId="0" applyNumberFormat="1" applyFont="1" applyFill="1" applyBorder="1" applyAlignment="1">
      <alignment horizontal="center"/>
    </xf>
    <xf numFmtId="9" fontId="43" fillId="2" borderId="148" xfId="0" applyNumberFormat="1" applyFont="1" applyFill="1" applyBorder="1" applyAlignment="1">
      <alignment horizontal="center"/>
    </xf>
    <xf numFmtId="14" fontId="11" fillId="2" borderId="153" xfId="0" applyNumberFormat="1" applyFont="1" applyFill="1" applyBorder="1" applyAlignment="1">
      <alignment horizontal="center"/>
    </xf>
    <xf numFmtId="2" fontId="119" fillId="4" borderId="100" xfId="0" applyNumberFormat="1" applyFont="1" applyFill="1" applyBorder="1" applyAlignment="1">
      <alignment horizontal="center"/>
    </xf>
    <xf numFmtId="2" fontId="119" fillId="4" borderId="101" xfId="0" applyNumberFormat="1" applyFont="1" applyFill="1" applyBorder="1" applyAlignment="1">
      <alignment horizontal="center"/>
    </xf>
    <xf numFmtId="2" fontId="119" fillId="4" borderId="99" xfId="0" applyNumberFormat="1" applyFont="1" applyFill="1" applyBorder="1" applyAlignment="1">
      <alignment horizontal="center"/>
    </xf>
    <xf numFmtId="0" fontId="4" fillId="2" borderId="4" xfId="0" applyFont="1" applyFill="1" applyBorder="1" applyAlignment="1">
      <alignment horizontal="center"/>
    </xf>
    <xf numFmtId="0" fontId="4" fillId="4" borderId="99" xfId="0" applyFont="1" applyFill="1" applyBorder="1" applyAlignment="1">
      <alignment horizontal="center"/>
    </xf>
    <xf numFmtId="2" fontId="83" fillId="3" borderId="22" xfId="0" applyNumberFormat="1" applyFont="1" applyFill="1" applyBorder="1" applyAlignment="1">
      <alignment horizontal="center" vertical="center" wrapText="1"/>
    </xf>
    <xf numFmtId="2" fontId="3" fillId="10" borderId="3" xfId="0" applyNumberFormat="1" applyFont="1" applyFill="1" applyBorder="1" applyAlignment="1">
      <alignment horizontal="center" vertical="center"/>
    </xf>
    <xf numFmtId="2" fontId="83" fillId="10" borderId="3" xfId="0" applyNumberFormat="1" applyFont="1" applyFill="1" applyBorder="1" applyAlignment="1">
      <alignment horizontal="center" wrapText="1"/>
    </xf>
    <xf numFmtId="2" fontId="83" fillId="3" borderId="3" xfId="0" applyNumberFormat="1" applyFont="1" applyFill="1" applyBorder="1" applyAlignment="1">
      <alignment horizontal="center" wrapText="1"/>
    </xf>
    <xf numFmtId="2" fontId="83" fillId="3" borderId="57" xfId="0" applyNumberFormat="1" applyFont="1" applyFill="1" applyBorder="1" applyAlignment="1">
      <alignment horizontal="center" vertical="center" wrapText="1"/>
    </xf>
    <xf numFmtId="2" fontId="11" fillId="3" borderId="57" xfId="0" applyNumberFormat="1" applyFont="1" applyFill="1" applyBorder="1" applyAlignment="1">
      <alignment horizontal="center" vertical="center" wrapText="1"/>
    </xf>
    <xf numFmtId="2" fontId="101" fillId="3" borderId="57" xfId="0" applyNumberFormat="1" applyFont="1" applyFill="1" applyBorder="1" applyAlignment="1">
      <alignment horizontal="center" vertical="center" wrapText="1"/>
    </xf>
    <xf numFmtId="2" fontId="11" fillId="3" borderId="22" xfId="0" applyNumberFormat="1" applyFont="1" applyFill="1" applyBorder="1" applyAlignment="1">
      <alignment horizontal="center" vertical="center" wrapText="1"/>
    </xf>
    <xf numFmtId="2" fontId="23" fillId="3" borderId="3" xfId="0" applyNumberFormat="1" applyFont="1" applyFill="1" applyBorder="1" applyAlignment="1">
      <alignment horizontal="center" vertical="center" wrapText="1"/>
    </xf>
    <xf numFmtId="0" fontId="12" fillId="0" borderId="0" xfId="1" applyFill="1"/>
    <xf numFmtId="2" fontId="83" fillId="3" borderId="3" xfId="0" applyNumberFormat="1" applyFont="1" applyFill="1" applyBorder="1" applyAlignment="1">
      <alignment horizontal="center" vertical="center" wrapText="1"/>
    </xf>
    <xf numFmtId="1" fontId="4" fillId="3" borderId="3" xfId="0" applyNumberFormat="1" applyFont="1" applyFill="1" applyBorder="1" applyAlignment="1">
      <alignment horizontal="center"/>
    </xf>
    <xf numFmtId="0" fontId="4" fillId="2" borderId="199" xfId="0" applyFont="1" applyFill="1" applyBorder="1" applyAlignment="1">
      <alignment horizontal="center"/>
    </xf>
    <xf numFmtId="0" fontId="93" fillId="4" borderId="99" xfId="0" applyFont="1" applyFill="1" applyBorder="1" applyAlignment="1">
      <alignment horizontal="center"/>
    </xf>
    <xf numFmtId="1" fontId="93" fillId="4" borderId="97" xfId="0" applyNumberFormat="1" applyFont="1" applyFill="1" applyBorder="1" applyAlignment="1">
      <alignment horizontal="center"/>
    </xf>
    <xf numFmtId="0" fontId="94" fillId="4" borderId="99" xfId="0" applyFont="1" applyFill="1" applyBorder="1" applyAlignment="1">
      <alignment horizontal="center"/>
    </xf>
    <xf numFmtId="0" fontId="94" fillId="4" borderId="100" xfId="0" applyFont="1" applyFill="1" applyBorder="1" applyAlignment="1">
      <alignment horizontal="center"/>
    </xf>
    <xf numFmtId="2" fontId="94" fillId="4" borderId="101" xfId="0" applyNumberFormat="1" applyFont="1" applyFill="1" applyBorder="1" applyAlignment="1">
      <alignment horizontal="center"/>
    </xf>
    <xf numFmtId="2" fontId="94" fillId="4" borderId="99" xfId="0" applyNumberFormat="1" applyFont="1" applyFill="1" applyBorder="1" applyAlignment="1">
      <alignment horizontal="center"/>
    </xf>
    <xf numFmtId="0" fontId="96" fillId="4" borderId="102" xfId="0" applyFont="1" applyFill="1" applyBorder="1" applyAlignment="1">
      <alignment horizontal="center"/>
    </xf>
    <xf numFmtId="0" fontId="93" fillId="4" borderId="102" xfId="0" applyFont="1" applyFill="1" applyBorder="1" applyAlignment="1">
      <alignment horizontal="center"/>
    </xf>
    <xf numFmtId="0" fontId="97" fillId="4" borderId="98" xfId="0" applyFont="1" applyFill="1" applyBorder="1"/>
    <xf numFmtId="2" fontId="11" fillId="4" borderId="102" xfId="0" applyNumberFormat="1" applyFont="1" applyFill="1" applyBorder="1" applyAlignment="1">
      <alignment horizontal="center"/>
    </xf>
    <xf numFmtId="0" fontId="95" fillId="4" borderId="1" xfId="0" applyFont="1" applyFill="1" applyBorder="1" applyAlignment="1">
      <alignment horizontal="center"/>
    </xf>
    <xf numFmtId="1" fontId="95" fillId="3" borderId="55" xfId="0" applyNumberFormat="1" applyFont="1" applyFill="1" applyBorder="1" applyAlignment="1" applyProtection="1">
      <alignment horizontal="center"/>
      <protection locked="0"/>
    </xf>
    <xf numFmtId="2" fontId="95" fillId="4" borderId="36" xfId="0" applyNumberFormat="1" applyFont="1" applyFill="1" applyBorder="1" applyAlignment="1">
      <alignment horizontal="center"/>
    </xf>
    <xf numFmtId="2" fontId="95" fillId="4" borderId="2" xfId="0" applyNumberFormat="1" applyFont="1" applyFill="1" applyBorder="1" applyAlignment="1">
      <alignment horizontal="center"/>
    </xf>
    <xf numFmtId="2" fontId="95" fillId="4" borderId="1" xfId="0" applyNumberFormat="1" applyFont="1" applyFill="1" applyBorder="1" applyAlignment="1">
      <alignment horizontal="center"/>
    </xf>
    <xf numFmtId="0" fontId="95" fillId="2" borderId="1" xfId="0" applyFont="1" applyFill="1" applyBorder="1" applyAlignment="1">
      <alignment horizontal="center"/>
    </xf>
    <xf numFmtId="0" fontId="120" fillId="4" borderId="15" xfId="0" applyFont="1" applyFill="1" applyBorder="1" applyAlignment="1">
      <alignment horizontal="center"/>
    </xf>
    <xf numFmtId="0" fontId="121" fillId="4" borderId="15" xfId="0" applyFont="1" applyFill="1" applyBorder="1" applyAlignment="1">
      <alignment horizontal="center"/>
    </xf>
    <xf numFmtId="0" fontId="120" fillId="2" borderId="15" xfId="0" applyFont="1" applyFill="1" applyBorder="1" applyAlignment="1">
      <alignment horizontal="center"/>
    </xf>
    <xf numFmtId="0" fontId="121" fillId="2" borderId="15" xfId="0" applyFont="1" applyFill="1" applyBorder="1" applyAlignment="1">
      <alignment horizontal="center"/>
    </xf>
    <xf numFmtId="0" fontId="16" fillId="4" borderId="19" xfId="0" applyFont="1" applyFill="1" applyBorder="1" applyAlignment="1">
      <alignment horizontal="center"/>
    </xf>
    <xf numFmtId="0" fontId="16" fillId="2" borderId="115" xfId="0" applyFont="1" applyFill="1" applyBorder="1" applyAlignment="1">
      <alignment horizontal="center"/>
    </xf>
    <xf numFmtId="2" fontId="5" fillId="0" borderId="0" xfId="0" applyNumberFormat="1" applyFont="1" applyAlignment="1">
      <alignment horizontal="center"/>
    </xf>
    <xf numFmtId="2" fontId="56" fillId="2" borderId="216" xfId="0" applyNumberFormat="1" applyFont="1" applyFill="1" applyBorder="1" applyAlignment="1">
      <alignment horizontal="center"/>
    </xf>
    <xf numFmtId="0" fontId="44" fillId="2" borderId="111" xfId="0" applyFont="1" applyFill="1" applyBorder="1"/>
    <xf numFmtId="2" fontId="43" fillId="2" borderId="113" xfId="0" applyNumberFormat="1" applyFont="1" applyFill="1" applyBorder="1" applyAlignment="1">
      <alignment horizontal="center"/>
    </xf>
    <xf numFmtId="2" fontId="43" fillId="2" borderId="114" xfId="0" applyNumberFormat="1" applyFont="1" applyFill="1" applyBorder="1" applyAlignment="1">
      <alignment horizontal="center"/>
    </xf>
    <xf numFmtId="2" fontId="43" fillId="2" borderId="217" xfId="0" applyNumberFormat="1" applyFont="1" applyFill="1" applyBorder="1" applyAlignment="1">
      <alignment horizontal="center"/>
    </xf>
    <xf numFmtId="1" fontId="49" fillId="5" borderId="31" xfId="0" applyNumberFormat="1" applyFont="1" applyFill="1" applyBorder="1" applyAlignment="1" applyProtection="1">
      <alignment horizontal="center" vertical="center"/>
      <protection locked="0"/>
    </xf>
    <xf numFmtId="1" fontId="49" fillId="5" borderId="29" xfId="0" applyNumberFormat="1" applyFont="1" applyFill="1" applyBorder="1" applyAlignment="1" applyProtection="1">
      <alignment horizontal="center" vertical="center"/>
      <protection locked="0"/>
    </xf>
    <xf numFmtId="0" fontId="2" fillId="2" borderId="30" xfId="0" applyFont="1" applyFill="1" applyBorder="1" applyAlignment="1">
      <alignment horizontal="center" vertical="top" wrapText="1"/>
    </xf>
    <xf numFmtId="0" fontId="2" fillId="2" borderId="29" xfId="0" applyFont="1" applyFill="1" applyBorder="1" applyAlignment="1">
      <alignment horizontal="center" vertical="top" wrapText="1"/>
    </xf>
    <xf numFmtId="14" fontId="22" fillId="2" borderId="53" xfId="1" applyNumberFormat="1" applyFont="1" applyFill="1" applyBorder="1" applyAlignment="1">
      <alignment horizontal="center"/>
    </xf>
    <xf numFmtId="14" fontId="22" fillId="2" borderId="0" xfId="1" applyNumberFormat="1" applyFont="1" applyFill="1" applyBorder="1" applyAlignment="1">
      <alignment horizontal="center"/>
    </xf>
    <xf numFmtId="14" fontId="100" fillId="10" borderId="53" xfId="1" applyNumberFormat="1" applyFont="1" applyFill="1" applyBorder="1" applyAlignment="1">
      <alignment horizontal="center"/>
    </xf>
    <xf numFmtId="14" fontId="100" fillId="10" borderId="0" xfId="1" applyNumberFormat="1" applyFont="1" applyFill="1" applyBorder="1" applyAlignment="1">
      <alignment horizontal="center"/>
    </xf>
    <xf numFmtId="2" fontId="39" fillId="8" borderId="34" xfId="1" applyNumberFormat="1" applyFont="1" applyFill="1" applyBorder="1" applyAlignment="1" applyProtection="1">
      <alignment horizontal="center" vertical="center"/>
    </xf>
    <xf numFmtId="2" fontId="39" fillId="8" borderId="35" xfId="1" applyNumberFormat="1" applyFont="1" applyFill="1" applyBorder="1" applyAlignment="1" applyProtection="1">
      <alignment horizontal="center" vertical="center"/>
    </xf>
    <xf numFmtId="0" fontId="112" fillId="2" borderId="180" xfId="0" applyFont="1" applyFill="1" applyBorder="1" applyAlignment="1" applyProtection="1">
      <alignment horizontal="center" vertical="center" wrapText="1"/>
      <protection hidden="1"/>
    </xf>
    <xf numFmtId="0" fontId="112" fillId="2" borderId="181" xfId="0" applyFont="1" applyFill="1" applyBorder="1" applyAlignment="1" applyProtection="1">
      <alignment horizontal="center" vertical="center" wrapText="1"/>
      <protection hidden="1"/>
    </xf>
    <xf numFmtId="0" fontId="112" fillId="2" borderId="182" xfId="0" applyFont="1" applyFill="1" applyBorder="1" applyAlignment="1" applyProtection="1">
      <alignment horizontal="center" vertical="center" wrapText="1"/>
      <protection hidden="1"/>
    </xf>
    <xf numFmtId="0" fontId="113" fillId="2" borderId="183" xfId="0" applyFont="1" applyFill="1" applyBorder="1" applyAlignment="1" applyProtection="1">
      <alignment horizontal="center" vertical="center" wrapText="1"/>
      <protection hidden="1"/>
    </xf>
    <xf numFmtId="0" fontId="113" fillId="2" borderId="184" xfId="0" applyFont="1" applyFill="1" applyBorder="1" applyAlignment="1" applyProtection="1">
      <alignment horizontal="center" vertical="center" wrapText="1"/>
      <protection hidden="1"/>
    </xf>
    <xf numFmtId="0" fontId="113" fillId="2" borderId="186" xfId="0" applyFont="1" applyFill="1" applyBorder="1" applyAlignment="1" applyProtection="1">
      <alignment horizontal="center" vertical="center" wrapText="1"/>
      <protection hidden="1"/>
    </xf>
    <xf numFmtId="0" fontId="113" fillId="2" borderId="187" xfId="0" applyFont="1" applyFill="1" applyBorder="1" applyAlignment="1" applyProtection="1">
      <alignment horizontal="center" vertical="center" wrapText="1"/>
      <protection hidden="1"/>
    </xf>
    <xf numFmtId="0" fontId="113" fillId="2" borderId="188" xfId="0" applyFont="1" applyFill="1" applyBorder="1" applyAlignment="1" applyProtection="1">
      <alignment horizontal="center" vertical="center" wrapText="1"/>
      <protection hidden="1"/>
    </xf>
    <xf numFmtId="0" fontId="113" fillId="2" borderId="189" xfId="0" applyFont="1" applyFill="1" applyBorder="1" applyAlignment="1" applyProtection="1">
      <alignment horizontal="center" vertical="center" wrapText="1"/>
      <protection hidden="1"/>
    </xf>
    <xf numFmtId="0" fontId="22" fillId="2" borderId="181" xfId="0" applyFont="1" applyFill="1" applyBorder="1" applyAlignment="1" applyProtection="1">
      <alignment horizontal="left" vertical="center"/>
      <protection hidden="1"/>
    </xf>
    <xf numFmtId="0" fontId="22" fillId="2" borderId="182" xfId="0" applyFont="1" applyFill="1" applyBorder="1" applyAlignment="1" applyProtection="1">
      <alignment horizontal="left" vertical="center"/>
      <protection hidden="1"/>
    </xf>
    <xf numFmtId="164" fontId="116" fillId="2" borderId="181" xfId="0" applyNumberFormat="1" applyFont="1" applyFill="1" applyBorder="1" applyAlignment="1" applyProtection="1">
      <alignment horizontal="left" vertical="center"/>
      <protection hidden="1"/>
    </xf>
    <xf numFmtId="164" fontId="116" fillId="2" borderId="182" xfId="0" applyNumberFormat="1" applyFont="1" applyFill="1" applyBorder="1" applyAlignment="1" applyProtection="1">
      <alignment horizontal="left" vertical="center"/>
      <protection hidden="1"/>
    </xf>
    <xf numFmtId="2" fontId="22" fillId="2" borderId="181" xfId="0" applyNumberFormat="1" applyFont="1" applyFill="1" applyBorder="1" applyAlignment="1" applyProtection="1">
      <alignment horizontal="left" vertical="center"/>
      <protection hidden="1"/>
    </xf>
    <xf numFmtId="2" fontId="22" fillId="2" borderId="182" xfId="0" applyNumberFormat="1" applyFont="1" applyFill="1" applyBorder="1" applyAlignment="1" applyProtection="1">
      <alignment horizontal="left" vertical="center"/>
      <protection hidden="1"/>
    </xf>
  </cellXfs>
  <cellStyles count="3">
    <cellStyle name="Гиперссылка" xfId="1" builtinId="8"/>
    <cellStyle name="Обычный" xfId="0" builtinId="0"/>
    <cellStyle name="Обычный 2" xfId="2" xr:uid="{00000000-0005-0000-0000-000002000000}"/>
  </cellStyles>
  <dxfs count="12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auto="1"/>
      </font>
    </dxf>
    <dxf>
      <font>
        <b/>
        <i val="0"/>
        <color auto="1"/>
      </font>
    </dxf>
    <dxf>
      <font>
        <b/>
        <i val="0"/>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fill>
        <patternFill>
          <fgColor auto="1"/>
        </patternFill>
      </fill>
    </dxf>
    <dxf>
      <font>
        <b/>
        <i val="0"/>
        <color theme="1"/>
      </font>
    </dxf>
    <dxf>
      <font>
        <b/>
        <i val="0"/>
        <color theme="1"/>
      </font>
    </dxf>
    <dxf>
      <font>
        <b/>
        <i val="0"/>
        <color theme="1"/>
      </font>
    </dxf>
    <dxf>
      <font>
        <b/>
        <i val="0"/>
        <color theme="1"/>
      </font>
    </dxf>
    <dxf>
      <font>
        <b/>
        <i val="0"/>
        <color theme="1"/>
      </font>
    </dxf>
    <dxf>
      <font>
        <b/>
        <i val="0"/>
        <color theme="1"/>
      </font>
      <fill>
        <patternFill>
          <fgColor auto="1"/>
        </patternFill>
      </fill>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fill>
        <patternFill>
          <fgColor auto="1"/>
        </patternFill>
      </fill>
    </dxf>
    <dxf>
      <font>
        <b/>
        <i val="0"/>
        <color theme="1"/>
      </font>
    </dxf>
    <dxf>
      <font>
        <b/>
        <i val="0"/>
        <color theme="1"/>
      </font>
    </dxf>
    <dxf>
      <font>
        <b/>
        <i val="0"/>
        <color theme="1"/>
      </font>
      <fill>
        <patternFill>
          <fgColor auto="1"/>
        </patternFill>
      </fill>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fill>
        <patternFill>
          <fgColor auto="1"/>
        </patternFill>
      </fill>
    </dxf>
    <dxf>
      <font>
        <b/>
        <i val="0"/>
        <color theme="1"/>
      </font>
    </dxf>
    <dxf>
      <font>
        <b/>
        <i val="0"/>
        <color theme="1"/>
      </font>
    </dxf>
    <dxf>
      <font>
        <b/>
        <i val="0"/>
        <color theme="1"/>
      </font>
    </dxf>
    <dxf>
      <font>
        <b/>
        <i val="0"/>
        <color theme="1"/>
      </font>
      <fill>
        <patternFill>
          <fgColor auto="1"/>
        </patternFill>
      </fill>
    </dxf>
    <dxf>
      <font>
        <b/>
        <i val="0"/>
        <color theme="1"/>
      </font>
    </dxf>
    <dxf>
      <font>
        <b/>
        <i val="0"/>
        <color theme="1"/>
      </font>
    </dxf>
    <dxf>
      <font>
        <b/>
        <i val="0"/>
        <color theme="1"/>
      </font>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fill>
        <patternFill>
          <fgColor auto="1"/>
        </patternFill>
      </fill>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auto="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rgb="FF000000"/>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fgColor auto="1"/>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40" dropStyle="combo" dx="16" fmlaLink="$AG$417" fmlaRange="$AG$418:$AH$487" noThreeD="1" sel="1" val="30"/>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A062240-1BF1-4543-AB62-A1E895254691}" type="doc">
      <dgm:prSet loTypeId="urn:microsoft.com/office/officeart/2005/8/layout/list1" loCatId="list" qsTypeId="urn:microsoft.com/office/officeart/2005/8/quickstyle/simple2" qsCatId="simple" csTypeId="urn:microsoft.com/office/officeart/2005/8/colors/colorful2" csCatId="colorful" phldr="1"/>
      <dgm:spPr/>
      <dgm:t>
        <a:bodyPr/>
        <a:lstStyle/>
        <a:p>
          <a:endParaRPr lang="ru-RU"/>
        </a:p>
      </dgm:t>
    </dgm:pt>
    <dgm:pt modelId="{FDBD8342-89F1-4DA8-B6D3-859A07BF4EB4}">
      <dgm:prSet phldrT="[Текст]" custT="1"/>
      <dgm:spPr/>
      <dgm:t>
        <a:bodyPr/>
        <a:lstStyle/>
        <a:p>
          <a:r>
            <a:rPr lang="ru-RU" sz="1600"/>
            <a:t>Акции</a:t>
          </a:r>
          <a:endParaRPr lang="ru-RU" sz="1300"/>
        </a:p>
      </dgm:t>
    </dgm:pt>
    <dgm:pt modelId="{223040C3-A9F0-4DA7-98CB-B0F39088E17B}" type="parTrans" cxnId="{239CCD72-6AA1-411B-BD43-6DD8E5049590}">
      <dgm:prSet/>
      <dgm:spPr/>
      <dgm:t>
        <a:bodyPr/>
        <a:lstStyle/>
        <a:p>
          <a:endParaRPr lang="ru-RU"/>
        </a:p>
      </dgm:t>
    </dgm:pt>
    <dgm:pt modelId="{A0181043-38E6-4635-BA18-F67442250078}" type="sibTrans" cxnId="{239CCD72-6AA1-411B-BD43-6DD8E5049590}">
      <dgm:prSet/>
      <dgm:spPr/>
      <dgm:t>
        <a:bodyPr/>
        <a:lstStyle/>
        <a:p>
          <a:endParaRPr lang="ru-RU"/>
        </a:p>
      </dgm:t>
    </dgm:pt>
    <dgm:pt modelId="{E8FBA531-ACDF-4EA1-AFAD-22F04CC118EC}">
      <dgm:prSet phldrT="[Текст]" custT="1"/>
      <dgm:spPr/>
      <dgm:t>
        <a:bodyPr/>
        <a:lstStyle/>
        <a:p>
          <a:r>
            <a:rPr lang="ru-RU" sz="1600"/>
            <a:t>Новинки</a:t>
          </a:r>
          <a:endParaRPr lang="ru-RU" sz="1300"/>
        </a:p>
      </dgm:t>
    </dgm:pt>
    <dgm:pt modelId="{7534B1B4-0B01-4A46-B4B1-A09CDCAF3092}" type="parTrans" cxnId="{A6F821F1-1CE6-4CE8-AFBC-697EE9D1F34B}">
      <dgm:prSet/>
      <dgm:spPr/>
      <dgm:t>
        <a:bodyPr/>
        <a:lstStyle/>
        <a:p>
          <a:endParaRPr lang="ru-RU"/>
        </a:p>
      </dgm:t>
    </dgm:pt>
    <dgm:pt modelId="{8D22FEA5-DC2F-469F-8D61-7C8830AA3383}" type="sibTrans" cxnId="{A6F821F1-1CE6-4CE8-AFBC-697EE9D1F34B}">
      <dgm:prSet/>
      <dgm:spPr/>
      <dgm:t>
        <a:bodyPr/>
        <a:lstStyle/>
        <a:p>
          <a:endParaRPr lang="ru-RU"/>
        </a:p>
      </dgm:t>
    </dgm:pt>
    <dgm:pt modelId="{3016DAB6-E0DF-494A-B207-40A95BF1D797}">
      <dgm:prSet phldrT="[Текст]" custT="1"/>
      <dgm:spPr/>
      <dgm:t>
        <a:bodyPr/>
        <a:lstStyle/>
        <a:p>
          <a:r>
            <a:rPr lang="ru-RU" sz="1600"/>
            <a:t>Изменения</a:t>
          </a:r>
          <a:r>
            <a:rPr lang="ru-RU" sz="1300"/>
            <a:t> </a:t>
          </a:r>
          <a:r>
            <a:rPr lang="ru-RU" sz="1600"/>
            <a:t>цен</a:t>
          </a:r>
        </a:p>
      </dgm:t>
    </dgm:pt>
    <dgm:pt modelId="{24FBAE9A-2591-4364-ABFF-317EC2ADA763}" type="parTrans" cxnId="{F8EA5B21-4821-4308-B875-0FF1414519CB}">
      <dgm:prSet/>
      <dgm:spPr/>
      <dgm:t>
        <a:bodyPr/>
        <a:lstStyle/>
        <a:p>
          <a:endParaRPr lang="ru-RU"/>
        </a:p>
      </dgm:t>
    </dgm:pt>
    <dgm:pt modelId="{D41EE771-D8C2-4B54-A1E6-863B269DFDD0}" type="sibTrans" cxnId="{F8EA5B21-4821-4308-B875-0FF1414519CB}">
      <dgm:prSet/>
      <dgm:spPr/>
      <dgm:t>
        <a:bodyPr/>
        <a:lstStyle/>
        <a:p>
          <a:endParaRPr lang="ru-RU"/>
        </a:p>
      </dgm:t>
    </dgm:pt>
    <dgm:pt modelId="{8D3428DF-564F-43A7-89CA-CF00B70CDBCE}">
      <dgm:prSet phldrT="[Текст]" custT="1"/>
      <dgm:spPr/>
      <dgm:t>
        <a:bodyPr/>
        <a:lstStyle/>
        <a:p>
          <a:r>
            <a:rPr lang="ru-RU" sz="1400" i="1">
              <a:solidFill>
                <a:sysClr val="windowText" lastClr="000000"/>
              </a:solidFill>
            </a:rPr>
            <a:t>остальные скидки смотрите в прайс-листе</a:t>
          </a:r>
          <a:endParaRPr lang="ru-RU" sz="1400" i="0">
            <a:solidFill>
              <a:sysClr val="windowText" lastClr="000000"/>
            </a:solidFill>
          </a:endParaRPr>
        </a:p>
      </dgm:t>
    </dgm:pt>
    <dgm:pt modelId="{AFEA63E1-7F3A-4D0C-A2E7-4DB5D5B9AE84}" type="parTrans" cxnId="{00BDEF72-75AE-4C8B-AF9C-CF6B4A180587}">
      <dgm:prSet/>
      <dgm:spPr/>
      <dgm:t>
        <a:bodyPr/>
        <a:lstStyle/>
        <a:p>
          <a:endParaRPr lang="ru-RU"/>
        </a:p>
      </dgm:t>
    </dgm:pt>
    <dgm:pt modelId="{37CBC143-3CF1-445B-B80D-AB5A9AB7C186}" type="sibTrans" cxnId="{00BDEF72-75AE-4C8B-AF9C-CF6B4A180587}">
      <dgm:prSet/>
      <dgm:spPr/>
      <dgm:t>
        <a:bodyPr/>
        <a:lstStyle/>
        <a:p>
          <a:endParaRPr lang="ru-RU"/>
        </a:p>
      </dgm:t>
    </dgm:pt>
    <dgm:pt modelId="{E4450519-A1A8-47CB-8E9D-FD71ADE3D7B5}">
      <dgm:prSet phldrT="[Текст]"/>
      <dgm:spPr/>
      <dgm:t>
        <a:bodyPr/>
        <a:lstStyle/>
        <a:p>
          <a:endParaRPr lang="ru-RU" sz="1400" b="0">
            <a:solidFill>
              <a:sysClr val="windowText" lastClr="000000"/>
            </a:solidFill>
          </a:endParaRPr>
        </a:p>
      </dgm:t>
    </dgm:pt>
    <dgm:pt modelId="{A3E86C26-62B7-4209-8322-DCF572949B2D}" type="parTrans" cxnId="{4E38AB18-648B-4C61-B1D9-EF4B90F3D252}">
      <dgm:prSet/>
      <dgm:spPr/>
      <dgm:t>
        <a:bodyPr/>
        <a:lstStyle/>
        <a:p>
          <a:endParaRPr lang="ru-RU"/>
        </a:p>
      </dgm:t>
    </dgm:pt>
    <dgm:pt modelId="{00C7F08D-D900-4145-96E2-E4337D25230C}" type="sibTrans" cxnId="{4E38AB18-648B-4C61-B1D9-EF4B90F3D252}">
      <dgm:prSet/>
      <dgm:spPr/>
      <dgm:t>
        <a:bodyPr/>
        <a:lstStyle/>
        <a:p>
          <a:endParaRPr lang="ru-RU"/>
        </a:p>
      </dgm:t>
    </dgm:pt>
    <dgm:pt modelId="{CA682572-C61B-4412-BEC2-BE7D0681BEC8}">
      <dgm:prSet phldrT="[Текст]" custT="1"/>
      <dgm:spPr/>
      <dgm:t>
        <a:bodyPr/>
        <a:lstStyle/>
        <a:p>
          <a:r>
            <a:rPr lang="ru-RU" sz="1400" b="1"/>
            <a:t>Здоровые вкусы, мука</a:t>
          </a:r>
        </a:p>
      </dgm:t>
    </dgm:pt>
    <dgm:pt modelId="{6DAB15A5-D0A3-4C95-9704-0A52004CC561}" type="parTrans" cxnId="{D6FA9ADB-02A7-44D4-B22D-2DDC8ED41D8A}">
      <dgm:prSet/>
      <dgm:spPr/>
      <dgm:t>
        <a:bodyPr/>
        <a:lstStyle/>
        <a:p>
          <a:endParaRPr lang="ru-RU"/>
        </a:p>
      </dgm:t>
    </dgm:pt>
    <dgm:pt modelId="{F72A7015-DB7E-4D22-8968-B9398CAE11CE}" type="sibTrans" cxnId="{D6FA9ADB-02A7-44D4-B22D-2DDC8ED41D8A}">
      <dgm:prSet/>
      <dgm:spPr/>
      <dgm:t>
        <a:bodyPr/>
        <a:lstStyle/>
        <a:p>
          <a:endParaRPr lang="ru-RU"/>
        </a:p>
      </dgm:t>
    </dgm:pt>
    <dgm:pt modelId="{C95E0657-DA57-47AE-A467-F2D42B55F897}">
      <dgm:prSet phldrT="[Текст]" custT="1"/>
      <dgm:spPr/>
      <dgm:t>
        <a:bodyPr/>
        <a:lstStyle/>
        <a:p>
          <a:r>
            <a:rPr lang="ru-RU" sz="1400" b="1" i="0">
              <a:solidFill>
                <a:sysClr val="windowText" lastClr="000000"/>
              </a:solidFill>
            </a:rPr>
            <a:t>АмФуд</a:t>
          </a:r>
          <a:r>
            <a:rPr lang="ru-RU" sz="1400" b="0" i="0">
              <a:solidFill>
                <a:sysClr val="windowText" lastClr="000000"/>
              </a:solidFill>
            </a:rPr>
            <a:t> - </a:t>
          </a:r>
          <a:r>
            <a:rPr lang="ru-RU" sz="1400" b="1" i="0">
              <a:solidFill>
                <a:sysClr val="windowText" lastClr="000000"/>
              </a:solidFill>
            </a:rPr>
            <a:t>скидка 20% </a:t>
          </a:r>
          <a:r>
            <a:rPr lang="ru-RU" sz="1400" b="0" i="0">
              <a:solidFill>
                <a:sysClr val="windowText" lastClr="000000"/>
              </a:solidFill>
            </a:rPr>
            <a:t>- на часть ассортимента</a:t>
          </a:r>
        </a:p>
      </dgm:t>
    </dgm:pt>
    <dgm:pt modelId="{0995D9E6-A12A-4B80-8FC6-85BFEA41BE85}" type="parTrans" cxnId="{665CEFE3-F64F-401F-92EF-7B399C72918C}">
      <dgm:prSet/>
      <dgm:spPr/>
      <dgm:t>
        <a:bodyPr/>
        <a:lstStyle/>
        <a:p>
          <a:endParaRPr lang="ru-RU"/>
        </a:p>
      </dgm:t>
    </dgm:pt>
    <dgm:pt modelId="{674D9FF7-FA26-42F7-B83E-281F0FFDC171}" type="sibTrans" cxnId="{665CEFE3-F64F-401F-92EF-7B399C72918C}">
      <dgm:prSet/>
      <dgm:spPr/>
      <dgm:t>
        <a:bodyPr/>
        <a:lstStyle/>
        <a:p>
          <a:endParaRPr lang="ru-RU"/>
        </a:p>
      </dgm:t>
    </dgm:pt>
    <dgm:pt modelId="{EEC46920-F4FC-40AD-9F1C-C2DB8935A48C}">
      <dgm:prSet phldrT="[Текст]" custT="1"/>
      <dgm:spPr/>
      <dgm:t>
        <a:bodyPr/>
        <a:lstStyle/>
        <a:p>
          <a:r>
            <a:rPr lang="en-US" sz="1400" b="1" i="0">
              <a:solidFill>
                <a:sysClr val="windowText" lastClr="000000"/>
              </a:solidFill>
            </a:rPr>
            <a:t>Bite - </a:t>
          </a:r>
          <a:r>
            <a:rPr lang="ru-RU" sz="1400" b="1" i="0">
              <a:solidFill>
                <a:sysClr val="windowText" lastClr="000000"/>
              </a:solidFill>
            </a:rPr>
            <a:t>скидка до 20% </a:t>
          </a:r>
          <a:r>
            <a:rPr lang="ru-RU" sz="1400" b="0">
              <a:solidFill>
                <a:sysClr val="windowText" lastClr="000000"/>
              </a:solidFill>
            </a:rPr>
            <a:t>- на часть ассортимента</a:t>
          </a:r>
        </a:p>
      </dgm:t>
    </dgm:pt>
    <dgm:pt modelId="{0AB131F7-920B-4EFC-AB5D-20DD0D6CAA69}" type="parTrans" cxnId="{9777AAE9-F43B-48C6-BA34-3E1BBED22256}">
      <dgm:prSet/>
      <dgm:spPr/>
      <dgm:t>
        <a:bodyPr/>
        <a:lstStyle/>
        <a:p>
          <a:endParaRPr lang="ru-RU"/>
        </a:p>
      </dgm:t>
    </dgm:pt>
    <dgm:pt modelId="{9C5740D9-AD29-4FF9-839B-C4CAC4AC41F7}" type="sibTrans" cxnId="{9777AAE9-F43B-48C6-BA34-3E1BBED22256}">
      <dgm:prSet/>
      <dgm:spPr/>
      <dgm:t>
        <a:bodyPr/>
        <a:lstStyle/>
        <a:p>
          <a:endParaRPr lang="ru-RU"/>
        </a:p>
      </dgm:t>
    </dgm:pt>
    <dgm:pt modelId="{8EEDD2F1-BD4D-4732-A3C3-E16CE8A56CFF}">
      <dgm:prSet phldrT="[Текст]" custT="1"/>
      <dgm:spPr/>
      <dgm:t>
        <a:bodyPr/>
        <a:lstStyle/>
        <a:p>
          <a:r>
            <a:rPr lang="ru-RU" sz="1400" b="1">
              <a:solidFill>
                <a:sysClr val="windowText" lastClr="000000"/>
              </a:solidFill>
            </a:rPr>
            <a:t>Сибирский кедр - скидка от 10% </a:t>
          </a:r>
          <a:r>
            <a:rPr lang="ru-RU" sz="1400" b="0">
              <a:solidFill>
                <a:sysClr val="windowText" lastClr="000000"/>
              </a:solidFill>
            </a:rPr>
            <a:t>- на часть ассортимента</a:t>
          </a:r>
        </a:p>
      </dgm:t>
    </dgm:pt>
    <dgm:pt modelId="{44646292-4D9D-4792-95BD-80DBD91966AF}" type="parTrans" cxnId="{9BDA08CD-92C9-484C-A666-A43662D331A2}">
      <dgm:prSet/>
      <dgm:spPr/>
      <dgm:t>
        <a:bodyPr/>
        <a:lstStyle/>
        <a:p>
          <a:endParaRPr lang="ru-RU"/>
        </a:p>
      </dgm:t>
    </dgm:pt>
    <dgm:pt modelId="{1B857E2D-738B-4AA9-A451-C00C2A3B5B59}" type="sibTrans" cxnId="{9BDA08CD-92C9-484C-A666-A43662D331A2}">
      <dgm:prSet/>
      <dgm:spPr/>
      <dgm:t>
        <a:bodyPr/>
        <a:lstStyle/>
        <a:p>
          <a:endParaRPr lang="ru-RU"/>
        </a:p>
      </dgm:t>
    </dgm:pt>
    <dgm:pt modelId="{F74B9533-33B3-45BB-BBBD-09B9CE7BA697}">
      <dgm:prSet phldrT="[Текст]" custT="1"/>
      <dgm:spPr/>
      <dgm:t>
        <a:bodyPr/>
        <a:lstStyle/>
        <a:p>
          <a:endParaRPr lang="ru-RU" sz="1400" b="0"/>
        </a:p>
      </dgm:t>
    </dgm:pt>
    <dgm:pt modelId="{033BC47F-F66E-4E40-9C48-B940242B89E8}" type="parTrans" cxnId="{0E519883-94BC-4287-95ED-FD9FB4BEF66A}">
      <dgm:prSet/>
      <dgm:spPr/>
      <dgm:t>
        <a:bodyPr/>
        <a:lstStyle/>
        <a:p>
          <a:endParaRPr lang="ru-RU"/>
        </a:p>
      </dgm:t>
    </dgm:pt>
    <dgm:pt modelId="{F3C35E5D-3A51-4E86-83B8-2FBDDF887DF0}" type="sibTrans" cxnId="{0E519883-94BC-4287-95ED-FD9FB4BEF66A}">
      <dgm:prSet/>
      <dgm:spPr/>
      <dgm:t>
        <a:bodyPr/>
        <a:lstStyle/>
        <a:p>
          <a:endParaRPr lang="ru-RU"/>
        </a:p>
      </dgm:t>
    </dgm:pt>
    <dgm:pt modelId="{F0D1928A-1AD8-4506-AA0E-601500AB96FD}">
      <dgm:prSet phldrT="[Текст]" custT="1"/>
      <dgm:spPr/>
      <dgm:t>
        <a:bodyPr/>
        <a:lstStyle/>
        <a:p>
          <a:r>
            <a:rPr lang="ru-RU" sz="1400" b="1" i="0">
              <a:solidFill>
                <a:sysClr val="windowText" lastClr="000000"/>
              </a:solidFill>
            </a:rPr>
            <a:t>ДиДи - скидка 10% </a:t>
          </a:r>
          <a:r>
            <a:rPr lang="ru-RU" sz="1400" b="0">
              <a:solidFill>
                <a:sysClr val="windowText" lastClr="000000"/>
              </a:solidFill>
            </a:rPr>
            <a:t>- на все батончики, хлебцы и мармелад</a:t>
          </a:r>
        </a:p>
      </dgm:t>
    </dgm:pt>
    <dgm:pt modelId="{56273D31-BEEF-4F7F-ACB6-66AC00BBACC5}" type="parTrans" cxnId="{A98399F3-9108-4C34-9EB9-9C87C33CB104}">
      <dgm:prSet/>
      <dgm:spPr/>
      <dgm:t>
        <a:bodyPr/>
        <a:lstStyle/>
        <a:p>
          <a:endParaRPr lang="ru-RU"/>
        </a:p>
      </dgm:t>
    </dgm:pt>
    <dgm:pt modelId="{854A4D3B-C084-49BD-B7F5-73AE4D90CB0B}" type="sibTrans" cxnId="{A98399F3-9108-4C34-9EB9-9C87C33CB104}">
      <dgm:prSet/>
      <dgm:spPr/>
      <dgm:t>
        <a:bodyPr/>
        <a:lstStyle/>
        <a:p>
          <a:endParaRPr lang="ru-RU"/>
        </a:p>
      </dgm:t>
    </dgm:pt>
    <dgm:pt modelId="{BA391D04-F47B-4C76-ACA3-279DD615BFA3}">
      <dgm:prSet phldrT="[Текст]" custT="1"/>
      <dgm:spPr/>
      <dgm:t>
        <a:bodyPr/>
        <a:lstStyle/>
        <a:p>
          <a:r>
            <a:rPr lang="en-US" sz="1400" b="1">
              <a:solidFill>
                <a:sysClr val="windowText" lastClr="000000"/>
              </a:solidFill>
            </a:rPr>
            <a:t>Absolute nature </a:t>
          </a:r>
          <a:r>
            <a:rPr lang="en-US" sz="1400" b="0">
              <a:solidFill>
                <a:sysClr val="windowText" lastClr="000000"/>
              </a:solidFill>
            </a:rPr>
            <a:t>- </a:t>
          </a:r>
          <a:r>
            <a:rPr lang="ru-RU" sz="1400" b="0">
              <a:solidFill>
                <a:sysClr val="windowText" lastClr="000000"/>
              </a:solidFill>
            </a:rPr>
            <a:t>натуральный лимонад </a:t>
          </a:r>
          <a:r>
            <a:rPr lang="en-US" sz="1400" b="0">
              <a:solidFill>
                <a:sysClr val="windowText" lastClr="000000"/>
              </a:solidFill>
            </a:rPr>
            <a:t>Bi Limo</a:t>
          </a:r>
          <a:r>
            <a:rPr lang="ru-RU" sz="1400" b="0">
              <a:solidFill>
                <a:sysClr val="windowText" lastClr="000000"/>
              </a:solidFill>
            </a:rPr>
            <a:t> в ассортименте</a:t>
          </a:r>
        </a:p>
      </dgm:t>
    </dgm:pt>
    <dgm:pt modelId="{94C94954-9410-420F-8A38-7D68E98C829E}" type="parTrans" cxnId="{66051A8A-5493-4EA1-AF09-8980872A71F4}">
      <dgm:prSet/>
      <dgm:spPr/>
      <dgm:t>
        <a:bodyPr/>
        <a:lstStyle/>
        <a:p>
          <a:endParaRPr lang="ru-RU"/>
        </a:p>
      </dgm:t>
    </dgm:pt>
    <dgm:pt modelId="{1ABC7F86-7067-4D2B-833C-FBA8506C72E7}" type="sibTrans" cxnId="{66051A8A-5493-4EA1-AF09-8980872A71F4}">
      <dgm:prSet/>
      <dgm:spPr/>
      <dgm:t>
        <a:bodyPr/>
        <a:lstStyle/>
        <a:p>
          <a:endParaRPr lang="ru-RU"/>
        </a:p>
      </dgm:t>
    </dgm:pt>
    <dgm:pt modelId="{EA911FF1-8364-4836-BD66-D8ADA88F8A24}">
      <dgm:prSet phldrT="[Текст]" custT="1"/>
      <dgm:spPr/>
      <dgm:t>
        <a:bodyPr/>
        <a:lstStyle/>
        <a:p>
          <a:r>
            <a:rPr lang="ru-RU" sz="1400" b="1">
              <a:solidFill>
                <a:sysClr val="windowText" lastClr="000000"/>
              </a:solidFill>
            </a:rPr>
            <a:t>Каса кубана - скидка до 50% </a:t>
          </a:r>
          <a:r>
            <a:rPr lang="ru-RU" sz="1400" b="0">
              <a:solidFill>
                <a:sysClr val="windowText" lastClr="000000"/>
              </a:solidFill>
            </a:rPr>
            <a:t>- распродажа с короткими сроками годности</a:t>
          </a:r>
        </a:p>
      </dgm:t>
    </dgm:pt>
    <dgm:pt modelId="{ADF08ABF-C4E0-434C-997D-3C511A710F4C}" type="parTrans" cxnId="{2B5B603A-3509-41A2-89A7-177DA1A1B108}">
      <dgm:prSet/>
      <dgm:spPr/>
      <dgm:t>
        <a:bodyPr/>
        <a:lstStyle/>
        <a:p>
          <a:endParaRPr lang="ru-RU"/>
        </a:p>
      </dgm:t>
    </dgm:pt>
    <dgm:pt modelId="{4BAD647A-107F-440A-BE07-0DFC96913B7D}" type="sibTrans" cxnId="{2B5B603A-3509-41A2-89A7-177DA1A1B108}">
      <dgm:prSet/>
      <dgm:spPr/>
      <dgm:t>
        <a:bodyPr/>
        <a:lstStyle/>
        <a:p>
          <a:endParaRPr lang="ru-RU"/>
        </a:p>
      </dgm:t>
    </dgm:pt>
    <dgm:pt modelId="{1B93680A-AF3D-448D-9427-2DBC7A31B012}">
      <dgm:prSet phldrT="[Текст]" custT="1"/>
      <dgm:spPr/>
      <dgm:t>
        <a:bodyPr/>
        <a:lstStyle/>
        <a:p>
          <a:r>
            <a:rPr lang="ru-RU" sz="1400" b="1">
              <a:solidFill>
                <a:sysClr val="windowText" lastClr="000000"/>
              </a:solidFill>
            </a:rPr>
            <a:t>Пур-пур - скидка 50% </a:t>
          </a:r>
          <a:r>
            <a:rPr lang="ru-RU" sz="1400" b="0">
              <a:solidFill>
                <a:sysClr val="windowText" lastClr="000000"/>
              </a:solidFill>
            </a:rPr>
            <a:t>- на конфеты</a:t>
          </a:r>
        </a:p>
      </dgm:t>
    </dgm:pt>
    <dgm:pt modelId="{396C4839-4372-4DC7-90F6-6A63A681754F}" type="parTrans" cxnId="{FFFC006F-F6A3-4524-8ECF-882B52ED8C69}">
      <dgm:prSet/>
      <dgm:spPr/>
      <dgm:t>
        <a:bodyPr/>
        <a:lstStyle/>
        <a:p>
          <a:endParaRPr lang="ru-RU"/>
        </a:p>
      </dgm:t>
    </dgm:pt>
    <dgm:pt modelId="{787E7450-D5B4-47D2-B71D-9820D049E372}" type="sibTrans" cxnId="{FFFC006F-F6A3-4524-8ECF-882B52ED8C69}">
      <dgm:prSet/>
      <dgm:spPr/>
      <dgm:t>
        <a:bodyPr/>
        <a:lstStyle/>
        <a:p>
          <a:endParaRPr lang="ru-RU"/>
        </a:p>
      </dgm:t>
    </dgm:pt>
    <dgm:pt modelId="{8C6DDD0F-7C0A-49FF-8D25-9E47C1BFF79C}">
      <dgm:prSet phldrT="[Текст]" custT="1"/>
      <dgm:spPr/>
      <dgm:t>
        <a:bodyPr/>
        <a:lstStyle/>
        <a:p>
          <a:r>
            <a:rPr lang="ru-RU" sz="1400" b="1">
              <a:solidFill>
                <a:sysClr val="windowText" lastClr="000000"/>
              </a:solidFill>
            </a:rPr>
            <a:t>Безглютини - скидка 15% </a:t>
          </a:r>
          <a:r>
            <a:rPr lang="ru-RU" sz="1400" b="0">
              <a:solidFill>
                <a:sysClr val="windowText" lastClr="000000"/>
              </a:solidFill>
            </a:rPr>
            <a:t>- на весь ассортимент</a:t>
          </a:r>
        </a:p>
      </dgm:t>
    </dgm:pt>
    <dgm:pt modelId="{BC20A701-A80D-49F4-AAEF-AE545345D3D2}" type="parTrans" cxnId="{F4D09A03-073E-4884-8552-4DDEEF580B05}">
      <dgm:prSet/>
      <dgm:spPr/>
      <dgm:t>
        <a:bodyPr/>
        <a:lstStyle/>
        <a:p>
          <a:endParaRPr lang="ru-RU"/>
        </a:p>
      </dgm:t>
    </dgm:pt>
    <dgm:pt modelId="{DAF1AEA5-A104-4788-98E7-2AE91A77C273}" type="sibTrans" cxnId="{F4D09A03-073E-4884-8552-4DDEEF580B05}">
      <dgm:prSet/>
      <dgm:spPr/>
      <dgm:t>
        <a:bodyPr/>
        <a:lstStyle/>
        <a:p>
          <a:endParaRPr lang="ru-RU"/>
        </a:p>
      </dgm:t>
    </dgm:pt>
    <dgm:pt modelId="{0CF5F802-F751-4F5F-B69B-B733F0BB77BD}">
      <dgm:prSet phldrT="[Текст]" custT="1"/>
      <dgm:spPr/>
      <dgm:t>
        <a:bodyPr/>
        <a:lstStyle/>
        <a:p>
          <a:r>
            <a:rPr lang="en-US" sz="1400" b="1">
              <a:solidFill>
                <a:sysClr val="windowText" lastClr="000000"/>
              </a:solidFill>
            </a:rPr>
            <a:t>iKi</a:t>
          </a:r>
          <a:r>
            <a:rPr lang="en-US" sz="1400" b="0">
              <a:solidFill>
                <a:sysClr val="windowText" lastClr="000000"/>
              </a:solidFill>
            </a:rPr>
            <a:t> - </a:t>
          </a:r>
          <a:r>
            <a:rPr lang="ru-RU" sz="1400" b="0">
              <a:solidFill>
                <a:sysClr val="windowText" lastClr="000000"/>
              </a:solidFill>
            </a:rPr>
            <a:t>кокосовые напитки и лимонады на основе кокосовой воды</a:t>
          </a:r>
        </a:p>
      </dgm:t>
    </dgm:pt>
    <dgm:pt modelId="{9D69DEC0-B895-49B8-B13E-57B8D1F55D50}" type="parTrans" cxnId="{6D2ED0C3-F585-4AD1-8916-3FF587F7E4BA}">
      <dgm:prSet/>
      <dgm:spPr/>
      <dgm:t>
        <a:bodyPr/>
        <a:lstStyle/>
        <a:p>
          <a:endParaRPr lang="ru-RU"/>
        </a:p>
      </dgm:t>
    </dgm:pt>
    <dgm:pt modelId="{36D15719-1BD1-4263-821E-4E2234A823CD}" type="sibTrans" cxnId="{6D2ED0C3-F585-4AD1-8916-3FF587F7E4BA}">
      <dgm:prSet/>
      <dgm:spPr/>
      <dgm:t>
        <a:bodyPr/>
        <a:lstStyle/>
        <a:p>
          <a:endParaRPr lang="ru-RU"/>
        </a:p>
      </dgm:t>
    </dgm:pt>
    <dgm:pt modelId="{624E5D79-E4BE-42A5-A5B8-19626478FB94}">
      <dgm:prSet phldrT="[Текст]" custT="1"/>
      <dgm:spPr/>
      <dgm:t>
        <a:bodyPr/>
        <a:lstStyle/>
        <a:p>
          <a:r>
            <a:rPr lang="ru-RU" sz="1400" b="1">
              <a:solidFill>
                <a:sysClr val="windowText" lastClr="000000"/>
              </a:solidFill>
            </a:rPr>
            <a:t>Диетика - скидка до 35% </a:t>
          </a:r>
          <a:r>
            <a:rPr lang="ru-RU" sz="1400" b="0">
              <a:solidFill>
                <a:sysClr val="windowText" lastClr="000000"/>
              </a:solidFill>
            </a:rPr>
            <a:t>- на часть ассортимента</a:t>
          </a:r>
        </a:p>
      </dgm:t>
    </dgm:pt>
    <dgm:pt modelId="{822D1E0E-B6FC-4E84-B309-3FA9451A6B19}" type="parTrans" cxnId="{8E7BD9EF-3B67-46D9-B160-F21193B4A1D6}">
      <dgm:prSet/>
      <dgm:spPr/>
      <dgm:t>
        <a:bodyPr/>
        <a:lstStyle/>
        <a:p>
          <a:endParaRPr lang="ru-RU"/>
        </a:p>
      </dgm:t>
    </dgm:pt>
    <dgm:pt modelId="{B41BD32C-B027-4F96-84E1-4DF932433B5F}" type="sibTrans" cxnId="{8E7BD9EF-3B67-46D9-B160-F21193B4A1D6}">
      <dgm:prSet/>
      <dgm:spPr/>
      <dgm:t>
        <a:bodyPr/>
        <a:lstStyle/>
        <a:p>
          <a:endParaRPr lang="ru-RU"/>
        </a:p>
      </dgm:t>
    </dgm:pt>
    <dgm:pt modelId="{D92209E8-8329-4F6F-A9CB-F2D76F9B7569}">
      <dgm:prSet phldrT="[Текст]" custT="1"/>
      <dgm:spPr/>
      <dgm:t>
        <a:bodyPr/>
        <a:lstStyle/>
        <a:p>
          <a:r>
            <a:rPr lang="ru-RU" sz="1400" b="1">
              <a:solidFill>
                <a:sysClr val="windowText" lastClr="000000"/>
              </a:solidFill>
            </a:rPr>
            <a:t>Живые соки - скидка 10% </a:t>
          </a:r>
          <a:r>
            <a:rPr lang="ru-RU" sz="1400" b="0">
              <a:solidFill>
                <a:sysClr val="windowText" lastClr="000000"/>
              </a:solidFill>
            </a:rPr>
            <a:t>- на шампанское</a:t>
          </a:r>
        </a:p>
      </dgm:t>
    </dgm:pt>
    <dgm:pt modelId="{01C02355-AFA2-40BF-AF53-F9A2E09B7F32}" type="parTrans" cxnId="{54549DDB-9928-4589-A741-FFFEC485307E}">
      <dgm:prSet/>
      <dgm:spPr/>
      <dgm:t>
        <a:bodyPr/>
        <a:lstStyle/>
        <a:p>
          <a:endParaRPr lang="ru-RU"/>
        </a:p>
      </dgm:t>
    </dgm:pt>
    <dgm:pt modelId="{15DD761A-551D-45B9-9AC3-3DE19CA021C5}" type="sibTrans" cxnId="{54549DDB-9928-4589-A741-FFFEC485307E}">
      <dgm:prSet/>
      <dgm:spPr/>
      <dgm:t>
        <a:bodyPr/>
        <a:lstStyle/>
        <a:p>
          <a:endParaRPr lang="ru-RU"/>
        </a:p>
      </dgm:t>
    </dgm:pt>
    <dgm:pt modelId="{135FADD2-380C-4B76-8C7E-99DD5907F557}">
      <dgm:prSet phldrT="[Текст]" custT="1"/>
      <dgm:spPr/>
      <dgm:t>
        <a:bodyPr/>
        <a:lstStyle/>
        <a:p>
          <a:r>
            <a:rPr lang="ru-RU" sz="1400" b="1">
              <a:solidFill>
                <a:sysClr val="windowText" lastClr="000000"/>
              </a:solidFill>
            </a:rPr>
            <a:t>Радоград - скидка 10% </a:t>
          </a:r>
          <a:r>
            <a:rPr lang="ru-RU" sz="1400" b="0">
              <a:solidFill>
                <a:sysClr val="windowText" lastClr="000000"/>
              </a:solidFill>
            </a:rPr>
            <a:t>- на леденцы БАД</a:t>
          </a:r>
        </a:p>
      </dgm:t>
    </dgm:pt>
    <dgm:pt modelId="{07CC91F4-8EB5-4375-8AA4-F3596C8359FF}" type="parTrans" cxnId="{CB700C57-4935-46B3-8FB9-3EAC91059698}">
      <dgm:prSet/>
      <dgm:spPr/>
      <dgm:t>
        <a:bodyPr/>
        <a:lstStyle/>
        <a:p>
          <a:endParaRPr lang="ru-RU"/>
        </a:p>
      </dgm:t>
    </dgm:pt>
    <dgm:pt modelId="{3C7D7BB1-F9CB-4981-99C8-76079EFD510B}" type="sibTrans" cxnId="{CB700C57-4935-46B3-8FB9-3EAC91059698}">
      <dgm:prSet/>
      <dgm:spPr/>
      <dgm:t>
        <a:bodyPr/>
        <a:lstStyle/>
        <a:p>
          <a:endParaRPr lang="ru-RU"/>
        </a:p>
      </dgm:t>
    </dgm:pt>
    <dgm:pt modelId="{7EC4CE0C-606B-4BB5-853F-8C72F7E1C9E7}">
      <dgm:prSet phldrT="[Текст]" custT="1"/>
      <dgm:spPr/>
      <dgm:t>
        <a:bodyPr/>
        <a:lstStyle/>
        <a:p>
          <a:endParaRPr lang="ru-RU" sz="1400" b="0">
            <a:solidFill>
              <a:sysClr val="windowText" lastClr="000000"/>
            </a:solidFill>
          </a:endParaRPr>
        </a:p>
      </dgm:t>
    </dgm:pt>
    <dgm:pt modelId="{505FBF36-10D7-4F45-B3DD-4C72A4CADD75}" type="parTrans" cxnId="{B574FA90-6875-4D9D-9AD3-A9E59DB08452}">
      <dgm:prSet/>
      <dgm:spPr/>
      <dgm:t>
        <a:bodyPr/>
        <a:lstStyle/>
        <a:p>
          <a:endParaRPr lang="ru-RU"/>
        </a:p>
      </dgm:t>
    </dgm:pt>
    <dgm:pt modelId="{E5EEBC05-0286-4FCC-8ED2-89B4DDB2CA0B}" type="sibTrans" cxnId="{B574FA90-6875-4D9D-9AD3-A9E59DB08452}">
      <dgm:prSet/>
      <dgm:spPr/>
      <dgm:t>
        <a:bodyPr/>
        <a:lstStyle/>
        <a:p>
          <a:endParaRPr lang="ru-RU"/>
        </a:p>
      </dgm:t>
    </dgm:pt>
    <dgm:pt modelId="{1894BFB0-47BE-440B-9016-E45D6A42E5C3}">
      <dgm:prSet phldrT="[Текст]" custT="1"/>
      <dgm:spPr/>
      <dgm:t>
        <a:bodyPr/>
        <a:lstStyle/>
        <a:p>
          <a:endParaRPr lang="ru-RU" sz="1400" b="0">
            <a:solidFill>
              <a:sysClr val="windowText" lastClr="000000"/>
            </a:solidFill>
          </a:endParaRPr>
        </a:p>
      </dgm:t>
    </dgm:pt>
    <dgm:pt modelId="{71BB908E-D046-4FC2-9CCA-C54AD9254E32}" type="parTrans" cxnId="{3DA02262-2E73-41CC-83C0-9CF133C1E2BF}">
      <dgm:prSet/>
      <dgm:spPr/>
      <dgm:t>
        <a:bodyPr/>
        <a:lstStyle/>
        <a:p>
          <a:endParaRPr lang="ru-RU"/>
        </a:p>
      </dgm:t>
    </dgm:pt>
    <dgm:pt modelId="{ACA78023-2E54-4BC4-9C01-693E78AE1BE2}" type="sibTrans" cxnId="{3DA02262-2E73-41CC-83C0-9CF133C1E2BF}">
      <dgm:prSet/>
      <dgm:spPr/>
      <dgm:t>
        <a:bodyPr/>
        <a:lstStyle/>
        <a:p>
          <a:endParaRPr lang="ru-RU"/>
        </a:p>
      </dgm:t>
    </dgm:pt>
    <dgm:pt modelId="{B9379497-0C9F-45D0-AAE0-8FA612D07BD1}">
      <dgm:prSet phldrT="[Текст]" custT="1"/>
      <dgm:spPr/>
      <dgm:t>
        <a:bodyPr/>
        <a:lstStyle/>
        <a:p>
          <a:endParaRPr lang="ru-RU" sz="1400" b="0">
            <a:solidFill>
              <a:sysClr val="windowText" lastClr="000000"/>
            </a:solidFill>
          </a:endParaRPr>
        </a:p>
      </dgm:t>
    </dgm:pt>
    <dgm:pt modelId="{00812FBA-E13F-455F-BD7C-7D1A24A4ECCD}" type="parTrans" cxnId="{FADFFDEE-C636-4E3E-A23E-61FE34471992}">
      <dgm:prSet/>
      <dgm:spPr/>
      <dgm:t>
        <a:bodyPr/>
        <a:lstStyle/>
        <a:p>
          <a:endParaRPr lang="ru-RU"/>
        </a:p>
      </dgm:t>
    </dgm:pt>
    <dgm:pt modelId="{6EB0F03F-77FF-4A9C-A60D-51DE35CB562C}" type="sibTrans" cxnId="{FADFFDEE-C636-4E3E-A23E-61FE34471992}">
      <dgm:prSet/>
      <dgm:spPr/>
      <dgm:t>
        <a:bodyPr/>
        <a:lstStyle/>
        <a:p>
          <a:endParaRPr lang="ru-RU"/>
        </a:p>
      </dgm:t>
    </dgm:pt>
    <dgm:pt modelId="{E15D5684-8961-45D6-97C8-1D2BE0A99ABE}">
      <dgm:prSet phldrT="[Текст]" custT="1"/>
      <dgm:spPr/>
      <dgm:t>
        <a:bodyPr/>
        <a:lstStyle/>
        <a:p>
          <a:endParaRPr lang="ru-RU" sz="1400" b="0">
            <a:solidFill>
              <a:sysClr val="windowText" lastClr="000000"/>
            </a:solidFill>
          </a:endParaRPr>
        </a:p>
      </dgm:t>
    </dgm:pt>
    <dgm:pt modelId="{1232A3B5-FAFD-4CB1-8F58-4699BB8CB482}" type="parTrans" cxnId="{A0F5E4F9-EE08-43E8-86D4-846D1565772A}">
      <dgm:prSet/>
      <dgm:spPr/>
      <dgm:t>
        <a:bodyPr/>
        <a:lstStyle/>
        <a:p>
          <a:endParaRPr lang="ru-RU"/>
        </a:p>
      </dgm:t>
    </dgm:pt>
    <dgm:pt modelId="{845BAFAB-A3D1-4FE3-AD50-533A3A244759}" type="sibTrans" cxnId="{A0F5E4F9-EE08-43E8-86D4-846D1565772A}">
      <dgm:prSet/>
      <dgm:spPr/>
      <dgm:t>
        <a:bodyPr/>
        <a:lstStyle/>
        <a:p>
          <a:endParaRPr lang="ru-RU"/>
        </a:p>
      </dgm:t>
    </dgm:pt>
    <dgm:pt modelId="{FDD56F84-8D37-45B3-B8B5-725E4D1A518F}">
      <dgm:prSet phldrT="[Текст]" custT="1"/>
      <dgm:spPr/>
      <dgm:t>
        <a:bodyPr/>
        <a:lstStyle/>
        <a:p>
          <a:endParaRPr lang="ru-RU" sz="1400" b="0">
            <a:solidFill>
              <a:sysClr val="windowText" lastClr="000000"/>
            </a:solidFill>
          </a:endParaRPr>
        </a:p>
      </dgm:t>
    </dgm:pt>
    <dgm:pt modelId="{67DD2F9A-BC1E-4004-B202-3FB2ECAE3EFD}" type="parTrans" cxnId="{394C53C1-2A72-4A8E-AF9F-37F6F61549C4}">
      <dgm:prSet/>
      <dgm:spPr/>
      <dgm:t>
        <a:bodyPr/>
        <a:lstStyle/>
        <a:p>
          <a:endParaRPr lang="ru-RU"/>
        </a:p>
      </dgm:t>
    </dgm:pt>
    <dgm:pt modelId="{66E66706-8F8C-4BA8-8B54-EE09ECA34D26}" type="sibTrans" cxnId="{394C53C1-2A72-4A8E-AF9F-37F6F61549C4}">
      <dgm:prSet/>
      <dgm:spPr/>
      <dgm:t>
        <a:bodyPr/>
        <a:lstStyle/>
        <a:p>
          <a:endParaRPr lang="ru-RU"/>
        </a:p>
      </dgm:t>
    </dgm:pt>
    <dgm:pt modelId="{F9E5B16E-B119-4F14-BDF3-D70435FDE04C}">
      <dgm:prSet phldrT="[Текст]" custT="1"/>
      <dgm:spPr/>
      <dgm:t>
        <a:bodyPr/>
        <a:lstStyle/>
        <a:p>
          <a:endParaRPr lang="ru-RU" sz="1400" b="0">
            <a:solidFill>
              <a:sysClr val="windowText" lastClr="000000"/>
            </a:solidFill>
          </a:endParaRPr>
        </a:p>
      </dgm:t>
    </dgm:pt>
    <dgm:pt modelId="{4101EB28-04C4-4E8D-A54D-DDEA0240DCF6}" type="parTrans" cxnId="{6EEDAB2A-8DF8-4ACF-A11E-FAEAA359CE44}">
      <dgm:prSet/>
      <dgm:spPr/>
      <dgm:t>
        <a:bodyPr/>
        <a:lstStyle/>
        <a:p>
          <a:endParaRPr lang="ru-RU"/>
        </a:p>
      </dgm:t>
    </dgm:pt>
    <dgm:pt modelId="{F0F86937-9F12-466C-9309-947EC3655F44}" type="sibTrans" cxnId="{6EEDAB2A-8DF8-4ACF-A11E-FAEAA359CE44}">
      <dgm:prSet/>
      <dgm:spPr/>
      <dgm:t>
        <a:bodyPr/>
        <a:lstStyle/>
        <a:p>
          <a:endParaRPr lang="ru-RU"/>
        </a:p>
      </dgm:t>
    </dgm:pt>
    <dgm:pt modelId="{41116FB9-9C58-4E9F-AB47-2C9A3DF75DF1}">
      <dgm:prSet phldrT="[Текст]" custT="1"/>
      <dgm:spPr/>
      <dgm:t>
        <a:bodyPr/>
        <a:lstStyle/>
        <a:p>
          <a:endParaRPr lang="ru-RU" sz="1400" b="0">
            <a:solidFill>
              <a:sysClr val="windowText" lastClr="000000"/>
            </a:solidFill>
          </a:endParaRPr>
        </a:p>
      </dgm:t>
    </dgm:pt>
    <dgm:pt modelId="{B73A1BD9-3793-4F4B-8917-E60D7CEE3D23}" type="parTrans" cxnId="{204B3AA6-66E9-4D61-9E97-67BB8EB7F6FB}">
      <dgm:prSet/>
      <dgm:spPr/>
      <dgm:t>
        <a:bodyPr/>
        <a:lstStyle/>
        <a:p>
          <a:endParaRPr lang="ru-RU"/>
        </a:p>
      </dgm:t>
    </dgm:pt>
    <dgm:pt modelId="{68478527-8AD8-4E7E-A773-8BB18E27779A}" type="sibTrans" cxnId="{204B3AA6-66E9-4D61-9E97-67BB8EB7F6FB}">
      <dgm:prSet/>
      <dgm:spPr/>
      <dgm:t>
        <a:bodyPr/>
        <a:lstStyle/>
        <a:p>
          <a:endParaRPr lang="ru-RU"/>
        </a:p>
      </dgm:t>
    </dgm:pt>
    <dgm:pt modelId="{828F5218-DB7B-44CB-B786-BA3AF05BB321}">
      <dgm:prSet phldrT="[Текст]" custT="1"/>
      <dgm:spPr/>
      <dgm:t>
        <a:bodyPr/>
        <a:lstStyle/>
        <a:p>
          <a:endParaRPr lang="ru-RU" sz="1400" b="0">
            <a:solidFill>
              <a:sysClr val="windowText" lastClr="000000"/>
            </a:solidFill>
          </a:endParaRPr>
        </a:p>
      </dgm:t>
    </dgm:pt>
    <dgm:pt modelId="{C4D8FC51-43DE-4E71-ACE7-4E08BC1DB54B}" type="parTrans" cxnId="{D044E234-C191-4384-A46C-463B81A72038}">
      <dgm:prSet/>
      <dgm:spPr/>
      <dgm:t>
        <a:bodyPr/>
        <a:lstStyle/>
        <a:p>
          <a:endParaRPr lang="ru-RU"/>
        </a:p>
      </dgm:t>
    </dgm:pt>
    <dgm:pt modelId="{8E61E914-33CA-466F-9493-CEE5F7048991}" type="sibTrans" cxnId="{D044E234-C191-4384-A46C-463B81A72038}">
      <dgm:prSet/>
      <dgm:spPr/>
      <dgm:t>
        <a:bodyPr/>
        <a:lstStyle/>
        <a:p>
          <a:endParaRPr lang="ru-RU"/>
        </a:p>
      </dgm:t>
    </dgm:pt>
    <dgm:pt modelId="{167D02F6-6960-496D-A456-289159CFEE51}">
      <dgm:prSet phldrT="[Текст]" custT="1"/>
      <dgm:spPr/>
      <dgm:t>
        <a:bodyPr/>
        <a:lstStyle/>
        <a:p>
          <a:endParaRPr lang="ru-RU" sz="1400" b="0">
            <a:solidFill>
              <a:sysClr val="windowText" lastClr="000000"/>
            </a:solidFill>
          </a:endParaRPr>
        </a:p>
      </dgm:t>
    </dgm:pt>
    <dgm:pt modelId="{D03E2572-EA3A-4A80-822B-9C08400AE2CF}" type="parTrans" cxnId="{69AF7C3D-8DF3-42D6-842E-78BA3EACE9EA}">
      <dgm:prSet/>
      <dgm:spPr/>
      <dgm:t>
        <a:bodyPr/>
        <a:lstStyle/>
        <a:p>
          <a:endParaRPr lang="ru-RU"/>
        </a:p>
      </dgm:t>
    </dgm:pt>
    <dgm:pt modelId="{3F5CF6DB-C419-4041-A8EA-EA8BE8E6DCBC}" type="sibTrans" cxnId="{69AF7C3D-8DF3-42D6-842E-78BA3EACE9EA}">
      <dgm:prSet/>
      <dgm:spPr/>
      <dgm:t>
        <a:bodyPr/>
        <a:lstStyle/>
        <a:p>
          <a:endParaRPr lang="ru-RU"/>
        </a:p>
      </dgm:t>
    </dgm:pt>
    <dgm:pt modelId="{338871DC-BD23-402E-8CB9-EF18368DEA38}">
      <dgm:prSet phldrT="[Текст]" custT="1"/>
      <dgm:spPr/>
      <dgm:t>
        <a:bodyPr/>
        <a:lstStyle/>
        <a:p>
          <a:r>
            <a:rPr lang="ru-RU" sz="1400" b="1">
              <a:solidFill>
                <a:sysClr val="windowText" lastClr="000000"/>
              </a:solidFill>
            </a:rPr>
            <a:t>Берестов</a:t>
          </a:r>
          <a:r>
            <a:rPr lang="ru-RU" sz="1400" b="0">
              <a:solidFill>
                <a:sysClr val="windowText" lastClr="000000"/>
              </a:solidFill>
            </a:rPr>
            <a:t> - </a:t>
          </a:r>
          <a:r>
            <a:rPr lang="ru-RU" sz="1400" b="1">
              <a:solidFill>
                <a:sysClr val="windowText" lastClr="000000"/>
              </a:solidFill>
            </a:rPr>
            <a:t>скидка 15% при заказе полной коробкой</a:t>
          </a:r>
          <a:r>
            <a:rPr lang="ru-RU" sz="1400" b="0">
              <a:solidFill>
                <a:sysClr val="windowText" lastClr="000000"/>
              </a:solidFill>
            </a:rPr>
            <a:t> - на часть ассортименте</a:t>
          </a:r>
        </a:p>
      </dgm:t>
    </dgm:pt>
    <dgm:pt modelId="{C0783401-DF0C-4AE0-83D2-1599CCFDF466}" type="parTrans" cxnId="{13694C65-3216-48DF-954C-D4B7C1F292A4}">
      <dgm:prSet/>
      <dgm:spPr/>
      <dgm:t>
        <a:bodyPr/>
        <a:lstStyle/>
        <a:p>
          <a:endParaRPr lang="ru-RU"/>
        </a:p>
      </dgm:t>
    </dgm:pt>
    <dgm:pt modelId="{0ACB5164-412B-493A-A5C0-305169681730}" type="sibTrans" cxnId="{13694C65-3216-48DF-954C-D4B7C1F292A4}">
      <dgm:prSet/>
      <dgm:spPr/>
      <dgm:t>
        <a:bodyPr/>
        <a:lstStyle/>
        <a:p>
          <a:endParaRPr lang="ru-RU"/>
        </a:p>
      </dgm:t>
    </dgm:pt>
    <dgm:pt modelId="{79D74167-D9D2-46E2-809B-D121F9C3A276}">
      <dgm:prSet phldrT="[Текст]" custT="1"/>
      <dgm:spPr/>
      <dgm:t>
        <a:bodyPr/>
        <a:lstStyle/>
        <a:p>
          <a:r>
            <a:rPr lang="ru-RU" sz="1400" b="1"/>
            <a:t>Сибирская клетчатка</a:t>
          </a:r>
        </a:p>
      </dgm:t>
    </dgm:pt>
    <dgm:pt modelId="{54798AE7-A939-4562-B0CD-6160490212A8}" type="parTrans" cxnId="{0245B53C-1CA9-43CE-927E-1D1E1ECD19C7}">
      <dgm:prSet/>
      <dgm:spPr/>
      <dgm:t>
        <a:bodyPr/>
        <a:lstStyle/>
        <a:p>
          <a:endParaRPr lang="ru-RU"/>
        </a:p>
      </dgm:t>
    </dgm:pt>
    <dgm:pt modelId="{915DD794-579F-443E-B704-4B3671B5CC39}" type="sibTrans" cxnId="{0245B53C-1CA9-43CE-927E-1D1E1ECD19C7}">
      <dgm:prSet/>
      <dgm:spPr/>
      <dgm:t>
        <a:bodyPr/>
        <a:lstStyle/>
        <a:p>
          <a:endParaRPr lang="ru-RU"/>
        </a:p>
      </dgm:t>
    </dgm:pt>
    <dgm:pt modelId="{E79A649F-8BBA-4089-B10E-6A6D6B159D37}">
      <dgm:prSet phldrT="[Текст]" custT="1"/>
      <dgm:spPr/>
      <dgm:t>
        <a:bodyPr/>
        <a:lstStyle/>
        <a:p>
          <a:r>
            <a:rPr lang="ru-RU" sz="1400" b="1"/>
            <a:t>Холи Корн</a:t>
          </a:r>
        </a:p>
      </dgm:t>
    </dgm:pt>
    <dgm:pt modelId="{15A1DFC8-45B4-46D6-B641-341CF06897BA}" type="parTrans" cxnId="{F7214A58-4E21-4CAB-8205-0CEFE98C37DA}">
      <dgm:prSet/>
      <dgm:spPr/>
      <dgm:t>
        <a:bodyPr/>
        <a:lstStyle/>
        <a:p>
          <a:endParaRPr lang="ru-RU"/>
        </a:p>
      </dgm:t>
    </dgm:pt>
    <dgm:pt modelId="{08711642-42E5-4E3C-9C69-2C4A7F4EE83D}" type="sibTrans" cxnId="{F7214A58-4E21-4CAB-8205-0CEFE98C37DA}">
      <dgm:prSet/>
      <dgm:spPr/>
      <dgm:t>
        <a:bodyPr/>
        <a:lstStyle/>
        <a:p>
          <a:endParaRPr lang="ru-RU"/>
        </a:p>
      </dgm:t>
    </dgm:pt>
    <dgm:pt modelId="{35B612DA-AB79-489C-B051-7F5485200B7C}">
      <dgm:prSet phldrT="[Текст]" custT="1"/>
      <dgm:spPr/>
      <dgm:t>
        <a:bodyPr/>
        <a:lstStyle/>
        <a:p>
          <a:endParaRPr lang="ru-RU" sz="1400" b="1"/>
        </a:p>
      </dgm:t>
    </dgm:pt>
    <dgm:pt modelId="{E265BA8C-6313-4F57-AC48-B9657E1CA8B0}" type="parTrans" cxnId="{5E41CFD5-6454-4FC4-8E76-2A852D0E483A}">
      <dgm:prSet/>
      <dgm:spPr/>
      <dgm:t>
        <a:bodyPr/>
        <a:lstStyle/>
        <a:p>
          <a:endParaRPr lang="ru-RU"/>
        </a:p>
      </dgm:t>
    </dgm:pt>
    <dgm:pt modelId="{A2EDCD28-865E-43ED-8B90-8F6DBC390A44}" type="sibTrans" cxnId="{5E41CFD5-6454-4FC4-8E76-2A852D0E483A}">
      <dgm:prSet/>
      <dgm:spPr/>
      <dgm:t>
        <a:bodyPr/>
        <a:lstStyle/>
        <a:p>
          <a:endParaRPr lang="ru-RU"/>
        </a:p>
      </dgm:t>
    </dgm:pt>
    <dgm:pt modelId="{D608CBF4-2708-4822-9DF9-893AB28A1ADF}">
      <dgm:prSet phldrT="[Текст]" custT="1"/>
      <dgm:spPr/>
      <dgm:t>
        <a:bodyPr/>
        <a:lstStyle/>
        <a:p>
          <a:endParaRPr lang="ru-RU" sz="1400" b="1"/>
        </a:p>
      </dgm:t>
    </dgm:pt>
    <dgm:pt modelId="{527425CC-2659-4FC2-8DD2-14900A1462A3}" type="parTrans" cxnId="{4E22A0BD-80DE-4D09-830E-0BAC3FAB170D}">
      <dgm:prSet/>
      <dgm:spPr/>
      <dgm:t>
        <a:bodyPr/>
        <a:lstStyle/>
        <a:p>
          <a:endParaRPr lang="ru-RU"/>
        </a:p>
      </dgm:t>
    </dgm:pt>
    <dgm:pt modelId="{061B5D99-D261-4CF7-9C0A-0354F47DB786}" type="sibTrans" cxnId="{4E22A0BD-80DE-4D09-830E-0BAC3FAB170D}">
      <dgm:prSet/>
      <dgm:spPr/>
      <dgm:t>
        <a:bodyPr/>
        <a:lstStyle/>
        <a:p>
          <a:endParaRPr lang="ru-RU"/>
        </a:p>
      </dgm:t>
    </dgm:pt>
    <dgm:pt modelId="{5AB1DE89-52FF-49DD-BCE7-CE9189470C5A}">
      <dgm:prSet phldrT="[Текст]" custT="1"/>
      <dgm:spPr/>
      <dgm:t>
        <a:bodyPr/>
        <a:lstStyle/>
        <a:p>
          <a:endParaRPr lang="ru-RU" sz="1400" b="1"/>
        </a:p>
      </dgm:t>
    </dgm:pt>
    <dgm:pt modelId="{88A19B00-D115-497F-B527-F957F81C1396}" type="parTrans" cxnId="{99C97214-7F72-4970-9B07-7E0A6DC41A5A}">
      <dgm:prSet/>
      <dgm:spPr/>
      <dgm:t>
        <a:bodyPr/>
        <a:lstStyle/>
        <a:p>
          <a:endParaRPr lang="ru-RU"/>
        </a:p>
      </dgm:t>
    </dgm:pt>
    <dgm:pt modelId="{C627812E-881C-4A69-BF45-C2A03A18271D}" type="sibTrans" cxnId="{99C97214-7F72-4970-9B07-7E0A6DC41A5A}">
      <dgm:prSet/>
      <dgm:spPr/>
      <dgm:t>
        <a:bodyPr/>
        <a:lstStyle/>
        <a:p>
          <a:endParaRPr lang="ru-RU"/>
        </a:p>
      </dgm:t>
    </dgm:pt>
    <dgm:pt modelId="{531A83D9-FB8F-431E-8BFD-58B5285BD2FA}">
      <dgm:prSet phldrT="[Текст]" custT="1"/>
      <dgm:spPr/>
      <dgm:t>
        <a:bodyPr/>
        <a:lstStyle/>
        <a:p>
          <a:endParaRPr lang="ru-RU" sz="1400" b="1"/>
        </a:p>
      </dgm:t>
    </dgm:pt>
    <dgm:pt modelId="{8727948B-56CE-4B37-8AB1-05A648307682}" type="parTrans" cxnId="{5110E9D8-9F05-4D22-A0FE-71F195D11140}">
      <dgm:prSet/>
      <dgm:spPr/>
      <dgm:t>
        <a:bodyPr/>
        <a:lstStyle/>
        <a:p>
          <a:endParaRPr lang="ru-RU"/>
        </a:p>
      </dgm:t>
    </dgm:pt>
    <dgm:pt modelId="{241A228E-4213-49A2-9C63-37EA6E469078}" type="sibTrans" cxnId="{5110E9D8-9F05-4D22-A0FE-71F195D11140}">
      <dgm:prSet/>
      <dgm:spPr/>
      <dgm:t>
        <a:bodyPr/>
        <a:lstStyle/>
        <a:p>
          <a:endParaRPr lang="ru-RU"/>
        </a:p>
      </dgm:t>
    </dgm:pt>
    <dgm:pt modelId="{5A9636C2-C23D-4C37-951A-820B1199002E}">
      <dgm:prSet phldrT="[Текст]" custT="1"/>
      <dgm:spPr/>
      <dgm:t>
        <a:bodyPr/>
        <a:lstStyle/>
        <a:p>
          <a:endParaRPr lang="ru-RU" sz="1400" b="1"/>
        </a:p>
      </dgm:t>
    </dgm:pt>
    <dgm:pt modelId="{326BBEDE-369A-4514-B71A-1F1ABC5D935C}" type="parTrans" cxnId="{2831DB1B-40C3-4960-950A-277C4BFB7894}">
      <dgm:prSet/>
      <dgm:spPr/>
      <dgm:t>
        <a:bodyPr/>
        <a:lstStyle/>
        <a:p>
          <a:endParaRPr lang="ru-RU"/>
        </a:p>
      </dgm:t>
    </dgm:pt>
    <dgm:pt modelId="{B3B99EAE-C8DF-459F-9A26-704D679477F8}" type="sibTrans" cxnId="{2831DB1B-40C3-4960-950A-277C4BFB7894}">
      <dgm:prSet/>
      <dgm:spPr/>
      <dgm:t>
        <a:bodyPr/>
        <a:lstStyle/>
        <a:p>
          <a:endParaRPr lang="ru-RU"/>
        </a:p>
      </dgm:t>
    </dgm:pt>
    <dgm:pt modelId="{5E7338A7-6FBF-481F-B480-2DAEC1D93306}">
      <dgm:prSet phldrT="[Текст]" custT="1"/>
      <dgm:spPr/>
      <dgm:t>
        <a:bodyPr/>
        <a:lstStyle/>
        <a:p>
          <a:endParaRPr lang="ru-RU" sz="1400" b="1"/>
        </a:p>
      </dgm:t>
    </dgm:pt>
    <dgm:pt modelId="{8A7C8F79-360D-4E7C-AB91-14BFC1035CE9}" type="parTrans" cxnId="{D2A6A693-3E3F-43A4-9177-AC30E08D26A9}">
      <dgm:prSet/>
      <dgm:spPr/>
      <dgm:t>
        <a:bodyPr/>
        <a:lstStyle/>
        <a:p>
          <a:endParaRPr lang="ru-RU"/>
        </a:p>
      </dgm:t>
    </dgm:pt>
    <dgm:pt modelId="{41E0CF5E-E3C9-42AB-8058-5DF0B746F2C2}" type="sibTrans" cxnId="{D2A6A693-3E3F-43A4-9177-AC30E08D26A9}">
      <dgm:prSet/>
      <dgm:spPr/>
      <dgm:t>
        <a:bodyPr/>
        <a:lstStyle/>
        <a:p>
          <a:endParaRPr lang="ru-RU"/>
        </a:p>
      </dgm:t>
    </dgm:pt>
    <dgm:pt modelId="{140E43AD-01F9-495D-9ECE-11F101D6DA26}">
      <dgm:prSet phldrT="[Текст]" custT="1"/>
      <dgm:spPr/>
      <dgm:t>
        <a:bodyPr/>
        <a:lstStyle/>
        <a:p>
          <a:endParaRPr lang="ru-RU" sz="1400" b="1"/>
        </a:p>
      </dgm:t>
    </dgm:pt>
    <dgm:pt modelId="{5C563CDA-C382-4242-8422-3598F24FD5A2}" type="parTrans" cxnId="{5A58D6EC-B6A8-40BC-867A-EF38D9A8396F}">
      <dgm:prSet/>
      <dgm:spPr/>
      <dgm:t>
        <a:bodyPr/>
        <a:lstStyle/>
        <a:p>
          <a:endParaRPr lang="ru-RU"/>
        </a:p>
      </dgm:t>
    </dgm:pt>
    <dgm:pt modelId="{AC2A5568-6B27-4826-B7D1-E82376275AA4}" type="sibTrans" cxnId="{5A58D6EC-B6A8-40BC-867A-EF38D9A8396F}">
      <dgm:prSet/>
      <dgm:spPr/>
      <dgm:t>
        <a:bodyPr/>
        <a:lstStyle/>
        <a:p>
          <a:endParaRPr lang="ru-RU"/>
        </a:p>
      </dgm:t>
    </dgm:pt>
    <dgm:pt modelId="{08F73830-5D4F-4BD0-9733-21B7E450243E}">
      <dgm:prSet phldrT="[Текст]" custT="1"/>
      <dgm:spPr/>
      <dgm:t>
        <a:bodyPr/>
        <a:lstStyle/>
        <a:p>
          <a:endParaRPr lang="ru-RU" sz="1400" b="1"/>
        </a:p>
      </dgm:t>
    </dgm:pt>
    <dgm:pt modelId="{0A5A9708-7B84-4391-A7CE-250CBB7FE0DA}" type="parTrans" cxnId="{8DFFFA25-1CC9-4917-A564-A8F6706CA241}">
      <dgm:prSet/>
      <dgm:spPr/>
      <dgm:t>
        <a:bodyPr/>
        <a:lstStyle/>
        <a:p>
          <a:endParaRPr lang="ru-RU"/>
        </a:p>
      </dgm:t>
    </dgm:pt>
    <dgm:pt modelId="{90CE44F1-0944-4F58-BB2B-3342195F0885}" type="sibTrans" cxnId="{8DFFFA25-1CC9-4917-A564-A8F6706CA241}">
      <dgm:prSet/>
      <dgm:spPr/>
      <dgm:t>
        <a:bodyPr/>
        <a:lstStyle/>
        <a:p>
          <a:endParaRPr lang="ru-RU"/>
        </a:p>
      </dgm:t>
    </dgm:pt>
    <dgm:pt modelId="{C054FF13-77A4-42FC-BCD8-4745E952C00A}" type="pres">
      <dgm:prSet presAssocID="{5A062240-1BF1-4543-AB62-A1E895254691}" presName="linear" presStyleCnt="0">
        <dgm:presLayoutVars>
          <dgm:dir/>
          <dgm:animLvl val="lvl"/>
          <dgm:resizeHandles val="exact"/>
        </dgm:presLayoutVars>
      </dgm:prSet>
      <dgm:spPr/>
    </dgm:pt>
    <dgm:pt modelId="{E979F2AA-4AA0-4576-A5EA-7CFE23394631}" type="pres">
      <dgm:prSet presAssocID="{FDBD8342-89F1-4DA8-B6D3-859A07BF4EB4}" presName="parentLin" presStyleCnt="0"/>
      <dgm:spPr/>
    </dgm:pt>
    <dgm:pt modelId="{B93E1FD4-E6EF-42DF-BD4B-51EDC23D2FD3}" type="pres">
      <dgm:prSet presAssocID="{FDBD8342-89F1-4DA8-B6D3-859A07BF4EB4}" presName="parentLeftMargin" presStyleLbl="node1" presStyleIdx="0" presStyleCnt="3"/>
      <dgm:spPr/>
    </dgm:pt>
    <dgm:pt modelId="{95CF957A-013E-40A6-909A-CACE11093386}" type="pres">
      <dgm:prSet presAssocID="{FDBD8342-89F1-4DA8-B6D3-859A07BF4EB4}" presName="parentText" presStyleLbl="node1" presStyleIdx="0" presStyleCnt="3" custScaleY="83468">
        <dgm:presLayoutVars>
          <dgm:chMax val="0"/>
          <dgm:bulletEnabled val="1"/>
        </dgm:presLayoutVars>
      </dgm:prSet>
      <dgm:spPr/>
    </dgm:pt>
    <dgm:pt modelId="{D3104CD9-5B7B-4E6A-B76D-D463F496061C}" type="pres">
      <dgm:prSet presAssocID="{FDBD8342-89F1-4DA8-B6D3-859A07BF4EB4}" presName="negativeSpace" presStyleCnt="0"/>
      <dgm:spPr/>
    </dgm:pt>
    <dgm:pt modelId="{6CA84F9B-9483-4A01-AF80-05C871FB2240}" type="pres">
      <dgm:prSet presAssocID="{FDBD8342-89F1-4DA8-B6D3-859A07BF4EB4}" presName="childText" presStyleLbl="conFgAcc1" presStyleIdx="0" presStyleCnt="3" custScaleY="113095">
        <dgm:presLayoutVars>
          <dgm:bulletEnabled val="1"/>
        </dgm:presLayoutVars>
      </dgm:prSet>
      <dgm:spPr/>
    </dgm:pt>
    <dgm:pt modelId="{16F3A185-0BD4-42BD-8E56-917C969FC140}" type="pres">
      <dgm:prSet presAssocID="{A0181043-38E6-4635-BA18-F67442250078}" presName="spaceBetweenRectangles" presStyleCnt="0"/>
      <dgm:spPr/>
    </dgm:pt>
    <dgm:pt modelId="{2964A396-708B-4B63-B8F6-543DFCFCF673}" type="pres">
      <dgm:prSet presAssocID="{E8FBA531-ACDF-4EA1-AFAD-22F04CC118EC}" presName="parentLin" presStyleCnt="0"/>
      <dgm:spPr/>
    </dgm:pt>
    <dgm:pt modelId="{637EBE25-3C65-4CB4-87CF-2A3699670B8C}" type="pres">
      <dgm:prSet presAssocID="{E8FBA531-ACDF-4EA1-AFAD-22F04CC118EC}" presName="parentLeftMargin" presStyleLbl="node1" presStyleIdx="0" presStyleCnt="3"/>
      <dgm:spPr/>
    </dgm:pt>
    <dgm:pt modelId="{DBA03D32-B77B-4454-A4AC-0F7D9F02F4EF}" type="pres">
      <dgm:prSet presAssocID="{E8FBA531-ACDF-4EA1-AFAD-22F04CC118EC}" presName="parentText" presStyleLbl="node1" presStyleIdx="1" presStyleCnt="3" custScaleY="81147">
        <dgm:presLayoutVars>
          <dgm:chMax val="0"/>
          <dgm:bulletEnabled val="1"/>
        </dgm:presLayoutVars>
      </dgm:prSet>
      <dgm:spPr/>
    </dgm:pt>
    <dgm:pt modelId="{36FFDE1C-BE57-4EA7-BDC9-A7148845716D}" type="pres">
      <dgm:prSet presAssocID="{E8FBA531-ACDF-4EA1-AFAD-22F04CC118EC}" presName="negativeSpace" presStyleCnt="0"/>
      <dgm:spPr/>
    </dgm:pt>
    <dgm:pt modelId="{DE3E7D19-0903-4A9E-A6A3-C1F047D7BC7E}" type="pres">
      <dgm:prSet presAssocID="{E8FBA531-ACDF-4EA1-AFAD-22F04CC118EC}" presName="childText" presStyleLbl="conFgAcc1" presStyleIdx="1" presStyleCnt="3" custLinFactY="1713" custLinFactNeighborX="-307" custLinFactNeighborY="100000">
        <dgm:presLayoutVars>
          <dgm:bulletEnabled val="1"/>
        </dgm:presLayoutVars>
      </dgm:prSet>
      <dgm:spPr/>
    </dgm:pt>
    <dgm:pt modelId="{51A14898-C56C-4167-BF55-99520B2E1A3E}" type="pres">
      <dgm:prSet presAssocID="{8D22FEA5-DC2F-469F-8D61-7C8830AA3383}" presName="spaceBetweenRectangles" presStyleCnt="0"/>
      <dgm:spPr/>
    </dgm:pt>
    <dgm:pt modelId="{ED78390F-1D04-4DBD-8B59-1CA529B01E32}" type="pres">
      <dgm:prSet presAssocID="{3016DAB6-E0DF-494A-B207-40A95BF1D797}" presName="parentLin" presStyleCnt="0"/>
      <dgm:spPr/>
    </dgm:pt>
    <dgm:pt modelId="{5A781BE3-313C-40A1-A8CE-FA9EE9B56BA1}" type="pres">
      <dgm:prSet presAssocID="{3016DAB6-E0DF-494A-B207-40A95BF1D797}" presName="parentLeftMargin" presStyleLbl="node1" presStyleIdx="1" presStyleCnt="3"/>
      <dgm:spPr/>
    </dgm:pt>
    <dgm:pt modelId="{A03A9D49-4891-40CD-94D8-5CA6050AC065}" type="pres">
      <dgm:prSet presAssocID="{3016DAB6-E0DF-494A-B207-40A95BF1D797}" presName="parentText" presStyleLbl="node1" presStyleIdx="2" presStyleCnt="3" custScaleY="80813">
        <dgm:presLayoutVars>
          <dgm:chMax val="0"/>
          <dgm:bulletEnabled val="1"/>
        </dgm:presLayoutVars>
      </dgm:prSet>
      <dgm:spPr/>
    </dgm:pt>
    <dgm:pt modelId="{CFEA07F5-BE1A-4A53-A6F5-8976AF0E0387}" type="pres">
      <dgm:prSet presAssocID="{3016DAB6-E0DF-494A-B207-40A95BF1D797}" presName="negativeSpace" presStyleCnt="0"/>
      <dgm:spPr/>
    </dgm:pt>
    <dgm:pt modelId="{44EED61F-7E28-43C0-B5CC-6A273A00BD34}" type="pres">
      <dgm:prSet presAssocID="{3016DAB6-E0DF-494A-B207-40A95BF1D797}" presName="childText" presStyleLbl="conFgAcc1" presStyleIdx="2" presStyleCnt="3" custLinFactNeighborY="99644">
        <dgm:presLayoutVars>
          <dgm:bulletEnabled val="1"/>
        </dgm:presLayoutVars>
      </dgm:prSet>
      <dgm:spPr/>
    </dgm:pt>
  </dgm:ptLst>
  <dgm:cxnLst>
    <dgm:cxn modelId="{F4D09A03-073E-4884-8552-4DDEEF580B05}" srcId="{FDBD8342-89F1-4DA8-B6D3-859A07BF4EB4}" destId="{8C6DDD0F-7C0A-49FF-8D25-9E47C1BFF79C}" srcOrd="3" destOrd="0" parTransId="{BC20A701-A80D-49F4-AAEF-AE545345D3D2}" sibTransId="{DAF1AEA5-A104-4788-98E7-2AE91A77C273}"/>
    <dgm:cxn modelId="{62F12908-4A1E-489B-BC8D-A399BC8F1A23}" type="presOf" srcId="{EEC46920-F4FC-40AD-9F1C-C2DB8935A48C}" destId="{6CA84F9B-9483-4A01-AF80-05C871FB2240}" srcOrd="0" destOrd="2" presId="urn:microsoft.com/office/officeart/2005/8/layout/list1"/>
    <dgm:cxn modelId="{A482F50D-16CC-41A4-92DB-E2F9C803A63E}" type="presOf" srcId="{3016DAB6-E0DF-494A-B207-40A95BF1D797}" destId="{5A781BE3-313C-40A1-A8CE-FA9EE9B56BA1}" srcOrd="0" destOrd="0" presId="urn:microsoft.com/office/officeart/2005/8/layout/list1"/>
    <dgm:cxn modelId="{99C97214-7F72-4970-9B07-7E0A6DC41A5A}" srcId="{3016DAB6-E0DF-494A-B207-40A95BF1D797}" destId="{5AB1DE89-52FF-49DD-BCE7-CE9189470C5A}" srcOrd="4" destOrd="0" parTransId="{88A19B00-D115-497F-B527-F957F81C1396}" sibTransId="{C627812E-881C-4A69-BF45-C2A03A18271D}"/>
    <dgm:cxn modelId="{68B24C18-89AE-4F1E-BC68-39B103571F80}" type="presOf" srcId="{B9379497-0C9F-45D0-AAE0-8FA612D07BD1}" destId="{DE3E7D19-0903-4A9E-A6A3-C1F047D7BC7E}" srcOrd="0" destOrd="4" presId="urn:microsoft.com/office/officeart/2005/8/layout/list1"/>
    <dgm:cxn modelId="{4E38AB18-648B-4C61-B1D9-EF4B90F3D252}" srcId="{FDBD8342-89F1-4DA8-B6D3-859A07BF4EB4}" destId="{E4450519-A1A8-47CB-8E9D-FD71ADE3D7B5}" srcOrd="0" destOrd="0" parTransId="{A3E86C26-62B7-4209-8322-DCF572949B2D}" sibTransId="{00C7F08D-D900-4145-96E2-E4337D25230C}"/>
    <dgm:cxn modelId="{2831DB1B-40C3-4960-950A-277C4BFB7894}" srcId="{3016DAB6-E0DF-494A-B207-40A95BF1D797}" destId="{5A9636C2-C23D-4C37-951A-820B1199002E}" srcOrd="6" destOrd="0" parTransId="{326BBEDE-369A-4514-B71A-1F1ABC5D935C}" sibTransId="{B3B99EAE-C8DF-459F-9A26-704D679477F8}"/>
    <dgm:cxn modelId="{B234B320-702C-420E-8D61-E9F722E3A12C}" type="presOf" srcId="{E8FBA531-ACDF-4EA1-AFAD-22F04CC118EC}" destId="{637EBE25-3C65-4CB4-87CF-2A3699670B8C}" srcOrd="0" destOrd="0" presId="urn:microsoft.com/office/officeart/2005/8/layout/list1"/>
    <dgm:cxn modelId="{705FDF20-9320-47B3-8F8E-86C3364320A6}" type="presOf" srcId="{FDBD8342-89F1-4DA8-B6D3-859A07BF4EB4}" destId="{95CF957A-013E-40A6-909A-CACE11093386}" srcOrd="1" destOrd="0" presId="urn:microsoft.com/office/officeart/2005/8/layout/list1"/>
    <dgm:cxn modelId="{F8EA5B21-4821-4308-B875-0FF1414519CB}" srcId="{5A062240-1BF1-4543-AB62-A1E895254691}" destId="{3016DAB6-E0DF-494A-B207-40A95BF1D797}" srcOrd="2" destOrd="0" parTransId="{24FBAE9A-2591-4364-ABFF-317EC2ADA763}" sibTransId="{D41EE771-D8C2-4B54-A1E6-863B269DFDD0}"/>
    <dgm:cxn modelId="{8DFFFA25-1CC9-4917-A564-A8F6706CA241}" srcId="{3016DAB6-E0DF-494A-B207-40A95BF1D797}" destId="{08F73830-5D4F-4BD0-9733-21B7E450243E}" srcOrd="9" destOrd="0" parTransId="{0A5A9708-7B84-4391-A7CE-250CBB7FE0DA}" sibTransId="{90CE44F1-0944-4F58-BB2B-3342195F0885}"/>
    <dgm:cxn modelId="{6EEDAB2A-8DF8-4ACF-A11E-FAEAA359CE44}" srcId="{E8FBA531-ACDF-4EA1-AFAD-22F04CC118EC}" destId="{F9E5B16E-B119-4F14-BDF3-D70435FDE04C}" srcOrd="7" destOrd="0" parTransId="{4101EB28-04C4-4E8D-A54D-DDEA0240DCF6}" sibTransId="{F0F86937-9F12-466C-9309-947EC3655F44}"/>
    <dgm:cxn modelId="{72FE002B-3569-4D49-9CDD-46CE81C0F300}" type="presOf" srcId="{338871DC-BD23-402E-8CB9-EF18368DEA38}" destId="{6CA84F9B-9483-4A01-AF80-05C871FB2240}" srcOrd="0" destOrd="4" presId="urn:microsoft.com/office/officeart/2005/8/layout/list1"/>
    <dgm:cxn modelId="{D044E234-C191-4384-A46C-463B81A72038}" srcId="{E8FBA531-ACDF-4EA1-AFAD-22F04CC118EC}" destId="{828F5218-DB7B-44CB-B786-BA3AF05BB321}" srcOrd="9" destOrd="0" parTransId="{C4D8FC51-43DE-4E71-ACE7-4E08BC1DB54B}" sibTransId="{8E61E914-33CA-466F-9493-CEE5F7048991}"/>
    <dgm:cxn modelId="{2B5B603A-3509-41A2-89A7-177DA1A1B108}" srcId="{FDBD8342-89F1-4DA8-B6D3-859A07BF4EB4}" destId="{EA911FF1-8364-4836-BD66-D8ADA88F8A24}" srcOrd="8" destOrd="0" parTransId="{ADF08ABF-C4E0-434C-997D-3C511A710F4C}" sibTransId="{4BAD647A-107F-440A-BE07-0DFC96913B7D}"/>
    <dgm:cxn modelId="{0245B53C-1CA9-43CE-927E-1D1E1ECD19C7}" srcId="{3016DAB6-E0DF-494A-B207-40A95BF1D797}" destId="{79D74167-D9D2-46E2-809B-D121F9C3A276}" srcOrd="1" destOrd="0" parTransId="{54798AE7-A939-4562-B0CD-6160490212A8}" sibTransId="{915DD794-579F-443E-B704-4B3671B5CC39}"/>
    <dgm:cxn modelId="{69AF7C3D-8DF3-42D6-842E-78BA3EACE9EA}" srcId="{E8FBA531-ACDF-4EA1-AFAD-22F04CC118EC}" destId="{167D02F6-6960-496D-A456-289159CFEE51}" srcOrd="10" destOrd="0" parTransId="{D03E2572-EA3A-4A80-822B-9C08400AE2CF}" sibTransId="{3F5CF6DB-C419-4041-A8EA-EA8BE8E6DCBC}"/>
    <dgm:cxn modelId="{30048B3F-2A37-4166-AF04-8AE3BCA1AF02}" type="presOf" srcId="{140E43AD-01F9-495D-9ECE-11F101D6DA26}" destId="{44EED61F-7E28-43C0-B5CC-6A273A00BD34}" srcOrd="0" destOrd="8" presId="urn:microsoft.com/office/officeart/2005/8/layout/list1"/>
    <dgm:cxn modelId="{6960CB40-9032-47C6-A8B5-5BC31D2CEE65}" type="presOf" srcId="{EA911FF1-8364-4836-BD66-D8ADA88F8A24}" destId="{6CA84F9B-9483-4A01-AF80-05C871FB2240}" srcOrd="0" destOrd="8" presId="urn:microsoft.com/office/officeart/2005/8/layout/list1"/>
    <dgm:cxn modelId="{3DA02262-2E73-41CC-83C0-9CF133C1E2BF}" srcId="{E8FBA531-ACDF-4EA1-AFAD-22F04CC118EC}" destId="{1894BFB0-47BE-440B-9016-E45D6A42E5C3}" srcOrd="3" destOrd="0" parTransId="{71BB908E-D046-4FC2-9CCA-C54AD9254E32}" sibTransId="{ACA78023-2E54-4BC4-9C01-693E78AE1BE2}"/>
    <dgm:cxn modelId="{248AA562-F2CF-4A46-9BD4-7AF542F1B7EE}" type="presOf" srcId="{E79A649F-8BBA-4089-B10E-6A6D6B159D37}" destId="{44EED61F-7E28-43C0-B5CC-6A273A00BD34}" srcOrd="0" destOrd="2" presId="urn:microsoft.com/office/officeart/2005/8/layout/list1"/>
    <dgm:cxn modelId="{2DA19244-5FC9-4A59-AFAA-2128DC71D815}" type="presOf" srcId="{1B93680A-AF3D-448D-9427-2DBC7A31B012}" destId="{6CA84F9B-9483-4A01-AF80-05C871FB2240}" srcOrd="0" destOrd="9" presId="urn:microsoft.com/office/officeart/2005/8/layout/list1"/>
    <dgm:cxn modelId="{13694C65-3216-48DF-954C-D4B7C1F292A4}" srcId="{FDBD8342-89F1-4DA8-B6D3-859A07BF4EB4}" destId="{338871DC-BD23-402E-8CB9-EF18368DEA38}" srcOrd="4" destOrd="0" parTransId="{C0783401-DF0C-4AE0-83D2-1599CCFDF466}" sibTransId="{0ACB5164-412B-493A-A5C0-305169681730}"/>
    <dgm:cxn modelId="{81D64348-07CD-4634-9371-959BFBB4E54B}" type="presOf" srcId="{F74B9533-33B3-45BB-BBBD-09B9CE7BA697}" destId="{DE3E7D19-0903-4A9E-A6A3-C1F047D7BC7E}" srcOrd="0" destOrd="11" presId="urn:microsoft.com/office/officeart/2005/8/layout/list1"/>
    <dgm:cxn modelId="{5119FD48-F493-4916-BC34-F45B904175F9}" type="presOf" srcId="{D608CBF4-2708-4822-9DF9-893AB28A1ADF}" destId="{44EED61F-7E28-43C0-B5CC-6A273A00BD34}" srcOrd="0" destOrd="3" presId="urn:microsoft.com/office/officeart/2005/8/layout/list1"/>
    <dgm:cxn modelId="{DE62004C-6DA0-4EBE-AC0D-671EF9A07EC9}" type="presOf" srcId="{3016DAB6-E0DF-494A-B207-40A95BF1D797}" destId="{A03A9D49-4891-40CD-94D8-5CA6050AC065}" srcOrd="1" destOrd="0" presId="urn:microsoft.com/office/officeart/2005/8/layout/list1"/>
    <dgm:cxn modelId="{FFFC006F-F6A3-4524-8ECF-882B52ED8C69}" srcId="{FDBD8342-89F1-4DA8-B6D3-859A07BF4EB4}" destId="{1B93680A-AF3D-448D-9427-2DBC7A31B012}" srcOrd="9" destOrd="0" parTransId="{396C4839-4372-4DC7-90F6-6A63A681754F}" sibTransId="{787E7450-D5B4-47D2-B71D-9820D049E372}"/>
    <dgm:cxn modelId="{239CCD72-6AA1-411B-BD43-6DD8E5049590}" srcId="{5A062240-1BF1-4543-AB62-A1E895254691}" destId="{FDBD8342-89F1-4DA8-B6D3-859A07BF4EB4}" srcOrd="0" destOrd="0" parTransId="{223040C3-A9F0-4DA7-98CB-B0F39088E17B}" sibTransId="{A0181043-38E6-4635-BA18-F67442250078}"/>
    <dgm:cxn modelId="{00BDEF72-75AE-4C8B-AF9C-CF6B4A180587}" srcId="{FDBD8342-89F1-4DA8-B6D3-859A07BF4EB4}" destId="{8D3428DF-564F-43A7-89CA-CF00B70CDBCE}" srcOrd="12" destOrd="0" parTransId="{AFEA63E1-7F3A-4D0C-A2E7-4DB5D5B9AE84}" sibTransId="{37CBC143-3CF1-445B-B80D-AB5A9AB7C186}"/>
    <dgm:cxn modelId="{7B105576-9905-4D7C-8281-F8BA15A93845}" type="presOf" srcId="{5A062240-1BF1-4543-AB62-A1E895254691}" destId="{C054FF13-77A4-42FC-BCD8-4745E952C00A}" srcOrd="0" destOrd="0" presId="urn:microsoft.com/office/officeart/2005/8/layout/list1"/>
    <dgm:cxn modelId="{CB700C57-4935-46B3-8FB9-3EAC91059698}" srcId="{FDBD8342-89F1-4DA8-B6D3-859A07BF4EB4}" destId="{135FADD2-380C-4B76-8C7E-99DD5907F557}" srcOrd="10" destOrd="0" parTransId="{07CC91F4-8EB5-4375-8AA4-F3596C8359FF}" sibTransId="{3C7D7BB1-F9CB-4981-99C8-76079EFD510B}"/>
    <dgm:cxn modelId="{F7214A58-4E21-4CAB-8205-0CEFE98C37DA}" srcId="{3016DAB6-E0DF-494A-B207-40A95BF1D797}" destId="{E79A649F-8BBA-4089-B10E-6A6D6B159D37}" srcOrd="2" destOrd="0" parTransId="{15A1DFC8-45B4-46D6-B641-341CF06897BA}" sibTransId="{08711642-42E5-4E3C-9C69-2C4A7F4EE83D}"/>
    <dgm:cxn modelId="{0E519883-94BC-4287-95ED-FD9FB4BEF66A}" srcId="{E8FBA531-ACDF-4EA1-AFAD-22F04CC118EC}" destId="{F74B9533-33B3-45BB-BBBD-09B9CE7BA697}" srcOrd="11" destOrd="0" parTransId="{033BC47F-F66E-4E40-9C48-B940242B89E8}" sibTransId="{F3C35E5D-3A51-4E86-83B8-2FBDDF887DF0}"/>
    <dgm:cxn modelId="{FC478386-F86A-4F2F-9AF5-82DEC92C161D}" type="presOf" srcId="{0CF5F802-F751-4F5F-B69B-B733F0BB77BD}" destId="{DE3E7D19-0903-4A9E-A6A3-C1F047D7BC7E}" srcOrd="0" destOrd="1" presId="urn:microsoft.com/office/officeart/2005/8/layout/list1"/>
    <dgm:cxn modelId="{66051A8A-5493-4EA1-AF09-8980872A71F4}" srcId="{E8FBA531-ACDF-4EA1-AFAD-22F04CC118EC}" destId="{BA391D04-F47B-4C76-ACA3-279DD615BFA3}" srcOrd="0" destOrd="0" parTransId="{94C94954-9410-420F-8A38-7D68E98C829E}" sibTransId="{1ABC7F86-7067-4D2B-833C-FBA8506C72E7}"/>
    <dgm:cxn modelId="{9C208C90-1F3A-4D4C-AA62-7D39833A593C}" type="presOf" srcId="{5AB1DE89-52FF-49DD-BCE7-CE9189470C5A}" destId="{44EED61F-7E28-43C0-B5CC-6A273A00BD34}" srcOrd="0" destOrd="4" presId="urn:microsoft.com/office/officeart/2005/8/layout/list1"/>
    <dgm:cxn modelId="{B574FA90-6875-4D9D-9AD3-A9E59DB08452}" srcId="{E8FBA531-ACDF-4EA1-AFAD-22F04CC118EC}" destId="{7EC4CE0C-606B-4BB5-853F-8C72F7E1C9E7}" srcOrd="2" destOrd="0" parTransId="{505FBF36-10D7-4F45-B3DD-4C72A4CADD75}" sibTransId="{E5EEBC05-0286-4FCC-8ED2-89B4DDB2CA0B}"/>
    <dgm:cxn modelId="{D2A6A693-3E3F-43A4-9177-AC30E08D26A9}" srcId="{3016DAB6-E0DF-494A-B207-40A95BF1D797}" destId="{5E7338A7-6FBF-481F-B480-2DAEC1D93306}" srcOrd="7" destOrd="0" parTransId="{8A7C8F79-360D-4E7C-AB91-14BFC1035CE9}" sibTransId="{41E0CF5E-E3C9-42AB-8058-5DF0B746F2C2}"/>
    <dgm:cxn modelId="{AF76E093-B529-4B15-847A-42685FA3C97A}" type="presOf" srcId="{BA391D04-F47B-4C76-ACA3-279DD615BFA3}" destId="{DE3E7D19-0903-4A9E-A6A3-C1F047D7BC7E}" srcOrd="0" destOrd="0" presId="urn:microsoft.com/office/officeart/2005/8/layout/list1"/>
    <dgm:cxn modelId="{C6C41495-9D36-4954-A78A-7F3CCD4A9AEC}" type="presOf" srcId="{E8FBA531-ACDF-4EA1-AFAD-22F04CC118EC}" destId="{DBA03D32-B77B-4454-A4AC-0F7D9F02F4EF}" srcOrd="1" destOrd="0" presId="urn:microsoft.com/office/officeart/2005/8/layout/list1"/>
    <dgm:cxn modelId="{C3398A99-9F4B-4904-BCC1-67083322ACBC}" type="presOf" srcId="{CA682572-C61B-4412-BEC2-BE7D0681BEC8}" destId="{44EED61F-7E28-43C0-B5CC-6A273A00BD34}" srcOrd="0" destOrd="0" presId="urn:microsoft.com/office/officeart/2005/8/layout/list1"/>
    <dgm:cxn modelId="{D1452D9F-D869-49F7-A2EB-D0A6E34659CD}" type="presOf" srcId="{828F5218-DB7B-44CB-B786-BA3AF05BB321}" destId="{DE3E7D19-0903-4A9E-A6A3-C1F047D7BC7E}" srcOrd="0" destOrd="9" presId="urn:microsoft.com/office/officeart/2005/8/layout/list1"/>
    <dgm:cxn modelId="{91375BA4-DDF7-4033-95DD-24168C29667E}" type="presOf" srcId="{41116FB9-9C58-4E9F-AB47-2C9A3DF75DF1}" destId="{DE3E7D19-0903-4A9E-A6A3-C1F047D7BC7E}" srcOrd="0" destOrd="8" presId="urn:microsoft.com/office/officeart/2005/8/layout/list1"/>
    <dgm:cxn modelId="{204B3AA6-66E9-4D61-9E97-67BB8EB7F6FB}" srcId="{E8FBA531-ACDF-4EA1-AFAD-22F04CC118EC}" destId="{41116FB9-9C58-4E9F-AB47-2C9A3DF75DF1}" srcOrd="8" destOrd="0" parTransId="{B73A1BD9-3793-4F4B-8917-E60D7CEE3D23}" sibTransId="{68478527-8AD8-4E7E-A773-8BB18E27779A}"/>
    <dgm:cxn modelId="{213C7CA6-F0F2-4E7F-AF96-0EA3BB88A42E}" type="presOf" srcId="{79D74167-D9D2-46E2-809B-D121F9C3A276}" destId="{44EED61F-7E28-43C0-B5CC-6A273A00BD34}" srcOrd="0" destOrd="1" presId="urn:microsoft.com/office/officeart/2005/8/layout/list1"/>
    <dgm:cxn modelId="{869590A9-A534-4D51-AE1E-7206548B6F02}" type="presOf" srcId="{8C6DDD0F-7C0A-49FF-8D25-9E47C1BFF79C}" destId="{6CA84F9B-9483-4A01-AF80-05C871FB2240}" srcOrd="0" destOrd="3" presId="urn:microsoft.com/office/officeart/2005/8/layout/list1"/>
    <dgm:cxn modelId="{2A8813AD-BD9E-4D49-BE09-E96BB07E6E44}" type="presOf" srcId="{F0D1928A-1AD8-4506-AA0E-601500AB96FD}" destId="{6CA84F9B-9483-4A01-AF80-05C871FB2240}" srcOrd="0" destOrd="5" presId="urn:microsoft.com/office/officeart/2005/8/layout/list1"/>
    <dgm:cxn modelId="{BDCC7FB3-05EF-47BB-A01A-39848FE64D12}" type="presOf" srcId="{FDD56F84-8D37-45B3-B8B5-725E4D1A518F}" destId="{DE3E7D19-0903-4A9E-A6A3-C1F047D7BC7E}" srcOrd="0" destOrd="6" presId="urn:microsoft.com/office/officeart/2005/8/layout/list1"/>
    <dgm:cxn modelId="{F808CFB5-6642-4625-B2DE-5399A59AC867}" type="presOf" srcId="{E4450519-A1A8-47CB-8E9D-FD71ADE3D7B5}" destId="{6CA84F9B-9483-4A01-AF80-05C871FB2240}" srcOrd="0" destOrd="0" presId="urn:microsoft.com/office/officeart/2005/8/layout/list1"/>
    <dgm:cxn modelId="{FE34DBB9-B105-4EDA-8307-CB8F893C5CA7}" type="presOf" srcId="{8EEDD2F1-BD4D-4732-A3C3-E16CE8A56CFF}" destId="{6CA84F9B-9483-4A01-AF80-05C871FB2240}" srcOrd="0" destOrd="11" presId="urn:microsoft.com/office/officeart/2005/8/layout/list1"/>
    <dgm:cxn modelId="{4E22A0BD-80DE-4D09-830E-0BAC3FAB170D}" srcId="{3016DAB6-E0DF-494A-B207-40A95BF1D797}" destId="{D608CBF4-2708-4822-9DF9-893AB28A1ADF}" srcOrd="3" destOrd="0" parTransId="{527425CC-2659-4FC2-8DD2-14900A1462A3}" sibTransId="{061B5D99-D261-4CF7-9C0A-0354F47DB786}"/>
    <dgm:cxn modelId="{216C0DBF-5686-4220-A1A1-FF0B58D14BA6}" type="presOf" srcId="{C95E0657-DA57-47AE-A467-F2D42B55F897}" destId="{6CA84F9B-9483-4A01-AF80-05C871FB2240}" srcOrd="0" destOrd="1" presId="urn:microsoft.com/office/officeart/2005/8/layout/list1"/>
    <dgm:cxn modelId="{0051C0BF-EF2D-4905-A885-CF479908EC6C}" type="presOf" srcId="{F9E5B16E-B119-4F14-BDF3-D70435FDE04C}" destId="{DE3E7D19-0903-4A9E-A6A3-C1F047D7BC7E}" srcOrd="0" destOrd="7" presId="urn:microsoft.com/office/officeart/2005/8/layout/list1"/>
    <dgm:cxn modelId="{394C53C1-2A72-4A8E-AF9F-37F6F61549C4}" srcId="{E8FBA531-ACDF-4EA1-AFAD-22F04CC118EC}" destId="{FDD56F84-8D37-45B3-B8B5-725E4D1A518F}" srcOrd="6" destOrd="0" parTransId="{67DD2F9A-BC1E-4004-B202-3FB2ECAE3EFD}" sibTransId="{66E66706-8F8C-4BA8-8B54-EE09ECA34D26}"/>
    <dgm:cxn modelId="{15B7A5C2-5631-40E8-B439-A840D10C7CBA}" type="presOf" srcId="{167D02F6-6960-496D-A456-289159CFEE51}" destId="{DE3E7D19-0903-4A9E-A6A3-C1F047D7BC7E}" srcOrd="0" destOrd="10" presId="urn:microsoft.com/office/officeart/2005/8/layout/list1"/>
    <dgm:cxn modelId="{6D2ED0C3-F585-4AD1-8916-3FF587F7E4BA}" srcId="{E8FBA531-ACDF-4EA1-AFAD-22F04CC118EC}" destId="{0CF5F802-F751-4F5F-B69B-B733F0BB77BD}" srcOrd="1" destOrd="0" parTransId="{9D69DEC0-B895-49B8-B13E-57B8D1F55D50}" sibTransId="{36D15719-1BD1-4263-821E-4E2234A823CD}"/>
    <dgm:cxn modelId="{2DC021C5-57AF-48DB-8AEB-A52D913B7ACF}" type="presOf" srcId="{D92209E8-8329-4F6F-A9CB-F2D76F9B7569}" destId="{6CA84F9B-9483-4A01-AF80-05C871FB2240}" srcOrd="0" destOrd="7" presId="urn:microsoft.com/office/officeart/2005/8/layout/list1"/>
    <dgm:cxn modelId="{0AA377C5-9BC3-4D42-AA66-465DC5D69C45}" type="presOf" srcId="{5E7338A7-6FBF-481F-B480-2DAEC1D93306}" destId="{44EED61F-7E28-43C0-B5CC-6A273A00BD34}" srcOrd="0" destOrd="7" presId="urn:microsoft.com/office/officeart/2005/8/layout/list1"/>
    <dgm:cxn modelId="{3A4620C6-BC96-4D6C-855C-247E455C3523}" type="presOf" srcId="{1894BFB0-47BE-440B-9016-E45D6A42E5C3}" destId="{DE3E7D19-0903-4A9E-A6A3-C1F047D7BC7E}" srcOrd="0" destOrd="3" presId="urn:microsoft.com/office/officeart/2005/8/layout/list1"/>
    <dgm:cxn modelId="{CF8E14C8-1A0A-4C64-B7E5-986022D1CFF8}" type="presOf" srcId="{FDBD8342-89F1-4DA8-B6D3-859A07BF4EB4}" destId="{B93E1FD4-E6EF-42DF-BD4B-51EDC23D2FD3}" srcOrd="0" destOrd="0" presId="urn:microsoft.com/office/officeart/2005/8/layout/list1"/>
    <dgm:cxn modelId="{5DA4CFC8-CBF9-43DD-A874-BC4BA950C0DD}" type="presOf" srcId="{624E5D79-E4BE-42A5-A5B8-19626478FB94}" destId="{6CA84F9B-9483-4A01-AF80-05C871FB2240}" srcOrd="0" destOrd="6" presId="urn:microsoft.com/office/officeart/2005/8/layout/list1"/>
    <dgm:cxn modelId="{9BDA08CD-92C9-484C-A666-A43662D331A2}" srcId="{FDBD8342-89F1-4DA8-B6D3-859A07BF4EB4}" destId="{8EEDD2F1-BD4D-4732-A3C3-E16CE8A56CFF}" srcOrd="11" destOrd="0" parTransId="{44646292-4D9D-4792-95BD-80DBD91966AF}" sibTransId="{1B857E2D-738B-4AA9-A451-C00C2A3B5B59}"/>
    <dgm:cxn modelId="{9EF495D2-98D8-4B5B-BB8C-8434F4E5FD67}" type="presOf" srcId="{35B612DA-AB79-489C-B051-7F5485200B7C}" destId="{44EED61F-7E28-43C0-B5CC-6A273A00BD34}" srcOrd="0" destOrd="10" presId="urn:microsoft.com/office/officeart/2005/8/layout/list1"/>
    <dgm:cxn modelId="{1CAF1AD5-E877-4EF4-A346-E04B80625928}" type="presOf" srcId="{531A83D9-FB8F-431E-8BFD-58B5285BD2FA}" destId="{44EED61F-7E28-43C0-B5CC-6A273A00BD34}" srcOrd="0" destOrd="5" presId="urn:microsoft.com/office/officeart/2005/8/layout/list1"/>
    <dgm:cxn modelId="{5E41CFD5-6454-4FC4-8E76-2A852D0E483A}" srcId="{3016DAB6-E0DF-494A-B207-40A95BF1D797}" destId="{35B612DA-AB79-489C-B051-7F5485200B7C}" srcOrd="10" destOrd="0" parTransId="{E265BA8C-6313-4F57-AC48-B9657E1CA8B0}" sibTransId="{A2EDCD28-865E-43ED-8B90-8F6DBC390A44}"/>
    <dgm:cxn modelId="{781308D7-BB8F-4887-A8F6-2DCDFF522811}" type="presOf" srcId="{5A9636C2-C23D-4C37-951A-820B1199002E}" destId="{44EED61F-7E28-43C0-B5CC-6A273A00BD34}" srcOrd="0" destOrd="6" presId="urn:microsoft.com/office/officeart/2005/8/layout/list1"/>
    <dgm:cxn modelId="{66150BD8-8FD9-4B6A-8D25-832EFC3C6830}" type="presOf" srcId="{7EC4CE0C-606B-4BB5-853F-8C72F7E1C9E7}" destId="{DE3E7D19-0903-4A9E-A6A3-C1F047D7BC7E}" srcOrd="0" destOrd="2" presId="urn:microsoft.com/office/officeart/2005/8/layout/list1"/>
    <dgm:cxn modelId="{5110E9D8-9F05-4D22-A0FE-71F195D11140}" srcId="{3016DAB6-E0DF-494A-B207-40A95BF1D797}" destId="{531A83D9-FB8F-431E-8BFD-58B5285BD2FA}" srcOrd="5" destOrd="0" parTransId="{8727948B-56CE-4B37-8AB1-05A648307682}" sibTransId="{241A228E-4213-49A2-9C63-37EA6E469078}"/>
    <dgm:cxn modelId="{952A22DB-67A0-4B86-9BB8-D5EFE9333664}" type="presOf" srcId="{E15D5684-8961-45D6-97C8-1D2BE0A99ABE}" destId="{DE3E7D19-0903-4A9E-A6A3-C1F047D7BC7E}" srcOrd="0" destOrd="5" presId="urn:microsoft.com/office/officeart/2005/8/layout/list1"/>
    <dgm:cxn modelId="{D6FA9ADB-02A7-44D4-B22D-2DDC8ED41D8A}" srcId="{3016DAB6-E0DF-494A-B207-40A95BF1D797}" destId="{CA682572-C61B-4412-BEC2-BE7D0681BEC8}" srcOrd="0" destOrd="0" parTransId="{6DAB15A5-D0A3-4C95-9704-0A52004CC561}" sibTransId="{F72A7015-DB7E-4D22-8968-B9398CAE11CE}"/>
    <dgm:cxn modelId="{54549DDB-9928-4589-A741-FFFEC485307E}" srcId="{FDBD8342-89F1-4DA8-B6D3-859A07BF4EB4}" destId="{D92209E8-8329-4F6F-A9CB-F2D76F9B7569}" srcOrd="7" destOrd="0" parTransId="{01C02355-AFA2-40BF-AF53-F9A2E09B7F32}" sibTransId="{15DD761A-551D-45B9-9AC3-3DE19CA021C5}"/>
    <dgm:cxn modelId="{3FEB03DE-FCF1-4D92-8209-9183DCFBCB03}" type="presOf" srcId="{135FADD2-380C-4B76-8C7E-99DD5907F557}" destId="{6CA84F9B-9483-4A01-AF80-05C871FB2240}" srcOrd="0" destOrd="10" presId="urn:microsoft.com/office/officeart/2005/8/layout/list1"/>
    <dgm:cxn modelId="{665CEFE3-F64F-401F-92EF-7B399C72918C}" srcId="{FDBD8342-89F1-4DA8-B6D3-859A07BF4EB4}" destId="{C95E0657-DA57-47AE-A467-F2D42B55F897}" srcOrd="1" destOrd="0" parTransId="{0995D9E6-A12A-4B80-8FC6-85BFEA41BE85}" sibTransId="{674D9FF7-FA26-42F7-B83E-281F0FFDC171}"/>
    <dgm:cxn modelId="{9777AAE9-F43B-48C6-BA34-3E1BBED22256}" srcId="{FDBD8342-89F1-4DA8-B6D3-859A07BF4EB4}" destId="{EEC46920-F4FC-40AD-9F1C-C2DB8935A48C}" srcOrd="2" destOrd="0" parTransId="{0AB131F7-920B-4EFC-AB5D-20DD0D6CAA69}" sibTransId="{9C5740D9-AD29-4FF9-839B-C4CAC4AC41F7}"/>
    <dgm:cxn modelId="{AFAEF6E9-9869-461E-8472-4899D01E244E}" type="presOf" srcId="{08F73830-5D4F-4BD0-9733-21B7E450243E}" destId="{44EED61F-7E28-43C0-B5CC-6A273A00BD34}" srcOrd="0" destOrd="9" presId="urn:microsoft.com/office/officeart/2005/8/layout/list1"/>
    <dgm:cxn modelId="{5A58D6EC-B6A8-40BC-867A-EF38D9A8396F}" srcId="{3016DAB6-E0DF-494A-B207-40A95BF1D797}" destId="{140E43AD-01F9-495D-9ECE-11F101D6DA26}" srcOrd="8" destOrd="0" parTransId="{5C563CDA-C382-4242-8422-3598F24FD5A2}" sibTransId="{AC2A5568-6B27-4826-B7D1-E82376275AA4}"/>
    <dgm:cxn modelId="{FADFFDEE-C636-4E3E-A23E-61FE34471992}" srcId="{E8FBA531-ACDF-4EA1-AFAD-22F04CC118EC}" destId="{B9379497-0C9F-45D0-AAE0-8FA612D07BD1}" srcOrd="4" destOrd="0" parTransId="{00812FBA-E13F-455F-BD7C-7D1A24A4ECCD}" sibTransId="{6EB0F03F-77FF-4A9C-A60D-51DE35CB562C}"/>
    <dgm:cxn modelId="{8E7BD9EF-3B67-46D9-B160-F21193B4A1D6}" srcId="{FDBD8342-89F1-4DA8-B6D3-859A07BF4EB4}" destId="{624E5D79-E4BE-42A5-A5B8-19626478FB94}" srcOrd="6" destOrd="0" parTransId="{822D1E0E-B6FC-4E84-B309-3FA9451A6B19}" sibTransId="{B41BD32C-B027-4F96-84E1-4DF932433B5F}"/>
    <dgm:cxn modelId="{A6F821F1-1CE6-4CE8-AFBC-697EE9D1F34B}" srcId="{5A062240-1BF1-4543-AB62-A1E895254691}" destId="{E8FBA531-ACDF-4EA1-AFAD-22F04CC118EC}" srcOrd="1" destOrd="0" parTransId="{7534B1B4-0B01-4A46-B4B1-A09CDCAF3092}" sibTransId="{8D22FEA5-DC2F-469F-8D61-7C8830AA3383}"/>
    <dgm:cxn modelId="{A98399F3-9108-4C34-9EB9-9C87C33CB104}" srcId="{FDBD8342-89F1-4DA8-B6D3-859A07BF4EB4}" destId="{F0D1928A-1AD8-4506-AA0E-601500AB96FD}" srcOrd="5" destOrd="0" parTransId="{56273D31-BEEF-4F7F-ACB6-66AC00BBACC5}" sibTransId="{854A4D3B-C084-49BD-B7F5-73AE4D90CB0B}"/>
    <dgm:cxn modelId="{A0F5E4F9-EE08-43E8-86D4-846D1565772A}" srcId="{E8FBA531-ACDF-4EA1-AFAD-22F04CC118EC}" destId="{E15D5684-8961-45D6-97C8-1D2BE0A99ABE}" srcOrd="5" destOrd="0" parTransId="{1232A3B5-FAFD-4CB1-8F58-4699BB8CB482}" sibTransId="{845BAFAB-A3D1-4FE3-AD50-533A3A244759}"/>
    <dgm:cxn modelId="{5B9624FF-105B-4356-86E9-892A7FCF3CB2}" type="presOf" srcId="{8D3428DF-564F-43A7-89CA-CF00B70CDBCE}" destId="{6CA84F9B-9483-4A01-AF80-05C871FB2240}" srcOrd="0" destOrd="12" presId="urn:microsoft.com/office/officeart/2005/8/layout/list1"/>
    <dgm:cxn modelId="{447651A6-9326-4C69-B6F1-9C321B407D2D}" type="presParOf" srcId="{C054FF13-77A4-42FC-BCD8-4745E952C00A}" destId="{E979F2AA-4AA0-4576-A5EA-7CFE23394631}" srcOrd="0" destOrd="0" presId="urn:microsoft.com/office/officeart/2005/8/layout/list1"/>
    <dgm:cxn modelId="{42D27867-9C44-4BA8-B611-3874E8FA5D93}" type="presParOf" srcId="{E979F2AA-4AA0-4576-A5EA-7CFE23394631}" destId="{B93E1FD4-E6EF-42DF-BD4B-51EDC23D2FD3}" srcOrd="0" destOrd="0" presId="urn:microsoft.com/office/officeart/2005/8/layout/list1"/>
    <dgm:cxn modelId="{C77D675D-2E5F-4CEB-A281-FC945AC57962}" type="presParOf" srcId="{E979F2AA-4AA0-4576-A5EA-7CFE23394631}" destId="{95CF957A-013E-40A6-909A-CACE11093386}" srcOrd="1" destOrd="0" presId="urn:microsoft.com/office/officeart/2005/8/layout/list1"/>
    <dgm:cxn modelId="{9724C391-EE89-487C-90BF-3B06326EA4D4}" type="presParOf" srcId="{C054FF13-77A4-42FC-BCD8-4745E952C00A}" destId="{D3104CD9-5B7B-4E6A-B76D-D463F496061C}" srcOrd="1" destOrd="0" presId="urn:microsoft.com/office/officeart/2005/8/layout/list1"/>
    <dgm:cxn modelId="{3C069BF4-C276-4EC3-B77E-69526B8FB8C1}" type="presParOf" srcId="{C054FF13-77A4-42FC-BCD8-4745E952C00A}" destId="{6CA84F9B-9483-4A01-AF80-05C871FB2240}" srcOrd="2" destOrd="0" presId="urn:microsoft.com/office/officeart/2005/8/layout/list1"/>
    <dgm:cxn modelId="{A872D383-FC56-4701-9C1A-C82B8F06006C}" type="presParOf" srcId="{C054FF13-77A4-42FC-BCD8-4745E952C00A}" destId="{16F3A185-0BD4-42BD-8E56-917C969FC140}" srcOrd="3" destOrd="0" presId="urn:microsoft.com/office/officeart/2005/8/layout/list1"/>
    <dgm:cxn modelId="{9B25DEF4-809F-45EB-AA94-FBB447C1953F}" type="presParOf" srcId="{C054FF13-77A4-42FC-BCD8-4745E952C00A}" destId="{2964A396-708B-4B63-B8F6-543DFCFCF673}" srcOrd="4" destOrd="0" presId="urn:microsoft.com/office/officeart/2005/8/layout/list1"/>
    <dgm:cxn modelId="{E5195D46-DCED-4B8C-84C9-CA82F2616145}" type="presParOf" srcId="{2964A396-708B-4B63-B8F6-543DFCFCF673}" destId="{637EBE25-3C65-4CB4-87CF-2A3699670B8C}" srcOrd="0" destOrd="0" presId="urn:microsoft.com/office/officeart/2005/8/layout/list1"/>
    <dgm:cxn modelId="{EA23EC9F-35EA-441E-BC3C-466CF49AE235}" type="presParOf" srcId="{2964A396-708B-4B63-B8F6-543DFCFCF673}" destId="{DBA03D32-B77B-4454-A4AC-0F7D9F02F4EF}" srcOrd="1" destOrd="0" presId="urn:microsoft.com/office/officeart/2005/8/layout/list1"/>
    <dgm:cxn modelId="{AF93A641-E3FE-453E-AFA0-D4728AB9739E}" type="presParOf" srcId="{C054FF13-77A4-42FC-BCD8-4745E952C00A}" destId="{36FFDE1C-BE57-4EA7-BDC9-A7148845716D}" srcOrd="5" destOrd="0" presId="urn:microsoft.com/office/officeart/2005/8/layout/list1"/>
    <dgm:cxn modelId="{BDA08C02-689A-4DB6-9486-2AF0875877CF}" type="presParOf" srcId="{C054FF13-77A4-42FC-BCD8-4745E952C00A}" destId="{DE3E7D19-0903-4A9E-A6A3-C1F047D7BC7E}" srcOrd="6" destOrd="0" presId="urn:microsoft.com/office/officeart/2005/8/layout/list1"/>
    <dgm:cxn modelId="{FD2080AB-952D-4302-9316-E645C47B3F43}" type="presParOf" srcId="{C054FF13-77A4-42FC-BCD8-4745E952C00A}" destId="{51A14898-C56C-4167-BF55-99520B2E1A3E}" srcOrd="7" destOrd="0" presId="urn:microsoft.com/office/officeart/2005/8/layout/list1"/>
    <dgm:cxn modelId="{1E05CCFF-4F0F-40B3-B66A-C0B188B2C822}" type="presParOf" srcId="{C054FF13-77A4-42FC-BCD8-4745E952C00A}" destId="{ED78390F-1D04-4DBD-8B59-1CA529B01E32}" srcOrd="8" destOrd="0" presId="urn:microsoft.com/office/officeart/2005/8/layout/list1"/>
    <dgm:cxn modelId="{AD095232-BF49-43F5-B50A-FA7A0465B645}" type="presParOf" srcId="{ED78390F-1D04-4DBD-8B59-1CA529B01E32}" destId="{5A781BE3-313C-40A1-A8CE-FA9EE9B56BA1}" srcOrd="0" destOrd="0" presId="urn:microsoft.com/office/officeart/2005/8/layout/list1"/>
    <dgm:cxn modelId="{62F57F96-D7FD-4ED3-A06E-837CAC4FE9D0}" type="presParOf" srcId="{ED78390F-1D04-4DBD-8B59-1CA529B01E32}" destId="{A03A9D49-4891-40CD-94D8-5CA6050AC065}" srcOrd="1" destOrd="0" presId="urn:microsoft.com/office/officeart/2005/8/layout/list1"/>
    <dgm:cxn modelId="{3AB06E94-8DB7-47FB-9BA1-FC81857D7CD0}" type="presParOf" srcId="{C054FF13-77A4-42FC-BCD8-4745E952C00A}" destId="{CFEA07F5-BE1A-4A53-A6F5-8976AF0E0387}" srcOrd="9" destOrd="0" presId="urn:microsoft.com/office/officeart/2005/8/layout/list1"/>
    <dgm:cxn modelId="{5935E53A-C0C6-4898-BA0E-5F699D698651}" type="presParOf" srcId="{C054FF13-77A4-42FC-BCD8-4745E952C00A}" destId="{44EED61F-7E28-43C0-B5CC-6A273A00BD34}" srcOrd="10" destOrd="0" presId="urn:microsoft.com/office/officeart/2005/8/layout/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660389C-3235-457A-B9A4-C20CA2B3DD7A}" type="doc">
      <dgm:prSet loTypeId="urn:microsoft.com/office/officeart/2008/layout/VerticalAccentList" loCatId="list" qsTypeId="urn:microsoft.com/office/officeart/2005/8/quickstyle/simple1" qsCatId="simple" csTypeId="urn:microsoft.com/office/officeart/2005/8/colors/colorful2" csCatId="colorful" phldr="1"/>
      <dgm:spPr/>
      <dgm:t>
        <a:bodyPr/>
        <a:lstStyle/>
        <a:p>
          <a:endParaRPr lang="ru-RU"/>
        </a:p>
      </dgm:t>
    </dgm:pt>
    <dgm:pt modelId="{6044F959-4BA3-4FB3-B7C3-1548040128F2}">
      <dgm:prSet phldrT="[Текст]" custT="1"/>
      <dgm:spPr/>
      <dgm:t>
        <a:bodyPr/>
        <a:lstStyle/>
        <a:p>
          <a:r>
            <a:rPr lang="ru-RU" sz="2000"/>
            <a:t>Изменения в прайсе от </a:t>
          </a:r>
          <a:r>
            <a:rPr lang="en-US" sz="2000"/>
            <a:t>01</a:t>
          </a:r>
          <a:r>
            <a:rPr lang="ru-RU" sz="2000"/>
            <a:t>.05.2026</a:t>
          </a:r>
        </a:p>
      </dgm:t>
    </dgm:pt>
    <dgm:pt modelId="{A8EDB1D4-8561-4054-A74D-AC45530030C4}" type="parTrans" cxnId="{3CC99501-B026-45F7-8EC0-476236957D5F}">
      <dgm:prSet/>
      <dgm:spPr/>
      <dgm:t>
        <a:bodyPr/>
        <a:lstStyle/>
        <a:p>
          <a:endParaRPr lang="ru-RU">
            <a:solidFill>
              <a:schemeClr val="accent6">
                <a:lumMod val="75000"/>
              </a:schemeClr>
            </a:solidFill>
          </a:endParaRPr>
        </a:p>
      </dgm:t>
    </dgm:pt>
    <dgm:pt modelId="{2431BEC1-914F-4D22-83F1-486FD6DAB99B}" type="sibTrans" cxnId="{3CC99501-B026-45F7-8EC0-476236957D5F}">
      <dgm:prSet/>
      <dgm:spPr/>
      <dgm:t>
        <a:bodyPr/>
        <a:lstStyle/>
        <a:p>
          <a:endParaRPr lang="ru-RU">
            <a:solidFill>
              <a:schemeClr val="accent6">
                <a:lumMod val="75000"/>
              </a:schemeClr>
            </a:solidFill>
          </a:endParaRPr>
        </a:p>
      </dgm:t>
    </dgm:pt>
    <dgm:pt modelId="{BE511E4F-EFFF-4ACB-91F9-A6DCF2546316}" type="pres">
      <dgm:prSet presAssocID="{9660389C-3235-457A-B9A4-C20CA2B3DD7A}" presName="Name0" presStyleCnt="0">
        <dgm:presLayoutVars>
          <dgm:chMax/>
          <dgm:chPref/>
          <dgm:dir/>
        </dgm:presLayoutVars>
      </dgm:prSet>
      <dgm:spPr/>
    </dgm:pt>
    <dgm:pt modelId="{B4A75D46-BF91-4D76-95F8-97A25295B400}" type="pres">
      <dgm:prSet presAssocID="{6044F959-4BA3-4FB3-B7C3-1548040128F2}" presName="parenttextcomposite" presStyleCnt="0"/>
      <dgm:spPr/>
    </dgm:pt>
    <dgm:pt modelId="{3DB2D79C-7DD2-49F2-B332-13F77A96A788}" type="pres">
      <dgm:prSet presAssocID="{6044F959-4BA3-4FB3-B7C3-1548040128F2}" presName="parenttext" presStyleLbl="revTx" presStyleIdx="0" presStyleCnt="1" custScaleX="131613">
        <dgm:presLayoutVars>
          <dgm:chMax/>
          <dgm:chPref val="2"/>
          <dgm:bulletEnabled val="1"/>
        </dgm:presLayoutVars>
      </dgm:prSet>
      <dgm:spPr/>
    </dgm:pt>
    <dgm:pt modelId="{4D3BDCB0-94FE-4929-98EE-ABCCCDBDA99B}" type="pres">
      <dgm:prSet presAssocID="{6044F959-4BA3-4FB3-B7C3-1548040128F2}" presName="parallelogramComposite" presStyleCnt="0"/>
      <dgm:spPr/>
    </dgm:pt>
    <dgm:pt modelId="{9BB976F6-79A4-4639-A091-4D4E27B2E6B7}" type="pres">
      <dgm:prSet presAssocID="{6044F959-4BA3-4FB3-B7C3-1548040128F2}" presName="parallelogram1" presStyleLbl="alignNode1" presStyleIdx="0" presStyleCnt="7"/>
      <dgm:spPr/>
    </dgm:pt>
    <dgm:pt modelId="{49E12DB4-6927-404C-8846-C845490B4824}" type="pres">
      <dgm:prSet presAssocID="{6044F959-4BA3-4FB3-B7C3-1548040128F2}" presName="parallelogram2" presStyleLbl="alignNode1" presStyleIdx="1" presStyleCnt="7"/>
      <dgm:spPr/>
    </dgm:pt>
    <dgm:pt modelId="{341917D9-A3E0-4601-BC20-BEBD6A2B9C77}" type="pres">
      <dgm:prSet presAssocID="{6044F959-4BA3-4FB3-B7C3-1548040128F2}" presName="parallelogram3" presStyleLbl="alignNode1" presStyleIdx="2" presStyleCnt="7"/>
      <dgm:spPr/>
    </dgm:pt>
    <dgm:pt modelId="{52FDC7AD-460A-4B79-84AC-A4E776CF5AB2}" type="pres">
      <dgm:prSet presAssocID="{6044F959-4BA3-4FB3-B7C3-1548040128F2}" presName="parallelogram4" presStyleLbl="alignNode1" presStyleIdx="3" presStyleCnt="7"/>
      <dgm:spPr/>
    </dgm:pt>
    <dgm:pt modelId="{468E04A0-3839-4150-8EEF-00C7C297F81D}" type="pres">
      <dgm:prSet presAssocID="{6044F959-4BA3-4FB3-B7C3-1548040128F2}" presName="parallelogram5" presStyleLbl="alignNode1" presStyleIdx="4" presStyleCnt="7"/>
      <dgm:spPr/>
    </dgm:pt>
    <dgm:pt modelId="{65C364CF-C654-479E-A8C6-5334E84AF91B}" type="pres">
      <dgm:prSet presAssocID="{6044F959-4BA3-4FB3-B7C3-1548040128F2}" presName="parallelogram6" presStyleLbl="alignNode1" presStyleIdx="5" presStyleCnt="7"/>
      <dgm:spPr/>
    </dgm:pt>
    <dgm:pt modelId="{C63E53B5-28CA-431C-A08C-E1D551FFEB14}" type="pres">
      <dgm:prSet presAssocID="{6044F959-4BA3-4FB3-B7C3-1548040128F2}" presName="parallelogram7" presStyleLbl="alignNode1" presStyleIdx="6" presStyleCnt="7"/>
      <dgm:spPr/>
    </dgm:pt>
  </dgm:ptLst>
  <dgm:cxnLst>
    <dgm:cxn modelId="{3CC99501-B026-45F7-8EC0-476236957D5F}" srcId="{9660389C-3235-457A-B9A4-C20CA2B3DD7A}" destId="{6044F959-4BA3-4FB3-B7C3-1548040128F2}" srcOrd="0" destOrd="0" parTransId="{A8EDB1D4-8561-4054-A74D-AC45530030C4}" sibTransId="{2431BEC1-914F-4D22-83F1-486FD6DAB99B}"/>
    <dgm:cxn modelId="{BF5E100A-EF0C-4FC8-A6DE-05907A73A71A}" type="presOf" srcId="{9660389C-3235-457A-B9A4-C20CA2B3DD7A}" destId="{BE511E4F-EFFF-4ACB-91F9-A6DCF2546316}" srcOrd="0" destOrd="0" presId="urn:microsoft.com/office/officeart/2008/layout/VerticalAccentList"/>
    <dgm:cxn modelId="{B6A28C1A-5486-4FF1-9DD5-8CE0FC86FE62}" type="presOf" srcId="{6044F959-4BA3-4FB3-B7C3-1548040128F2}" destId="{3DB2D79C-7DD2-49F2-B332-13F77A96A788}" srcOrd="0" destOrd="0" presId="urn:microsoft.com/office/officeart/2008/layout/VerticalAccentList"/>
    <dgm:cxn modelId="{E91214EA-A469-47CD-8033-ACBF07AADFBE}" type="presParOf" srcId="{BE511E4F-EFFF-4ACB-91F9-A6DCF2546316}" destId="{B4A75D46-BF91-4D76-95F8-97A25295B400}" srcOrd="0" destOrd="0" presId="urn:microsoft.com/office/officeart/2008/layout/VerticalAccentList"/>
    <dgm:cxn modelId="{BF1C1E57-8250-4DD1-8413-4B5119E43F82}" type="presParOf" srcId="{B4A75D46-BF91-4D76-95F8-97A25295B400}" destId="{3DB2D79C-7DD2-49F2-B332-13F77A96A788}" srcOrd="0" destOrd="0" presId="urn:microsoft.com/office/officeart/2008/layout/VerticalAccentList"/>
    <dgm:cxn modelId="{DD2B3BDD-4B99-4999-A3F3-DAAC6CB7E40D}" type="presParOf" srcId="{BE511E4F-EFFF-4ACB-91F9-A6DCF2546316}" destId="{4D3BDCB0-94FE-4929-98EE-ABCCCDBDA99B}" srcOrd="1" destOrd="0" presId="urn:microsoft.com/office/officeart/2008/layout/VerticalAccentList"/>
    <dgm:cxn modelId="{B03164FB-BA99-448A-8A3B-1438D236FF9A}" type="presParOf" srcId="{4D3BDCB0-94FE-4929-98EE-ABCCCDBDA99B}" destId="{9BB976F6-79A4-4639-A091-4D4E27B2E6B7}" srcOrd="0" destOrd="0" presId="urn:microsoft.com/office/officeart/2008/layout/VerticalAccentList"/>
    <dgm:cxn modelId="{5C05A7AF-803F-4099-B6BE-C4FE93A874CC}" type="presParOf" srcId="{4D3BDCB0-94FE-4929-98EE-ABCCCDBDA99B}" destId="{49E12DB4-6927-404C-8846-C845490B4824}" srcOrd="1" destOrd="0" presId="urn:microsoft.com/office/officeart/2008/layout/VerticalAccentList"/>
    <dgm:cxn modelId="{504D0672-C590-497D-848E-CFC0DE90E45F}" type="presParOf" srcId="{4D3BDCB0-94FE-4929-98EE-ABCCCDBDA99B}" destId="{341917D9-A3E0-4601-BC20-BEBD6A2B9C77}" srcOrd="2" destOrd="0" presId="urn:microsoft.com/office/officeart/2008/layout/VerticalAccentList"/>
    <dgm:cxn modelId="{AF604DAE-8EC0-499C-AD47-48E5EF8DF7E4}" type="presParOf" srcId="{4D3BDCB0-94FE-4929-98EE-ABCCCDBDA99B}" destId="{52FDC7AD-460A-4B79-84AC-A4E776CF5AB2}" srcOrd="3" destOrd="0" presId="urn:microsoft.com/office/officeart/2008/layout/VerticalAccentList"/>
    <dgm:cxn modelId="{45EAAAE5-25FF-4061-9614-7814069C2E00}" type="presParOf" srcId="{4D3BDCB0-94FE-4929-98EE-ABCCCDBDA99B}" destId="{468E04A0-3839-4150-8EEF-00C7C297F81D}" srcOrd="4" destOrd="0" presId="urn:microsoft.com/office/officeart/2008/layout/VerticalAccentList"/>
    <dgm:cxn modelId="{B62DCB65-77C0-4336-86D1-C14A6CE0ADEC}" type="presParOf" srcId="{4D3BDCB0-94FE-4929-98EE-ABCCCDBDA99B}" destId="{65C364CF-C654-479E-A8C6-5334E84AF91B}" srcOrd="5" destOrd="0" presId="urn:microsoft.com/office/officeart/2008/layout/VerticalAccentList"/>
    <dgm:cxn modelId="{B409AAAD-DC5D-4CED-A41D-FB5A8B90165B}" type="presParOf" srcId="{4D3BDCB0-94FE-4929-98EE-ABCCCDBDA99B}" destId="{C63E53B5-28CA-431C-A08C-E1D551FFEB14}" srcOrd="6" destOrd="0" presId="urn:microsoft.com/office/officeart/2008/layout/VerticalAccentList"/>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CA84F9B-9483-4A01-AF80-05C871FB2240}">
      <dsp:nvSpPr>
        <dsp:cNvPr id="0" name=""/>
        <dsp:cNvSpPr/>
      </dsp:nvSpPr>
      <dsp:spPr>
        <a:xfrm>
          <a:off x="0" y="142552"/>
          <a:ext cx="6181725" cy="4189491"/>
        </a:xfrm>
        <a:prstGeom prst="rect">
          <a:avLst/>
        </a:prstGeom>
        <a:solidFill>
          <a:schemeClr val="lt1">
            <a:alpha val="90000"/>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79771" tIns="249936" rIns="479771" bIns="99568" numCol="1" spcCol="1270" anchor="t" anchorCtr="0">
          <a:noAutofit/>
        </a:bodyPr>
        <a:lstStyle/>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r>
            <a:rPr lang="ru-RU" sz="1400" b="1" i="0" kern="1200">
              <a:solidFill>
                <a:sysClr val="windowText" lastClr="000000"/>
              </a:solidFill>
            </a:rPr>
            <a:t>АмФуд</a:t>
          </a:r>
          <a:r>
            <a:rPr lang="ru-RU" sz="1400" b="0" i="0" kern="1200">
              <a:solidFill>
                <a:sysClr val="windowText" lastClr="000000"/>
              </a:solidFill>
            </a:rPr>
            <a:t> - </a:t>
          </a:r>
          <a:r>
            <a:rPr lang="ru-RU" sz="1400" b="1" i="0" kern="1200">
              <a:solidFill>
                <a:sysClr val="windowText" lastClr="000000"/>
              </a:solidFill>
            </a:rPr>
            <a:t>скидка 20% </a:t>
          </a:r>
          <a:r>
            <a:rPr lang="ru-RU" sz="1400" b="0" i="0" kern="1200">
              <a:solidFill>
                <a:sysClr val="windowText" lastClr="000000"/>
              </a:solidFill>
            </a:rPr>
            <a:t>- на часть ассортимента</a:t>
          </a:r>
        </a:p>
        <a:p>
          <a:pPr marL="114300" lvl="1" indent="-114300" algn="l" defTabSz="622300">
            <a:lnSpc>
              <a:spcPct val="90000"/>
            </a:lnSpc>
            <a:spcBef>
              <a:spcPct val="0"/>
            </a:spcBef>
            <a:spcAft>
              <a:spcPct val="15000"/>
            </a:spcAft>
            <a:buChar char="•"/>
          </a:pPr>
          <a:r>
            <a:rPr lang="en-US" sz="1400" b="1" i="0" kern="1200">
              <a:solidFill>
                <a:sysClr val="windowText" lastClr="000000"/>
              </a:solidFill>
            </a:rPr>
            <a:t>Bite - </a:t>
          </a:r>
          <a:r>
            <a:rPr lang="ru-RU" sz="1400" b="1" i="0" kern="1200">
              <a:solidFill>
                <a:sysClr val="windowText" lastClr="000000"/>
              </a:solidFill>
            </a:rPr>
            <a:t>скидка до 20% </a:t>
          </a:r>
          <a:r>
            <a:rPr lang="ru-RU" sz="1400" b="0" kern="1200">
              <a:solidFill>
                <a:sysClr val="windowText" lastClr="000000"/>
              </a:solidFill>
            </a:rPr>
            <a:t>- на часть ассортимента</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Безглютини - скидка 15% </a:t>
          </a:r>
          <a:r>
            <a:rPr lang="ru-RU" sz="1400" b="0" kern="1200">
              <a:solidFill>
                <a:sysClr val="windowText" lastClr="000000"/>
              </a:solidFill>
            </a:rPr>
            <a:t>- на весь ассортимент</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Берестов</a:t>
          </a:r>
          <a:r>
            <a:rPr lang="ru-RU" sz="1400" b="0" kern="1200">
              <a:solidFill>
                <a:sysClr val="windowText" lastClr="000000"/>
              </a:solidFill>
            </a:rPr>
            <a:t> - </a:t>
          </a:r>
          <a:r>
            <a:rPr lang="ru-RU" sz="1400" b="1" kern="1200">
              <a:solidFill>
                <a:sysClr val="windowText" lastClr="000000"/>
              </a:solidFill>
            </a:rPr>
            <a:t>скидка 15% при заказе полной коробкой</a:t>
          </a:r>
          <a:r>
            <a:rPr lang="ru-RU" sz="1400" b="0" kern="1200">
              <a:solidFill>
                <a:sysClr val="windowText" lastClr="000000"/>
              </a:solidFill>
            </a:rPr>
            <a:t> - на часть ассортименте</a:t>
          </a:r>
        </a:p>
        <a:p>
          <a:pPr marL="114300" lvl="1" indent="-114300" algn="l" defTabSz="622300">
            <a:lnSpc>
              <a:spcPct val="90000"/>
            </a:lnSpc>
            <a:spcBef>
              <a:spcPct val="0"/>
            </a:spcBef>
            <a:spcAft>
              <a:spcPct val="15000"/>
            </a:spcAft>
            <a:buChar char="•"/>
          </a:pPr>
          <a:r>
            <a:rPr lang="ru-RU" sz="1400" b="1" i="0" kern="1200">
              <a:solidFill>
                <a:sysClr val="windowText" lastClr="000000"/>
              </a:solidFill>
            </a:rPr>
            <a:t>ДиДи - скидка 10% </a:t>
          </a:r>
          <a:r>
            <a:rPr lang="ru-RU" sz="1400" b="0" kern="1200">
              <a:solidFill>
                <a:sysClr val="windowText" lastClr="000000"/>
              </a:solidFill>
            </a:rPr>
            <a:t>- на все батончики, хлебцы и мармелад</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Диетика - скидка до 35% </a:t>
          </a:r>
          <a:r>
            <a:rPr lang="ru-RU" sz="1400" b="0" kern="1200">
              <a:solidFill>
                <a:sysClr val="windowText" lastClr="000000"/>
              </a:solidFill>
            </a:rPr>
            <a:t>- на часть ассортимента</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Живые соки - скидка 10% </a:t>
          </a:r>
          <a:r>
            <a:rPr lang="ru-RU" sz="1400" b="0" kern="1200">
              <a:solidFill>
                <a:sysClr val="windowText" lastClr="000000"/>
              </a:solidFill>
            </a:rPr>
            <a:t>- на шампанское</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Каса кубана - скидка до 50% </a:t>
          </a:r>
          <a:r>
            <a:rPr lang="ru-RU" sz="1400" b="0" kern="1200">
              <a:solidFill>
                <a:sysClr val="windowText" lastClr="000000"/>
              </a:solidFill>
            </a:rPr>
            <a:t>- распродажа с короткими сроками годности</a:t>
          </a:r>
        </a:p>
        <a:p>
          <a:pPr marL="114300" lvl="1" indent="-114300" algn="l" defTabSz="622300">
            <a:lnSpc>
              <a:spcPct val="90000"/>
            </a:lnSpc>
            <a:spcBef>
              <a:spcPct val="0"/>
            </a:spcBef>
            <a:spcAft>
              <a:spcPct val="15000"/>
            </a:spcAft>
            <a:buChar char="•"/>
          </a:pPr>
          <a:r>
            <a:rPr lang="ru-RU" sz="1400" b="1" kern="1200">
              <a:solidFill>
                <a:sysClr val="windowText" lastClr="000000"/>
              </a:solidFill>
            </a:rPr>
            <a:t>Пур-пур - скидка 50% </a:t>
          </a:r>
          <a:r>
            <a:rPr lang="ru-RU" sz="1400" b="0" kern="1200">
              <a:solidFill>
                <a:sysClr val="windowText" lastClr="000000"/>
              </a:solidFill>
            </a:rPr>
            <a:t>- на конфеты</a:t>
          </a:r>
        </a:p>
        <a:p>
          <a:pPr marL="114300" lvl="1" indent="-114300" algn="l" defTabSz="622300">
            <a:lnSpc>
              <a:spcPct val="90000"/>
            </a:lnSpc>
            <a:spcBef>
              <a:spcPct val="0"/>
            </a:spcBef>
            <a:spcAft>
              <a:spcPct val="15000"/>
            </a:spcAft>
            <a:buChar char="•"/>
          </a:pPr>
          <a:r>
            <a:rPr lang="ru-RU" sz="1400" b="1" kern="1200">
              <a:solidFill>
                <a:sysClr val="windowText" lastClr="000000"/>
              </a:solidFill>
            </a:rPr>
            <a:t>Радоград - скидка 10% </a:t>
          </a:r>
          <a:r>
            <a:rPr lang="ru-RU" sz="1400" b="0" kern="1200">
              <a:solidFill>
                <a:sysClr val="windowText" lastClr="000000"/>
              </a:solidFill>
            </a:rPr>
            <a:t>- на леденцы БАД</a:t>
          </a:r>
        </a:p>
        <a:p>
          <a:pPr marL="114300" lvl="1" indent="-114300" algn="l" defTabSz="622300">
            <a:lnSpc>
              <a:spcPct val="90000"/>
            </a:lnSpc>
            <a:spcBef>
              <a:spcPct val="0"/>
            </a:spcBef>
            <a:spcAft>
              <a:spcPct val="15000"/>
            </a:spcAft>
            <a:buChar char="•"/>
          </a:pPr>
          <a:r>
            <a:rPr lang="ru-RU" sz="1400" b="1" kern="1200">
              <a:solidFill>
                <a:sysClr val="windowText" lastClr="000000"/>
              </a:solidFill>
            </a:rPr>
            <a:t>Сибирский кедр - скидка от 10% </a:t>
          </a:r>
          <a:r>
            <a:rPr lang="ru-RU" sz="1400" b="0" kern="1200">
              <a:solidFill>
                <a:sysClr val="windowText" lastClr="000000"/>
              </a:solidFill>
            </a:rPr>
            <a:t>- на часть ассортимента</a:t>
          </a:r>
        </a:p>
        <a:p>
          <a:pPr marL="114300" lvl="1" indent="-114300" algn="l" defTabSz="622300">
            <a:lnSpc>
              <a:spcPct val="90000"/>
            </a:lnSpc>
            <a:spcBef>
              <a:spcPct val="0"/>
            </a:spcBef>
            <a:spcAft>
              <a:spcPct val="15000"/>
            </a:spcAft>
            <a:buChar char="•"/>
          </a:pPr>
          <a:r>
            <a:rPr lang="ru-RU" sz="1400" i="1" kern="1200">
              <a:solidFill>
                <a:sysClr val="windowText" lastClr="000000"/>
              </a:solidFill>
            </a:rPr>
            <a:t>остальные скидки смотрите в прайс-листе</a:t>
          </a:r>
          <a:endParaRPr lang="ru-RU" sz="1400" i="0" kern="1200">
            <a:solidFill>
              <a:sysClr val="windowText" lastClr="000000"/>
            </a:solidFill>
          </a:endParaRPr>
        </a:p>
      </dsp:txBody>
      <dsp:txXfrm>
        <a:off x="0" y="142552"/>
        <a:ext cx="6181725" cy="4189491"/>
      </dsp:txXfrm>
    </dsp:sp>
    <dsp:sp modelId="{95CF957A-013E-40A6-909A-CACE11093386}">
      <dsp:nvSpPr>
        <dsp:cNvPr id="0" name=""/>
        <dsp:cNvSpPr/>
      </dsp:nvSpPr>
      <dsp:spPr>
        <a:xfrm>
          <a:off x="309086" y="23995"/>
          <a:ext cx="4327207" cy="295677"/>
        </a:xfrm>
        <a:prstGeom prst="roundRect">
          <a:avLst/>
        </a:prstGeom>
        <a:solidFill>
          <a:schemeClr val="accent2">
            <a:hueOff val="0"/>
            <a:satOff val="0"/>
            <a:lumOff val="0"/>
            <a:alphaOff val="0"/>
          </a:schemeClr>
        </a:solidFill>
        <a:ln w="38100" cap="flat" cmpd="sng" algn="ctr">
          <a:solidFill>
            <a:schemeClr val="lt1">
              <a:hueOff val="0"/>
              <a:satOff val="0"/>
              <a:lumOff val="0"/>
              <a:alphaOff val="0"/>
            </a:schemeClr>
          </a:solidFill>
          <a:prstDash val="solid"/>
        </a:ln>
        <a:effectLst>
          <a:outerShdw blurRad="40000" dist="20000" dir="5400000" rotWithShape="0">
            <a:srgbClr val="000000">
              <a:alpha val="38000"/>
            </a:srgbClr>
          </a:outerShdw>
        </a:effectLst>
      </dsp:spPr>
      <dsp:style>
        <a:lnRef idx="3">
          <a:scrgbClr r="0" g="0" b="0"/>
        </a:lnRef>
        <a:fillRef idx="1">
          <a:scrgbClr r="0" g="0" b="0"/>
        </a:fillRef>
        <a:effectRef idx="1">
          <a:scrgbClr r="0" g="0" b="0"/>
        </a:effectRef>
        <a:fontRef idx="minor">
          <a:schemeClr val="lt1"/>
        </a:fontRef>
      </dsp:style>
      <dsp:txBody>
        <a:bodyPr spcFirstLastPara="0" vert="horz" wrap="square" lIns="163558" tIns="0" rIns="163558" bIns="0" numCol="1" spcCol="1270" anchor="ctr" anchorCtr="0">
          <a:noAutofit/>
        </a:bodyPr>
        <a:lstStyle/>
        <a:p>
          <a:pPr marL="0" lvl="0" indent="0" algn="l" defTabSz="711200">
            <a:lnSpc>
              <a:spcPct val="90000"/>
            </a:lnSpc>
            <a:spcBef>
              <a:spcPct val="0"/>
            </a:spcBef>
            <a:spcAft>
              <a:spcPct val="35000"/>
            </a:spcAft>
            <a:buNone/>
          </a:pPr>
          <a:r>
            <a:rPr lang="ru-RU" sz="1600" kern="1200"/>
            <a:t>Акции</a:t>
          </a:r>
          <a:endParaRPr lang="ru-RU" sz="1300" kern="1200"/>
        </a:p>
      </dsp:txBody>
      <dsp:txXfrm>
        <a:off x="323520" y="38429"/>
        <a:ext cx="4298339" cy="266809"/>
      </dsp:txXfrm>
    </dsp:sp>
    <dsp:sp modelId="{DE3E7D19-0903-4A9E-A6A3-C1F047D7BC7E}">
      <dsp:nvSpPr>
        <dsp:cNvPr id="0" name=""/>
        <dsp:cNvSpPr/>
      </dsp:nvSpPr>
      <dsp:spPr>
        <a:xfrm>
          <a:off x="0" y="4625074"/>
          <a:ext cx="6181725" cy="3099600"/>
        </a:xfrm>
        <a:prstGeom prst="rect">
          <a:avLst/>
        </a:prstGeom>
        <a:solidFill>
          <a:schemeClr val="lt1">
            <a:alpha val="90000"/>
            <a:hueOff val="0"/>
            <a:satOff val="0"/>
            <a:lumOff val="0"/>
            <a:alphaOff val="0"/>
          </a:schemeClr>
        </a:solidFill>
        <a:ln w="25400" cap="flat" cmpd="sng" algn="ctr">
          <a:solidFill>
            <a:schemeClr val="accent2">
              <a:hueOff val="2340759"/>
              <a:satOff val="-2919"/>
              <a:lumOff val="686"/>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79771" tIns="249936" rIns="479771" bIns="99568" numCol="1" spcCol="1270" anchor="t" anchorCtr="0">
          <a:noAutofit/>
        </a:bodyPr>
        <a:lstStyle/>
        <a:p>
          <a:pPr marL="114300" lvl="1" indent="-114300" algn="l" defTabSz="622300">
            <a:lnSpc>
              <a:spcPct val="90000"/>
            </a:lnSpc>
            <a:spcBef>
              <a:spcPct val="0"/>
            </a:spcBef>
            <a:spcAft>
              <a:spcPct val="15000"/>
            </a:spcAft>
            <a:buChar char="•"/>
          </a:pPr>
          <a:r>
            <a:rPr lang="en-US" sz="1400" b="1" kern="1200">
              <a:solidFill>
                <a:sysClr val="windowText" lastClr="000000"/>
              </a:solidFill>
            </a:rPr>
            <a:t>Absolute nature </a:t>
          </a:r>
          <a:r>
            <a:rPr lang="en-US" sz="1400" b="0" kern="1200">
              <a:solidFill>
                <a:sysClr val="windowText" lastClr="000000"/>
              </a:solidFill>
            </a:rPr>
            <a:t>- </a:t>
          </a:r>
          <a:r>
            <a:rPr lang="ru-RU" sz="1400" b="0" kern="1200">
              <a:solidFill>
                <a:sysClr val="windowText" lastClr="000000"/>
              </a:solidFill>
            </a:rPr>
            <a:t>натуральный лимонад </a:t>
          </a:r>
          <a:r>
            <a:rPr lang="en-US" sz="1400" b="0" kern="1200">
              <a:solidFill>
                <a:sysClr val="windowText" lastClr="000000"/>
              </a:solidFill>
            </a:rPr>
            <a:t>Bi Limo</a:t>
          </a:r>
          <a:r>
            <a:rPr lang="ru-RU" sz="1400" b="0" kern="1200">
              <a:solidFill>
                <a:sysClr val="windowText" lastClr="000000"/>
              </a:solidFill>
            </a:rPr>
            <a:t> в ассортименте</a:t>
          </a:r>
        </a:p>
        <a:p>
          <a:pPr marL="114300" lvl="1" indent="-114300" algn="l" defTabSz="622300">
            <a:lnSpc>
              <a:spcPct val="90000"/>
            </a:lnSpc>
            <a:spcBef>
              <a:spcPct val="0"/>
            </a:spcBef>
            <a:spcAft>
              <a:spcPct val="15000"/>
            </a:spcAft>
            <a:buChar char="•"/>
          </a:pPr>
          <a:r>
            <a:rPr lang="en-US" sz="1400" b="1" kern="1200">
              <a:solidFill>
                <a:sysClr val="windowText" lastClr="000000"/>
              </a:solidFill>
            </a:rPr>
            <a:t>iKi</a:t>
          </a:r>
          <a:r>
            <a:rPr lang="en-US" sz="1400" b="0" kern="1200">
              <a:solidFill>
                <a:sysClr val="windowText" lastClr="000000"/>
              </a:solidFill>
            </a:rPr>
            <a:t> - </a:t>
          </a:r>
          <a:r>
            <a:rPr lang="ru-RU" sz="1400" b="0" kern="1200">
              <a:solidFill>
                <a:sysClr val="windowText" lastClr="000000"/>
              </a:solidFill>
            </a:rPr>
            <a:t>кокосовые напитки и лимонады на основе кокосовой воды</a:t>
          </a: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solidFill>
              <a:sysClr val="windowText" lastClr="000000"/>
            </a:solidFill>
          </a:endParaRPr>
        </a:p>
        <a:p>
          <a:pPr marL="114300" lvl="1" indent="-114300" algn="l" defTabSz="622300">
            <a:lnSpc>
              <a:spcPct val="90000"/>
            </a:lnSpc>
            <a:spcBef>
              <a:spcPct val="0"/>
            </a:spcBef>
            <a:spcAft>
              <a:spcPct val="15000"/>
            </a:spcAft>
            <a:buChar char="•"/>
          </a:pPr>
          <a:endParaRPr lang="ru-RU" sz="1400" b="0" kern="1200"/>
        </a:p>
      </dsp:txBody>
      <dsp:txXfrm>
        <a:off x="0" y="4625074"/>
        <a:ext cx="6181725" cy="3099600"/>
      </dsp:txXfrm>
    </dsp:sp>
    <dsp:sp modelId="{DBA03D32-B77B-4454-A4AC-0F7D9F02F4EF}">
      <dsp:nvSpPr>
        <dsp:cNvPr id="0" name=""/>
        <dsp:cNvSpPr/>
      </dsp:nvSpPr>
      <dsp:spPr>
        <a:xfrm>
          <a:off x="309086" y="4396843"/>
          <a:ext cx="4327207" cy="287455"/>
        </a:xfrm>
        <a:prstGeom prst="roundRect">
          <a:avLst/>
        </a:prstGeom>
        <a:solidFill>
          <a:schemeClr val="accent2">
            <a:hueOff val="2340759"/>
            <a:satOff val="-2919"/>
            <a:lumOff val="686"/>
            <a:alphaOff val="0"/>
          </a:schemeClr>
        </a:solidFill>
        <a:ln w="38100" cap="flat" cmpd="sng" algn="ctr">
          <a:solidFill>
            <a:schemeClr val="lt1">
              <a:hueOff val="0"/>
              <a:satOff val="0"/>
              <a:lumOff val="0"/>
              <a:alphaOff val="0"/>
            </a:schemeClr>
          </a:solidFill>
          <a:prstDash val="solid"/>
        </a:ln>
        <a:effectLst>
          <a:outerShdw blurRad="40000" dist="20000" dir="5400000" rotWithShape="0">
            <a:srgbClr val="000000">
              <a:alpha val="38000"/>
            </a:srgbClr>
          </a:outerShdw>
        </a:effectLst>
      </dsp:spPr>
      <dsp:style>
        <a:lnRef idx="3">
          <a:scrgbClr r="0" g="0" b="0"/>
        </a:lnRef>
        <a:fillRef idx="1">
          <a:scrgbClr r="0" g="0" b="0"/>
        </a:fillRef>
        <a:effectRef idx="1">
          <a:scrgbClr r="0" g="0" b="0"/>
        </a:effectRef>
        <a:fontRef idx="minor">
          <a:schemeClr val="lt1"/>
        </a:fontRef>
      </dsp:style>
      <dsp:txBody>
        <a:bodyPr spcFirstLastPara="0" vert="horz" wrap="square" lIns="163558" tIns="0" rIns="163558" bIns="0" numCol="1" spcCol="1270" anchor="ctr" anchorCtr="0">
          <a:noAutofit/>
        </a:bodyPr>
        <a:lstStyle/>
        <a:p>
          <a:pPr marL="0" lvl="0" indent="0" algn="l" defTabSz="711200">
            <a:lnSpc>
              <a:spcPct val="90000"/>
            </a:lnSpc>
            <a:spcBef>
              <a:spcPct val="0"/>
            </a:spcBef>
            <a:spcAft>
              <a:spcPct val="35000"/>
            </a:spcAft>
            <a:buNone/>
          </a:pPr>
          <a:r>
            <a:rPr lang="ru-RU" sz="1600" kern="1200"/>
            <a:t>Новинки</a:t>
          </a:r>
          <a:endParaRPr lang="ru-RU" sz="1300" kern="1200"/>
        </a:p>
      </dsp:txBody>
      <dsp:txXfrm>
        <a:off x="323118" y="4410875"/>
        <a:ext cx="4299143" cy="259391"/>
      </dsp:txXfrm>
    </dsp:sp>
    <dsp:sp modelId="{44EED61F-7E28-43C0-B5CC-6A273A00BD34}">
      <dsp:nvSpPr>
        <dsp:cNvPr id="0" name=""/>
        <dsp:cNvSpPr/>
      </dsp:nvSpPr>
      <dsp:spPr>
        <a:xfrm>
          <a:off x="0" y="7804726"/>
          <a:ext cx="6181725" cy="2872800"/>
        </a:xfrm>
        <a:prstGeom prst="rect">
          <a:avLst/>
        </a:prstGeom>
        <a:solidFill>
          <a:schemeClr val="lt1">
            <a:alpha val="90000"/>
            <a:hueOff val="0"/>
            <a:satOff val="0"/>
            <a:lumOff val="0"/>
            <a:alphaOff val="0"/>
          </a:schemeClr>
        </a:solidFill>
        <a:ln w="25400" cap="flat" cmpd="sng" algn="ctr">
          <a:solidFill>
            <a:schemeClr val="accent2">
              <a:hueOff val="4681519"/>
              <a:satOff val="-5839"/>
              <a:lumOff val="1373"/>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79771" tIns="249936" rIns="479771" bIns="99568" numCol="1" spcCol="1270" anchor="t" anchorCtr="0">
          <a:noAutofit/>
        </a:bodyPr>
        <a:lstStyle/>
        <a:p>
          <a:pPr marL="114300" lvl="1" indent="-114300" algn="l" defTabSz="622300">
            <a:lnSpc>
              <a:spcPct val="90000"/>
            </a:lnSpc>
            <a:spcBef>
              <a:spcPct val="0"/>
            </a:spcBef>
            <a:spcAft>
              <a:spcPct val="15000"/>
            </a:spcAft>
            <a:buChar char="•"/>
          </a:pPr>
          <a:r>
            <a:rPr lang="ru-RU" sz="1400" b="1" kern="1200"/>
            <a:t>Здоровые вкусы, мука</a:t>
          </a:r>
        </a:p>
        <a:p>
          <a:pPr marL="114300" lvl="1" indent="-114300" algn="l" defTabSz="622300">
            <a:lnSpc>
              <a:spcPct val="90000"/>
            </a:lnSpc>
            <a:spcBef>
              <a:spcPct val="0"/>
            </a:spcBef>
            <a:spcAft>
              <a:spcPct val="15000"/>
            </a:spcAft>
            <a:buChar char="•"/>
          </a:pPr>
          <a:r>
            <a:rPr lang="ru-RU" sz="1400" b="1" kern="1200"/>
            <a:t>Сибирская клетчатка</a:t>
          </a:r>
        </a:p>
        <a:p>
          <a:pPr marL="114300" lvl="1" indent="-114300" algn="l" defTabSz="622300">
            <a:lnSpc>
              <a:spcPct val="90000"/>
            </a:lnSpc>
            <a:spcBef>
              <a:spcPct val="0"/>
            </a:spcBef>
            <a:spcAft>
              <a:spcPct val="15000"/>
            </a:spcAft>
            <a:buChar char="•"/>
          </a:pPr>
          <a:r>
            <a:rPr lang="ru-RU" sz="1400" b="1" kern="1200"/>
            <a:t>Холи Корн</a:t>
          </a:r>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a:p>
          <a:pPr marL="114300" lvl="1" indent="-114300" algn="l" defTabSz="622300">
            <a:lnSpc>
              <a:spcPct val="90000"/>
            </a:lnSpc>
            <a:spcBef>
              <a:spcPct val="0"/>
            </a:spcBef>
            <a:spcAft>
              <a:spcPct val="15000"/>
            </a:spcAft>
            <a:buChar char="•"/>
          </a:pPr>
          <a:endParaRPr lang="ru-RU" sz="1400" b="1" kern="1200"/>
        </a:p>
      </dsp:txBody>
      <dsp:txXfrm>
        <a:off x="0" y="7804726"/>
        <a:ext cx="6181725" cy="2872800"/>
      </dsp:txXfrm>
    </dsp:sp>
    <dsp:sp modelId="{A03A9D49-4891-40CD-94D8-5CA6050AC065}">
      <dsp:nvSpPr>
        <dsp:cNvPr id="0" name=""/>
        <dsp:cNvSpPr/>
      </dsp:nvSpPr>
      <dsp:spPr>
        <a:xfrm>
          <a:off x="309086" y="7671578"/>
          <a:ext cx="4327207" cy="286271"/>
        </a:xfrm>
        <a:prstGeom prst="roundRect">
          <a:avLst/>
        </a:prstGeom>
        <a:solidFill>
          <a:schemeClr val="accent2">
            <a:hueOff val="4681519"/>
            <a:satOff val="-5839"/>
            <a:lumOff val="1373"/>
            <a:alphaOff val="0"/>
          </a:schemeClr>
        </a:solidFill>
        <a:ln w="38100" cap="flat" cmpd="sng" algn="ctr">
          <a:solidFill>
            <a:schemeClr val="lt1">
              <a:hueOff val="0"/>
              <a:satOff val="0"/>
              <a:lumOff val="0"/>
              <a:alphaOff val="0"/>
            </a:schemeClr>
          </a:solidFill>
          <a:prstDash val="solid"/>
        </a:ln>
        <a:effectLst>
          <a:outerShdw blurRad="40000" dist="20000" dir="5400000" rotWithShape="0">
            <a:srgbClr val="000000">
              <a:alpha val="38000"/>
            </a:srgbClr>
          </a:outerShdw>
        </a:effectLst>
      </dsp:spPr>
      <dsp:style>
        <a:lnRef idx="3">
          <a:scrgbClr r="0" g="0" b="0"/>
        </a:lnRef>
        <a:fillRef idx="1">
          <a:scrgbClr r="0" g="0" b="0"/>
        </a:fillRef>
        <a:effectRef idx="1">
          <a:scrgbClr r="0" g="0" b="0"/>
        </a:effectRef>
        <a:fontRef idx="minor">
          <a:schemeClr val="lt1"/>
        </a:fontRef>
      </dsp:style>
      <dsp:txBody>
        <a:bodyPr spcFirstLastPara="0" vert="horz" wrap="square" lIns="163558" tIns="0" rIns="163558" bIns="0" numCol="1" spcCol="1270" anchor="ctr" anchorCtr="0">
          <a:noAutofit/>
        </a:bodyPr>
        <a:lstStyle/>
        <a:p>
          <a:pPr marL="0" lvl="0" indent="0" algn="l" defTabSz="711200">
            <a:lnSpc>
              <a:spcPct val="90000"/>
            </a:lnSpc>
            <a:spcBef>
              <a:spcPct val="0"/>
            </a:spcBef>
            <a:spcAft>
              <a:spcPct val="35000"/>
            </a:spcAft>
            <a:buNone/>
          </a:pPr>
          <a:r>
            <a:rPr lang="ru-RU" sz="1600" kern="1200"/>
            <a:t>Изменения</a:t>
          </a:r>
          <a:r>
            <a:rPr lang="ru-RU" sz="1300" kern="1200"/>
            <a:t> </a:t>
          </a:r>
          <a:r>
            <a:rPr lang="ru-RU" sz="1600" kern="1200"/>
            <a:t>цен</a:t>
          </a:r>
        </a:p>
      </dsp:txBody>
      <dsp:txXfrm>
        <a:off x="323061" y="7685553"/>
        <a:ext cx="4299257" cy="2583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DB2D79C-7DD2-49F2-B332-13F77A96A788}">
      <dsp:nvSpPr>
        <dsp:cNvPr id="0" name=""/>
        <dsp:cNvSpPr/>
      </dsp:nvSpPr>
      <dsp:spPr>
        <a:xfrm>
          <a:off x="-90490" y="65647"/>
          <a:ext cx="4876805" cy="33685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b" anchorCtr="0">
          <a:noAutofit/>
        </a:bodyPr>
        <a:lstStyle/>
        <a:p>
          <a:pPr marL="0" lvl="0" indent="0" algn="l" defTabSz="889000">
            <a:lnSpc>
              <a:spcPct val="90000"/>
            </a:lnSpc>
            <a:spcBef>
              <a:spcPct val="0"/>
            </a:spcBef>
            <a:spcAft>
              <a:spcPct val="35000"/>
            </a:spcAft>
            <a:buNone/>
          </a:pPr>
          <a:r>
            <a:rPr lang="ru-RU" sz="2000" kern="1200"/>
            <a:t>Изменения в прайсе от </a:t>
          </a:r>
          <a:r>
            <a:rPr lang="en-US" sz="2000" kern="1200"/>
            <a:t>01</a:t>
          </a:r>
          <a:r>
            <a:rPr lang="ru-RU" sz="2000" kern="1200"/>
            <a:t>.05.2026</a:t>
          </a:r>
        </a:p>
      </dsp:txBody>
      <dsp:txXfrm>
        <a:off x="-90490" y="65647"/>
        <a:ext cx="4876805" cy="336855"/>
      </dsp:txXfrm>
    </dsp:sp>
    <dsp:sp modelId="{9BB976F6-79A4-4639-A091-4D4E27B2E6B7}">
      <dsp:nvSpPr>
        <dsp:cNvPr id="0" name=""/>
        <dsp:cNvSpPr/>
      </dsp:nvSpPr>
      <dsp:spPr>
        <a:xfrm>
          <a:off x="-90490" y="402502"/>
          <a:ext cx="562948" cy="93824"/>
        </a:xfrm>
        <a:prstGeom prst="parallelogram">
          <a:avLst>
            <a:gd name="adj" fmla="val 140840"/>
          </a:avLst>
        </a:prstGeom>
        <a:solidFill>
          <a:schemeClr val="accent2">
            <a:hueOff val="0"/>
            <a:satOff val="0"/>
            <a:lumOff val="0"/>
            <a:alphaOff val="0"/>
          </a:schemeClr>
        </a:solidFill>
        <a:ln w="25400" cap="flat" cmpd="sng" algn="ctr">
          <a:solidFill>
            <a:schemeClr val="accen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9E12DB4-6927-404C-8846-C845490B4824}">
      <dsp:nvSpPr>
        <dsp:cNvPr id="0" name=""/>
        <dsp:cNvSpPr/>
      </dsp:nvSpPr>
      <dsp:spPr>
        <a:xfrm>
          <a:off x="505297" y="402502"/>
          <a:ext cx="562948" cy="93824"/>
        </a:xfrm>
        <a:prstGeom prst="parallelogram">
          <a:avLst>
            <a:gd name="adj" fmla="val 140840"/>
          </a:avLst>
        </a:prstGeom>
        <a:solidFill>
          <a:schemeClr val="accent2">
            <a:hueOff val="780253"/>
            <a:satOff val="-973"/>
            <a:lumOff val="229"/>
            <a:alphaOff val="0"/>
          </a:schemeClr>
        </a:solidFill>
        <a:ln w="25400" cap="flat" cmpd="sng" algn="ctr">
          <a:solidFill>
            <a:schemeClr val="accent2">
              <a:hueOff val="780253"/>
              <a:satOff val="-973"/>
              <a:lumOff val="229"/>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41917D9-A3E0-4601-BC20-BEBD6A2B9C77}">
      <dsp:nvSpPr>
        <dsp:cNvPr id="0" name=""/>
        <dsp:cNvSpPr/>
      </dsp:nvSpPr>
      <dsp:spPr>
        <a:xfrm>
          <a:off x="1101084" y="402502"/>
          <a:ext cx="562948" cy="93824"/>
        </a:xfrm>
        <a:prstGeom prst="parallelogram">
          <a:avLst>
            <a:gd name="adj" fmla="val 140840"/>
          </a:avLst>
        </a:prstGeom>
        <a:solidFill>
          <a:schemeClr val="accent2">
            <a:hueOff val="1560506"/>
            <a:satOff val="-1946"/>
            <a:lumOff val="458"/>
            <a:alphaOff val="0"/>
          </a:schemeClr>
        </a:solidFill>
        <a:ln w="25400" cap="flat" cmpd="sng" algn="ctr">
          <a:solidFill>
            <a:schemeClr val="accent2">
              <a:hueOff val="1560506"/>
              <a:satOff val="-1946"/>
              <a:lumOff val="458"/>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2FDC7AD-460A-4B79-84AC-A4E776CF5AB2}">
      <dsp:nvSpPr>
        <dsp:cNvPr id="0" name=""/>
        <dsp:cNvSpPr/>
      </dsp:nvSpPr>
      <dsp:spPr>
        <a:xfrm>
          <a:off x="1696872" y="402502"/>
          <a:ext cx="562948" cy="93824"/>
        </a:xfrm>
        <a:prstGeom prst="parallelogram">
          <a:avLst>
            <a:gd name="adj" fmla="val 140840"/>
          </a:avLst>
        </a:prstGeom>
        <a:solidFill>
          <a:schemeClr val="accent2">
            <a:hueOff val="2340759"/>
            <a:satOff val="-2919"/>
            <a:lumOff val="686"/>
            <a:alphaOff val="0"/>
          </a:schemeClr>
        </a:solidFill>
        <a:ln w="25400" cap="flat" cmpd="sng" algn="ctr">
          <a:solidFill>
            <a:schemeClr val="accent2">
              <a:hueOff val="2340759"/>
              <a:satOff val="-2919"/>
              <a:lumOff val="686"/>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68E04A0-3839-4150-8EEF-00C7C297F81D}">
      <dsp:nvSpPr>
        <dsp:cNvPr id="0" name=""/>
        <dsp:cNvSpPr/>
      </dsp:nvSpPr>
      <dsp:spPr>
        <a:xfrm>
          <a:off x="2292659" y="402502"/>
          <a:ext cx="562948" cy="93824"/>
        </a:xfrm>
        <a:prstGeom prst="parallelogram">
          <a:avLst>
            <a:gd name="adj" fmla="val 140840"/>
          </a:avLst>
        </a:prstGeom>
        <a:solidFill>
          <a:schemeClr val="accent2">
            <a:hueOff val="3121013"/>
            <a:satOff val="-3893"/>
            <a:lumOff val="915"/>
            <a:alphaOff val="0"/>
          </a:schemeClr>
        </a:solidFill>
        <a:ln w="25400" cap="flat" cmpd="sng" algn="ctr">
          <a:solidFill>
            <a:schemeClr val="accent2">
              <a:hueOff val="3121013"/>
              <a:satOff val="-3893"/>
              <a:lumOff val="915"/>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5C364CF-C654-479E-A8C6-5334E84AF91B}">
      <dsp:nvSpPr>
        <dsp:cNvPr id="0" name=""/>
        <dsp:cNvSpPr/>
      </dsp:nvSpPr>
      <dsp:spPr>
        <a:xfrm>
          <a:off x="2888446" y="402502"/>
          <a:ext cx="562948" cy="93824"/>
        </a:xfrm>
        <a:prstGeom prst="parallelogram">
          <a:avLst>
            <a:gd name="adj" fmla="val 140840"/>
          </a:avLst>
        </a:prstGeom>
        <a:solidFill>
          <a:schemeClr val="accent2">
            <a:hueOff val="3901266"/>
            <a:satOff val="-4866"/>
            <a:lumOff val="1144"/>
            <a:alphaOff val="0"/>
          </a:schemeClr>
        </a:solidFill>
        <a:ln w="25400" cap="flat" cmpd="sng" algn="ctr">
          <a:solidFill>
            <a:schemeClr val="accent2">
              <a:hueOff val="3901266"/>
              <a:satOff val="-4866"/>
              <a:lumOff val="1144"/>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63E53B5-28CA-431C-A08C-E1D551FFEB14}">
      <dsp:nvSpPr>
        <dsp:cNvPr id="0" name=""/>
        <dsp:cNvSpPr/>
      </dsp:nvSpPr>
      <dsp:spPr>
        <a:xfrm>
          <a:off x="3484234" y="402502"/>
          <a:ext cx="562948" cy="93824"/>
        </a:xfrm>
        <a:prstGeom prst="parallelogram">
          <a:avLst>
            <a:gd name="adj" fmla="val 140840"/>
          </a:avLst>
        </a:prstGeom>
        <a:solidFill>
          <a:schemeClr val="accent2">
            <a:hueOff val="4681519"/>
            <a:satOff val="-5839"/>
            <a:lumOff val="1373"/>
            <a:alphaOff val="0"/>
          </a:schemeClr>
        </a:solidFill>
        <a:ln w="25400" cap="flat" cmpd="sng" algn="ctr">
          <a:solidFill>
            <a:schemeClr val="accent2">
              <a:hueOff val="4681519"/>
              <a:satOff val="-5839"/>
              <a:lumOff val="1373"/>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VerticalAccentList">
  <dgm:title val=""/>
  <dgm:desc val=""/>
  <dgm:catLst>
    <dgm:cat type="list" pri="16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dgm:chPref/>
      <dgm:dir/>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constrLst>
      <dgm:constr type="primFontSz" for="des" forName="parenttext" refType="primFontSz" refFor="des" refForName="childtext" op="gte"/>
      <dgm:constr type="w" for="ch" forName="composite" refType="w"/>
      <dgm:constr type="h" for="ch" forName="composite" refType="h"/>
      <dgm:constr type="w" for="ch" forName="parallelogramComposite" refType="w"/>
      <dgm:constr type="h" for="ch" forName="parallelogramComposite" refType="h"/>
      <dgm:constr type="w" for="ch" forName="parenttextcomposite" refType="w" fact="0.9"/>
      <dgm:constr type="h" for="ch" forName="parenttextcomposite" refType="h" fact="0.6"/>
      <dgm:constr type="h" for="ch" forName="sibTrans" refType="h" refFor="ch" refForName="composite" op="equ" fact="0.02"/>
      <dgm:constr type="h" for="ch" forName="sibTrans" op="equ"/>
    </dgm:constrLst>
    <dgm:forEach name="nodesForEach" axis="ch" ptType="node">
      <dgm:layoutNode name="parenttextcomposite">
        <dgm:alg type="composite">
          <dgm:param type="ar" val="11"/>
        </dgm:alg>
        <dgm:shape xmlns:r="http://schemas.openxmlformats.org/officeDocument/2006/relationships" r:blip="">
          <dgm:adjLst/>
        </dgm:shape>
        <dgm:constrLst>
          <dgm:constr type="h" for="ch" forName="parenttext" refType="h"/>
          <dgm:constr type="w" for="ch" forName="parenttext" refType="w"/>
        </dgm:constrLst>
        <dgm:layoutNode name="parenttext" styleLbl="revTx">
          <dgm:varLst>
            <dgm:chMax/>
            <dgm:chPref val="2"/>
            <dgm:bulletEnabled val="1"/>
          </dgm:varLst>
          <dgm:choose name="Name4">
            <dgm:if name="Name5" func="var" arg="dir" op="equ" val="norm">
              <dgm:alg type="tx">
                <dgm:param type="parTxLTRAlign" val="l"/>
                <dgm:param type="txAnchorVert" val="b"/>
              </dgm:alg>
            </dgm:if>
            <dgm:else name="Name6">
              <dgm:alg type="tx">
                <dgm:param type="parTxLTRAlign" val="r"/>
                <dgm:param type="txAnchorVert" val="b"/>
              </dgm:alg>
            </dgm:else>
          </dgm:choose>
          <dgm:shape xmlns:r="http://schemas.openxmlformats.org/officeDocument/2006/relationships" type="rect" r:blip="">
            <dgm:adjLst/>
          </dgm:shape>
          <dgm:presOf axis="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dgm:choose name="Name7">
        <dgm:if name="Name8" axis="ch" ptType="node" func="cnt" op="gte" val="1">
          <dgm:layoutNode name="composite">
            <dgm:alg type="composite">
              <dgm:param type="ar" val="6"/>
            </dgm:alg>
            <dgm:shape xmlns:r="http://schemas.openxmlformats.org/officeDocument/2006/relationships" r:blip="">
              <dgm:adjLst/>
            </dgm:shape>
            <dgm:choose name="Name9">
              <dgm:if name="Name10" func="var" arg="dir" op="equ" val="norm">
                <dgm:constrLst>
                  <dgm:constr type="l" for="ch" forName="chevron1" refType="w" fact="0.0301"/>
                  <dgm:constr type="t" for="ch" forName="chevron1" refType="h" fact="0"/>
                  <dgm:constr type="w" for="ch" forName="chevron1" refType="w" fact="0.2106"/>
                  <dgm:constr type="h" for="ch" forName="chevron1" refType="h"/>
                  <dgm:constr type="l" for="ch" forName="chevron2" refType="w" fact="0.1566"/>
                  <dgm:constr type="t" for="ch" forName="chevron2" refType="h" fact="0"/>
                  <dgm:constr type="w" for="ch" forName="chevron2" refType="w" fact="0.2106"/>
                  <dgm:constr type="h" for="ch" forName="chevron2" refType="h"/>
                  <dgm:constr type="l" for="ch" forName="chevron3" refType="w" fact="0.2832"/>
                  <dgm:constr type="t" for="ch" forName="chevron3" refType="h" fact="0"/>
                  <dgm:constr type="w" for="ch" forName="chevron3" refType="w" fact="0.2106"/>
                  <dgm:constr type="h" for="ch" forName="chevron3" refType="h"/>
                  <dgm:constr type="l" for="ch" forName="chevron4" refType="w" fact="0.4097"/>
                  <dgm:constr type="t" for="ch" forName="chevron4" refType="h" fact="0"/>
                  <dgm:constr type="w" for="ch" forName="chevron4" refType="w" fact="0.2106"/>
                  <dgm:constr type="h" for="ch" forName="chevron4" refType="h"/>
                  <dgm:constr type="l" for="ch" forName="chevron5" refType="w" fact="0.5363"/>
                  <dgm:constr type="t" for="ch" forName="chevron5" refType="h" fact="0"/>
                  <dgm:constr type="w" for="ch" forName="chevron5" refType="w" fact="0.2106"/>
                  <dgm:constr type="h" for="ch" forName="chevron5" refType="h"/>
                  <dgm:constr type="l" for="ch" forName="chevron6" refType="w" fact="0.6628"/>
                  <dgm:constr type="t" for="ch" forName="chevron6" refType="h" fact="0"/>
                  <dgm:constr type="w" for="ch" forName="chevron6" refType="w" fact="0.2106"/>
                  <dgm:constr type="h" for="ch" forName="chevron6" refType="h"/>
                  <dgm:constr type="l" for="ch" forName="chevron7" refType="w" fact="0.7894"/>
                  <dgm:constr type="t" for="ch" forName="chevron7" refType="h" fact="0"/>
                  <dgm:constr type="w" for="ch" forName="chevron7" refType="w" fact="0.2106"/>
                  <dgm:constr type="h" for="ch" forName="chevron7" refType="h"/>
                  <dgm:constr type="l" for="ch" forName="childtext" refType="w" fact="0.0301"/>
                  <dgm:constr type="t" for="ch" forName="childtext" refType="h" fact="0.1"/>
                  <dgm:constr type="w" for="ch" forName="childtext" refType="w" fact="0.9117"/>
                  <dgm:constr type="h" for="ch" forName="childtext" refType="h" fact="0.8"/>
                </dgm:constrLst>
              </dgm:if>
              <dgm:else name="Name11">
                <dgm:constrLst>
                  <dgm:constr type="l" for="ch" forName="chevron1" refType="w" fact="0.0301"/>
                  <dgm:constr type="t" for="ch" forName="chevron1" refType="h" fact="0"/>
                  <dgm:constr type="w" for="ch" forName="chevron1" refType="w" fact="0.2106"/>
                  <dgm:constr type="h" for="ch" forName="chevron1" refType="h"/>
                  <dgm:constr type="l" for="ch" forName="chevron2" refType="w" fact="0.1566"/>
                  <dgm:constr type="t" for="ch" forName="chevron2" refType="h" fact="0"/>
                  <dgm:constr type="w" for="ch" forName="chevron2" refType="w" fact="0.2106"/>
                  <dgm:constr type="h" for="ch" forName="chevron2" refType="h"/>
                  <dgm:constr type="l" for="ch" forName="chevron3" refType="w" fact="0.2832"/>
                  <dgm:constr type="t" for="ch" forName="chevron3" refType="h" fact="0"/>
                  <dgm:constr type="w" for="ch" forName="chevron3" refType="w" fact="0.2106"/>
                  <dgm:constr type="h" for="ch" forName="chevron3" refType="h"/>
                  <dgm:constr type="l" for="ch" forName="chevron4" refType="w" fact="0.4097"/>
                  <dgm:constr type="t" for="ch" forName="chevron4" refType="h" fact="0"/>
                  <dgm:constr type="w" for="ch" forName="chevron4" refType="w" fact="0.2106"/>
                  <dgm:constr type="h" for="ch" forName="chevron4" refType="h"/>
                  <dgm:constr type="l" for="ch" forName="chevron5" refType="w" fact="0.5363"/>
                  <dgm:constr type="t" for="ch" forName="chevron5" refType="h" fact="0"/>
                  <dgm:constr type="w" for="ch" forName="chevron5" refType="w" fact="0.2106"/>
                  <dgm:constr type="h" for="ch" forName="chevron5" refType="h"/>
                  <dgm:constr type="l" for="ch" forName="chevron6" refType="w" fact="0.6628"/>
                  <dgm:constr type="t" for="ch" forName="chevron6" refType="h" fact="0"/>
                  <dgm:constr type="w" for="ch" forName="chevron6" refType="w" fact="0.2106"/>
                  <dgm:constr type="h" for="ch" forName="chevron6" refType="h"/>
                  <dgm:constr type="l" for="ch" forName="chevron7" refType="w" fact="0.7894"/>
                  <dgm:constr type="t" for="ch" forName="chevron7" refType="h" fact="0"/>
                  <dgm:constr type="w" for="ch" forName="chevron7" refType="w" fact="0.2106"/>
                  <dgm:constr type="h" for="ch" forName="chevron7" refType="h"/>
                  <dgm:constr type="l" for="ch" forName="childtext" refType="w" fact="0.0883"/>
                  <dgm:constr type="t" for="ch" forName="childtext" refType="h" fact="0.1"/>
                  <dgm:constr type="w" for="ch" forName="childtext" refType="w" fact="0.9117"/>
                  <dgm:constr type="h" for="ch" forName="childtext" refType="h" fact="0.8"/>
                </dgm:constrLst>
              </dgm:else>
            </dgm:choose>
            <dgm:ruleLst/>
            <dgm:layoutNode name="chevron1" styleLbl="alignNode1">
              <dgm:alg type="sp"/>
              <dgm:choose name="Name12">
                <dgm:if name="Name13" func="var" arg="dir" op="equ" val="norm">
                  <dgm:shape xmlns:r="http://schemas.openxmlformats.org/officeDocument/2006/relationships" type="chevron" r:blip="">
                    <dgm:adjLst>
                      <dgm:adj idx="1" val="0.7061"/>
                    </dgm:adjLst>
                  </dgm:shape>
                </dgm:if>
                <dgm:else name="Name14">
                  <dgm:shape xmlns:r="http://schemas.openxmlformats.org/officeDocument/2006/relationships" rot="180" type="chevron" r:blip="">
                    <dgm:adjLst>
                      <dgm:adj idx="1" val="0.7061"/>
                    </dgm:adjLst>
                  </dgm:shape>
                </dgm:else>
              </dgm:choose>
              <dgm:presOf/>
            </dgm:layoutNode>
            <dgm:layoutNode name="chevron2" styleLbl="alignNode1">
              <dgm:alg type="sp"/>
              <dgm:choose name="Name15">
                <dgm:if name="Name16" func="var" arg="dir" op="equ" val="norm">
                  <dgm:shape xmlns:r="http://schemas.openxmlformats.org/officeDocument/2006/relationships" type="chevron" r:blip="">
                    <dgm:adjLst>
                      <dgm:adj idx="1" val="0.7061"/>
                    </dgm:adjLst>
                  </dgm:shape>
                </dgm:if>
                <dgm:else name="Name17">
                  <dgm:shape xmlns:r="http://schemas.openxmlformats.org/officeDocument/2006/relationships" rot="180" type="chevron" r:blip="">
                    <dgm:adjLst>
                      <dgm:adj idx="1" val="0.7061"/>
                    </dgm:adjLst>
                  </dgm:shape>
                </dgm:else>
              </dgm:choose>
              <dgm:presOf/>
            </dgm:layoutNode>
            <dgm:layoutNode name="chevron3" styleLbl="alignNode1">
              <dgm:alg type="sp"/>
              <dgm:choose name="Name18">
                <dgm:if name="Name19" func="var" arg="dir" op="equ" val="norm">
                  <dgm:shape xmlns:r="http://schemas.openxmlformats.org/officeDocument/2006/relationships" type="chevron" r:blip="">
                    <dgm:adjLst>
                      <dgm:adj idx="1" val="0.7061"/>
                    </dgm:adjLst>
                  </dgm:shape>
                </dgm:if>
                <dgm:else name="Name20">
                  <dgm:shape xmlns:r="http://schemas.openxmlformats.org/officeDocument/2006/relationships" rot="180" type="chevron" r:blip="">
                    <dgm:adjLst>
                      <dgm:adj idx="1" val="0.7061"/>
                    </dgm:adjLst>
                  </dgm:shape>
                </dgm:else>
              </dgm:choose>
              <dgm:presOf/>
            </dgm:layoutNode>
            <dgm:layoutNode name="chevron4" styleLbl="alignNode1">
              <dgm:alg type="sp"/>
              <dgm:choose name="Name21">
                <dgm:if name="Name22" func="var" arg="dir" op="equ" val="norm">
                  <dgm:shape xmlns:r="http://schemas.openxmlformats.org/officeDocument/2006/relationships" type="chevron" r:blip="">
                    <dgm:adjLst>
                      <dgm:adj idx="1" val="0.7061"/>
                    </dgm:adjLst>
                  </dgm:shape>
                </dgm:if>
                <dgm:else name="Name23">
                  <dgm:shape xmlns:r="http://schemas.openxmlformats.org/officeDocument/2006/relationships" rot="180" type="chevron" r:blip="">
                    <dgm:adjLst>
                      <dgm:adj idx="1" val="0.7061"/>
                    </dgm:adjLst>
                  </dgm:shape>
                </dgm:else>
              </dgm:choose>
              <dgm:presOf/>
            </dgm:layoutNode>
            <dgm:layoutNode name="chevron5" styleLbl="alignNode1">
              <dgm:alg type="sp"/>
              <dgm:choose name="Name24">
                <dgm:if name="Name25" func="var" arg="dir" op="equ" val="norm">
                  <dgm:shape xmlns:r="http://schemas.openxmlformats.org/officeDocument/2006/relationships" type="chevron" r:blip="">
                    <dgm:adjLst>
                      <dgm:adj idx="1" val="0.7061"/>
                    </dgm:adjLst>
                  </dgm:shape>
                </dgm:if>
                <dgm:else name="Name26">
                  <dgm:shape xmlns:r="http://schemas.openxmlformats.org/officeDocument/2006/relationships" rot="180" type="chevron" r:blip="">
                    <dgm:adjLst>
                      <dgm:adj idx="1" val="0.7061"/>
                    </dgm:adjLst>
                  </dgm:shape>
                </dgm:else>
              </dgm:choose>
              <dgm:presOf/>
            </dgm:layoutNode>
            <dgm:layoutNode name="chevron6" styleLbl="alignNode1">
              <dgm:alg type="sp"/>
              <dgm:choose name="Name27">
                <dgm:if name="Name28" func="var" arg="dir" op="equ" val="norm">
                  <dgm:shape xmlns:r="http://schemas.openxmlformats.org/officeDocument/2006/relationships" type="chevron" r:blip="">
                    <dgm:adjLst>
                      <dgm:adj idx="1" val="0.7061"/>
                    </dgm:adjLst>
                  </dgm:shape>
                </dgm:if>
                <dgm:else name="Name29">
                  <dgm:shape xmlns:r="http://schemas.openxmlformats.org/officeDocument/2006/relationships" rot="180" type="chevron" r:blip="">
                    <dgm:adjLst>
                      <dgm:adj idx="1" val="0.7061"/>
                    </dgm:adjLst>
                  </dgm:shape>
                </dgm:else>
              </dgm:choose>
              <dgm:presOf/>
            </dgm:layoutNode>
            <dgm:layoutNode name="chevron7" styleLbl="alignNode1">
              <dgm:alg type="sp"/>
              <dgm:choose name="Name30">
                <dgm:if name="Name31" func="var" arg="dir" op="equ" val="norm">
                  <dgm:shape xmlns:r="http://schemas.openxmlformats.org/officeDocument/2006/relationships" type="chevron" r:blip="">
                    <dgm:adjLst>
                      <dgm:adj idx="1" val="0.7061"/>
                    </dgm:adjLst>
                  </dgm:shape>
                </dgm:if>
                <dgm:else name="Name32">
                  <dgm:shape xmlns:r="http://schemas.openxmlformats.org/officeDocument/2006/relationships" rot="180" type="chevron" r:blip="">
                    <dgm:adjLst>
                      <dgm:adj idx="1" val="0.7061"/>
                    </dgm:adjLst>
                  </dgm:shape>
                </dgm:else>
              </dgm:choose>
              <dgm:presOf/>
            </dgm:layoutNode>
            <dgm:layoutNode name="childtext" styleLbl="solidFgAcc1">
              <dgm:varLst>
                <dgm:chMax/>
                <dgm:chPref val="0"/>
                <dgm:bulletEnabled val="1"/>
              </dgm:varLst>
              <dgm:choose name="Name33">
                <dgm:if name="Name34" func="var" arg="dir" op="equ" val="norm">
                  <dgm:alg type="tx">
                    <dgm:param type="parTxLTRAlign" val="l"/>
                    <dgm:param type="txAnchorVertCh" val="t"/>
                  </dgm:alg>
                </dgm:if>
                <dgm:else name="Name35">
                  <dgm:alg type="tx">
                    <dgm:param type="parTxLTRAlign" val="r"/>
                    <dgm:param type="shpTxLTRAlignCh" val="r"/>
                    <dgm:param type="txAnchorVertCh" val="t"/>
                  </dgm:alg>
                </dgm:else>
              </dgm:choose>
              <dgm:shape xmlns:r="http://schemas.openxmlformats.org/officeDocument/2006/relationships" type="rect" r:blip="">
                <dgm:adjLst/>
              </dgm:shape>
              <dgm:presOf axis="des" ptType="node"/>
              <dgm:constrLst>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dgm:if>
        <dgm:else name="Name36">
          <dgm:layoutNode name="parallelogramComposite">
            <dgm:alg type="composite">
              <dgm:param type="ar" val="50"/>
            </dgm:alg>
            <dgm:shape xmlns:r="http://schemas.openxmlformats.org/officeDocument/2006/relationships" r:blip="">
              <dgm:adjLst/>
            </dgm:shape>
            <dgm:constrLst>
              <dgm:constr type="l" for="ch" forName="parallelogram1" refType="w" fact="0"/>
              <dgm:constr type="t" for="ch" forName="parallelogram1" refType="h" fact="0"/>
              <dgm:constr type="w" for="ch" forName="parallelogram1" refType="w" fact="0.12"/>
              <dgm:constr type="h" for="ch" forName="parallelogram1" refType="h"/>
              <dgm:constr type="l" for="ch" forName="parallelogram2" refType="w" fact="0.127"/>
              <dgm:constr type="t" for="ch" forName="parallelogram2" refType="h" fact="0"/>
              <dgm:constr type="w" for="ch" forName="parallelogram2" refType="w" fact="0.12"/>
              <dgm:constr type="h" for="ch" forName="parallelogram2" refType="h"/>
              <dgm:constr type="l" for="ch" forName="parallelogram3" refType="w" fact="0.254"/>
              <dgm:constr type="t" for="ch" forName="parallelogram3" refType="h" fact="0"/>
              <dgm:constr type="w" for="ch" forName="parallelogram3" refType="w" fact="0.12"/>
              <dgm:constr type="h" for="ch" forName="parallelogram3" refType="h"/>
              <dgm:constr type="l" for="ch" forName="parallelogram4" refType="w" fact="0.381"/>
              <dgm:constr type="t" for="ch" forName="parallelogram4" refType="h" fact="0"/>
              <dgm:constr type="w" for="ch" forName="parallelogram4" refType="w" fact="0.12"/>
              <dgm:constr type="h" for="ch" forName="parallelogram4" refType="h"/>
              <dgm:constr type="l" for="ch" forName="parallelogram5" refType="w" fact="0.508"/>
              <dgm:constr type="t" for="ch" forName="parallelogram5" refType="h" fact="0"/>
              <dgm:constr type="w" for="ch" forName="parallelogram5" refType="w" fact="0.12"/>
              <dgm:constr type="h" for="ch" forName="parallelogram5" refType="h"/>
              <dgm:constr type="l" for="ch" forName="parallelogram6" refType="w" fact="0.635"/>
              <dgm:constr type="t" for="ch" forName="parallelogram6" refType="h" fact="0"/>
              <dgm:constr type="w" for="ch" forName="parallelogram6" refType="w" fact="0.12"/>
              <dgm:constr type="h" for="ch" forName="parallelogram6" refType="h"/>
              <dgm:constr type="l" for="ch" forName="parallelogram7" refType="w" fact="0.762"/>
              <dgm:constr type="t" for="ch" forName="parallelogram7" refType="h" fact="0"/>
              <dgm:constr type="w" for="ch" forName="parallelogram7" refType="w" fact="0.12"/>
              <dgm:constr type="h" for="ch" forName="parallelogram7" refType="h"/>
            </dgm:constrLst>
            <dgm:ruleLst/>
            <dgm:layoutNode name="parallelogram1" styleLbl="alignNode1">
              <dgm:alg type="sp"/>
              <dgm:shape xmlns:r="http://schemas.openxmlformats.org/officeDocument/2006/relationships" type="parallelogram" r:blip="">
                <dgm:adjLst>
                  <dgm:adj idx="1" val="1.4084"/>
                </dgm:adjLst>
              </dgm:shape>
              <dgm:presOf/>
            </dgm:layoutNode>
            <dgm:layoutNode name="parallelogram2" styleLbl="alignNode1">
              <dgm:alg type="sp"/>
              <dgm:shape xmlns:r="http://schemas.openxmlformats.org/officeDocument/2006/relationships" type="parallelogram" r:blip="">
                <dgm:adjLst>
                  <dgm:adj idx="1" val="1.4084"/>
                </dgm:adjLst>
              </dgm:shape>
              <dgm:presOf/>
            </dgm:layoutNode>
            <dgm:layoutNode name="parallelogram3" styleLbl="alignNode1">
              <dgm:alg type="sp"/>
              <dgm:shape xmlns:r="http://schemas.openxmlformats.org/officeDocument/2006/relationships" type="parallelogram" r:blip="">
                <dgm:adjLst>
                  <dgm:adj idx="1" val="1.4084"/>
                </dgm:adjLst>
              </dgm:shape>
              <dgm:presOf/>
            </dgm:layoutNode>
            <dgm:layoutNode name="parallelogram4" styleLbl="alignNode1">
              <dgm:alg type="sp"/>
              <dgm:shape xmlns:r="http://schemas.openxmlformats.org/officeDocument/2006/relationships" type="parallelogram" r:blip="">
                <dgm:adjLst>
                  <dgm:adj idx="1" val="1.4084"/>
                </dgm:adjLst>
              </dgm:shape>
              <dgm:presOf/>
            </dgm:layoutNode>
            <dgm:layoutNode name="parallelogram5" styleLbl="alignNode1">
              <dgm:alg type="sp"/>
              <dgm:shape xmlns:r="http://schemas.openxmlformats.org/officeDocument/2006/relationships" type="parallelogram" r:blip="">
                <dgm:adjLst>
                  <dgm:adj idx="1" val="1.4084"/>
                </dgm:adjLst>
              </dgm:shape>
              <dgm:presOf/>
            </dgm:layoutNode>
            <dgm:layoutNode name="parallelogram6" styleLbl="alignNode1">
              <dgm:alg type="sp"/>
              <dgm:shape xmlns:r="http://schemas.openxmlformats.org/officeDocument/2006/relationships" type="parallelogram" r:blip="">
                <dgm:adjLst>
                  <dgm:adj idx="1" val="1.4084"/>
                </dgm:adjLst>
              </dgm:shape>
              <dgm:presOf/>
            </dgm:layoutNode>
            <dgm:layoutNode name="parallelogram7" styleLbl="alignNode1">
              <dgm:alg type="sp"/>
              <dgm:shape xmlns:r="http://schemas.openxmlformats.org/officeDocument/2006/relationships" type="parallelogram" r:blip="">
                <dgm:adjLst>
                  <dgm:adj idx="1" val="1.4084"/>
                </dgm:adjLst>
              </dgm:shape>
              <dgm:presOf/>
            </dgm:layoutNode>
          </dgm:layoutNode>
        </dgm:else>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image" Target="../media/image3.jpg"/><Relationship Id="rId18" Type="http://schemas.openxmlformats.org/officeDocument/2006/relationships/image" Target="../media/image8.jpg"/><Relationship Id="rId26" Type="http://schemas.openxmlformats.org/officeDocument/2006/relationships/image" Target="../media/image15.jpg"/><Relationship Id="rId3" Type="http://schemas.openxmlformats.org/officeDocument/2006/relationships/diagramQuickStyle" Target="../diagrams/quickStyle1.xml"/><Relationship Id="rId21" Type="http://schemas.openxmlformats.org/officeDocument/2006/relationships/image" Target="../media/image10.jpeg"/><Relationship Id="rId7" Type="http://schemas.openxmlformats.org/officeDocument/2006/relationships/diagramLayout" Target="../diagrams/layout2.xml"/><Relationship Id="rId12" Type="http://schemas.openxmlformats.org/officeDocument/2006/relationships/image" Target="../media/image2.jpg"/><Relationship Id="rId17" Type="http://schemas.openxmlformats.org/officeDocument/2006/relationships/image" Target="../media/image7.jpg"/><Relationship Id="rId25" Type="http://schemas.openxmlformats.org/officeDocument/2006/relationships/image" Target="../media/image14.jpg"/><Relationship Id="rId2" Type="http://schemas.openxmlformats.org/officeDocument/2006/relationships/diagramLayout" Target="../diagrams/layout1.xml"/><Relationship Id="rId16" Type="http://schemas.openxmlformats.org/officeDocument/2006/relationships/image" Target="../media/image6.jpg"/><Relationship Id="rId20" Type="http://schemas.openxmlformats.org/officeDocument/2006/relationships/hyperlink" Target="http://1.c8804.nichost.ru/pics/21347.jpg" TargetMode="Externa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jpg"/><Relationship Id="rId24" Type="http://schemas.openxmlformats.org/officeDocument/2006/relationships/image" Target="../media/image13.jpg"/><Relationship Id="rId5" Type="http://schemas.microsoft.com/office/2007/relationships/diagramDrawing" Target="../diagrams/drawing1.xml"/><Relationship Id="rId15" Type="http://schemas.openxmlformats.org/officeDocument/2006/relationships/image" Target="../media/image5.jpg"/><Relationship Id="rId23" Type="http://schemas.openxmlformats.org/officeDocument/2006/relationships/image" Target="../media/image12.jpg"/><Relationship Id="rId10" Type="http://schemas.microsoft.com/office/2007/relationships/diagramDrawing" Target="../diagrams/drawing2.xml"/><Relationship Id="rId19" Type="http://schemas.openxmlformats.org/officeDocument/2006/relationships/image" Target="../media/image9.jpg"/><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image" Target="../media/image4.jpg"/><Relationship Id="rId22"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0</xdr:row>
          <xdr:rowOff>0</xdr:rowOff>
        </xdr:from>
        <xdr:to>
          <xdr:col>18</xdr:col>
          <xdr:colOff>1219200</xdr:colOff>
          <xdr:row>1</xdr:row>
          <xdr:rowOff>161925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57150</xdr:colOff>
      <xdr:row>12</xdr:row>
      <xdr:rowOff>85724</xdr:rowOff>
    </xdr:from>
    <xdr:to>
      <xdr:col>8</xdr:col>
      <xdr:colOff>342900</xdr:colOff>
      <xdr:row>63</xdr:row>
      <xdr:rowOff>76200</xdr:rowOff>
    </xdr:to>
    <xdr:graphicFrame macro="">
      <xdr:nvGraphicFramePr>
        <xdr:cNvPr id="2" name="Схема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447675</xdr:colOff>
      <xdr:row>9</xdr:row>
      <xdr:rowOff>152400</xdr:rowOff>
    </xdr:from>
    <xdr:to>
      <xdr:col>6</xdr:col>
      <xdr:colOff>276225</xdr:colOff>
      <xdr:row>12</xdr:row>
      <xdr:rowOff>47625</xdr:rowOff>
    </xdr:to>
    <xdr:graphicFrame macro="">
      <xdr:nvGraphicFramePr>
        <xdr:cNvPr id="11" name="Схема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3</xdr:col>
      <xdr:colOff>209550</xdr:colOff>
      <xdr:row>2235</xdr:row>
      <xdr:rowOff>28575</xdr:rowOff>
    </xdr:from>
    <xdr:to>
      <xdr:col>3</xdr:col>
      <xdr:colOff>1168718</xdr:colOff>
      <xdr:row>2239</xdr:row>
      <xdr:rowOff>171450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57350" y="30203775"/>
          <a:ext cx="959168" cy="904875"/>
        </a:xfrm>
        <a:prstGeom prst="rect">
          <a:avLst/>
        </a:prstGeom>
      </xdr:spPr>
    </xdr:pic>
    <xdr:clientData/>
  </xdr:twoCellAnchor>
  <xdr:twoCellAnchor>
    <xdr:from>
      <xdr:col>3</xdr:col>
      <xdr:colOff>57151</xdr:colOff>
      <xdr:row>2716</xdr:row>
      <xdr:rowOff>28575</xdr:rowOff>
    </xdr:from>
    <xdr:to>
      <xdr:col>3</xdr:col>
      <xdr:colOff>918189</xdr:colOff>
      <xdr:row>2719</xdr:row>
      <xdr:rowOff>161925</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04951" y="25107900"/>
          <a:ext cx="861038" cy="704850"/>
        </a:xfrm>
        <a:prstGeom prst="rect">
          <a:avLst/>
        </a:prstGeom>
      </xdr:spPr>
    </xdr:pic>
    <xdr:clientData/>
  </xdr:twoCellAnchor>
  <xdr:twoCellAnchor>
    <xdr:from>
      <xdr:col>3</xdr:col>
      <xdr:colOff>142875</xdr:colOff>
      <xdr:row>2802</xdr:row>
      <xdr:rowOff>38100</xdr:rowOff>
    </xdr:from>
    <xdr:to>
      <xdr:col>3</xdr:col>
      <xdr:colOff>1428750</xdr:colOff>
      <xdr:row>2805</xdr:row>
      <xdr:rowOff>169545</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590675" y="25117425"/>
          <a:ext cx="1285875" cy="702945"/>
        </a:xfrm>
        <a:prstGeom prst="rect">
          <a:avLst/>
        </a:prstGeom>
      </xdr:spPr>
    </xdr:pic>
    <xdr:clientData/>
  </xdr:twoCellAnchor>
  <xdr:twoCellAnchor>
    <xdr:from>
      <xdr:col>3</xdr:col>
      <xdr:colOff>66677</xdr:colOff>
      <xdr:row>2522</xdr:row>
      <xdr:rowOff>19051</xdr:rowOff>
    </xdr:from>
    <xdr:to>
      <xdr:col>3</xdr:col>
      <xdr:colOff>814769</xdr:colOff>
      <xdr:row>2525</xdr:row>
      <xdr:rowOff>180975</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514477" y="48453676"/>
          <a:ext cx="748092" cy="733424"/>
        </a:xfrm>
        <a:prstGeom prst="rect">
          <a:avLst/>
        </a:prstGeom>
      </xdr:spPr>
    </xdr:pic>
    <xdr:clientData/>
  </xdr:twoCellAnchor>
  <xdr:twoCellAnchor>
    <xdr:from>
      <xdr:col>3</xdr:col>
      <xdr:colOff>295276</xdr:colOff>
      <xdr:row>1305</xdr:row>
      <xdr:rowOff>19050</xdr:rowOff>
    </xdr:from>
    <xdr:to>
      <xdr:col>3</xdr:col>
      <xdr:colOff>1307898</xdr:colOff>
      <xdr:row>1309</xdr:row>
      <xdr:rowOff>180975</xdr:rowOff>
    </xdr:to>
    <xdr:pic>
      <xdr:nvPicPr>
        <xdr:cNvPr id="6" name="Рисунок 5">
          <a:extLst>
            <a:ext uri="{FF2B5EF4-FFF2-40B4-BE49-F238E27FC236}">
              <a16:creationId xmlns:a16="http://schemas.microsoft.com/office/drawing/2014/main" id="{BC09A9E1-F62C-4E0F-800D-5597CC5AFA6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743076" y="53359050"/>
          <a:ext cx="1012622" cy="923925"/>
        </a:xfrm>
        <a:prstGeom prst="rect">
          <a:avLst/>
        </a:prstGeom>
      </xdr:spPr>
    </xdr:pic>
    <xdr:clientData/>
  </xdr:twoCellAnchor>
  <xdr:twoCellAnchor>
    <xdr:from>
      <xdr:col>3</xdr:col>
      <xdr:colOff>66675</xdr:colOff>
      <xdr:row>1342</xdr:row>
      <xdr:rowOff>38100</xdr:rowOff>
    </xdr:from>
    <xdr:to>
      <xdr:col>3</xdr:col>
      <xdr:colOff>1152525</xdr:colOff>
      <xdr:row>1346</xdr:row>
      <xdr:rowOff>174982</xdr:rowOff>
    </xdr:to>
    <xdr:pic>
      <xdr:nvPicPr>
        <xdr:cNvPr id="7" name="Рисунок 6">
          <a:extLst>
            <a:ext uri="{FF2B5EF4-FFF2-40B4-BE49-F238E27FC236}">
              <a16:creationId xmlns:a16="http://schemas.microsoft.com/office/drawing/2014/main" id="{92B84CBD-AB1B-4E9F-B159-BB19A1AC058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514475" y="61121925"/>
          <a:ext cx="1085850" cy="898882"/>
        </a:xfrm>
        <a:prstGeom prst="rect">
          <a:avLst/>
        </a:prstGeom>
      </xdr:spPr>
    </xdr:pic>
    <xdr:clientData/>
  </xdr:twoCellAnchor>
  <xdr:twoCellAnchor>
    <xdr:from>
      <xdr:col>3</xdr:col>
      <xdr:colOff>38100</xdr:colOff>
      <xdr:row>196</xdr:row>
      <xdr:rowOff>19050</xdr:rowOff>
    </xdr:from>
    <xdr:to>
      <xdr:col>3</xdr:col>
      <xdr:colOff>1400175</xdr:colOff>
      <xdr:row>200</xdr:row>
      <xdr:rowOff>173244</xdr:rowOff>
    </xdr:to>
    <xdr:pic>
      <xdr:nvPicPr>
        <xdr:cNvPr id="13" name="Рисунок 12">
          <a:extLst>
            <a:ext uri="{FF2B5EF4-FFF2-40B4-BE49-F238E27FC236}">
              <a16:creationId xmlns:a16="http://schemas.microsoft.com/office/drawing/2014/main" id="{101A3D7D-C65C-D100-85BB-73EDADE97B6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85900" y="33004125"/>
          <a:ext cx="1362075" cy="916194"/>
        </a:xfrm>
        <a:prstGeom prst="rect">
          <a:avLst/>
        </a:prstGeom>
      </xdr:spPr>
    </xdr:pic>
    <xdr:clientData/>
  </xdr:twoCellAnchor>
  <xdr:twoCellAnchor>
    <xdr:from>
      <xdr:col>3</xdr:col>
      <xdr:colOff>57150</xdr:colOff>
      <xdr:row>220</xdr:row>
      <xdr:rowOff>19050</xdr:rowOff>
    </xdr:from>
    <xdr:to>
      <xdr:col>3</xdr:col>
      <xdr:colOff>1837182</xdr:colOff>
      <xdr:row>224</xdr:row>
      <xdr:rowOff>171450</xdr:rowOff>
    </xdr:to>
    <xdr:pic>
      <xdr:nvPicPr>
        <xdr:cNvPr id="9" name="Рисунок 8">
          <a:extLst>
            <a:ext uri="{FF2B5EF4-FFF2-40B4-BE49-F238E27FC236}">
              <a16:creationId xmlns:a16="http://schemas.microsoft.com/office/drawing/2014/main" id="{92953ADC-9541-8E15-4C28-2085620BFD4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504950" y="71970900"/>
          <a:ext cx="1780032" cy="914400"/>
        </a:xfrm>
        <a:prstGeom prst="rect">
          <a:avLst/>
        </a:prstGeom>
      </xdr:spPr>
    </xdr:pic>
    <xdr:clientData/>
  </xdr:twoCellAnchor>
  <xdr:twoCellAnchor>
    <xdr:from>
      <xdr:col>3</xdr:col>
      <xdr:colOff>209550</xdr:colOff>
      <xdr:row>1524</xdr:row>
      <xdr:rowOff>9525</xdr:rowOff>
    </xdr:from>
    <xdr:to>
      <xdr:col>3</xdr:col>
      <xdr:colOff>1143000</xdr:colOff>
      <xdr:row>1528</xdr:row>
      <xdr:rowOff>180975</xdr:rowOff>
    </xdr:to>
    <xdr:pic>
      <xdr:nvPicPr>
        <xdr:cNvPr id="19" name="Рисунок 18">
          <a:extLst>
            <a:ext uri="{FF2B5EF4-FFF2-40B4-BE49-F238E27FC236}">
              <a16:creationId xmlns:a16="http://schemas.microsoft.com/office/drawing/2014/main" id="{743207A1-D8AD-4692-8268-576D4C1F101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657350" y="80914875"/>
          <a:ext cx="933450" cy="933450"/>
        </a:xfrm>
        <a:prstGeom prst="rect">
          <a:avLst/>
        </a:prstGeom>
      </xdr:spPr>
    </xdr:pic>
    <xdr:clientData/>
  </xdr:twoCellAnchor>
  <xdr:twoCellAnchor>
    <xdr:from>
      <xdr:col>3</xdr:col>
      <xdr:colOff>66675</xdr:colOff>
      <xdr:row>1668</xdr:row>
      <xdr:rowOff>38099</xdr:rowOff>
    </xdr:from>
    <xdr:to>
      <xdr:col>3</xdr:col>
      <xdr:colOff>1445390</xdr:colOff>
      <xdr:row>1672</xdr:row>
      <xdr:rowOff>161924</xdr:rowOff>
    </xdr:to>
    <xdr:pic>
      <xdr:nvPicPr>
        <xdr:cNvPr id="3" name="Рисунок 2">
          <a:hlinkClick xmlns:r="http://schemas.openxmlformats.org/officeDocument/2006/relationships" r:id="rId20"/>
          <a:extLst>
            <a:ext uri="{FF2B5EF4-FFF2-40B4-BE49-F238E27FC236}">
              <a16:creationId xmlns:a16="http://schemas.microsoft.com/office/drawing/2014/main" id="{873680C6-BE35-4820-86CA-271D112BF17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14475" y="34851974"/>
          <a:ext cx="1378715" cy="885825"/>
        </a:xfrm>
        <a:prstGeom prst="rect">
          <a:avLst/>
        </a:prstGeom>
      </xdr:spPr>
    </xdr:pic>
    <xdr:clientData/>
  </xdr:twoCellAnchor>
  <xdr:twoCellAnchor>
    <xdr:from>
      <xdr:col>3</xdr:col>
      <xdr:colOff>76200</xdr:colOff>
      <xdr:row>1571</xdr:row>
      <xdr:rowOff>19050</xdr:rowOff>
    </xdr:from>
    <xdr:to>
      <xdr:col>3</xdr:col>
      <xdr:colOff>1152525</xdr:colOff>
      <xdr:row>1575</xdr:row>
      <xdr:rowOff>182690</xdr:rowOff>
    </xdr:to>
    <xdr:pic>
      <xdr:nvPicPr>
        <xdr:cNvPr id="4" name="Рисунок 3">
          <a:extLst>
            <a:ext uri="{FF2B5EF4-FFF2-40B4-BE49-F238E27FC236}">
              <a16:creationId xmlns:a16="http://schemas.microsoft.com/office/drawing/2014/main" id="{536F920F-1B09-4866-8DC5-467EEBB13E8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524000" y="31089600"/>
          <a:ext cx="1076325" cy="925640"/>
        </a:xfrm>
        <a:prstGeom prst="rect">
          <a:avLst/>
        </a:prstGeom>
      </xdr:spPr>
    </xdr:pic>
    <xdr:clientData/>
  </xdr:twoCellAnchor>
  <xdr:twoCellAnchor>
    <xdr:from>
      <xdr:col>3</xdr:col>
      <xdr:colOff>66675</xdr:colOff>
      <xdr:row>1590</xdr:row>
      <xdr:rowOff>28575</xdr:rowOff>
    </xdr:from>
    <xdr:to>
      <xdr:col>3</xdr:col>
      <xdr:colOff>1546592</xdr:colOff>
      <xdr:row>1594</xdr:row>
      <xdr:rowOff>161925</xdr:rowOff>
    </xdr:to>
    <xdr:pic>
      <xdr:nvPicPr>
        <xdr:cNvPr id="8" name="Рисунок 7">
          <a:extLst>
            <a:ext uri="{FF2B5EF4-FFF2-40B4-BE49-F238E27FC236}">
              <a16:creationId xmlns:a16="http://schemas.microsoft.com/office/drawing/2014/main" id="{BCC5CDBE-B0F1-45C7-9236-09C596367EE2}"/>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514475" y="332851125"/>
          <a:ext cx="1479917" cy="895350"/>
        </a:xfrm>
        <a:prstGeom prst="rect">
          <a:avLst/>
        </a:prstGeom>
      </xdr:spPr>
    </xdr:pic>
    <xdr:clientData/>
  </xdr:twoCellAnchor>
  <xdr:twoCellAnchor>
    <xdr:from>
      <xdr:col>3</xdr:col>
      <xdr:colOff>28575</xdr:colOff>
      <xdr:row>1649</xdr:row>
      <xdr:rowOff>19050</xdr:rowOff>
    </xdr:from>
    <xdr:to>
      <xdr:col>3</xdr:col>
      <xdr:colOff>786365</xdr:colOff>
      <xdr:row>1653</xdr:row>
      <xdr:rowOff>171450</xdr:rowOff>
    </xdr:to>
    <xdr:pic>
      <xdr:nvPicPr>
        <xdr:cNvPr id="12" name="Рисунок 11">
          <a:extLst>
            <a:ext uri="{FF2B5EF4-FFF2-40B4-BE49-F238E27FC236}">
              <a16:creationId xmlns:a16="http://schemas.microsoft.com/office/drawing/2014/main" id="{6C4A3059-F751-41E2-A6E5-7C25FBCF4B0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476375" y="53873400"/>
          <a:ext cx="757790" cy="914400"/>
        </a:xfrm>
        <a:prstGeom prst="rect">
          <a:avLst/>
        </a:prstGeom>
      </xdr:spPr>
    </xdr:pic>
    <xdr:clientData/>
  </xdr:twoCellAnchor>
  <xdr:twoCellAnchor>
    <xdr:from>
      <xdr:col>3</xdr:col>
      <xdr:colOff>57150</xdr:colOff>
      <xdr:row>176</xdr:row>
      <xdr:rowOff>28575</xdr:rowOff>
    </xdr:from>
    <xdr:to>
      <xdr:col>3</xdr:col>
      <xdr:colOff>847725</xdr:colOff>
      <xdr:row>180</xdr:row>
      <xdr:rowOff>158201</xdr:rowOff>
    </xdr:to>
    <xdr:pic>
      <xdr:nvPicPr>
        <xdr:cNvPr id="14" name="Рисунок 13">
          <a:extLst>
            <a:ext uri="{FF2B5EF4-FFF2-40B4-BE49-F238E27FC236}">
              <a16:creationId xmlns:a16="http://schemas.microsoft.com/office/drawing/2014/main" id="{6D6C92F9-F54A-40CE-43BE-291E5A6CD45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504950" y="34680525"/>
          <a:ext cx="790575" cy="891626"/>
        </a:xfrm>
        <a:prstGeom prst="rect">
          <a:avLst/>
        </a:prstGeom>
      </xdr:spPr>
    </xdr:pic>
    <xdr:clientData/>
  </xdr:twoCellAnchor>
  <xdr:twoCellAnchor>
    <xdr:from>
      <xdr:col>5</xdr:col>
      <xdr:colOff>66675</xdr:colOff>
      <xdr:row>3</xdr:row>
      <xdr:rowOff>28575</xdr:rowOff>
    </xdr:from>
    <xdr:to>
      <xdr:col>6</xdr:col>
      <xdr:colOff>440323</xdr:colOff>
      <xdr:row>6</xdr:row>
      <xdr:rowOff>257175</xdr:rowOff>
    </xdr:to>
    <xdr:pic>
      <xdr:nvPicPr>
        <xdr:cNvPr id="18" name="Рисунок 17">
          <a:extLst>
            <a:ext uri="{FF2B5EF4-FFF2-40B4-BE49-F238E27FC236}">
              <a16:creationId xmlns:a16="http://schemas.microsoft.com/office/drawing/2014/main" id="{8D82521F-2C5F-619E-56BD-5E50C600B03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5857875" y="542925"/>
          <a:ext cx="897523" cy="857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rdjemiuszero.com/upload/iblock/115/115b2951132f9b247b5ee72da9700072.jpg" TargetMode="External"/><Relationship Id="rId299" Type="http://schemas.openxmlformats.org/officeDocument/2006/relationships/hyperlink" Target="http://1.c8804.nichost.ru/pics/15788_1.jpg" TargetMode="External"/><Relationship Id="rId21" Type="http://schemas.openxmlformats.org/officeDocument/2006/relationships/hyperlink" Target="https://image.jimcdn.com/app/cms/image/transf/dimension=410x1024:format=png/path/scddca46c04b2355a/image/if8d0d9f7d69842a7/version/1631080513/%D0%BC%D0%B0%D1%81%D0%BB%D0%BE-%D1%82%D0%BE%D0%BF%D0%BB%D0%B5%D0%BD%D0%BE%D0%B5-%D0%B3%D1%85%D0%B8.png" TargetMode="External"/><Relationship Id="rId63" Type="http://schemas.openxmlformats.org/officeDocument/2006/relationships/hyperlink" Target="http://naturevector.c8804.shared.hc.ru/photo/19791.jpg" TargetMode="External"/><Relationship Id="rId159" Type="http://schemas.openxmlformats.org/officeDocument/2006/relationships/hyperlink" Target="https://bionovashop.ru/upload/iblock/8cf/mrny0f8g1te7eo2atkcaa328ynb7y42h.jpg" TargetMode="External"/><Relationship Id="rId324" Type="http://schemas.openxmlformats.org/officeDocument/2006/relationships/hyperlink" Target="http://naturevector.c8804.shared.hc.ru/photo/" TargetMode="External"/><Relationship Id="rId366" Type="http://schemas.openxmlformats.org/officeDocument/2006/relationships/hyperlink" Target="http://naturevector.c8804.shared.hc.ru/photo/" TargetMode="External"/><Relationship Id="rId170" Type="http://schemas.openxmlformats.org/officeDocument/2006/relationships/hyperlink" Target="https://bionovashop.ru/upload/iblock/9c9/q13o8uwiq1xqf92ai32ny9yd8fwnasat.png" TargetMode="External"/><Relationship Id="rId226" Type="http://schemas.openxmlformats.org/officeDocument/2006/relationships/hyperlink" Target="https://vita-family.com/upload/resize_cache/iblock/6d5/400_400_140cd750bba9870f18aada2478b24840a/qijyowcn8fpbswmfmo9091ggnvjpu6mx.jpg" TargetMode="External"/><Relationship Id="rId268" Type="http://schemas.openxmlformats.org/officeDocument/2006/relationships/hyperlink" Target="https://dieterra.ru/upload/iblock/03b/5xcr9z2mubdxtzp5c2cmssxi8gbh7gex.png" TargetMode="External"/><Relationship Id="rId32" Type="http://schemas.openxmlformats.org/officeDocument/2006/relationships/hyperlink" Target="http://naturevector.c8804.shared.hc.ru/photo/" TargetMode="External"/><Relationship Id="rId74" Type="http://schemas.openxmlformats.org/officeDocument/2006/relationships/hyperlink" Target="https://lifeway.su/wp-content/uploads/2014/04/TSelnosmolotaya-ovsyanaya-muka.jpg" TargetMode="External"/><Relationship Id="rId128" Type="http://schemas.openxmlformats.org/officeDocument/2006/relationships/hyperlink" Target="https://mrdjemiuszero.com/upload/iblock/fed/fedda2cd96a1fde406d31be4d4de8170.jpg" TargetMode="External"/><Relationship Id="rId335" Type="http://schemas.openxmlformats.org/officeDocument/2006/relationships/hyperlink" Target="https://bite.ru/upload/resize_cache/iblock/49f/1200_1200_1/bitey_wafer_cherry-_1_.png" TargetMode="External"/><Relationship Id="rId377" Type="http://schemas.openxmlformats.org/officeDocument/2006/relationships/hyperlink" Target="http://naturevector.c8804.shared.hc.ru/photo/19815.jpg" TargetMode="External"/><Relationship Id="rId5" Type="http://schemas.openxmlformats.org/officeDocument/2006/relationships/hyperlink" Target="http://naturevector.c8804.shared.hc.ru/photo/18908.jpg" TargetMode="External"/><Relationship Id="rId181" Type="http://schemas.openxmlformats.org/officeDocument/2006/relationships/hyperlink" Target="https://bionovashop.ru/upload/iblock/981/pz8c1nxq9c39j04ul4a8wj6rjgsm924d.jpg" TargetMode="External"/><Relationship Id="rId237" Type="http://schemas.openxmlformats.org/officeDocument/2006/relationships/hyperlink" Target="https://tfzp.ru/assets/cache/images/products/sk/zozh/zolotojvozrast-1735x975-f17.png" TargetMode="External"/><Relationship Id="rId402" Type="http://schemas.openxmlformats.org/officeDocument/2006/relationships/hyperlink" Target="http://naturevector.c8804.shared.hc.ru/photo/19836.jpg" TargetMode="External"/><Relationship Id="rId279" Type="http://schemas.openxmlformats.org/officeDocument/2006/relationships/hyperlink" Target="http://www.dompogrebok.ru/media/1/190.png" TargetMode="External"/><Relationship Id="rId43" Type="http://schemas.openxmlformats.org/officeDocument/2006/relationships/hyperlink" Target="https://nutvinograd.ru/wp-content/uploads/2021/01/pastila-yabloko-1-683x1024.jpg" TargetMode="External"/><Relationship Id="rId139" Type="http://schemas.openxmlformats.org/officeDocument/2006/relationships/hyperlink" Target="https://mrdjemiuszero.com/upload/iblock/0b9/0b9077c8b31d660bf62e36447c625c2e.jpg" TargetMode="External"/><Relationship Id="rId290" Type="http://schemas.openxmlformats.org/officeDocument/2006/relationships/hyperlink" Target="http://naturevector.c8804.shared.hc.ru/photo/" TargetMode="External"/><Relationship Id="rId304" Type="http://schemas.openxmlformats.org/officeDocument/2006/relationships/hyperlink" Target="http://1.c8804.nichost.ru/pics/13499_1.jpg" TargetMode="External"/><Relationship Id="rId346" Type="http://schemas.openxmlformats.org/officeDocument/2006/relationships/hyperlink" Target="http://1.c8804.nichost.ru/pics/19673_1.jpg" TargetMode="External"/><Relationship Id="rId388" Type="http://schemas.openxmlformats.org/officeDocument/2006/relationships/hyperlink" Target="http://1.c8804.nichost.ru/pics/20060_1.jpg" TargetMode="External"/><Relationship Id="rId85" Type="http://schemas.openxmlformats.org/officeDocument/2006/relationships/hyperlink" Target="https://lifeway.su/wp-content/uploads/2017/12/Balans.jpg" TargetMode="External"/><Relationship Id="rId150" Type="http://schemas.openxmlformats.org/officeDocument/2006/relationships/hyperlink" Target="https://maslo53.ru/img/fasovka/3935-fb5e37e8b53956f27b72dca35d4fc7af-420-315.jpg" TargetMode="External"/><Relationship Id="rId192" Type="http://schemas.openxmlformats.org/officeDocument/2006/relationships/hyperlink" Target="https://altnectar.com/upload/iblock/be9/dh1m6znshdtjo856n7r44qejo1aafn9c.jpg" TargetMode="External"/><Relationship Id="rId206" Type="http://schemas.openxmlformats.org/officeDocument/2006/relationships/hyperlink" Target="https://fabrikabio.ru/images/product/000/000111/438-1039_tea_50g_currant_l_1050x1400px.tn-570x900.b891873268.jpg" TargetMode="External"/><Relationship Id="rId413" Type="http://schemas.openxmlformats.org/officeDocument/2006/relationships/hyperlink" Target="https://www.corpdidi.ru/upload/iblock/39a/39aa116950abe84926bc0c74d912f5a0.jpg" TargetMode="External"/><Relationship Id="rId248" Type="http://schemas.openxmlformats.org/officeDocument/2006/relationships/hyperlink" Target="https://dialexport.ru/upload/iblock/87b/87b4e0a6c5fa47cfbf6af24b42dee396.jpg" TargetMode="External"/><Relationship Id="rId12" Type="http://schemas.openxmlformats.org/officeDocument/2006/relationships/hyperlink" Target="https://ivan-da.ru/wp-content/uploads/2021/03/D87B98FE-5276-4662-B0CB-06C259799D2A.png" TargetMode="External"/><Relationship Id="rId108" Type="http://schemas.openxmlformats.org/officeDocument/2006/relationships/hyperlink" Target="https://www.rado-grad.ru/upload/iblock/bf0/l854hoc4j89s25a7vpb7g0jff3irsew9/maslo_kunzhutnoe_100_ml2.png" TargetMode="External"/><Relationship Id="rId315" Type="http://schemas.openxmlformats.org/officeDocument/2006/relationships/hyperlink" Target="http://1.c8804.nichost.ru/pics/17979_1.jpg" TargetMode="External"/><Relationship Id="rId357" Type="http://schemas.openxmlformats.org/officeDocument/2006/relationships/hyperlink" Target="http://1.c8804.nichost.ru/pics/19728_1.jpg" TargetMode="External"/><Relationship Id="rId54" Type="http://schemas.openxmlformats.org/officeDocument/2006/relationships/hyperlink" Target="http://naturevector.c8804.shared.hc.ru/photo/19871.jpg" TargetMode="External"/><Relationship Id="rId96" Type="http://schemas.openxmlformats.org/officeDocument/2006/relationships/hyperlink" Target="https://zdorovedaru.ru/upload/iblock/fc7/r0totldy2mk7bzjb0sx07o2ebopkpnvf.png" TargetMode="External"/><Relationship Id="rId161" Type="http://schemas.openxmlformats.org/officeDocument/2006/relationships/hyperlink" Target="https://bionovashop.ru/upload/iblock/007/bl3y6dubexolq2mpezjotayoetvwe3hu.jpg" TargetMode="External"/><Relationship Id="rId217" Type="http://schemas.openxmlformats.org/officeDocument/2006/relationships/hyperlink" Target="https://vita-family.com/upload/resize_cache/iblock/8f8/400_400_140cd750bba9870f18aada2478b24840a/xzzw6agxxu6h1ici3ceq2o9sez388vcw.jpg" TargetMode="External"/><Relationship Id="rId399" Type="http://schemas.openxmlformats.org/officeDocument/2006/relationships/hyperlink" Target="http://naturevector.c8804.shared.hc.ru/photo/" TargetMode="External"/><Relationship Id="rId259" Type="http://schemas.openxmlformats.org/officeDocument/2006/relationships/hyperlink" Target="https://ivan-da.ru/wp-content/uploads/2020/01/%D1%88%D0%B8%D0%BF%D0%BE%D0%B2%D0%BD%D0%B8%D0%BA.jpg" TargetMode="External"/><Relationship Id="rId424" Type="http://schemas.openxmlformats.org/officeDocument/2006/relationships/drawing" Target="../drawings/drawing1.xml"/><Relationship Id="rId23" Type="http://schemas.openxmlformats.org/officeDocument/2006/relationships/hyperlink" Target="http://naturevector.c8804.shared.hc.ru/photo/" TargetMode="External"/><Relationship Id="rId119" Type="http://schemas.openxmlformats.org/officeDocument/2006/relationships/hyperlink" Target="https://mrdjemiuszero.com/upload/iblock/afe/afea298390f59c37083306258befcd69.jpg" TargetMode="External"/><Relationship Id="rId270" Type="http://schemas.openxmlformats.org/officeDocument/2006/relationships/hyperlink" Target="http://zdorovey.ru/wp-content/uploads/2019/11/Khlebtsi_mini_1000_1000.jpg" TargetMode="External"/><Relationship Id="rId326" Type="http://schemas.openxmlformats.org/officeDocument/2006/relationships/hyperlink" Target="http://naturevector.c8804.shared.hc.ru/photo/" TargetMode="External"/><Relationship Id="rId65" Type="http://schemas.openxmlformats.org/officeDocument/2006/relationships/hyperlink" Target="http://naturevector.c8804.shared.hc.ru/photo/greenzlak.jpg" TargetMode="External"/><Relationship Id="rId130" Type="http://schemas.openxmlformats.org/officeDocument/2006/relationships/hyperlink" Target="https://mrdjemiuszero.com/upload/iblock/5ac/5ac432dbc56e017af0dafefb7789182f.jpg" TargetMode="External"/><Relationship Id="rId368" Type="http://schemas.openxmlformats.org/officeDocument/2006/relationships/hyperlink" Target="http://naturevector.c8804.shared.hc.ru/photo/" TargetMode="External"/><Relationship Id="rId172" Type="http://schemas.openxmlformats.org/officeDocument/2006/relationships/hyperlink" Target="https://bionovashop.ru/upload/iblock/431/xo71oppxiyvc5hjbwnwsgpbyogjsjrsg.png" TargetMode="External"/><Relationship Id="rId228" Type="http://schemas.openxmlformats.org/officeDocument/2006/relationships/hyperlink" Target="https://vita-family.com/upload/resize_cache/iblock/bb1/400_400_140cd750bba9870f18aada2478b24840a/qfsgyxq2a3bu6nt2d7m3oizcxjjpkhre.jpg" TargetMode="External"/><Relationship Id="rId281" Type="http://schemas.openxmlformats.org/officeDocument/2006/relationships/hyperlink" Target="https://art-amm.ru/images/006/712/303/6712303/289x385crop/%D0%91%D0%B5%D0%B7_%D0%B8%D0%BC%D0%B5%D0%BD%D0%B8-3.jpg" TargetMode="External"/><Relationship Id="rId337" Type="http://schemas.openxmlformats.org/officeDocument/2006/relationships/hyperlink" Target="https://bite.ru/upload/resize_cache/iblock/5cf/1200_1200_1/bitey_wafer_carrot-_1_.png" TargetMode="External"/><Relationship Id="rId34" Type="http://schemas.openxmlformats.org/officeDocument/2006/relationships/hyperlink" Target="http://naturevector.c8804.shared.hc.ru/photo/" TargetMode="External"/><Relationship Id="rId76" Type="http://schemas.openxmlformats.org/officeDocument/2006/relationships/hyperlink" Target="https://lifeway.su/wp-content/uploads/2014/04/TSelnosmolotaya-pshenichnaya-muka.jpg" TargetMode="External"/><Relationship Id="rId141" Type="http://schemas.openxmlformats.org/officeDocument/2006/relationships/hyperlink" Target="http://www.vitazar.ru/images/cereals01.jpg" TargetMode="External"/><Relationship Id="rId379" Type="http://schemas.openxmlformats.org/officeDocument/2006/relationships/hyperlink" Target="http://naturevector.c8804.shared.hc.ru/photo/17845.jpg" TargetMode="External"/><Relationship Id="rId7" Type="http://schemas.openxmlformats.org/officeDocument/2006/relationships/hyperlink" Target="https://images.av.ru/av.ru/product/hac/hda/9245148348446.jpg" TargetMode="External"/><Relationship Id="rId183" Type="http://schemas.openxmlformats.org/officeDocument/2006/relationships/hyperlink" Target="https://bionovashop.ru/upload/iblock/773/y6bmkk985ee5fia3qbweve185zprq0xc.jpg" TargetMode="External"/><Relationship Id="rId239" Type="http://schemas.openxmlformats.org/officeDocument/2006/relationships/hyperlink" Target="https://tfzp.ru/assets/cache/images/products/sk/zozh/lnyanayayagody-1735x975-a61.png" TargetMode="External"/><Relationship Id="rId390" Type="http://schemas.openxmlformats.org/officeDocument/2006/relationships/hyperlink" Target="http://naturevector.c8804.shared.hc.ru/photo/" TargetMode="External"/><Relationship Id="rId404" Type="http://schemas.openxmlformats.org/officeDocument/2006/relationships/hyperlink" Target="http://naturevector.c8804.shared.hc.ru/photo/" TargetMode="External"/><Relationship Id="rId250" Type="http://schemas.openxmlformats.org/officeDocument/2006/relationships/hyperlink" Target="https://dialexport.ru/upload/iblock/e95/e95963f81139b18708ba92f35c8be08e.jpg" TargetMode="External"/><Relationship Id="rId292" Type="http://schemas.openxmlformats.org/officeDocument/2006/relationships/hyperlink" Target="https://altnectar.com/upload/iblock/3c5/4v3tvgm90mtzxl5ru7v6p2bwiq5uc56b.jpg" TargetMode="External"/><Relationship Id="rId306" Type="http://schemas.openxmlformats.org/officeDocument/2006/relationships/hyperlink" Target="http://naturevector.c8804.shared.hc.ru/photo/" TargetMode="External"/><Relationship Id="rId45" Type="http://schemas.openxmlformats.org/officeDocument/2006/relationships/hyperlink" Target="http://1.c8804.nichost.ru/pics/19155_1.jpg" TargetMode="External"/><Relationship Id="rId87" Type="http://schemas.openxmlformats.org/officeDocument/2006/relationships/hyperlink" Target="https://lifeway.su/wp-content/uploads/2017/12/Intellekt.jpg" TargetMode="External"/><Relationship Id="rId110" Type="http://schemas.openxmlformats.org/officeDocument/2006/relationships/hyperlink" Target="https://www.rado-grad.ru/upload/iblock/498/w2wr9016649t4ahvnjgc8li706ck6ti3/maslo_oblepikhovoe_100_ml.png" TargetMode="External"/><Relationship Id="rId348" Type="http://schemas.openxmlformats.org/officeDocument/2006/relationships/hyperlink" Target="http://1.c8804.nichost.ru/pics/17640_1.jpg" TargetMode="External"/><Relationship Id="rId152" Type="http://schemas.openxmlformats.org/officeDocument/2006/relationships/hyperlink" Target="https://bionovashop.ru/upload/iblock/65a/65ad894e17021f2f1d55145c7285bbf5.jpg" TargetMode="External"/><Relationship Id="rId194" Type="http://schemas.openxmlformats.org/officeDocument/2006/relationships/hyperlink" Target="https://altnectar.com/upload/iblock/9a1/5as8awiyth892a52gdkh3k7ygdox1z89.jpg" TargetMode="External"/><Relationship Id="rId208" Type="http://schemas.openxmlformats.org/officeDocument/2006/relationships/hyperlink" Target="https://fabrikabio.ru/images/product/000/000106/907-1042_tea_50g_thyme_l_1050x1400px.tn-570x900.dfebfbbeb9.jpg" TargetMode="External"/><Relationship Id="rId415" Type="http://schemas.openxmlformats.org/officeDocument/2006/relationships/hyperlink" Target="https://www.corpdidi.ru/upload/iblock/580/5801ee9781fad69f4b1eaec2b79e4a1c.jpg" TargetMode="External"/><Relationship Id="rId261" Type="http://schemas.openxmlformats.org/officeDocument/2006/relationships/hyperlink" Target="https://dieterra.ru/upload/iblock/788/h50csl8ni2lbj5nnfww9gx1zvvo4a51u.png" TargetMode="External"/><Relationship Id="rId14" Type="http://schemas.openxmlformats.org/officeDocument/2006/relationships/hyperlink" Target="https://frutilad.ru/wp-content/uploads/2021/03/kids-pear-1.jpg" TargetMode="External"/><Relationship Id="rId56" Type="http://schemas.openxmlformats.org/officeDocument/2006/relationships/hyperlink" Target="http://naturevector.c8804.shared.hc.ru/photo/19958.jpg" TargetMode="External"/><Relationship Id="rId317" Type="http://schemas.openxmlformats.org/officeDocument/2006/relationships/hyperlink" Target="http://naturevector.c8804.shared.hc.ru/photo/19762.jpg" TargetMode="External"/><Relationship Id="rId359" Type="http://schemas.openxmlformats.org/officeDocument/2006/relationships/hyperlink" Target="http://1.c8804.nichost.ru/pics/20515_1.jpg" TargetMode="External"/><Relationship Id="rId98" Type="http://schemas.openxmlformats.org/officeDocument/2006/relationships/hyperlink" Target="https://static.tildacdn.com/tild3264-6532-4464-b064-333061653538/Chaokoh-coconut-milk.jpg" TargetMode="External"/><Relationship Id="rId121" Type="http://schemas.openxmlformats.org/officeDocument/2006/relationships/hyperlink" Target="https://mrdjemiuszero.com/upload/iblock/029/029cacfbfd1e379552f6d40535bd2dd0.jpg" TargetMode="External"/><Relationship Id="rId163" Type="http://schemas.openxmlformats.org/officeDocument/2006/relationships/hyperlink" Target="https://bionovashop.ru/upload/iblock/fe8/fe8ab4f4898d9ab47549d47db625573b.jpg" TargetMode="External"/><Relationship Id="rId219" Type="http://schemas.openxmlformats.org/officeDocument/2006/relationships/hyperlink" Target="https://vita-family.com/upload/resize_cache/iblock/8c9/400_400_140cd750bba9870f18aada2478b24840a/z3j0qx2lncnjfqi29ygdqwc86cbkxlym.jpg" TargetMode="External"/><Relationship Id="rId370" Type="http://schemas.openxmlformats.org/officeDocument/2006/relationships/hyperlink" Target="http://naturevector.c8804.shared.hc.ru/photo/" TargetMode="External"/><Relationship Id="rId426" Type="http://schemas.openxmlformats.org/officeDocument/2006/relationships/ctrlProp" Target="../ctrlProps/ctrlProp1.xml"/><Relationship Id="rId230" Type="http://schemas.openxmlformats.org/officeDocument/2006/relationships/hyperlink" Target="https://vita-family.com/upload/resize_cache/iblock/97f/400_400_140cd750bba9870f18aada2478b24840a/11y6a4l1bnh7dnx0jobzodr1elaruk6e.jpg" TargetMode="External"/><Relationship Id="rId25" Type="http://schemas.openxmlformats.org/officeDocument/2006/relationships/hyperlink" Target="http://naturevector.c8804.shared.hc.ru/photo/" TargetMode="External"/><Relationship Id="rId67" Type="http://schemas.openxmlformats.org/officeDocument/2006/relationships/hyperlink" Target="http://naturevector.c8804.shared.hc.ru/photo/" TargetMode="External"/><Relationship Id="rId272" Type="http://schemas.openxmlformats.org/officeDocument/2006/relationships/hyperlink" Target="http://zdorovey.ru/wp-content/uploads/2020/04/01_Khlebtsi_kukuruzn.jpg" TargetMode="External"/><Relationship Id="rId328" Type="http://schemas.openxmlformats.org/officeDocument/2006/relationships/hyperlink" Target="https://bite.ru/upload/resize_cache/iblock/0cf/1200_1200_1/bite_crispy_1-_1_.png" TargetMode="External"/><Relationship Id="rId132" Type="http://schemas.openxmlformats.org/officeDocument/2006/relationships/hyperlink" Target="https://mrdjemiuszero.com/upload/iblock/52d/52df508aefc417a455872994b5870793.jpg" TargetMode="External"/><Relationship Id="rId174" Type="http://schemas.openxmlformats.org/officeDocument/2006/relationships/hyperlink" Target="https://bionovashop.ru/upload/iblock/5eb/on3lbznpvwbj1lxzlo7vk2vmsygks89i.png" TargetMode="External"/><Relationship Id="rId381" Type="http://schemas.openxmlformats.org/officeDocument/2006/relationships/hyperlink" Target="http://1.c8804.nichost.ru/pics/15049_1.jpg" TargetMode="External"/><Relationship Id="rId241" Type="http://schemas.openxmlformats.org/officeDocument/2006/relationships/hyperlink" Target="https://tfzp.ru/assets/cache/images/products/catalog/sk-big/sk_kedrovyjoreshek-1735x975-f73.png" TargetMode="External"/><Relationship Id="rId36" Type="http://schemas.openxmlformats.org/officeDocument/2006/relationships/hyperlink" Target="https://nutvinograd.ru/wp-content/uploads/2021/01/dsc_0387-1-627x1024.jpg" TargetMode="External"/><Relationship Id="rId283" Type="http://schemas.openxmlformats.org/officeDocument/2006/relationships/hyperlink" Target="https://art-amm.ru/images/006/712/334/6712334/355x473crop/%D0%91%D0%B5%D0%B7_%D0%B8%D0%BC%D0%B5%D0%BD%D0%B8-6.jpg" TargetMode="External"/><Relationship Id="rId339" Type="http://schemas.openxmlformats.org/officeDocument/2006/relationships/hyperlink" Target="https://bite.ru/upload/resize_cache/iblock/4a0/1200_1200_1/bitey_wafer_chocolate-_1_.png" TargetMode="External"/><Relationship Id="rId78" Type="http://schemas.openxmlformats.org/officeDocument/2006/relationships/hyperlink" Target="https://lifeway.su/wp-content/uploads/2015/06/Risa-burogo-muka-tselnosmolotaya.jpg" TargetMode="External"/><Relationship Id="rId101" Type="http://schemas.openxmlformats.org/officeDocument/2006/relationships/hyperlink" Target="https://naturevector.ru/wp-content/uploads/2023/12/dressing.jpeg" TargetMode="External"/><Relationship Id="rId143" Type="http://schemas.openxmlformats.org/officeDocument/2006/relationships/hyperlink" Target="https://maslo53.ru/img/fasovka/3915-712d10a301b61db3c6c013711a36c0f8-420-315.jpg" TargetMode="External"/><Relationship Id="rId185" Type="http://schemas.openxmlformats.org/officeDocument/2006/relationships/hyperlink" Target="https://bionovashop.ru/upload/iblock/30d/3emp1gxl7elk3sstcfkmhvg20yu467rv.jpg" TargetMode="External"/><Relationship Id="rId350" Type="http://schemas.openxmlformats.org/officeDocument/2006/relationships/hyperlink" Target="http://naturevector.c8804.shared.hc.ru/photo/" TargetMode="External"/><Relationship Id="rId406" Type="http://schemas.openxmlformats.org/officeDocument/2006/relationships/hyperlink" Target="http://naturevector.c8804.shared.hc.ru/photo/17625.jpg" TargetMode="External"/><Relationship Id="rId9" Type="http://schemas.openxmlformats.org/officeDocument/2006/relationships/hyperlink" Target="https://fabrikabio.ru/images/product/000/000126/375-shishka.tn-570x900.e5d4685829.png" TargetMode="External"/><Relationship Id="rId210" Type="http://schemas.openxmlformats.org/officeDocument/2006/relationships/hyperlink" Target="https://fabrikabio.ru/images/product/000/000115/804-ebf_glass_currant_50g_800x800px.tn-570x900.d45e643bcd.jpg" TargetMode="External"/><Relationship Id="rId392" Type="http://schemas.openxmlformats.org/officeDocument/2006/relationships/hyperlink" Target="http://1.c8804.nichost.ru/pics/16550_1.jpg" TargetMode="External"/><Relationship Id="rId252" Type="http://schemas.openxmlformats.org/officeDocument/2006/relationships/hyperlink" Target="https://dialexport.ru/upload/iblock/f5f/f5f27542902a7c01c76e3ad0569a61ca.jpg" TargetMode="External"/><Relationship Id="rId294" Type="http://schemas.openxmlformats.org/officeDocument/2006/relationships/hyperlink" Target="https://ivan-da.ru/wp-content/uploads/2020/01/%D0%B6%D0%B8%D0%BC%D0%BE%D0%BB%D0%BE%D1%81%D1%82%D1%8C.jpg" TargetMode="External"/><Relationship Id="rId308" Type="http://schemas.openxmlformats.org/officeDocument/2006/relationships/hyperlink" Target="https://naturevector.ru/wp-content/uploads/2023/12/014b7e27-ac0f-11e6-82b5-08626636ef8e_f7bf4504-b707-11e7-82f0-08626636ef8e.jpeg" TargetMode="External"/><Relationship Id="rId47" Type="http://schemas.openxmlformats.org/officeDocument/2006/relationships/hyperlink" Target="http://1.c8804.nichost.ru/pics/19154_1.jpg" TargetMode="External"/><Relationship Id="rId89" Type="http://schemas.openxmlformats.org/officeDocument/2006/relationships/hyperlink" Target="https://lifeway.su/wp-content/uploads/2021/03/oves-gol_rez.jpg" TargetMode="External"/><Relationship Id="rId112" Type="http://schemas.openxmlformats.org/officeDocument/2006/relationships/hyperlink" Target="https://www.rado-grad.ru/upload/iblock/90c/05ms9mqsspw0bnjefc8306gbyr1ydoqp/maslo_rastoropshi_100_ml_jpg.png" TargetMode="External"/><Relationship Id="rId154" Type="http://schemas.openxmlformats.org/officeDocument/2006/relationships/hyperlink" Target="https://bionovashop.ru/upload/iblock/fa5/fa54067e7587fb7cc4e69c8c0c191bd7.jpg" TargetMode="External"/><Relationship Id="rId361" Type="http://schemas.openxmlformats.org/officeDocument/2006/relationships/hyperlink" Target="http://1.c8804.nichost.ru/pics/16130_1.jpg" TargetMode="External"/><Relationship Id="rId196" Type="http://schemas.openxmlformats.org/officeDocument/2006/relationships/hyperlink" Target="https://fabrikabio.ru/images/product/000/000185/930-1502_nuts_200g_cedar_face_1200x1200px.tn-570x900.ceeca4aa7d.jpg" TargetMode="External"/><Relationship Id="rId417" Type="http://schemas.openxmlformats.org/officeDocument/2006/relationships/hyperlink" Target="https://www.corpdidi.ru/upload/iblock/b41/b41e4d5af8c6690b31de43f57675e3e3.jpg" TargetMode="External"/><Relationship Id="rId16" Type="http://schemas.openxmlformats.org/officeDocument/2006/relationships/hyperlink" Target="https://fitparade.ru/upload/resize_cache/iblock/0fb/680_510_1/0fb67b3899363ea3844704b01ed60da8.png" TargetMode="External"/><Relationship Id="rId221" Type="http://schemas.openxmlformats.org/officeDocument/2006/relationships/hyperlink" Target="https://vita-family.com/upload/resize_cache/iblock/90e/400_400_140cd750bba9870f18aada2478b24840a/sggxqm0puikis4gvyp8hc4nw9pix65x3.jpg" TargetMode="External"/><Relationship Id="rId263" Type="http://schemas.openxmlformats.org/officeDocument/2006/relationships/hyperlink" Target="https://dieterra.ru/upload/iblock/a2d/zrvbrimvdn1zco7ahnau370mnerqb72t.png" TargetMode="External"/><Relationship Id="rId319" Type="http://schemas.openxmlformats.org/officeDocument/2006/relationships/hyperlink" Target="http://naturevector.c8804.shared.hc.ru/photo/19535.jpg" TargetMode="External"/><Relationship Id="rId58" Type="http://schemas.openxmlformats.org/officeDocument/2006/relationships/hyperlink" Target="http://naturevector.c8804.shared.hc.ru/photo/19941.jpg" TargetMode="External"/><Relationship Id="rId123" Type="http://schemas.openxmlformats.org/officeDocument/2006/relationships/hyperlink" Target="https://mrdjemiuszero.com/upload/iblock/be9/be995017ce3b7609846086f6e54fd5dd.jpg" TargetMode="External"/><Relationship Id="rId330" Type="http://schemas.openxmlformats.org/officeDocument/2006/relationships/hyperlink" Target="http://naturevector.c8804.shared.hc.ru/photo/" TargetMode="External"/><Relationship Id="rId165" Type="http://schemas.openxmlformats.org/officeDocument/2006/relationships/hyperlink" Target="https://bionovashop.ru/upload/iblock/ffd/ffda93611574689721fd721319e5726b.jpg" TargetMode="External"/><Relationship Id="rId372" Type="http://schemas.openxmlformats.org/officeDocument/2006/relationships/hyperlink" Target="http://naturevector.c8804.shared.hc.ru/photo/" TargetMode="External"/><Relationship Id="rId232" Type="http://schemas.openxmlformats.org/officeDocument/2006/relationships/hyperlink" Target="https://tfzp.ru/assets/cache/images/products/sk/zozh/superchernika-1735x975-f39.png" TargetMode="External"/><Relationship Id="rId274" Type="http://schemas.openxmlformats.org/officeDocument/2006/relationships/hyperlink" Target="http://zdorovey.ru/wp-content/uploads/2019/11/2_Shariki_grech-ris.jpg" TargetMode="External"/><Relationship Id="rId27" Type="http://schemas.openxmlformats.org/officeDocument/2006/relationships/hyperlink" Target="http://naturevector.c8804.shared.hc.ru/photo/" TargetMode="External"/><Relationship Id="rId69" Type="http://schemas.openxmlformats.org/officeDocument/2006/relationships/hyperlink" Target="http://1.c8804.nichost.ru/pics/20305.jpg" TargetMode="External"/><Relationship Id="rId134" Type="http://schemas.openxmlformats.org/officeDocument/2006/relationships/hyperlink" Target="https://mrdjemiuszero.com/upload/iblock/c7e/c7ecc3c3dabc76320873b8b2fc7840ab.jpg" TargetMode="External"/><Relationship Id="rId80" Type="http://schemas.openxmlformats.org/officeDocument/2006/relationships/hyperlink" Target="https://lifeway.su/wp-content/uploads/2014/04/grecha_500.jpg" TargetMode="External"/><Relationship Id="rId176" Type="http://schemas.openxmlformats.org/officeDocument/2006/relationships/hyperlink" Target="https://bionovashop.ru/upload/iblock/dd5/ns46yy7rhl2xpz5f31sbfxtjpy7d9ti8.jpg" TargetMode="External"/><Relationship Id="rId341" Type="http://schemas.openxmlformats.org/officeDocument/2006/relationships/hyperlink" Target="https://naturevector.ru/wp-content/uploads/2023/12/pshenitsa_500.jpg" TargetMode="External"/><Relationship Id="rId383" Type="http://schemas.openxmlformats.org/officeDocument/2006/relationships/hyperlink" Target="http://1.c8804.nichost.ru/pics/20376.jpg" TargetMode="External"/><Relationship Id="rId201" Type="http://schemas.openxmlformats.org/officeDocument/2006/relationships/hyperlink" Target="https://fabrikabio.ru/images/product/000/000105/860-1043_tea_50g_ferment_l.tn-570x900.32f4c97ce4.jpg" TargetMode="External"/><Relationship Id="rId243" Type="http://schemas.openxmlformats.org/officeDocument/2006/relationships/hyperlink" Target="https://tfzp.ru/assets/cache/images/products/sk/small/pohudenie/sk_sgr_stop-appetit-1735x975-016.png" TargetMode="External"/><Relationship Id="rId285" Type="http://schemas.openxmlformats.org/officeDocument/2006/relationships/hyperlink" Target="https://art-amm.ru/images/006/712/339/6712339/355x473crop/%D0%91%D0%B5%D0%B7_%D0%B8%D0%BC%D0%B5%D0%BD%D0%B8-11.jpg" TargetMode="External"/><Relationship Id="rId38" Type="http://schemas.openxmlformats.org/officeDocument/2006/relationships/hyperlink" Target="https://naturevector.ru/wp-content/uploads/2023/12/0aa74a6d-9c6c-48c7-8a22-5b4ff70f6f57-681x1024-1.jpeg" TargetMode="External"/><Relationship Id="rId103" Type="http://schemas.openxmlformats.org/officeDocument/2006/relationships/hyperlink" Target="https://www.rado-grad.ru/upload/iblock/13b/vizevmpyn9ot1i73zd666hsvhj81fm42/maslo_kedrovoe_250_ml.png" TargetMode="External"/><Relationship Id="rId310" Type="http://schemas.openxmlformats.org/officeDocument/2006/relationships/hyperlink" Target="https://naturevector.ru/wp-content/uploads/2023/12/5e2590e42e290cf9a5dc0e2e_Rice-oil-500-p-1080.jpeg" TargetMode="External"/><Relationship Id="rId70" Type="http://schemas.openxmlformats.org/officeDocument/2006/relationships/hyperlink" Target="https://royal-forest.ru/upload/iblock/837/zg1pik7hjo2f3oqsryz2ada5kl0c3qy9.jpg" TargetMode="External"/><Relationship Id="rId91" Type="http://schemas.openxmlformats.org/officeDocument/2006/relationships/hyperlink" Target="https://lifeway.su/wp-content/uploads/2017/10/Zelyonaya-grechka-v-varochnyih-paketah.jpg" TargetMode="External"/><Relationship Id="rId145" Type="http://schemas.openxmlformats.org/officeDocument/2006/relationships/hyperlink" Target="https://maslo53.ru/img/fasovka/3912-4a26d3af7100041b438d990129be6bb8-420-315.jpg" TargetMode="External"/><Relationship Id="rId166" Type="http://schemas.openxmlformats.org/officeDocument/2006/relationships/hyperlink" Target="https://bionovashop.ru/upload/iblock/3d1/26zw1e1cblipa33hmfhawm998e36dhr1.jpg" TargetMode="External"/><Relationship Id="rId187" Type="http://schemas.openxmlformats.org/officeDocument/2006/relationships/hyperlink" Target="https://altnectar.com/upload/iblock/755/ihlbfci0zoc7tj2f0jfrxd8fd20ntnz1.jpg" TargetMode="External"/><Relationship Id="rId331" Type="http://schemas.openxmlformats.org/officeDocument/2006/relationships/hyperlink" Target="http://naturevector.c8804.shared.hc.ru/photo/19892.jpg" TargetMode="External"/><Relationship Id="rId352" Type="http://schemas.openxmlformats.org/officeDocument/2006/relationships/hyperlink" Target="http://1.c8804.nichost.ru/pics/19726_1.jpg" TargetMode="External"/><Relationship Id="rId373" Type="http://schemas.openxmlformats.org/officeDocument/2006/relationships/hyperlink" Target="http://naturevector.c8804.shared.hc.ru/photo/" TargetMode="External"/><Relationship Id="rId394" Type="http://schemas.openxmlformats.org/officeDocument/2006/relationships/hyperlink" Target="http://naturevector.c8804.shared.hc.ru/photo/" TargetMode="External"/><Relationship Id="rId408" Type="http://schemas.openxmlformats.org/officeDocument/2006/relationships/hyperlink" Target="http://1.c8804.nichost.ru/pics/18400_1.jpg" TargetMode="External"/><Relationship Id="rId1" Type="http://schemas.openxmlformats.org/officeDocument/2006/relationships/hyperlink" Target="http://www.fitparad.com/site.aspx?IID=4020849" TargetMode="External"/><Relationship Id="rId212" Type="http://schemas.openxmlformats.org/officeDocument/2006/relationships/hyperlink" Target="https://fabrikabio.ru/images/product/000/000163/430-1118_herbs_40g_mint_r_1050x1400px.tn-570x900.b9ea6bd633.jpg" TargetMode="External"/><Relationship Id="rId233" Type="http://schemas.openxmlformats.org/officeDocument/2006/relationships/hyperlink" Target="https://tfzp.ru/assets/cache/images/products/sk/zozh/superbrusnika-1735x975-3c5.png" TargetMode="External"/><Relationship Id="rId254" Type="http://schemas.openxmlformats.org/officeDocument/2006/relationships/hyperlink" Target="https://dialexport.ru/upload/iblock/98f/98fcec29ee2e7970a41dfef1dddabfff.jpg" TargetMode="External"/><Relationship Id="rId28" Type="http://schemas.openxmlformats.org/officeDocument/2006/relationships/hyperlink" Target="http://naturevector.c8804.shared.hc.ru/photo/" TargetMode="External"/><Relationship Id="rId49" Type="http://schemas.openxmlformats.org/officeDocument/2006/relationships/hyperlink" Target="http://naturevector.c8804.shared.hc.ru/photo/19793.jpg" TargetMode="External"/><Relationship Id="rId114" Type="http://schemas.openxmlformats.org/officeDocument/2006/relationships/hyperlink" Target="https://www.rado-grad.ru/upload/iblock/396/ohdhjnuh37eoh49s4ojnt3myoe8fioy5/maslo_chia_100ml.png" TargetMode="External"/><Relationship Id="rId275" Type="http://schemas.openxmlformats.org/officeDocument/2006/relationships/hyperlink" Target="http://zdorovey.ru/wp-content/uploads/2019/09/goods1.jpg" TargetMode="External"/><Relationship Id="rId296" Type="http://schemas.openxmlformats.org/officeDocument/2006/relationships/hyperlink" Target="https://nutvinograd.ru/wp-content/uploads/2021/01/middle_2.jpg" TargetMode="External"/><Relationship Id="rId300" Type="http://schemas.openxmlformats.org/officeDocument/2006/relationships/hyperlink" Target="http://1.c8804.nichost.ru/pics/14503_1.jpg" TargetMode="External"/><Relationship Id="rId60" Type="http://schemas.openxmlformats.org/officeDocument/2006/relationships/hyperlink" Target="http://naturevector.c8804.shared.hc.ru/photo/19790.jpg" TargetMode="External"/><Relationship Id="rId81" Type="http://schemas.openxmlformats.org/officeDocument/2006/relationships/hyperlink" Target="https://lifeway.su/wp-content/uploads/2014/04/len_500.jpg" TargetMode="External"/><Relationship Id="rId135" Type="http://schemas.openxmlformats.org/officeDocument/2006/relationships/hyperlink" Target="https://mrdjemiuszero.com/upload/iblock/f21/f21b5ab34579cf10687081b66e4adc08.jpg" TargetMode="External"/><Relationship Id="rId156" Type="http://schemas.openxmlformats.org/officeDocument/2006/relationships/hyperlink" Target="https://bionovashop.ru/upload/iblock/c9f/ti4cckbo3l0beavakvj1lox8n2gov6vd.jpg" TargetMode="External"/><Relationship Id="rId177" Type="http://schemas.openxmlformats.org/officeDocument/2006/relationships/hyperlink" Target="https://bionovashop.ru/upload/iblock/1e9/1l5gwr6vgv8harkx0gwdur4vybrrs1ru.jpg" TargetMode="External"/><Relationship Id="rId198" Type="http://schemas.openxmlformats.org/officeDocument/2006/relationships/hyperlink" Target="https://fabrikabio.ru/images/product/000/000187/222-1504_nuts_200g_funduk_front.tn-570x900.53b4c9f1a1.jpg" TargetMode="External"/><Relationship Id="rId321" Type="http://schemas.openxmlformats.org/officeDocument/2006/relationships/hyperlink" Target="http://naturevector.c8804.shared.hc.ru/photo/19537.jpg" TargetMode="External"/><Relationship Id="rId342" Type="http://schemas.openxmlformats.org/officeDocument/2006/relationships/hyperlink" Target="http://1.c8804.nichost.ru/pics/19890_1.jpg" TargetMode="External"/><Relationship Id="rId363" Type="http://schemas.openxmlformats.org/officeDocument/2006/relationships/hyperlink" Target="http://1.c8804.nichost.ru/pics/19778_1.jpg" TargetMode="External"/><Relationship Id="rId384" Type="http://schemas.openxmlformats.org/officeDocument/2006/relationships/hyperlink" Target="http://1.c8804.nichost.ru/pics/18783.jpg" TargetMode="External"/><Relationship Id="rId419" Type="http://schemas.openxmlformats.org/officeDocument/2006/relationships/hyperlink" Target="http://1.c8804.nichost.ru/pics/19796_1.jpg" TargetMode="External"/><Relationship Id="rId202" Type="http://schemas.openxmlformats.org/officeDocument/2006/relationships/hyperlink" Target="https://fabrikabio.ru/images/product/000/000042/593-1052_tea_berry_50g_brusnika_l_1050x1400px.tn-570x900.3d9b3e7e10.jpg" TargetMode="External"/><Relationship Id="rId223" Type="http://schemas.openxmlformats.org/officeDocument/2006/relationships/hyperlink" Target="https://vita-family.com/upload/resize_cache/iblock/c95/400_400_140cd750bba9870f18aada2478b24840a/2qyxcuxvidxgzt0l67nkcgs3fgzbh3da.jpg" TargetMode="External"/><Relationship Id="rId244" Type="http://schemas.openxmlformats.org/officeDocument/2006/relationships/hyperlink" Target="https://tfzp.ru/assets/cache/images/products/sk/small/apteka/sk_sgr_ochishhayushhaya-1735x975-5b3.jpg" TargetMode="External"/><Relationship Id="rId18" Type="http://schemas.openxmlformats.org/officeDocument/2006/relationships/hyperlink" Target="https://altay-organic.ru/upload/resize_cache/webp/iblock/bf0/1000_1000_140cd750bba9870f18aada2478b24840a/zsxjlczjygeoqvnqq9s53j8q8gcnpoc0.webp" TargetMode="External"/><Relationship Id="rId39" Type="http://schemas.openxmlformats.org/officeDocument/2006/relationships/hyperlink" Target="https://naturevector.ru/wp-content/uploads/2023/12/affac83b-39c9-4b02-bb0c-b61686485e4b-681x1024-1.jpeg" TargetMode="External"/><Relationship Id="rId265" Type="http://schemas.openxmlformats.org/officeDocument/2006/relationships/hyperlink" Target="https://dieterra.ru/upload/iblock/165/ovar2e62pfy96ykzmdevi9ss732ds5sy.jpg" TargetMode="External"/><Relationship Id="rId286" Type="http://schemas.openxmlformats.org/officeDocument/2006/relationships/hyperlink" Target="https://art-amm.ru/images/006/712/291/6712291/289x385crop/%D0%A4%D0%A7_3_%D0%A1%D1%8B%D1%80%D0%B0%D0%9B%D1%83%D0%BA%D0%A4%D1%80%D0%BE%D0%BD%D1%82.jpg" TargetMode="External"/><Relationship Id="rId50" Type="http://schemas.openxmlformats.org/officeDocument/2006/relationships/hyperlink" Target="http://naturevector.c8804.shared.hc.ru/photo/18657.jpg" TargetMode="External"/><Relationship Id="rId104" Type="http://schemas.openxmlformats.org/officeDocument/2006/relationships/hyperlink" Target="https://www.rado-grad.ru/upload/iblock/f4f/t14zurgwrtnp9849sutyb5es5wh2mcml/maslo_lna_100_ml.png" TargetMode="External"/><Relationship Id="rId125" Type="http://schemas.openxmlformats.org/officeDocument/2006/relationships/hyperlink" Target="https://mrdjemiuszero.com/upload/iblock/e59/e599d737f5dbfa712f346e7b0696e5d9.jpg" TargetMode="External"/><Relationship Id="rId146" Type="http://schemas.openxmlformats.org/officeDocument/2006/relationships/hyperlink" Target="https://maslo53.ru/img/fasovka/3918-14b9d901d3e47386099c70013e3656de-420-315.jpg" TargetMode="External"/><Relationship Id="rId167" Type="http://schemas.openxmlformats.org/officeDocument/2006/relationships/hyperlink" Target="https://bionovashop.ru/upload/iblock/4cd/4z22xt81vwqn0y2v3erebex3do43k2pu.jpg" TargetMode="External"/><Relationship Id="rId188" Type="http://schemas.openxmlformats.org/officeDocument/2006/relationships/hyperlink" Target="http://1.c8804.nichost.ru/pics/20566_1.jpg" TargetMode="External"/><Relationship Id="rId311" Type="http://schemas.openxmlformats.org/officeDocument/2006/relationships/hyperlink" Target="https://naturevector.ru/wp-content/uploads/2023/12/306_0.jpeg" TargetMode="External"/><Relationship Id="rId332" Type="http://schemas.openxmlformats.org/officeDocument/2006/relationships/hyperlink" Target="http://naturevector.c8804.shared.hc.ru/photo/19893.jpg" TargetMode="External"/><Relationship Id="rId353" Type="http://schemas.openxmlformats.org/officeDocument/2006/relationships/hyperlink" Target="http://1.c8804.nichost.ru/pics/19725_1.jpg" TargetMode="External"/><Relationship Id="rId374" Type="http://schemas.openxmlformats.org/officeDocument/2006/relationships/hyperlink" Target="http://naturevector.c8804.shared.hc.ru/photo/" TargetMode="External"/><Relationship Id="rId395" Type="http://schemas.openxmlformats.org/officeDocument/2006/relationships/hyperlink" Target="http://1.c8804.nichost.ru/pics/16267_1.jpg" TargetMode="External"/><Relationship Id="rId409" Type="http://schemas.openxmlformats.org/officeDocument/2006/relationships/hyperlink" Target="http://1.c8804.nichost.ru/pics/21231_2.jpg" TargetMode="External"/><Relationship Id="rId71" Type="http://schemas.openxmlformats.org/officeDocument/2006/relationships/hyperlink" Target="https://lifeway.su/wp-content/uploads/2014/04/TSelnosmolotaya-grechnevaya-muka.jpg" TargetMode="External"/><Relationship Id="rId92" Type="http://schemas.openxmlformats.org/officeDocument/2006/relationships/hyperlink" Target="https://lifeway.su/wp-content/uploads/2017/10/Ovyos-golozyornyiy-rezanyiy-v-varochnyih-paketah.jpg" TargetMode="External"/><Relationship Id="rId213" Type="http://schemas.openxmlformats.org/officeDocument/2006/relationships/hyperlink" Target="https://fabrikabio.ru/images/product/000/000160/160-1119_herbs_40g_romashka_r_1050x1400px.tn-570x900.f19690de65.jpg" TargetMode="External"/><Relationship Id="rId234" Type="http://schemas.openxmlformats.org/officeDocument/2006/relationships/hyperlink" Target="https://tfzp.ru/assets/cache/images/products/sk/zozh/yabloko-1735x975-2c1.png" TargetMode="External"/><Relationship Id="rId420" Type="http://schemas.openxmlformats.org/officeDocument/2006/relationships/hyperlink" Target="http://naturevector.c8804.shared.hc.ru/photo/19995.jpg" TargetMode="External"/><Relationship Id="rId2" Type="http://schemas.openxmlformats.org/officeDocument/2006/relationships/hyperlink" Target="http://www.fitparad.com/site.aspx?IID=3955656" TargetMode="External"/><Relationship Id="rId29" Type="http://schemas.openxmlformats.org/officeDocument/2006/relationships/hyperlink" Target="http://naturevector.c8804.shared.hc.ru/photo/" TargetMode="External"/><Relationship Id="rId255" Type="http://schemas.openxmlformats.org/officeDocument/2006/relationships/hyperlink" Target="https://ivan-da.ru/wp-content/uploads/2020/01/%D0%BA2.png" TargetMode="External"/><Relationship Id="rId276" Type="http://schemas.openxmlformats.org/officeDocument/2006/relationships/hyperlink" Target="http://zdorovey.ru/wp-content/uploads/2019/11/1_Shariki_kukuruza.jpg" TargetMode="External"/><Relationship Id="rId297" Type="http://schemas.openxmlformats.org/officeDocument/2006/relationships/hyperlink" Target="http://naturevector.c8804.shared.hc.ru/photo/19866.jpg" TargetMode="External"/><Relationship Id="rId40" Type="http://schemas.openxmlformats.org/officeDocument/2006/relationships/hyperlink" Target="https://naturevector.ru/wp-content/uploads/2023/12/bc218506-2758-479f-95d8-2ad792e3e97d-681x1024-1.jpeg" TargetMode="External"/><Relationship Id="rId115" Type="http://schemas.openxmlformats.org/officeDocument/2006/relationships/hyperlink" Target="https://avatars.mds.yandex.net/get-mpic/5221929/img_id8168199922697440235.jpeg/orig" TargetMode="External"/><Relationship Id="rId136" Type="http://schemas.openxmlformats.org/officeDocument/2006/relationships/hyperlink" Target="https://mrdjemiuszero.com/upload/iblock/d08/d08c178f49204498ac7e6998c4ac1da0.jpg" TargetMode="External"/><Relationship Id="rId157" Type="http://schemas.openxmlformats.org/officeDocument/2006/relationships/hyperlink" Target="https://bionovashop.ru/upload/iblock/7c5/fta36c2ycqo0vg4ga8lsgtom7ly1nwmg.jpg" TargetMode="External"/><Relationship Id="rId178" Type="http://schemas.openxmlformats.org/officeDocument/2006/relationships/hyperlink" Target="https://bionovashop.ru/upload/iblock/8c3/mf20j01yvj5a95fczij5kjicm6low83k.jpg" TargetMode="External"/><Relationship Id="rId301" Type="http://schemas.openxmlformats.org/officeDocument/2006/relationships/hyperlink" Target="http://1.c8804.nichost.ru/pics/18339_1.jpg" TargetMode="External"/><Relationship Id="rId322" Type="http://schemas.openxmlformats.org/officeDocument/2006/relationships/hyperlink" Target="http://naturevector.c8804.shared.hc.ru/photo/19992.jpg" TargetMode="External"/><Relationship Id="rId343" Type="http://schemas.openxmlformats.org/officeDocument/2006/relationships/hyperlink" Target="http://naturevector.c8804.shared.hc.ru/photo/19803.jpg" TargetMode="External"/><Relationship Id="rId364" Type="http://schemas.openxmlformats.org/officeDocument/2006/relationships/hyperlink" Target="https://static.tildacdn.com/tild3264-3636-4330-b165-336430646265/Chaokoh-042_65-Cocon.jpg" TargetMode="External"/><Relationship Id="rId61" Type="http://schemas.openxmlformats.org/officeDocument/2006/relationships/hyperlink" Target="http://naturevector.c8804.shared.hc.ru/photo/19789.jpg" TargetMode="External"/><Relationship Id="rId82" Type="http://schemas.openxmlformats.org/officeDocument/2006/relationships/hyperlink" Target="https://lifeway.su/wp-content/uploads/2014/04/ovyos-v-obol_400.jpg" TargetMode="External"/><Relationship Id="rId199" Type="http://schemas.openxmlformats.org/officeDocument/2006/relationships/hyperlink" Target="http://naturevector.c8804.shared.hc.ru/photo/19868.jpg" TargetMode="External"/><Relationship Id="rId203" Type="http://schemas.openxmlformats.org/officeDocument/2006/relationships/hyperlink" Target="https://fabrikabio.ru/images/product/000/000098/103-1054_tea_berry_50g_klukva_l_1050x1400px.tn-570x900.bde9afe536.jpg" TargetMode="External"/><Relationship Id="rId385" Type="http://schemas.openxmlformats.org/officeDocument/2006/relationships/hyperlink" Target="http://naturevector.c8804.shared.hc.ru/photo/19763.jpg" TargetMode="External"/><Relationship Id="rId19" Type="http://schemas.openxmlformats.org/officeDocument/2006/relationships/hyperlink" Target="http://molecola.ru/images/universalniy-pyatnovivoditel-karandash-big.png" TargetMode="External"/><Relationship Id="rId224" Type="http://schemas.openxmlformats.org/officeDocument/2006/relationships/hyperlink" Target="https://vita-family.com/upload/resize_cache/iblock/8d4/400_400_140cd750bba9870f18aada2478b24840a/scul7v6ll5t1cf4nnfu0h49s5n7x5j0n.jpg" TargetMode="External"/><Relationship Id="rId245" Type="http://schemas.openxmlformats.org/officeDocument/2006/relationships/hyperlink" Target="https://tfzp.ru/assets/cache/images/products/sk/small/apteka/sk_zdorovayapechen-1735x975-21f.png" TargetMode="External"/><Relationship Id="rId266" Type="http://schemas.openxmlformats.org/officeDocument/2006/relationships/hyperlink" Target="https://dieterra.ru/upload/iblock/573/pi5g7khujhn4ra9oyy1zyayfn22xgghc.png" TargetMode="External"/><Relationship Id="rId287" Type="http://schemas.openxmlformats.org/officeDocument/2006/relationships/hyperlink" Target="https://art-amm.ru/images/006/712/290/6712290/289x385crop/%D0%A4%D0%A7_3_%D0%A1%D1%8B%D1%80%D0%B0%D0%A2%D0%BE%D0%BC%D0%B0%D1%82%D0%A4%D1%80%D0%BE%D0%BD%D1%82.jpg" TargetMode="External"/><Relationship Id="rId410" Type="http://schemas.openxmlformats.org/officeDocument/2006/relationships/hyperlink" Target="http://1.c8804.nichost.ru/pics/21229_2.jpg" TargetMode="External"/><Relationship Id="rId30" Type="http://schemas.openxmlformats.org/officeDocument/2006/relationships/hyperlink" Target="http://naturevector.c8804.shared.hc.ru/photo/" TargetMode="External"/><Relationship Id="rId105" Type="http://schemas.openxmlformats.org/officeDocument/2006/relationships/hyperlink" Target="https://www.rado-grad.ru/upload/iblock/7bb/z1cmzpksp39o2zk4ixfhe23xm3iyemfo/maslo_lyanoe_250_ml.png" TargetMode="External"/><Relationship Id="rId126" Type="http://schemas.openxmlformats.org/officeDocument/2006/relationships/hyperlink" Target="https://mrdjemiuszero.com/upload/iblock/708/70813684c41d50e13304a289145b80db.jpg" TargetMode="External"/><Relationship Id="rId147" Type="http://schemas.openxmlformats.org/officeDocument/2006/relationships/hyperlink" Target="https://maslo53.ru/img/fasovka/3923-f1d94cebf43e289161198d95dd6d72c8-420-315.jpg" TargetMode="External"/><Relationship Id="rId168" Type="http://schemas.openxmlformats.org/officeDocument/2006/relationships/hyperlink" Target="https://bionovashop.ru/upload/iblock/306/jkx3vyujpnb4zwrdfd30bdg9vdxqzdoh.jpg" TargetMode="External"/><Relationship Id="rId312" Type="http://schemas.openxmlformats.org/officeDocument/2006/relationships/hyperlink" Target="https://naturevector.ru/wp-content/uploads/2023/12/zakvaska-bezdrozh.jpeg" TargetMode="External"/><Relationship Id="rId333" Type="http://schemas.openxmlformats.org/officeDocument/2006/relationships/hyperlink" Target="http://naturevector.c8804.shared.hc.ru/photo/19891.jpg" TargetMode="External"/><Relationship Id="rId354" Type="http://schemas.openxmlformats.org/officeDocument/2006/relationships/hyperlink" Target="http://1.c8804.nichost.ru/pics/19727_1.jpg" TargetMode="External"/><Relationship Id="rId51" Type="http://schemas.openxmlformats.org/officeDocument/2006/relationships/hyperlink" Target="http://1.c8804.nichost.ru/pics/20565_1.jpg" TargetMode="External"/><Relationship Id="rId72" Type="http://schemas.openxmlformats.org/officeDocument/2006/relationships/hyperlink" Target="https://lifeway.su/wp-content/uploads/2015/06/Kukuruznaya-muka-tselnosmolotaya.jpg" TargetMode="External"/><Relationship Id="rId93" Type="http://schemas.openxmlformats.org/officeDocument/2006/relationships/hyperlink" Target="https://lifeway.su/wp-content/uploads/2017/10/Polba-rezanaya-v-varochnyih-paketah.jpg" TargetMode="External"/><Relationship Id="rId189" Type="http://schemas.openxmlformats.org/officeDocument/2006/relationships/hyperlink" Target="https://altnectar.com/upload/iblock/f85/06ivg9wiwxgcq0bgpt9izl7do3mmxrei.jpg" TargetMode="External"/><Relationship Id="rId375" Type="http://schemas.openxmlformats.org/officeDocument/2006/relationships/hyperlink" Target="https://naturevector.ru/wp-content/uploads/2023/12/vietnam.jpeg" TargetMode="External"/><Relationship Id="rId396" Type="http://schemas.openxmlformats.org/officeDocument/2006/relationships/hyperlink" Target="http://1.c8804.nichost.ru/pics/16266_1.jpg" TargetMode="External"/><Relationship Id="rId3" Type="http://schemas.openxmlformats.org/officeDocument/2006/relationships/hyperlink" Target="http://www.fitparad.com/site.aspx?IID=4027691" TargetMode="External"/><Relationship Id="rId214" Type="http://schemas.openxmlformats.org/officeDocument/2006/relationships/hyperlink" Target="https://fabrikabio.ru/images/product/000/000162/587-1106_herbs_40g_smorodina_r_1050x1400px.tn-570x900.06ec4df308.jpg" TargetMode="External"/><Relationship Id="rId235" Type="http://schemas.openxmlformats.org/officeDocument/2006/relationships/hyperlink" Target="https://tfzp.ru/assets/cache/images/products/sk/zozh/korzinkazdorovya-1735x975-053.png" TargetMode="External"/><Relationship Id="rId256" Type="http://schemas.openxmlformats.org/officeDocument/2006/relationships/hyperlink" Target="https://ivan-da.ru/wp-content/uploads/2020/01/%D0%B1%D0%BE%D1%8F%D1%80%D0%BA%D0%B0.jpg" TargetMode="External"/><Relationship Id="rId277" Type="http://schemas.openxmlformats.org/officeDocument/2006/relationships/hyperlink" Target="http://zdorovey.ru/wp-content/uploads/2023/06/4_Shariki_risovo_kukuruz-1.jpg" TargetMode="External"/><Relationship Id="rId298" Type="http://schemas.openxmlformats.org/officeDocument/2006/relationships/hyperlink" Target="http://naturevector.c8804.shared.hc.ru/photo/19867.jpg" TargetMode="External"/><Relationship Id="rId400" Type="http://schemas.openxmlformats.org/officeDocument/2006/relationships/hyperlink" Target="http://1.c8804.nichost.ru/pics/19859_1.jpg" TargetMode="External"/><Relationship Id="rId421" Type="http://schemas.openxmlformats.org/officeDocument/2006/relationships/hyperlink" Target="http://1.c8804.nichost.ru/pics/21494_1.jpg" TargetMode="External"/><Relationship Id="rId116" Type="http://schemas.openxmlformats.org/officeDocument/2006/relationships/hyperlink" Target="http://&#1072;&#1083;&#1090;&#1099;&#1085;&#1073;&#1072;&#1081;.&#1088;&#1092;/img/prod/4ai-yagodka-3.png" TargetMode="External"/><Relationship Id="rId137" Type="http://schemas.openxmlformats.org/officeDocument/2006/relationships/hyperlink" Target="https://mrdjemiuszero.com/upload/iblock/1df/1df1fa2aac31d35c4a9623d09400fc36.jpg" TargetMode="External"/><Relationship Id="rId158" Type="http://schemas.openxmlformats.org/officeDocument/2006/relationships/hyperlink" Target="https://bionovashop.ru/upload/resize_cache/iblock/be2/65_65_0/wjdp4qbk9e7m7ijopmwiucxvqgiae8fh.jpg" TargetMode="External"/><Relationship Id="rId302" Type="http://schemas.openxmlformats.org/officeDocument/2006/relationships/hyperlink" Target="http://1.c8804.nichost.ru/pics/14401_1.jpg" TargetMode="External"/><Relationship Id="rId323" Type="http://schemas.openxmlformats.org/officeDocument/2006/relationships/hyperlink" Target="http://naturevector.c8804.shared.hc.ru/photo/" TargetMode="External"/><Relationship Id="rId344" Type="http://schemas.openxmlformats.org/officeDocument/2006/relationships/hyperlink" Target="http://naturevector.c8804.shared.hc.ru/photo/19823.jpg" TargetMode="External"/><Relationship Id="rId20" Type="http://schemas.openxmlformats.org/officeDocument/2006/relationships/hyperlink" Target="https://static.tildacdn.com/tild3339-6261-4438-b265-633735643035/test2.jpg" TargetMode="External"/><Relationship Id="rId41" Type="http://schemas.openxmlformats.org/officeDocument/2006/relationships/hyperlink" Target="https://nutvinograd.ru/wp-content/cache/thumb/ab/b1772a5750b39ab_0x350.jpg" TargetMode="External"/><Relationship Id="rId62" Type="http://schemas.openxmlformats.org/officeDocument/2006/relationships/hyperlink" Target="http://naturevector.c8804.shared.hc.ru/photo/19788.jpg" TargetMode="External"/><Relationship Id="rId83" Type="http://schemas.openxmlformats.org/officeDocument/2006/relationships/hyperlink" Target="https://lifeway.su/wp-content/uploads/2015/01/polba_500.jpg" TargetMode="External"/><Relationship Id="rId179" Type="http://schemas.openxmlformats.org/officeDocument/2006/relationships/hyperlink" Target="https://bionovashop.ru/upload/iblock/69b/2v27qlq56dstgtcimxlak9rs63n1piv6.jpg" TargetMode="External"/><Relationship Id="rId365" Type="http://schemas.openxmlformats.org/officeDocument/2006/relationships/hyperlink" Target="http://naturevector.c8804.shared.hc.ru/photo/" TargetMode="External"/><Relationship Id="rId386" Type="http://schemas.openxmlformats.org/officeDocument/2006/relationships/hyperlink" Target="http://naturevector.c8804.shared.hc.ru/photo/19765.jpg" TargetMode="External"/><Relationship Id="rId190" Type="http://schemas.openxmlformats.org/officeDocument/2006/relationships/hyperlink" Target="https://altnectar.com/upload/iblock/f83/iyqbknfws89sur3wz5zjd33hf68eo1x6.jpg" TargetMode="External"/><Relationship Id="rId204" Type="http://schemas.openxmlformats.org/officeDocument/2006/relationships/hyperlink" Target="https://fabrikabio.ru/images/product/000/000109/425-1038_tea_50g_lipa_l_1050x1400px.tn-570x900.d4fb09ea66.jpg" TargetMode="External"/><Relationship Id="rId225" Type="http://schemas.openxmlformats.org/officeDocument/2006/relationships/hyperlink" Target="https://vita-family.com/upload/resize_cache/iblock/1eb/400_400_140cd750bba9870f18aada2478b24840a/3t5s7h34fu9mugwpwn25hz6dq5pjk86o.jpg" TargetMode="External"/><Relationship Id="rId246" Type="http://schemas.openxmlformats.org/officeDocument/2006/relationships/hyperlink" Target="https://tfzp.ru/assets/cache/images/products/sk/small/apteka/sk_antidiabet-1735x975-f7a.jpg" TargetMode="External"/><Relationship Id="rId267" Type="http://schemas.openxmlformats.org/officeDocument/2006/relationships/hyperlink" Target="https://dieterra.ru/upload/iblock/566/92ncj1zgz4d8bdov7g4p5lpp16p2zx5b.png" TargetMode="External"/><Relationship Id="rId288" Type="http://schemas.openxmlformats.org/officeDocument/2006/relationships/hyperlink" Target="https://art-amm.ru/images/006/712/298/6712298/355x473crop/%D0%91%D0%B5%D0%B7_%D0%B8%D0%BC%D0%B5%D0%BD%D0%B8-1.jpg" TargetMode="External"/><Relationship Id="rId411" Type="http://schemas.openxmlformats.org/officeDocument/2006/relationships/hyperlink" Target="https://naturevector.ru/wp-content/uploads/2023/12/87ed676113cd81ecddc2b68a3892458e.jpeg" TargetMode="External"/><Relationship Id="rId106" Type="http://schemas.openxmlformats.org/officeDocument/2006/relationships/hyperlink" Target="https://www.rado-grad.ru/upload/iblock/f92/u0ovo3fpz7z3q1bh1ticicrwj0azk6zw/maslo_konoplyanoe_100_ml.png" TargetMode="External"/><Relationship Id="rId127" Type="http://schemas.openxmlformats.org/officeDocument/2006/relationships/hyperlink" Target="https://mrdjemiuszero.com/upload/iblock/127/1270e90906b3c813b09dbbc758a83959.jpg" TargetMode="External"/><Relationship Id="rId313" Type="http://schemas.openxmlformats.org/officeDocument/2006/relationships/hyperlink" Target="https://naturevector.ru/wp-content/uploads/2023/12/mukofitin-171x143-1.gif" TargetMode="External"/><Relationship Id="rId10" Type="http://schemas.openxmlformats.org/officeDocument/2006/relationships/hyperlink" Target="http://&#1076;&#1080;&#1074;&#1080;&#1085;&#1082;&#1072;.&#1088;&#1092;/upload/iblock/66f/66f60a25077683fff611b88adef3fecc.png" TargetMode="External"/><Relationship Id="rId31" Type="http://schemas.openxmlformats.org/officeDocument/2006/relationships/hyperlink" Target="http://naturevector.c8804.shared.hc.ru/photo/" TargetMode="External"/><Relationship Id="rId52" Type="http://schemas.openxmlformats.org/officeDocument/2006/relationships/hyperlink" Target="http://naturevector.c8804.shared.hc.ru/photo/19829.jpg" TargetMode="External"/><Relationship Id="rId73" Type="http://schemas.openxmlformats.org/officeDocument/2006/relationships/hyperlink" Target="https://lifeway.su/wp-content/uploads/2014/04/Lnyanaya-muka-iz-semyan-posle-otzhima-masla.jpg" TargetMode="External"/><Relationship Id="rId94" Type="http://schemas.openxmlformats.org/officeDocument/2006/relationships/hyperlink" Target="https://zdorovedaru.ru/upload/iblock/280/m8e6uiduc82nz8j6nab5pwocsi5dmykb.png" TargetMode="External"/><Relationship Id="rId148" Type="http://schemas.openxmlformats.org/officeDocument/2006/relationships/hyperlink" Target="https://maslo53.ru/img/fasovka/3929-b3e721d7d7a5cd60d26ed87f26bb9e10-420-315.jpg" TargetMode="External"/><Relationship Id="rId169" Type="http://schemas.openxmlformats.org/officeDocument/2006/relationships/hyperlink" Target="https://bionovashop.ru/upload/iblock/e86/o21xb0x3kw7n99j8w3cjiymaafw3miea.jpg" TargetMode="External"/><Relationship Id="rId334" Type="http://schemas.openxmlformats.org/officeDocument/2006/relationships/hyperlink" Target="http://naturevector.c8804.shared.hc.ru/photo/19807.jpg" TargetMode="External"/><Relationship Id="rId355" Type="http://schemas.openxmlformats.org/officeDocument/2006/relationships/hyperlink" Target="http://1.c8804.nichost.ru/pics/19724_1.jpg" TargetMode="External"/><Relationship Id="rId376" Type="http://schemas.openxmlformats.org/officeDocument/2006/relationships/hyperlink" Target="https://naturevector.ru/zakaz/" TargetMode="External"/><Relationship Id="rId397" Type="http://schemas.openxmlformats.org/officeDocument/2006/relationships/hyperlink" Target="https://naturevector.ru/wp-content/uploads/2023/11/6021077153.webp" TargetMode="External"/><Relationship Id="rId4" Type="http://schemas.openxmlformats.org/officeDocument/2006/relationships/hyperlink" Target="http://naturevector.c8804.shared.hc.ru/photo/18911.jpg" TargetMode="External"/><Relationship Id="rId180" Type="http://schemas.openxmlformats.org/officeDocument/2006/relationships/hyperlink" Target="https://bionovashop.ru/upload/iblock/7c2/ekxafy0s4cajnwpf0q92o1iouepqmvs5.jpg" TargetMode="External"/><Relationship Id="rId215" Type="http://schemas.openxmlformats.org/officeDocument/2006/relationships/hyperlink" Target="https://fabrikabio.ru/images/product/000/000161/439-1121_herbs_40g_chabretz_r_1050x1400px.tn-570x900.8e5269ac1f.jpg" TargetMode="External"/><Relationship Id="rId236" Type="http://schemas.openxmlformats.org/officeDocument/2006/relationships/hyperlink" Target="https://tfzp.ru/assets/cache/images/products/sk/zozh/vitaminnayapolyana-1735x975-407.png" TargetMode="External"/><Relationship Id="rId257" Type="http://schemas.openxmlformats.org/officeDocument/2006/relationships/hyperlink" Target="https://ivan-da.ru/wp-content/uploads/2020/01/%D0%B2%D0%B8%D1%88%D0%BD%D1%8F.jpg" TargetMode="External"/><Relationship Id="rId278" Type="http://schemas.openxmlformats.org/officeDocument/2006/relationships/hyperlink" Target="http://zdorovey.ru/wp-content/uploads/2019/11/3_Shariki_ris.jpg" TargetMode="External"/><Relationship Id="rId401" Type="http://schemas.openxmlformats.org/officeDocument/2006/relationships/hyperlink" Target="http://naturevector.c8804.shared.hc.ru/photo/19837.jpg" TargetMode="External"/><Relationship Id="rId422" Type="http://schemas.openxmlformats.org/officeDocument/2006/relationships/hyperlink" Target="http://1.c8804.nichost.ru/pics/21495_1.jpg" TargetMode="External"/><Relationship Id="rId303" Type="http://schemas.openxmlformats.org/officeDocument/2006/relationships/hyperlink" Target="http://1.c8804.nichost.ru/pics/13104_1.jpg" TargetMode="External"/><Relationship Id="rId42" Type="http://schemas.openxmlformats.org/officeDocument/2006/relationships/hyperlink" Target="https://nutvinograd.ru/wp-content/uploads/2021/01/pastila-abrikos-1-683x1024.jpg" TargetMode="External"/><Relationship Id="rId84" Type="http://schemas.openxmlformats.org/officeDocument/2006/relationships/hyperlink" Target="https://lifeway.su/wp-content/uploads/2014/04/checha_500.jpg" TargetMode="External"/><Relationship Id="rId138" Type="http://schemas.openxmlformats.org/officeDocument/2006/relationships/hyperlink" Target="https://mrdjemiuszero.com/upload/iblock/65d/65d633bba0f037eb46f222dc9bf93a5d.jpg" TargetMode="External"/><Relationship Id="rId345" Type="http://schemas.openxmlformats.org/officeDocument/2006/relationships/hyperlink" Target="http://1.c8804.nichost.ru/pics/19675_2.jpg" TargetMode="External"/><Relationship Id="rId387" Type="http://schemas.openxmlformats.org/officeDocument/2006/relationships/hyperlink" Target="http://naturevector.c8804.shared.hc.ru/photo/19881.jpg" TargetMode="External"/><Relationship Id="rId191" Type="http://schemas.openxmlformats.org/officeDocument/2006/relationships/hyperlink" Target="https://altnectar.com/upload/iblock/ed7/irz86wjfenkt672l4oigusbdshjviyw5.jpg" TargetMode="External"/><Relationship Id="rId205" Type="http://schemas.openxmlformats.org/officeDocument/2006/relationships/hyperlink" Target="https://fabrikabio.ru/images/product/000/000097/137-1055_tea_berry_50g_malina_l_1050x1400px.tn-570x900.c90a105988.jpg" TargetMode="External"/><Relationship Id="rId247" Type="http://schemas.openxmlformats.org/officeDocument/2006/relationships/hyperlink" Target="https://tfzp.ru/assets/cache/images/products/sk/small/apteka/sk_srastoropshej-1735x975-7d6.png" TargetMode="External"/><Relationship Id="rId412" Type="http://schemas.openxmlformats.org/officeDocument/2006/relationships/hyperlink" Target="https://www.corpdidi.ru/upload/iblock/892/8928d0ab0fc4e677e67973e88761ddeb.jpg" TargetMode="External"/><Relationship Id="rId107" Type="http://schemas.openxmlformats.org/officeDocument/2006/relationships/hyperlink" Target="https://www.rado-grad.ru/upload/iblock/a6c/hz2m0o31qwehpdjuzvzzy7dru1846jqb/maslo_konoplyanoe_250_ml.png" TargetMode="External"/><Relationship Id="rId289" Type="http://schemas.openxmlformats.org/officeDocument/2006/relationships/hyperlink" Target="https://art-amm.ru/images/006/712/310/6712310/355x473crop/%D0%91%D0%B5%D0%B7_%D0%B8%D0%BC%D0%B5%D0%BD%D0%B8-4.jpg" TargetMode="External"/><Relationship Id="rId11" Type="http://schemas.openxmlformats.org/officeDocument/2006/relationships/hyperlink" Target="http://&#1076;&#1080;&#1074;&#1080;&#1085;&#1082;&#1072;.&#1088;&#1092;/upload/iblock/559/5595ea5e86aa116226144ff0308aefbc.png" TargetMode="External"/><Relationship Id="rId53" Type="http://schemas.openxmlformats.org/officeDocument/2006/relationships/hyperlink" Target="http://naturevector.c8804.shared.hc.ru/photo/19830.jpg" TargetMode="External"/><Relationship Id="rId149" Type="http://schemas.openxmlformats.org/officeDocument/2006/relationships/hyperlink" Target="https://maslo53.ru/img/fasovka/3941-41b4ec139f63ec2e567584ad08e9c27c-420-315.jpg" TargetMode="External"/><Relationship Id="rId314" Type="http://schemas.openxmlformats.org/officeDocument/2006/relationships/hyperlink" Target="http://1.c8804.nichost.ru/pics/20946.jpg" TargetMode="External"/><Relationship Id="rId356" Type="http://schemas.openxmlformats.org/officeDocument/2006/relationships/hyperlink" Target="http://1.c8804.nichost.ru/pics/19722_1.jpg" TargetMode="External"/><Relationship Id="rId398" Type="http://schemas.openxmlformats.org/officeDocument/2006/relationships/hyperlink" Target="http://naturevector.c8804.shared.hc.ru/photo/" TargetMode="External"/><Relationship Id="rId95" Type="http://schemas.openxmlformats.org/officeDocument/2006/relationships/hyperlink" Target="https://zdorovedaru.ru/upload/iblock/5bd/007xua1dkll9zuc7uxyk8xpsiknrbxbm.png" TargetMode="External"/><Relationship Id="rId160" Type="http://schemas.openxmlformats.org/officeDocument/2006/relationships/hyperlink" Target="https://bionovashop.ru/upload/iblock/854/8q7xky61ztg4nwj7w0c3suk3ck0nya68.jpg" TargetMode="External"/><Relationship Id="rId216" Type="http://schemas.openxmlformats.org/officeDocument/2006/relationships/hyperlink" Target="https://fabrikabio.ru/images/product/000/000133/400-1022_tea_500g_ferm_face.jpg" TargetMode="External"/><Relationship Id="rId423" Type="http://schemas.openxmlformats.org/officeDocument/2006/relationships/printerSettings" Target="../printerSettings/printerSettings1.bin"/><Relationship Id="rId258" Type="http://schemas.openxmlformats.org/officeDocument/2006/relationships/hyperlink" Target="https://ivan-da.ru/wp-content/uploads/2020/01/%D0%BE%D0%B1%D0%BB%D0%B5%D0%BF%D0%B8%D1%85%D0%B0-2.jpg" TargetMode="External"/><Relationship Id="rId22" Type="http://schemas.openxmlformats.org/officeDocument/2006/relationships/hyperlink" Target="http://naturevector.c8804.shared.hc.ru/photo/" TargetMode="External"/><Relationship Id="rId64" Type="http://schemas.openxmlformats.org/officeDocument/2006/relationships/hyperlink" Target="http://naturevector.c8804.shared.hc.ru/photo/" TargetMode="External"/><Relationship Id="rId118" Type="http://schemas.openxmlformats.org/officeDocument/2006/relationships/hyperlink" Target="https://mrdjemiuszero.com/upload/iblock/67a/67a57143fe21636ee4688c0643abe374.jpg" TargetMode="External"/><Relationship Id="rId325" Type="http://schemas.openxmlformats.org/officeDocument/2006/relationships/hyperlink" Target="http://naturevector.c8804.shared.hc.ru/photo/19716.jpg" TargetMode="External"/><Relationship Id="rId367" Type="http://schemas.openxmlformats.org/officeDocument/2006/relationships/hyperlink" Target="http://naturevector.c8804.shared.hc.ru/photo/" TargetMode="External"/><Relationship Id="rId171" Type="http://schemas.openxmlformats.org/officeDocument/2006/relationships/hyperlink" Target="https://bionovashop.ru/upload/iblock/992/a2opjjh06v5e4p446vz06si52nyuhesu.png" TargetMode="External"/><Relationship Id="rId227" Type="http://schemas.openxmlformats.org/officeDocument/2006/relationships/hyperlink" Target="https://vita-family.com/upload/iblock/df3/8xmaws39n3mukffth812v7z45t1fd52m.jpg" TargetMode="External"/><Relationship Id="rId269" Type="http://schemas.openxmlformats.org/officeDocument/2006/relationships/hyperlink" Target="http://zdorovey.ru/wp-content/uploads/2019/11/Khlebtsi_mini_2.jpg" TargetMode="External"/><Relationship Id="rId33" Type="http://schemas.openxmlformats.org/officeDocument/2006/relationships/hyperlink" Target="http://naturevector.c8804.shared.hc.ru/photo/" TargetMode="External"/><Relationship Id="rId129" Type="http://schemas.openxmlformats.org/officeDocument/2006/relationships/hyperlink" Target="https://mrdjemiuszero.com/upload/iblock/4cb/4cbef949ae478028d227c795b70f2866.jpg" TargetMode="External"/><Relationship Id="rId280" Type="http://schemas.openxmlformats.org/officeDocument/2006/relationships/hyperlink" Target="http://www.dompogrebok.ru/media/1/191.png" TargetMode="External"/><Relationship Id="rId336" Type="http://schemas.openxmlformats.org/officeDocument/2006/relationships/hyperlink" Target="https://bite.ru/upload/resize_cache/iblock/25d/1200_1200_1/bitey_wafer_broccoli-_1_.png" TargetMode="External"/><Relationship Id="rId75" Type="http://schemas.openxmlformats.org/officeDocument/2006/relationships/hyperlink" Target="https://lifeway.su/wp-content/uploads/2014/12/TSelnosmolotaya-polbyanaya-muka.jpg" TargetMode="External"/><Relationship Id="rId140" Type="http://schemas.openxmlformats.org/officeDocument/2006/relationships/hyperlink" Target="http://www.vitazar.ru/images/malt.jpg" TargetMode="External"/><Relationship Id="rId182" Type="http://schemas.openxmlformats.org/officeDocument/2006/relationships/hyperlink" Target="https://bionovashop.ru/upload/iblock/7cd/bvmv9281j0gisdb3umqehbi6fqh3zgoy.jpg" TargetMode="External"/><Relationship Id="rId378" Type="http://schemas.openxmlformats.org/officeDocument/2006/relationships/hyperlink" Target="http://naturevector.c8804.shared.hc.ru/photo/19814.jpg" TargetMode="External"/><Relationship Id="rId403" Type="http://schemas.openxmlformats.org/officeDocument/2006/relationships/hyperlink" Target="http://naturevector.c8804.shared.hc.ru/photo/19809.jpg" TargetMode="External"/><Relationship Id="rId6" Type="http://schemas.openxmlformats.org/officeDocument/2006/relationships/hyperlink" Target="http://naturevector.c8804.shared.hc.ru/photo/18910.jpg" TargetMode="External"/><Relationship Id="rId238" Type="http://schemas.openxmlformats.org/officeDocument/2006/relationships/hyperlink" Target="https://tfzp.ru/assets/cache/images/products/sk/zozh/lnyanayafrukty-1735x975-4f6.png" TargetMode="External"/><Relationship Id="rId291" Type="http://schemas.openxmlformats.org/officeDocument/2006/relationships/hyperlink" Target="http://www.fitparad.com/site.aspx?IID=4020849" TargetMode="External"/><Relationship Id="rId305" Type="http://schemas.openxmlformats.org/officeDocument/2006/relationships/hyperlink" Target="http://naturevector.c8804.shared.hc.ru/photo/20092.jpg" TargetMode="External"/><Relationship Id="rId347" Type="http://schemas.openxmlformats.org/officeDocument/2006/relationships/hyperlink" Target="http://1.c8804.nichost.ru/pics/19674_1.jpg" TargetMode="External"/><Relationship Id="rId44" Type="http://schemas.openxmlformats.org/officeDocument/2006/relationships/hyperlink" Target="http://1.c8804.nichost.ru/pics/19152_1.jpg" TargetMode="External"/><Relationship Id="rId86" Type="http://schemas.openxmlformats.org/officeDocument/2006/relationships/hyperlink" Target="https://lifeway.su/wp-content/uploads/2017/12/Immunitet.jpg" TargetMode="External"/><Relationship Id="rId151" Type="http://schemas.openxmlformats.org/officeDocument/2006/relationships/hyperlink" Target="https://bionovashop.ru/upload/iblock/c64/c64dfa0f0fee3831c6595540bfdc1653.jpg" TargetMode="External"/><Relationship Id="rId389" Type="http://schemas.openxmlformats.org/officeDocument/2006/relationships/hyperlink" Target="http://naturevector.c8804.shared.hc.ru/photo/" TargetMode="External"/><Relationship Id="rId193" Type="http://schemas.openxmlformats.org/officeDocument/2006/relationships/hyperlink" Target="https://altnectar.com/upload/iblock/842/eg8c8ey1u4hj0585en95mderbbq957k1.jpg" TargetMode="External"/><Relationship Id="rId207" Type="http://schemas.openxmlformats.org/officeDocument/2006/relationships/hyperlink" Target="https://fabrikabio.ru/images/product/000/000096/149-1056_tea_berry_50g_oblepiha_l_1050x1400px.tn-570x900.2321cd79db.jpg" TargetMode="External"/><Relationship Id="rId249" Type="http://schemas.openxmlformats.org/officeDocument/2006/relationships/hyperlink" Target="https://dialexport.ru/upload/iblock/4e3/4e345bd8c027aa014841ec06278a544f.jpg" TargetMode="External"/><Relationship Id="rId414" Type="http://schemas.openxmlformats.org/officeDocument/2006/relationships/hyperlink" Target="https://www.corpdidi.ru/upload/iblock/212/2129171c185f44e430fba10101cf2824.jpg" TargetMode="External"/><Relationship Id="rId13" Type="http://schemas.openxmlformats.org/officeDocument/2006/relationships/hyperlink" Target="https://www.altay-organic.ru/upload/resize_cache/webp/iblock/922/1000_1000_140cd750bba9870f18aada2478b24840a/n24c17zsyi2cmg6fpy695yk3edctno09.webp" TargetMode="External"/><Relationship Id="rId109" Type="http://schemas.openxmlformats.org/officeDocument/2006/relationships/hyperlink" Target="https://www.rado-grad.ru/upload/iblock/758/g5um2z1bt9gonv4iv2efw606f2ctr9a6/maslo_kunzhutnoe_250_ml.png" TargetMode="External"/><Relationship Id="rId260" Type="http://schemas.openxmlformats.org/officeDocument/2006/relationships/hyperlink" Target="https://dieterra.ru/upload/iblock/309/a5i2w1b9ayqai5l69uwj24fsug9czi27.png" TargetMode="External"/><Relationship Id="rId316" Type="http://schemas.openxmlformats.org/officeDocument/2006/relationships/hyperlink" Target="http://1.c8804.nichost.ru/pics/17980_1.jpg" TargetMode="External"/><Relationship Id="rId55" Type="http://schemas.openxmlformats.org/officeDocument/2006/relationships/hyperlink" Target="https://naturevector.ru/wp-content/uploads/2023/12/THaiSTyle_New_nov201.jpeg" TargetMode="External"/><Relationship Id="rId97" Type="http://schemas.openxmlformats.org/officeDocument/2006/relationships/hyperlink" Target="https://static.tildacdn.com/tild6431-3161-4336-a663-663137393862/Chaokoh-037_250-Coco.jpg" TargetMode="External"/><Relationship Id="rId120" Type="http://schemas.openxmlformats.org/officeDocument/2006/relationships/hyperlink" Target="https://mrdjemiuszero.com/upload/iblock/172/1721f47773833b975a6cb53eedad1f2b.jpg" TargetMode="External"/><Relationship Id="rId358" Type="http://schemas.openxmlformats.org/officeDocument/2006/relationships/hyperlink" Target="http://1.c8804.nichost.ru/pics/20477_1.jpg" TargetMode="External"/><Relationship Id="rId162" Type="http://schemas.openxmlformats.org/officeDocument/2006/relationships/hyperlink" Target="https://bionovashop.ru/upload/iblock/22b/22bd94c84963efb65f70de802e6327f3.jpg" TargetMode="External"/><Relationship Id="rId218" Type="http://schemas.openxmlformats.org/officeDocument/2006/relationships/hyperlink" Target="https://vita-family.com/upload/resize_cache/iblock/995/400_400_140cd750bba9870f18aada2478b24840a/0oap9bufg2sofjvwd1nyt2dz6elmgjnm.jpg" TargetMode="External"/><Relationship Id="rId425" Type="http://schemas.openxmlformats.org/officeDocument/2006/relationships/vmlDrawing" Target="../drawings/vmlDrawing1.vml"/><Relationship Id="rId271" Type="http://schemas.openxmlformats.org/officeDocument/2006/relationships/hyperlink" Target="http://zdorovey.ru/wp-content/uploads/2020/04/02_Khlebtsi_grech_ris.jpg" TargetMode="External"/><Relationship Id="rId24" Type="http://schemas.openxmlformats.org/officeDocument/2006/relationships/hyperlink" Target="http://naturevector.c8804.shared.hc.ru/photo/" TargetMode="External"/><Relationship Id="rId66" Type="http://schemas.openxmlformats.org/officeDocument/2006/relationships/hyperlink" Target="http://naturevector.c8804.shared.hc.ru/photo/" TargetMode="External"/><Relationship Id="rId131" Type="http://schemas.openxmlformats.org/officeDocument/2006/relationships/hyperlink" Target="https://mrdjemiuszero.com/upload/iblock/f83/f83a5822c6e5bd63cd0f8f22aa94caf8.jpg" TargetMode="External"/><Relationship Id="rId327" Type="http://schemas.openxmlformats.org/officeDocument/2006/relationships/hyperlink" Target="http://naturevector.c8804.shared.hc.ru/photo/" TargetMode="External"/><Relationship Id="rId369" Type="http://schemas.openxmlformats.org/officeDocument/2006/relationships/hyperlink" Target="http://naturevector.c8804.shared.hc.ru/photo/" TargetMode="External"/><Relationship Id="rId173" Type="http://schemas.openxmlformats.org/officeDocument/2006/relationships/hyperlink" Target="https://bionovashop.ru/upload/iblock/0be/147mdm02qkg6ouo6svscp1r2d72z6vgi.jpg" TargetMode="External"/><Relationship Id="rId229" Type="http://schemas.openxmlformats.org/officeDocument/2006/relationships/hyperlink" Target="https://vita-family.com/upload/resize_cache/iblock/0ad/400_400_140cd750bba9870f18aada2478b24840a/u0desgcx8u53bc5w783af3ic3pqsm9za.jpg" TargetMode="External"/><Relationship Id="rId380" Type="http://schemas.openxmlformats.org/officeDocument/2006/relationships/hyperlink" Target="http://naturevector.c8804.shared.hc.ru/photo/19824.jpg" TargetMode="External"/><Relationship Id="rId240" Type="http://schemas.openxmlformats.org/officeDocument/2006/relationships/hyperlink" Target="https://tfzp.ru/assets/cache/images/products/sk/zozh/lnyanayachernika-1735x975-2dc.png" TargetMode="External"/><Relationship Id="rId35" Type="http://schemas.openxmlformats.org/officeDocument/2006/relationships/hyperlink" Target="https://nutvinograd.ru/wp-content/uploads/2021/01/dsc_0035-567x1024.jpg" TargetMode="External"/><Relationship Id="rId77" Type="http://schemas.openxmlformats.org/officeDocument/2006/relationships/hyperlink" Target="https://lifeway.su/wp-content/uploads/2014/04/TSelnosmolotaya-rzhanaya-muka.jpg" TargetMode="External"/><Relationship Id="rId100" Type="http://schemas.openxmlformats.org/officeDocument/2006/relationships/hyperlink" Target="https://static.tildacdn.com/tild6163-6663-4433-b637-356663643361/__1000.jpg" TargetMode="External"/><Relationship Id="rId282" Type="http://schemas.openxmlformats.org/officeDocument/2006/relationships/hyperlink" Target="https://art-amm.ru/images/006/733/418/6733418/289x385crop/%D0%A4%D0%A7_%D0%BF%D0%B0%D0%BF%D1%80%D0%B8%D0%BA%D0%B0%D0%B6%D0%B5%D0%BB%D1%82%D0%B0%D1%8F.png" TargetMode="External"/><Relationship Id="rId338" Type="http://schemas.openxmlformats.org/officeDocument/2006/relationships/hyperlink" Target="http://naturevector.c8804.shared.hc.ru/photo/19816.jpg" TargetMode="External"/><Relationship Id="rId8" Type="http://schemas.openxmlformats.org/officeDocument/2006/relationships/hyperlink" Target="https://mrdjemiuszero.com/upload/iblock/797/7977bb642834f44fa102c3b63cca3113.jpg" TargetMode="External"/><Relationship Id="rId142" Type="http://schemas.openxmlformats.org/officeDocument/2006/relationships/hyperlink" Target="http://www.vitazar.ru/images/oat01.jpg" TargetMode="External"/><Relationship Id="rId184" Type="http://schemas.openxmlformats.org/officeDocument/2006/relationships/hyperlink" Target="https://bionovashop.ru/upload/iblock/98d/x1h451utdrtaluud8l4jnkno2rhezr8k.jpg" TargetMode="External"/><Relationship Id="rId391" Type="http://schemas.openxmlformats.org/officeDocument/2006/relationships/hyperlink" Target="http://naturevector.c8804.shared.hc.ru/photo/19666.jpg" TargetMode="External"/><Relationship Id="rId405" Type="http://schemas.openxmlformats.org/officeDocument/2006/relationships/hyperlink" Target="http://naturevector.c8804.shared.hc.ru/photo/" TargetMode="External"/><Relationship Id="rId251" Type="http://schemas.openxmlformats.org/officeDocument/2006/relationships/hyperlink" Target="https://dialexport.ru/upload/iblock/a38/a38ec20649cc148c1a6485caf7fb7e57.jpg" TargetMode="External"/><Relationship Id="rId46" Type="http://schemas.openxmlformats.org/officeDocument/2006/relationships/hyperlink" Target="http://1.c8804.nichost.ru/pics/19151_1.jpg" TargetMode="External"/><Relationship Id="rId293" Type="http://schemas.openxmlformats.org/officeDocument/2006/relationships/hyperlink" Target="https://dieterra.ru/upload/iblock/00f/h6qgetm74xemjvk91fb5kgqzm4saoi24.jpg" TargetMode="External"/><Relationship Id="rId307" Type="http://schemas.openxmlformats.org/officeDocument/2006/relationships/hyperlink" Target="http://1.c8804.nichost.ru/pics/20759.jpg" TargetMode="External"/><Relationship Id="rId349" Type="http://schemas.openxmlformats.org/officeDocument/2006/relationships/hyperlink" Target="https://bionovashop.ru/upload/iblock/288/288e0bda9abaf6237587308780faf936.jpg" TargetMode="External"/><Relationship Id="rId88" Type="http://schemas.openxmlformats.org/officeDocument/2006/relationships/hyperlink" Target="https://lifeway.su/wp-content/uploads/2017/12/Stroynost.jpg" TargetMode="External"/><Relationship Id="rId111" Type="http://schemas.openxmlformats.org/officeDocument/2006/relationships/hyperlink" Target="https://www.rado-grad.ru/upload/iblock/f1e/o34v3ooob93w3cb6k3rkkbf18nbkkf7d/maslo_oblepikhovoe_250_ml.png" TargetMode="External"/><Relationship Id="rId153" Type="http://schemas.openxmlformats.org/officeDocument/2006/relationships/hyperlink" Target="https://bionovashop.ru/upload/iblock/141/1412047e8ef95babb4d0d0d5190afe11.jpg" TargetMode="External"/><Relationship Id="rId195" Type="http://schemas.openxmlformats.org/officeDocument/2006/relationships/hyperlink" Target="https://fabrikabio.ru/images/product/000/000186/844-1501_nuts_200g_greek_front.tn-570x900.75054a4ead.jpg" TargetMode="External"/><Relationship Id="rId209" Type="http://schemas.openxmlformats.org/officeDocument/2006/relationships/hyperlink" Target="https://fabrikabio.ru/images/product/000/000114/569-ebf_glass_linden_50g_800x800px.tn-570x900.9e64233cba.jpg" TargetMode="External"/><Relationship Id="rId360" Type="http://schemas.openxmlformats.org/officeDocument/2006/relationships/hyperlink" Target="http://1.c8804.nichost.ru/pics/20485_1.jpg" TargetMode="External"/><Relationship Id="rId416" Type="http://schemas.openxmlformats.org/officeDocument/2006/relationships/hyperlink" Target="https://www.corpdidi.ru/upload/iblock/b03/b03be3741c87dbfd35316535dd1637e7.jpg" TargetMode="External"/><Relationship Id="rId220" Type="http://schemas.openxmlformats.org/officeDocument/2006/relationships/hyperlink" Target="https://vita-family.com/upload/resize_cache/iblock/e98/400_400_140cd750bba9870f18aada2478b24840a/ml13mjdhk7y4ofllnzekv4pq0djrv1gq.jpg" TargetMode="External"/><Relationship Id="rId15" Type="http://schemas.openxmlformats.org/officeDocument/2006/relationships/hyperlink" Target="https://frutilad.ru/wp-content/uploads/2021/03/kids-apple-blueberry-1.jpg" TargetMode="External"/><Relationship Id="rId57" Type="http://schemas.openxmlformats.org/officeDocument/2006/relationships/hyperlink" Target="http://naturevector.c8804.shared.hc.ru/photo/19939.jpg" TargetMode="External"/><Relationship Id="rId262" Type="http://schemas.openxmlformats.org/officeDocument/2006/relationships/hyperlink" Target="https://dieterra.ru/upload/iblock/624/xzpuakusadxywkd0fycg9hifq0w94gnn.png" TargetMode="External"/><Relationship Id="rId318" Type="http://schemas.openxmlformats.org/officeDocument/2006/relationships/hyperlink" Target="http://naturevector.c8804.shared.hc.ru/photo/19533.jpg" TargetMode="External"/><Relationship Id="rId99" Type="http://schemas.openxmlformats.org/officeDocument/2006/relationships/hyperlink" Target="https://static.tildacdn.com/tild3064-3636-4830-b137-613161373664/-King-Island-500.jpg" TargetMode="External"/><Relationship Id="rId122" Type="http://schemas.openxmlformats.org/officeDocument/2006/relationships/hyperlink" Target="https://mrdjemiuszero.com/upload/iblock/8dc/8dc993b8fecd181fe001aa0dbabe093f.jpg" TargetMode="External"/><Relationship Id="rId164" Type="http://schemas.openxmlformats.org/officeDocument/2006/relationships/hyperlink" Target="https://bionovashop.ru/upload/iblock/ffe/ffe20e558e1d802d89585f09ae40da2e.jpg" TargetMode="External"/><Relationship Id="rId371" Type="http://schemas.openxmlformats.org/officeDocument/2006/relationships/hyperlink" Target="http://naturevector.c8804.shared.hc.ru/photo/" TargetMode="External"/><Relationship Id="rId26" Type="http://schemas.openxmlformats.org/officeDocument/2006/relationships/hyperlink" Target="http://naturevector.c8804.shared.hc.ru/photo/" TargetMode="External"/><Relationship Id="rId231" Type="http://schemas.openxmlformats.org/officeDocument/2006/relationships/hyperlink" Target="https://vita-family.com/upload/resize_cache/iblock/b6a/400_400_140cd750bba9870f18aada2478b24840a/wcab0amp0z3ezgu76y64yqp4ig2fu55c.jpg" TargetMode="External"/><Relationship Id="rId273" Type="http://schemas.openxmlformats.org/officeDocument/2006/relationships/hyperlink" Target="http://zdorovey.ru/wp-content/uploads/2020/04/03_Khlebtsi_ris.jpg" TargetMode="External"/><Relationship Id="rId329" Type="http://schemas.openxmlformats.org/officeDocument/2006/relationships/hyperlink" Target="https://bite.ru/upload/resize_cache/iblock/7db/1200_1200_1/bite_crispy_4-_1_.png" TargetMode="External"/><Relationship Id="rId68" Type="http://schemas.openxmlformats.org/officeDocument/2006/relationships/hyperlink" Target="http://naturevector.c8804.shared.hc.ru/photo/19792.jpg" TargetMode="External"/><Relationship Id="rId133" Type="http://schemas.openxmlformats.org/officeDocument/2006/relationships/hyperlink" Target="https://mrdjemiuszero.com/upload/iblock/53b/53ba4329d1450eeddb99ccd331f647b5.jpg" TargetMode="External"/><Relationship Id="rId175" Type="http://schemas.openxmlformats.org/officeDocument/2006/relationships/hyperlink" Target="https://bionovashop.ru/upload/iblock/8db/027vmh7zzwm02sgwgtgae0ejqc4tav52.png" TargetMode="External"/><Relationship Id="rId340" Type="http://schemas.openxmlformats.org/officeDocument/2006/relationships/hyperlink" Target="http://1.c8804.nichost.ru/pics/18476_1.jpg" TargetMode="External"/><Relationship Id="rId200" Type="http://schemas.openxmlformats.org/officeDocument/2006/relationships/hyperlink" Target="https://fabrikabio.ru/images/product/000/000110/847-1036_tea_50g_green_l_1050x1400px.tn-570x900.d13e8e2a4e.jpg" TargetMode="External"/><Relationship Id="rId382" Type="http://schemas.openxmlformats.org/officeDocument/2006/relationships/hyperlink" Target="http://naturevector.c8804.shared.hc.ru/photo/17572.jpg" TargetMode="External"/><Relationship Id="rId242" Type="http://schemas.openxmlformats.org/officeDocument/2006/relationships/hyperlink" Target="https://tfzp.ru/assets/cache/images/products/sk/glyuten/Detox-1735x975-251.png" TargetMode="External"/><Relationship Id="rId284" Type="http://schemas.openxmlformats.org/officeDocument/2006/relationships/hyperlink" Target="https://art-amm.ru/images/006/712/337/6712337/355x473crop/%D0%91%D0%B5%D0%B7_%D0%B8%D0%BC%D0%B5%D0%BD%D0%B8-9.jpg" TargetMode="External"/><Relationship Id="rId37" Type="http://schemas.openxmlformats.org/officeDocument/2006/relationships/hyperlink" Target="https://nutvinograd.ru/wp-content/uploads/2021/01/dsc_0389-2-578x1024.jpg" TargetMode="External"/><Relationship Id="rId79" Type="http://schemas.openxmlformats.org/officeDocument/2006/relationships/hyperlink" Target="https://lifeway.su/wp-content/uploads/2017/07/Risovaya-muka.jpg" TargetMode="External"/><Relationship Id="rId102" Type="http://schemas.openxmlformats.org/officeDocument/2006/relationships/hyperlink" Target="https://www.rado-grad.ru/upload/iblock/de0/1221nyl7dkosz31zviqk9x6blvp57xrd/maslo_kedrovoe_100_ml.png" TargetMode="External"/><Relationship Id="rId144" Type="http://schemas.openxmlformats.org/officeDocument/2006/relationships/hyperlink" Target="https://maslo53.ru/img/fasovka/3900-004940c8c7f4c0e24e6fd3fae932167f-420-315.jpg" TargetMode="External"/><Relationship Id="rId90" Type="http://schemas.openxmlformats.org/officeDocument/2006/relationships/hyperlink" Target="https://lifeway.su/wp-content/uploads/2021/03/polba_rez.jpg" TargetMode="External"/><Relationship Id="rId186" Type="http://schemas.openxmlformats.org/officeDocument/2006/relationships/hyperlink" Target="https://altnectar.com/upload/iblock/105/nokv6v9fy5k7k6drmnpcsm30tf19i99c.jpg" TargetMode="External"/><Relationship Id="rId351" Type="http://schemas.openxmlformats.org/officeDocument/2006/relationships/hyperlink" Target="http://1.c8804.nichost.ru/pics/19723_1.jpg" TargetMode="External"/><Relationship Id="rId393" Type="http://schemas.openxmlformats.org/officeDocument/2006/relationships/hyperlink" Target="mailto:opt@naturevector.ru" TargetMode="External"/><Relationship Id="rId407" Type="http://schemas.openxmlformats.org/officeDocument/2006/relationships/hyperlink" Target="http://1.c8804.nichost.ru/pics/18698_1.jpg" TargetMode="External"/><Relationship Id="rId211" Type="http://schemas.openxmlformats.org/officeDocument/2006/relationships/hyperlink" Target="https://fabrikabio.ru/images/product/000/000113/722-ebf_glass_kiprey_50g_800x800px.tn-570x900.e61dbb5b8e.jpg" TargetMode="External"/><Relationship Id="rId253" Type="http://schemas.openxmlformats.org/officeDocument/2006/relationships/hyperlink" Target="https://dialexport.ru/upload/iblock/20c/20ccc85626baa9431ab60c141f96feb5.jpg" TargetMode="External"/><Relationship Id="rId295" Type="http://schemas.openxmlformats.org/officeDocument/2006/relationships/hyperlink" Target="https://ivan-da.ru/wp-content/uploads/2020/01/%D1%81%D0%BC%D0%BE%D1%80%D0%BE%D0%B4%D0%B8%D0%BD%D0%B0-1.jpg" TargetMode="External"/><Relationship Id="rId309" Type="http://schemas.openxmlformats.org/officeDocument/2006/relationships/hyperlink" Target="https://naturevector.ru/wp-content/uploads/2023/12/5bc740435634cc321bca4ac0_Almond-milk-p-1080.jpeg" TargetMode="External"/><Relationship Id="rId48" Type="http://schemas.openxmlformats.org/officeDocument/2006/relationships/hyperlink" Target="http://naturevector.c8804.shared.hc.ru/photo/19593.jpg" TargetMode="External"/><Relationship Id="rId113" Type="http://schemas.openxmlformats.org/officeDocument/2006/relationships/hyperlink" Target="https://www.rado-grad.ru/upload/iblock/7fc/3692zfojqn4adfmc70ojq6mqtpdr0jft/maslo_rastoropshi_250_ml_jpg.png" TargetMode="External"/><Relationship Id="rId320" Type="http://schemas.openxmlformats.org/officeDocument/2006/relationships/hyperlink" Target="http://naturevector.c8804.shared.hc.ru/photo/19534.jpg" TargetMode="External"/><Relationship Id="rId155" Type="http://schemas.openxmlformats.org/officeDocument/2006/relationships/hyperlink" Target="https://bionovashop.ru/upload/iblock/af5/a7ul58hnl7pzf7q61iin96rt74cnuj8t.jpg" TargetMode="External"/><Relationship Id="rId197" Type="http://schemas.openxmlformats.org/officeDocument/2006/relationships/hyperlink" Target="https://fabrikabio.ru/images/product/000/000188/993-1503_nuts_200g_mindal_front.tn-570x900.69b361673a.jpg" TargetMode="External"/><Relationship Id="rId362" Type="http://schemas.openxmlformats.org/officeDocument/2006/relationships/hyperlink" Target="https://naturevector.ru/wp-content/uploads/2023/12/5bc7405bbc6836e961579900_Almond-milk-coconut-p-1080.jpeg" TargetMode="External"/><Relationship Id="rId418" Type="http://schemas.openxmlformats.org/officeDocument/2006/relationships/hyperlink" Target="http://1.c8804.nichost.ru/pics/19797_1.jpg" TargetMode="External"/><Relationship Id="rId222" Type="http://schemas.openxmlformats.org/officeDocument/2006/relationships/hyperlink" Target="https://vita-family.com/upload/resize_cache/iblock/b7b/400_400_140cd750bba9870f18aada2478b24840a/4t45pmf4tkt42289d1v68ln7j87yiyxr.jpg" TargetMode="External"/><Relationship Id="rId264" Type="http://schemas.openxmlformats.org/officeDocument/2006/relationships/hyperlink" Target="https://dieterra.ru/upload/iblock/4c6/6na4pz88cb3oq6zxw4ghpdxtf0v2gzih.png" TargetMode="External"/><Relationship Id="rId17" Type="http://schemas.openxmlformats.org/officeDocument/2006/relationships/hyperlink" Target="https://naturevector.ru/wp-content/uploads/2023/12/62trrqlb4pjcob83w01xidk8mrt3tu34.webp" TargetMode="External"/><Relationship Id="rId59" Type="http://schemas.openxmlformats.org/officeDocument/2006/relationships/hyperlink" Target="http://naturevector.c8804.shared.hc.ru/photo/19942.jpg" TargetMode="External"/><Relationship Id="rId124" Type="http://schemas.openxmlformats.org/officeDocument/2006/relationships/hyperlink" Target="https://mrdjemiuszero.com/upload/iblock/f73/f73c5c427d6d251f7547ac6e3e53fb0a.jp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00"/>
  </sheetPr>
  <dimension ref="A1:BA3212"/>
  <sheetViews>
    <sheetView tabSelected="1" zoomScaleNormal="100" workbookViewId="0">
      <pane ySplit="2" topLeftCell="A3" activePane="bottomLeft" state="frozen"/>
      <selection pane="bottomLeft" activeCell="F1" sqref="F1:F2"/>
    </sheetView>
  </sheetViews>
  <sheetFormatPr defaultRowHeight="15" outlineLevelCol="1" x14ac:dyDescent="0.25"/>
  <cols>
    <col min="1" max="1" width="1.5703125" customWidth="1"/>
    <col min="2" max="2" width="7.28515625" style="298" hidden="1" customWidth="1" outlineLevel="1"/>
    <col min="3" max="3" width="12.85546875" hidden="1" customWidth="1" outlineLevel="1"/>
    <col min="4" max="4" width="60.7109375" customWidth="1" collapsed="1"/>
    <col min="5" max="5" width="4.42578125" style="83" customWidth="1"/>
    <col min="6" max="6" width="7.85546875" style="192" customWidth="1"/>
    <col min="7" max="9" width="7.7109375" customWidth="1"/>
    <col min="10" max="10" width="14.7109375" style="49" hidden="1" customWidth="1" outlineLevel="1"/>
    <col min="11" max="11" width="13.5703125" style="124" hidden="1" customWidth="1" outlineLevel="1"/>
    <col min="12" max="12" width="6.140625" style="456" hidden="1" customWidth="1" outlineLevel="1"/>
    <col min="13" max="13" width="6.140625" style="502" hidden="1" customWidth="1" outlineLevel="1"/>
    <col min="14" max="14" width="6.140625" style="473" hidden="1" customWidth="1" outlineLevel="1"/>
    <col min="15" max="15" width="20.28515625" style="188" customWidth="1" collapsed="1"/>
    <col min="16" max="16" width="6.28515625" style="83" customWidth="1"/>
    <col min="17" max="17" width="8.7109375" style="106" customWidth="1"/>
    <col min="18" max="18" width="9.140625" customWidth="1"/>
    <col min="19" max="19" width="18.5703125" customWidth="1"/>
    <col min="20" max="20" width="12.7109375" style="4" customWidth="1"/>
    <col min="21" max="23" width="9.140625" hidden="1" customWidth="1"/>
    <col min="24" max="24" width="10.5703125" hidden="1" customWidth="1"/>
    <col min="25" max="28" width="9.140625" hidden="1" customWidth="1"/>
    <col min="29" max="31" width="7.140625" hidden="1" customWidth="1"/>
    <col min="32" max="32" width="16.85546875" hidden="1" customWidth="1"/>
    <col min="33" max="33" width="12.85546875" style="278" hidden="1" customWidth="1"/>
    <col min="34" max="34" width="16.5703125" style="278" hidden="1" customWidth="1"/>
    <col min="35" max="37" width="9.140625" hidden="1" customWidth="1"/>
    <col min="38" max="40" width="4.28515625" hidden="1" customWidth="1"/>
    <col min="41" max="41" width="5" hidden="1" customWidth="1"/>
    <col min="42" max="42" width="4.140625" hidden="1" customWidth="1"/>
    <col min="43" max="43" width="9.140625" style="520" hidden="1" customWidth="1"/>
    <col min="44" max="44" width="9.140625" hidden="1" customWidth="1"/>
    <col min="45" max="45" width="9.140625" style="298" hidden="1" customWidth="1"/>
    <col min="46" max="46" width="9.140625" hidden="1" customWidth="1"/>
    <col min="47" max="47" width="11.5703125" hidden="1" customWidth="1"/>
    <col min="48" max="52" width="9.140625" hidden="1" customWidth="1"/>
    <col min="53" max="53" width="10.140625" bestFit="1" customWidth="1"/>
  </cols>
  <sheetData>
    <row r="1" spans="1:48" ht="14.1" customHeight="1" thickTop="1" x14ac:dyDescent="0.25">
      <c r="A1" s="231"/>
      <c r="B1" s="90" t="s">
        <v>0</v>
      </c>
      <c r="C1" s="90" t="s">
        <v>1</v>
      </c>
      <c r="D1" s="194" t="str">
        <f>CONCATENATE("Общая сумма: ",ROUND(SUM(Q:Q)-Q4,2)," руб.")</f>
        <v>Общая сумма: 0 руб.</v>
      </c>
      <c r="E1" s="1270" t="s">
        <v>3950</v>
      </c>
      <c r="F1" s="1268" t="s">
        <v>8</v>
      </c>
      <c r="G1" s="65" t="s">
        <v>3</v>
      </c>
      <c r="H1" s="65" t="s">
        <v>4</v>
      </c>
      <c r="I1" s="65" t="s">
        <v>5</v>
      </c>
      <c r="J1" s="90" t="s">
        <v>2</v>
      </c>
      <c r="K1" s="122" t="s">
        <v>1674</v>
      </c>
      <c r="L1" s="505" t="s">
        <v>2987</v>
      </c>
      <c r="M1" s="503" t="s">
        <v>2983</v>
      </c>
      <c r="N1" s="997" t="s">
        <v>7120</v>
      </c>
      <c r="O1" s="60" t="s">
        <v>6</v>
      </c>
      <c r="P1" s="60" t="s">
        <v>7</v>
      </c>
      <c r="Q1" s="98" t="s">
        <v>1419</v>
      </c>
      <c r="R1" s="92"/>
      <c r="S1" s="92"/>
      <c r="T1" s="1276" t="str">
        <f>HYPERLINK(AH417,"ПЕРЕЙТИ")</f>
        <v>ПЕРЕЙТИ</v>
      </c>
      <c r="U1" s="358"/>
      <c r="AK1" t="s">
        <v>9</v>
      </c>
      <c r="AL1" t="s">
        <v>1746</v>
      </c>
      <c r="AM1" t="s">
        <v>1560</v>
      </c>
      <c r="AQ1" s="520" t="str">
        <f>CONCATENATE("http://1.c8804.nichost.ru/pics/",B1,".jpg")</f>
        <v>http://1.c8804.nichost.ru/pics/артикул.jpg</v>
      </c>
      <c r="AR1" t="s">
        <v>5519</v>
      </c>
      <c r="AS1" s="535" t="s">
        <v>10</v>
      </c>
      <c r="AT1" t="s">
        <v>11</v>
      </c>
      <c r="AU1" t="s">
        <v>1439</v>
      </c>
    </row>
    <row r="2" spans="1:48" ht="14.1" customHeight="1" thickBot="1" x14ac:dyDescent="0.3">
      <c r="A2" s="230"/>
      <c r="B2" s="91"/>
      <c r="C2" s="61"/>
      <c r="D2" s="62" t="str">
        <f>CONCATENATE("Общий вес: ",AK2," кг")</f>
        <v>Общий вес: 0 кг</v>
      </c>
      <c r="E2" s="1271"/>
      <c r="F2" s="1269"/>
      <c r="G2" s="63"/>
      <c r="H2" s="64"/>
      <c r="I2" s="64"/>
      <c r="J2" s="147"/>
      <c r="K2" s="123"/>
      <c r="L2" s="506" t="s">
        <v>2986</v>
      </c>
      <c r="M2" s="504" t="s">
        <v>2984</v>
      </c>
      <c r="N2" s="998" t="s">
        <v>7121</v>
      </c>
      <c r="O2" s="63"/>
      <c r="P2" s="61" t="s">
        <v>12</v>
      </c>
      <c r="Q2" s="99"/>
      <c r="R2" s="92"/>
      <c r="S2" s="92"/>
      <c r="T2" s="1277"/>
      <c r="AK2">
        <f>ROUND(SUM(AN$116:AN$1048576),2)</f>
        <v>0</v>
      </c>
      <c r="AL2" s="279"/>
      <c r="AM2" s="279"/>
    </row>
    <row r="3" spans="1:48" ht="14.1" customHeight="1" thickBot="1" x14ac:dyDescent="0.3">
      <c r="A3" s="1"/>
      <c r="B3" s="195"/>
      <c r="C3" s="196"/>
      <c r="D3" s="197"/>
      <c r="E3" s="198"/>
      <c r="F3" s="191"/>
      <c r="G3" s="183"/>
      <c r="H3" s="199"/>
      <c r="I3" s="199"/>
      <c r="J3" s="200"/>
      <c r="K3" s="201"/>
      <c r="L3" s="428"/>
      <c r="M3" s="475"/>
      <c r="N3" s="467"/>
      <c r="O3" s="183"/>
      <c r="P3" s="196"/>
      <c r="Q3" s="202"/>
      <c r="R3" s="203"/>
      <c r="S3" s="207"/>
      <c r="T3" s="208"/>
    </row>
    <row r="4" spans="1:48" ht="10.5" customHeight="1" thickTop="1" x14ac:dyDescent="0.25">
      <c r="A4" s="1"/>
      <c r="B4" s="1071"/>
      <c r="C4" s="1072"/>
      <c r="D4" s="1073"/>
      <c r="E4" s="1074"/>
      <c r="F4" s="1074"/>
      <c r="G4" s="1074"/>
      <c r="H4" s="1074"/>
      <c r="I4" s="1074"/>
      <c r="J4" s="1074"/>
      <c r="K4" s="1074"/>
      <c r="L4" s="1075"/>
      <c r="M4" s="1076"/>
      <c r="N4" s="1077"/>
      <c r="O4" s="1074"/>
      <c r="P4" s="1074"/>
      <c r="Q4" s="1078">
        <v>46143</v>
      </c>
      <c r="R4" s="203"/>
      <c r="S4" s="207"/>
      <c r="T4" s="208"/>
    </row>
    <row r="5" spans="1:48" ht="23.1" customHeight="1" x14ac:dyDescent="0.25">
      <c r="A5" s="1"/>
      <c r="B5" s="351"/>
      <c r="C5" s="710"/>
      <c r="D5" s="1091" t="s">
        <v>7076</v>
      </c>
      <c r="E5" s="861"/>
      <c r="F5" s="861"/>
      <c r="G5" s="861"/>
      <c r="H5" s="861"/>
      <c r="I5" s="861"/>
      <c r="J5" s="861"/>
      <c r="K5" s="861"/>
      <c r="L5" s="862"/>
      <c r="M5" s="863"/>
      <c r="N5" s="423"/>
      <c r="O5" s="1079"/>
      <c r="P5" s="1080"/>
      <c r="Q5" s="1081" t="s">
        <v>1692</v>
      </c>
      <c r="R5" s="203"/>
      <c r="S5" s="207"/>
      <c r="T5" s="208"/>
    </row>
    <row r="6" spans="1:48" ht="17.100000000000001" customHeight="1" x14ac:dyDescent="0.25">
      <c r="A6" s="1"/>
      <c r="B6" s="711"/>
      <c r="C6" s="710"/>
      <c r="D6" s="1092" t="s">
        <v>7077</v>
      </c>
      <c r="E6" s="861"/>
      <c r="F6" s="861"/>
      <c r="G6" s="861"/>
      <c r="H6" s="861"/>
      <c r="I6" s="861"/>
      <c r="J6" s="861"/>
      <c r="K6" s="861"/>
      <c r="L6" s="862"/>
      <c r="M6" s="863"/>
      <c r="N6" s="423"/>
      <c r="O6" s="712"/>
      <c r="P6" s="712"/>
      <c r="Q6" s="1068" t="s">
        <v>3869</v>
      </c>
      <c r="R6" s="203"/>
      <c r="S6" s="207"/>
      <c r="T6" s="208"/>
    </row>
    <row r="7" spans="1:48" ht="22.5" customHeight="1" thickBot="1" x14ac:dyDescent="0.3">
      <c r="A7" s="1"/>
      <c r="B7" s="1082"/>
      <c r="C7" s="1083"/>
      <c r="D7" s="1093" t="s">
        <v>3869</v>
      </c>
      <c r="E7" s="1084"/>
      <c r="F7" s="1084"/>
      <c r="G7" s="1084"/>
      <c r="H7" s="1084"/>
      <c r="I7" s="1084"/>
      <c r="J7" s="1084"/>
      <c r="K7" s="1084"/>
      <c r="L7" s="1085"/>
      <c r="M7" s="1086"/>
      <c r="N7" s="1087"/>
      <c r="O7" s="1088"/>
      <c r="P7" s="1089"/>
      <c r="Q7" s="1090" t="s">
        <v>1831</v>
      </c>
      <c r="R7" s="203"/>
      <c r="S7" s="207"/>
      <c r="T7" s="208"/>
    </row>
    <row r="8" spans="1:48" ht="23.1" customHeight="1" thickTop="1" x14ac:dyDescent="0.25">
      <c r="A8" s="1"/>
      <c r="B8" s="351"/>
      <c r="C8" s="206"/>
      <c r="D8" s="1069"/>
      <c r="E8" s="861"/>
      <c r="F8" s="861"/>
      <c r="G8" s="861"/>
      <c r="H8" s="861"/>
      <c r="I8" s="861"/>
      <c r="J8" s="861"/>
      <c r="K8" s="861"/>
      <c r="L8" s="862"/>
      <c r="M8" s="863"/>
      <c r="N8" s="423"/>
      <c r="O8" s="861"/>
      <c r="P8" s="861"/>
      <c r="Q8" s="1070"/>
      <c r="R8" s="203"/>
      <c r="S8" s="207"/>
      <c r="T8" s="208"/>
    </row>
    <row r="9" spans="1:48" ht="17.100000000000001" customHeight="1" x14ac:dyDescent="0.25">
      <c r="A9" s="1"/>
      <c r="B9" s="351"/>
      <c r="C9" s="206"/>
      <c r="D9" s="507"/>
      <c r="E9" s="384"/>
      <c r="F9" s="384"/>
      <c r="G9" s="384"/>
      <c r="H9" s="384"/>
      <c r="I9" s="384"/>
      <c r="J9" s="384"/>
      <c r="K9" s="384"/>
      <c r="L9" s="429"/>
      <c r="M9" s="476"/>
      <c r="N9" s="423"/>
      <c r="O9" s="384"/>
      <c r="P9" s="384"/>
      <c r="Q9" s="508"/>
      <c r="R9" s="203"/>
      <c r="S9" s="207"/>
      <c r="T9" s="208"/>
    </row>
    <row r="10" spans="1:48" ht="17.100000000000001" customHeight="1" x14ac:dyDescent="0.25">
      <c r="A10" s="1"/>
      <c r="B10" s="314"/>
      <c r="C10" s="206"/>
      <c r="D10" s="312"/>
      <c r="E10" s="206"/>
      <c r="F10" s="206"/>
      <c r="G10" s="206"/>
      <c r="H10" s="206"/>
      <c r="I10" s="206"/>
      <c r="J10" s="206"/>
      <c r="K10" s="206"/>
      <c r="L10" s="430"/>
      <c r="M10" s="476"/>
      <c r="N10" s="423"/>
      <c r="O10" s="206"/>
      <c r="P10" s="206"/>
      <c r="Q10" s="313"/>
      <c r="R10" s="203"/>
      <c r="S10" s="207"/>
      <c r="T10" s="208"/>
    </row>
    <row r="11" spans="1:48" ht="15" customHeight="1" x14ac:dyDescent="0.25">
      <c r="A11" s="1"/>
      <c r="B11" s="195"/>
      <c r="C11" s="196"/>
      <c r="D11" s="197"/>
      <c r="E11" s="198"/>
      <c r="F11" s="191"/>
      <c r="G11" s="183"/>
      <c r="H11" s="199"/>
      <c r="I11" s="199"/>
      <c r="J11" s="200"/>
      <c r="K11" s="201"/>
      <c r="L11" s="428"/>
      <c r="M11" s="475"/>
      <c r="N11" s="467"/>
      <c r="O11" s="183"/>
      <c r="P11" s="196"/>
      <c r="Q11" s="202"/>
      <c r="R11" s="203"/>
      <c r="S11" s="207"/>
      <c r="T11" s="208"/>
    </row>
    <row r="12" spans="1:48" ht="21" customHeight="1" x14ac:dyDescent="0.25">
      <c r="A12" s="1"/>
      <c r="B12" s="195"/>
      <c r="C12" s="196"/>
      <c r="D12" s="197"/>
      <c r="E12" s="198"/>
      <c r="F12" s="191"/>
      <c r="G12" s="183"/>
      <c r="H12" s="199"/>
      <c r="I12" s="199"/>
      <c r="K12" s="201"/>
      <c r="L12" s="428"/>
      <c r="M12" s="475"/>
      <c r="N12" s="467"/>
      <c r="O12" s="1065" t="s">
        <v>1532</v>
      </c>
      <c r="P12" s="1065"/>
      <c r="Q12" s="1065"/>
      <c r="R12" s="203"/>
      <c r="S12" s="207"/>
      <c r="T12" s="208"/>
      <c r="AV12" t="str">
        <f>IF(F12&gt;0,(COUNT($AV$1:AV11)+1),"")</f>
        <v/>
      </c>
    </row>
    <row r="13" spans="1:48" ht="17.100000000000001" customHeight="1" x14ac:dyDescent="0.35">
      <c r="A13" s="1"/>
      <c r="B13" s="195"/>
      <c r="C13" s="196"/>
      <c r="D13" s="197"/>
      <c r="E13" s="198"/>
      <c r="F13" s="191"/>
      <c r="G13" s="183"/>
      <c r="H13" s="199"/>
      <c r="I13" s="199"/>
      <c r="J13" s="200"/>
      <c r="K13" s="654"/>
      <c r="L13" s="428"/>
      <c r="M13" s="475"/>
      <c r="N13" s="467"/>
      <c r="O13" s="516" t="s">
        <v>2061</v>
      </c>
      <c r="P13" s="205"/>
      <c r="Q13" s="205"/>
      <c r="R13" s="203"/>
      <c r="S13" s="207"/>
      <c r="T13" s="208"/>
      <c r="AV13" t="str">
        <f>IF(F13&gt;0,(COUNT($AV$1:AV12)+1),"")</f>
        <v/>
      </c>
    </row>
    <row r="14" spans="1:48" ht="17.100000000000001" customHeight="1" x14ac:dyDescent="0.25">
      <c r="A14" s="1"/>
      <c r="B14" s="195"/>
      <c r="C14" s="196"/>
      <c r="D14" s="197"/>
      <c r="E14" s="198"/>
      <c r="F14" s="191"/>
      <c r="G14" s="183"/>
      <c r="H14" s="199"/>
      <c r="I14" s="199"/>
      <c r="J14" s="200"/>
      <c r="K14" s="201"/>
      <c r="L14" s="428"/>
      <c r="M14" s="475"/>
      <c r="N14" s="467"/>
      <c r="O14" s="1066" t="s">
        <v>857</v>
      </c>
      <c r="P14" s="1067"/>
      <c r="Q14" s="1067"/>
      <c r="R14" s="203"/>
      <c r="S14" s="207"/>
      <c r="T14" s="208"/>
      <c r="AV14" t="str">
        <f>IF(F14&gt;0,(COUNT($AV$1:AV13)+1),"")</f>
        <v/>
      </c>
    </row>
    <row r="15" spans="1:48" ht="17.100000000000001" customHeight="1" x14ac:dyDescent="0.25">
      <c r="A15" s="1"/>
      <c r="B15" s="195"/>
      <c r="C15" s="196"/>
      <c r="D15" s="197"/>
      <c r="E15" s="198"/>
      <c r="F15" s="191"/>
      <c r="G15" s="183"/>
      <c r="H15" s="199"/>
      <c r="I15" s="199"/>
      <c r="J15" s="200"/>
      <c r="K15" s="201"/>
      <c r="L15" s="428"/>
      <c r="M15" s="475"/>
      <c r="N15" s="467"/>
      <c r="O15" s="516" t="s">
        <v>1533</v>
      </c>
      <c r="P15" s="205"/>
      <c r="Q15" s="205"/>
      <c r="R15" s="203"/>
      <c r="S15" s="207"/>
      <c r="T15" s="208"/>
      <c r="AV15" t="str">
        <f>IF(F15&gt;0,(COUNT($AV$1:AV14)+1),"")</f>
        <v/>
      </c>
    </row>
    <row r="16" spans="1:48" ht="17.100000000000001" customHeight="1" x14ac:dyDescent="0.25">
      <c r="A16" s="1"/>
      <c r="B16" s="195"/>
      <c r="C16" s="196"/>
      <c r="D16" s="197"/>
      <c r="E16" s="198"/>
      <c r="F16" s="191"/>
      <c r="G16" s="183"/>
      <c r="H16" s="199"/>
      <c r="I16" s="199"/>
      <c r="J16" s="200"/>
      <c r="K16" s="201"/>
      <c r="L16" s="428"/>
      <c r="M16" s="475"/>
      <c r="N16" s="467"/>
      <c r="O16" s="1066" t="s">
        <v>6470</v>
      </c>
      <c r="P16" s="1067"/>
      <c r="Q16" s="1067"/>
      <c r="R16" s="203"/>
      <c r="S16" s="207"/>
      <c r="T16" s="208"/>
      <c r="AV16" t="str">
        <f>IF(F16&gt;0,(COUNT($AV$1:AV15)+1),"")</f>
        <v/>
      </c>
    </row>
    <row r="17" spans="1:48" ht="17.100000000000001" customHeight="1" x14ac:dyDescent="0.25">
      <c r="A17" s="1"/>
      <c r="B17" s="195"/>
      <c r="C17" s="196"/>
      <c r="D17" s="197"/>
      <c r="E17" s="198"/>
      <c r="F17" s="191"/>
      <c r="G17" s="183"/>
      <c r="H17" s="199"/>
      <c r="I17" s="199"/>
      <c r="J17" s="200"/>
      <c r="K17" s="201"/>
      <c r="L17" s="428"/>
      <c r="M17" s="475"/>
      <c r="N17" s="467"/>
      <c r="O17" s="516" t="s">
        <v>5590</v>
      </c>
      <c r="P17" s="205"/>
      <c r="Q17" s="205"/>
      <c r="R17" s="203"/>
      <c r="S17" s="207"/>
      <c r="T17" s="208"/>
      <c r="AV17" t="str">
        <f>IF(F17&gt;0,(COUNT($AV$1:AV16)+1),"")</f>
        <v/>
      </c>
    </row>
    <row r="18" spans="1:48" ht="17.100000000000001" customHeight="1" x14ac:dyDescent="0.25">
      <c r="A18" s="1"/>
      <c r="B18" s="195"/>
      <c r="C18" s="196"/>
      <c r="D18" s="197"/>
      <c r="E18" s="198"/>
      <c r="F18" s="191"/>
      <c r="G18" s="183"/>
      <c r="H18" s="199"/>
      <c r="I18" s="199"/>
      <c r="J18" s="200"/>
      <c r="K18" s="201"/>
      <c r="L18" s="428"/>
      <c r="M18" s="475"/>
      <c r="N18" s="467"/>
      <c r="O18" s="1066" t="s">
        <v>6440</v>
      </c>
      <c r="P18" s="1067"/>
      <c r="Q18" s="1067"/>
      <c r="R18" s="203"/>
      <c r="S18" s="207"/>
      <c r="T18" s="208"/>
      <c r="AV18" t="str">
        <f>IF(F18&gt;0,(COUNT($AV$1:AV17)+1),"")</f>
        <v/>
      </c>
    </row>
    <row r="19" spans="1:48" ht="17.100000000000001" customHeight="1" x14ac:dyDescent="0.25">
      <c r="A19" s="1"/>
      <c r="B19" s="195"/>
      <c r="C19" s="196"/>
      <c r="D19" s="197"/>
      <c r="E19" s="198"/>
      <c r="F19" s="191"/>
      <c r="G19" s="183"/>
      <c r="H19" s="199"/>
      <c r="I19" s="199"/>
      <c r="J19" s="200"/>
      <c r="K19" s="201"/>
      <c r="L19" s="428"/>
      <c r="M19" s="475"/>
      <c r="N19" s="467"/>
      <c r="O19" s="516" t="s">
        <v>5517</v>
      </c>
      <c r="P19" s="205"/>
      <c r="Q19" s="205"/>
      <c r="R19" s="203"/>
      <c r="S19" s="207"/>
      <c r="T19" s="208"/>
      <c r="AV19" t="str">
        <f>IF(F19&gt;0,(COUNT($AV$1:AV18)+1),"")</f>
        <v/>
      </c>
    </row>
    <row r="20" spans="1:48" ht="17.100000000000001" customHeight="1" x14ac:dyDescent="0.25">
      <c r="A20" s="1"/>
      <c r="B20" s="195"/>
      <c r="C20" s="196"/>
      <c r="D20" s="197"/>
      <c r="E20" s="198"/>
      <c r="F20" s="191"/>
      <c r="G20" s="183"/>
      <c r="H20" s="199"/>
      <c r="I20" s="199"/>
      <c r="J20" s="200"/>
      <c r="K20" s="201"/>
      <c r="L20" s="428"/>
      <c r="M20" s="475"/>
      <c r="N20" s="467"/>
      <c r="O20" s="1066" t="s">
        <v>1534</v>
      </c>
      <c r="P20" s="1067"/>
      <c r="Q20" s="1067"/>
      <c r="R20" s="203"/>
      <c r="S20" s="207"/>
      <c r="T20" s="208"/>
      <c r="AV20" t="str">
        <f>IF(F20&gt;0,(COUNT($AV$1:AV19)+1),"")</f>
        <v/>
      </c>
    </row>
    <row r="21" spans="1:48" ht="17.100000000000001" customHeight="1" x14ac:dyDescent="0.25">
      <c r="A21" s="1"/>
      <c r="B21" s="195"/>
      <c r="C21" s="196"/>
      <c r="D21" s="197"/>
      <c r="E21" s="198"/>
      <c r="F21" s="191"/>
      <c r="G21" s="183"/>
      <c r="H21" s="199"/>
      <c r="I21" s="199"/>
      <c r="J21" s="200"/>
      <c r="K21" s="201"/>
      <c r="L21" s="428"/>
      <c r="M21" s="475"/>
      <c r="N21" s="467"/>
      <c r="O21" s="516" t="s">
        <v>1536</v>
      </c>
      <c r="P21" s="205"/>
      <c r="Q21" s="205"/>
      <c r="R21" s="203"/>
      <c r="S21" s="207"/>
      <c r="T21" s="208"/>
      <c r="AV21" t="str">
        <f>IF(F21&gt;0,(COUNT($AV$1:AV20)+1),"")</f>
        <v/>
      </c>
    </row>
    <row r="22" spans="1:48" ht="17.100000000000001" customHeight="1" x14ac:dyDescent="0.25">
      <c r="A22" s="1"/>
      <c r="B22" s="195"/>
      <c r="C22" s="196"/>
      <c r="D22" s="197"/>
      <c r="E22" s="198"/>
      <c r="F22" s="191"/>
      <c r="G22" s="183"/>
      <c r="H22" s="199"/>
      <c r="I22" s="199"/>
      <c r="J22" s="200"/>
      <c r="K22" s="201"/>
      <c r="L22" s="428"/>
      <c r="M22" s="475"/>
      <c r="N22" s="467"/>
      <c r="O22" s="1066" t="s">
        <v>407</v>
      </c>
      <c r="P22" s="1067"/>
      <c r="Q22" s="1067"/>
      <c r="R22" s="203"/>
      <c r="S22" s="207"/>
      <c r="T22" s="208"/>
      <c r="AV22" t="str">
        <f>IF(F22&gt;0,(COUNT($AV$1:AV21)+1),"")</f>
        <v/>
      </c>
    </row>
    <row r="23" spans="1:48" ht="17.100000000000001" customHeight="1" x14ac:dyDescent="0.25">
      <c r="A23" s="1"/>
      <c r="B23" s="195"/>
      <c r="C23" s="196"/>
      <c r="D23" s="197"/>
      <c r="E23" s="198"/>
      <c r="F23" s="191"/>
      <c r="G23" s="183"/>
      <c r="H23" s="199"/>
      <c r="I23" s="199"/>
      <c r="J23" s="200"/>
      <c r="K23" s="201"/>
      <c r="L23" s="428"/>
      <c r="M23" s="475"/>
      <c r="N23" s="467"/>
      <c r="O23" s="516" t="s">
        <v>1537</v>
      </c>
      <c r="P23" s="205"/>
      <c r="Q23" s="205"/>
      <c r="R23" s="203"/>
      <c r="S23" s="207"/>
      <c r="T23" s="208"/>
      <c r="AV23" t="str">
        <f>IF(F23&gt;0,(COUNT($AV$1:AV22)+1),"")</f>
        <v/>
      </c>
    </row>
    <row r="24" spans="1:48" ht="17.100000000000001" customHeight="1" x14ac:dyDescent="0.25">
      <c r="A24" s="1"/>
      <c r="B24" s="195"/>
      <c r="C24" s="196"/>
      <c r="D24" s="197"/>
      <c r="E24" s="198"/>
      <c r="F24" s="191"/>
      <c r="G24" s="183"/>
      <c r="H24" s="199"/>
      <c r="I24" s="199"/>
      <c r="J24" s="200"/>
      <c r="K24" s="201"/>
      <c r="L24" s="428"/>
      <c r="M24" s="475"/>
      <c r="N24" s="467"/>
      <c r="O24" s="1066" t="s">
        <v>6646</v>
      </c>
      <c r="P24" s="1067"/>
      <c r="Q24" s="1067"/>
      <c r="R24" s="203"/>
      <c r="S24" s="207"/>
      <c r="T24" s="208"/>
      <c r="AV24" t="str">
        <f>IF(F24&gt;0,(COUNT($AV$1:AV23)+1),"")</f>
        <v/>
      </c>
    </row>
    <row r="25" spans="1:48" ht="17.100000000000001" customHeight="1" x14ac:dyDescent="0.25">
      <c r="A25" s="1"/>
      <c r="B25" s="195"/>
      <c r="C25" s="196"/>
      <c r="D25" s="197"/>
      <c r="E25" s="198"/>
      <c r="F25" s="191"/>
      <c r="G25" s="183"/>
      <c r="H25" s="199"/>
      <c r="I25" s="199"/>
      <c r="J25" s="200"/>
      <c r="K25" s="201"/>
      <c r="L25" s="428"/>
      <c r="M25" s="475"/>
      <c r="N25" s="467"/>
      <c r="O25" s="516" t="s">
        <v>2275</v>
      </c>
      <c r="P25" s="205"/>
      <c r="Q25" s="205"/>
      <c r="R25" s="203"/>
      <c r="S25" s="207"/>
      <c r="T25" s="208"/>
      <c r="AV25" t="str">
        <f>IF(F25&gt;0,(COUNT($AV$1:AV24)+1),"")</f>
        <v/>
      </c>
    </row>
    <row r="26" spans="1:48" ht="17.100000000000001" customHeight="1" x14ac:dyDescent="0.25">
      <c r="A26" s="1"/>
      <c r="B26" s="195"/>
      <c r="C26" s="196"/>
      <c r="D26" s="197"/>
      <c r="E26" s="198"/>
      <c r="F26" s="191"/>
      <c r="G26" s="183"/>
      <c r="H26" s="199"/>
      <c r="I26" s="199"/>
      <c r="J26" s="200"/>
      <c r="K26" s="201"/>
      <c r="L26" s="428"/>
      <c r="M26" s="475"/>
      <c r="N26" s="467"/>
      <c r="O26" s="1066" t="s">
        <v>834</v>
      </c>
      <c r="P26" s="1067"/>
      <c r="Q26" s="1067"/>
      <c r="R26" s="203"/>
      <c r="S26" s="207"/>
      <c r="T26" s="208"/>
      <c r="AV26" t="str">
        <f>IF(F26&gt;0,(COUNT($AV$1:AV25)+1),"")</f>
        <v/>
      </c>
    </row>
    <row r="27" spans="1:48" ht="17.100000000000001" customHeight="1" x14ac:dyDescent="0.25">
      <c r="A27" s="1"/>
      <c r="B27" s="195"/>
      <c r="C27" s="196"/>
      <c r="D27" s="197"/>
      <c r="E27" s="198"/>
      <c r="F27" s="191"/>
      <c r="G27" s="183"/>
      <c r="H27" s="199"/>
      <c r="I27" s="199"/>
      <c r="J27" s="200"/>
      <c r="K27" s="201"/>
      <c r="L27" s="428"/>
      <c r="M27" s="475"/>
      <c r="N27" s="467"/>
      <c r="O27" s="516" t="s">
        <v>421</v>
      </c>
      <c r="P27" s="205"/>
      <c r="Q27" s="205"/>
      <c r="R27" s="203"/>
      <c r="S27" s="207"/>
      <c r="T27" s="208"/>
      <c r="AV27" t="str">
        <f>IF(F27&gt;0,(COUNT($AV$1:AV26)+1),"")</f>
        <v/>
      </c>
    </row>
    <row r="28" spans="1:48" ht="17.100000000000001" customHeight="1" x14ac:dyDescent="0.25">
      <c r="A28" s="1"/>
      <c r="B28" s="195"/>
      <c r="C28" s="196"/>
      <c r="D28" s="197"/>
      <c r="E28" s="198"/>
      <c r="F28" s="191"/>
      <c r="G28" s="183"/>
      <c r="H28" s="199"/>
      <c r="I28" s="199"/>
      <c r="J28" s="200"/>
      <c r="K28" s="201"/>
      <c r="L28" s="428"/>
      <c r="M28" s="475"/>
      <c r="N28" s="467"/>
      <c r="O28" s="1066" t="s">
        <v>4244</v>
      </c>
      <c r="P28" s="1067"/>
      <c r="Q28" s="1067"/>
      <c r="R28" s="203"/>
      <c r="S28" s="207"/>
      <c r="T28" s="208"/>
      <c r="AV28" t="str">
        <f>IF(F28&gt;0,(COUNT($AV$1:AV27)+1),"")</f>
        <v/>
      </c>
    </row>
    <row r="29" spans="1:48" ht="17.100000000000001" customHeight="1" x14ac:dyDescent="0.25">
      <c r="A29" s="1"/>
      <c r="B29" s="195"/>
      <c r="C29" s="196"/>
      <c r="D29" s="197"/>
      <c r="E29" s="198"/>
      <c r="F29" s="191"/>
      <c r="G29" s="183"/>
      <c r="H29" s="199"/>
      <c r="I29" s="199"/>
      <c r="J29" s="200"/>
      <c r="K29" s="201"/>
      <c r="L29" s="428"/>
      <c r="M29" s="475"/>
      <c r="N29" s="467"/>
      <c r="O29" s="516" t="s">
        <v>295</v>
      </c>
      <c r="P29" s="205"/>
      <c r="Q29" s="205"/>
      <c r="R29" s="203"/>
      <c r="S29" s="207"/>
      <c r="T29" s="208"/>
      <c r="AV29" t="str">
        <f>IF(F29&gt;0,(COUNT($AV$1:AV28)+1),"")</f>
        <v/>
      </c>
    </row>
    <row r="30" spans="1:48" ht="17.100000000000001" customHeight="1" x14ac:dyDescent="0.25">
      <c r="A30" s="1"/>
      <c r="B30" s="195"/>
      <c r="C30" s="196"/>
      <c r="D30" s="197"/>
      <c r="E30" s="198"/>
      <c r="F30" s="191"/>
      <c r="G30" s="183"/>
      <c r="H30" s="199"/>
      <c r="I30" s="199"/>
      <c r="J30" s="200"/>
      <c r="K30" s="201"/>
      <c r="L30" s="428"/>
      <c r="M30" s="475"/>
      <c r="N30" s="467"/>
      <c r="O30" s="1066" t="s">
        <v>5827</v>
      </c>
      <c r="P30" s="1067"/>
      <c r="Q30" s="1067"/>
      <c r="R30" s="203"/>
      <c r="S30" s="207"/>
      <c r="T30" s="208"/>
      <c r="AV30" t="str">
        <f>IF(F30&gt;0,(COUNT($AV$1:AV29)+1),"")</f>
        <v/>
      </c>
    </row>
    <row r="31" spans="1:48" ht="17.100000000000001" customHeight="1" x14ac:dyDescent="0.25">
      <c r="A31" s="1"/>
      <c r="B31" s="195"/>
      <c r="C31" s="196"/>
      <c r="D31" s="197"/>
      <c r="E31" s="198"/>
      <c r="F31" s="191"/>
      <c r="G31" s="183"/>
      <c r="H31" s="199"/>
      <c r="I31" s="199"/>
      <c r="J31" s="200"/>
      <c r="K31" s="201"/>
      <c r="L31" s="428"/>
      <c r="M31" s="475"/>
      <c r="N31" s="467"/>
      <c r="O31" s="516" t="s">
        <v>1119</v>
      </c>
      <c r="P31" s="205"/>
      <c r="Q31" s="205"/>
      <c r="R31" s="203"/>
      <c r="S31" s="207"/>
      <c r="T31" s="208"/>
      <c r="AV31" t="str">
        <f>IF(F31&gt;0,(COUNT($AV$1:AV30)+1),"")</f>
        <v/>
      </c>
    </row>
    <row r="32" spans="1:48" ht="17.100000000000001" customHeight="1" x14ac:dyDescent="0.25">
      <c r="A32" s="1"/>
      <c r="B32" s="195"/>
      <c r="C32" s="196"/>
      <c r="D32" s="197"/>
      <c r="E32" s="198"/>
      <c r="F32" s="191"/>
      <c r="G32" s="183"/>
      <c r="H32" s="199"/>
      <c r="I32" s="199"/>
      <c r="J32" s="200"/>
      <c r="K32" s="201"/>
      <c r="L32" s="428"/>
      <c r="M32" s="475"/>
      <c r="N32" s="467"/>
      <c r="O32" s="1066" t="s">
        <v>341</v>
      </c>
      <c r="P32" s="1067"/>
      <c r="Q32" s="1067"/>
      <c r="R32" s="203"/>
      <c r="S32" s="207"/>
      <c r="T32" s="208"/>
      <c r="AV32" t="str">
        <f>IF(F32&gt;0,(COUNT($AV$1:AV31)+1),"")</f>
        <v/>
      </c>
    </row>
    <row r="33" spans="1:48" ht="17.100000000000001" customHeight="1" x14ac:dyDescent="0.25">
      <c r="A33" s="1"/>
      <c r="B33" s="195"/>
      <c r="C33" s="196"/>
      <c r="D33" s="197"/>
      <c r="E33" s="198"/>
      <c r="F33" s="191"/>
      <c r="G33" s="183"/>
      <c r="H33" s="199"/>
      <c r="I33" s="199"/>
      <c r="J33" s="200"/>
      <c r="K33" s="201"/>
      <c r="L33" s="428"/>
      <c r="M33" s="475"/>
      <c r="N33" s="467"/>
      <c r="O33" s="516" t="s">
        <v>2274</v>
      </c>
      <c r="P33" s="205"/>
      <c r="Q33" s="205"/>
      <c r="R33" s="203"/>
      <c r="S33" s="207"/>
      <c r="T33" s="208"/>
      <c r="AV33" t="str">
        <f>IF(F33&gt;0,(COUNT($AV$1:AV32)+1),"")</f>
        <v/>
      </c>
    </row>
    <row r="34" spans="1:48" ht="17.100000000000001" customHeight="1" x14ac:dyDescent="0.25">
      <c r="A34" s="1"/>
      <c r="B34" s="195"/>
      <c r="C34" s="196"/>
      <c r="D34" s="197"/>
      <c r="E34" s="198"/>
      <c r="F34" s="191"/>
      <c r="G34" s="183"/>
      <c r="H34" s="199"/>
      <c r="I34" s="199"/>
      <c r="J34" s="200"/>
      <c r="K34" s="201"/>
      <c r="L34" s="428"/>
      <c r="M34" s="475"/>
      <c r="N34" s="467"/>
      <c r="O34" s="1066" t="s">
        <v>1538</v>
      </c>
      <c r="P34" s="1067"/>
      <c r="Q34" s="1067"/>
      <c r="R34" s="203"/>
      <c r="S34" s="207"/>
      <c r="T34" s="208"/>
      <c r="AV34" t="str">
        <f>IF(F34&gt;0,(COUNT($AV$1:AV33)+1),"")</f>
        <v/>
      </c>
    </row>
    <row r="35" spans="1:48" ht="17.100000000000001" customHeight="1" x14ac:dyDescent="0.25">
      <c r="A35" s="1"/>
      <c r="B35" s="195"/>
      <c r="C35" s="196"/>
      <c r="D35" s="197"/>
      <c r="E35" s="198"/>
      <c r="F35" s="191"/>
      <c r="G35" s="183"/>
      <c r="H35" s="199"/>
      <c r="I35" s="199"/>
      <c r="J35" s="200"/>
      <c r="K35" s="201"/>
      <c r="L35" s="428"/>
      <c r="M35" s="475"/>
      <c r="N35" s="467"/>
      <c r="O35" s="516" t="s">
        <v>6441</v>
      </c>
      <c r="P35" s="205"/>
      <c r="Q35" s="205"/>
      <c r="R35" s="203"/>
      <c r="S35" s="207"/>
      <c r="T35" s="208"/>
      <c r="AV35" t="str">
        <f>IF(F35&gt;0,(COUNT($AV$1:AV34)+1),"")</f>
        <v/>
      </c>
    </row>
    <row r="36" spans="1:48" ht="17.100000000000001" customHeight="1" x14ac:dyDescent="0.25">
      <c r="A36" s="1"/>
      <c r="B36" s="195"/>
      <c r="C36" s="196"/>
      <c r="D36" s="197"/>
      <c r="E36" s="198"/>
      <c r="F36" s="191"/>
      <c r="G36" s="183"/>
      <c r="H36" s="199"/>
      <c r="I36" s="199"/>
      <c r="J36" s="200"/>
      <c r="K36" s="201"/>
      <c r="L36" s="428"/>
      <c r="M36" s="475"/>
      <c r="N36" s="467"/>
      <c r="O36" s="1066" t="s">
        <v>918</v>
      </c>
      <c r="P36" s="1067"/>
      <c r="Q36" s="1067"/>
      <c r="R36" s="203"/>
      <c r="S36" s="207"/>
      <c r="T36" s="208"/>
      <c r="AV36" t="str">
        <f>IF(F36&gt;0,(COUNT($AV$1:AV35)+1),"")</f>
        <v/>
      </c>
    </row>
    <row r="37" spans="1:48" ht="17.100000000000001" customHeight="1" x14ac:dyDescent="0.25">
      <c r="A37" s="1"/>
      <c r="B37" s="195"/>
      <c r="C37" s="196"/>
      <c r="D37" s="197"/>
      <c r="E37" s="198"/>
      <c r="F37" s="191"/>
      <c r="G37" s="183"/>
      <c r="H37" s="199"/>
      <c r="I37" s="199"/>
      <c r="J37" s="200"/>
      <c r="K37" s="201"/>
      <c r="L37" s="428"/>
      <c r="M37" s="475"/>
      <c r="N37" s="467"/>
      <c r="O37" s="516" t="s">
        <v>620</v>
      </c>
      <c r="P37" s="205"/>
      <c r="Q37" s="205"/>
      <c r="R37" s="203"/>
      <c r="S37" s="207"/>
      <c r="T37" s="208"/>
      <c r="AV37" t="str">
        <f>IF(F37&gt;0,(COUNT($AV$1:AV36)+1),"")</f>
        <v/>
      </c>
    </row>
    <row r="38" spans="1:48" ht="17.100000000000001" customHeight="1" x14ac:dyDescent="0.25">
      <c r="A38" s="1"/>
      <c r="B38" s="195"/>
      <c r="C38" s="196"/>
      <c r="D38" s="197"/>
      <c r="E38" s="198"/>
      <c r="F38" s="191"/>
      <c r="G38" s="183"/>
      <c r="H38" s="199"/>
      <c r="I38" s="199"/>
      <c r="J38" s="200"/>
      <c r="K38" s="201"/>
      <c r="L38" s="428"/>
      <c r="M38" s="475"/>
      <c r="N38" s="467"/>
      <c r="O38" s="1066" t="s">
        <v>1085</v>
      </c>
      <c r="P38" s="1067"/>
      <c r="Q38" s="1067"/>
      <c r="R38" s="203"/>
      <c r="S38" s="207"/>
      <c r="T38" s="208"/>
      <c r="AV38" t="str">
        <f>IF(F38&gt;0,(COUNT($AV$1:AV37)+1),"")</f>
        <v/>
      </c>
    </row>
    <row r="39" spans="1:48" ht="17.100000000000001" customHeight="1" x14ac:dyDescent="0.25">
      <c r="A39" s="1"/>
      <c r="B39" s="195"/>
      <c r="C39" s="196"/>
      <c r="D39" s="197"/>
      <c r="E39" s="198"/>
      <c r="F39" s="191"/>
      <c r="G39" s="183"/>
      <c r="H39" s="199"/>
      <c r="I39" s="199"/>
      <c r="J39" s="200"/>
      <c r="K39" s="201"/>
      <c r="L39" s="428"/>
      <c r="M39" s="475"/>
      <c r="N39" s="467"/>
      <c r="O39" s="516" t="s">
        <v>1026</v>
      </c>
      <c r="P39" s="205"/>
      <c r="Q39" s="205"/>
      <c r="R39" s="203"/>
      <c r="S39" s="207"/>
      <c r="T39" s="208"/>
      <c r="AV39" t="str">
        <f>IF(F39&gt;0,(COUNT($AV$1:AV38)+1),"")</f>
        <v/>
      </c>
    </row>
    <row r="40" spans="1:48" ht="17.100000000000001" customHeight="1" x14ac:dyDescent="0.25">
      <c r="A40" s="1"/>
      <c r="B40" s="195"/>
      <c r="C40" s="196"/>
      <c r="D40" s="197"/>
      <c r="E40" s="198"/>
      <c r="F40" s="191"/>
      <c r="G40" s="183"/>
      <c r="H40" s="199"/>
      <c r="I40" s="199"/>
      <c r="J40" s="200"/>
      <c r="K40" s="201"/>
      <c r="L40" s="428"/>
      <c r="M40" s="475"/>
      <c r="N40" s="467"/>
      <c r="O40" s="1066" t="s">
        <v>2038</v>
      </c>
      <c r="P40" s="1067"/>
      <c r="Q40" s="1067"/>
      <c r="R40" s="203"/>
      <c r="S40" s="207"/>
      <c r="T40" s="208"/>
      <c r="AV40" t="str">
        <f>IF(F40&gt;0,(COUNT($AV$1:AV39)+1),"")</f>
        <v/>
      </c>
    </row>
    <row r="41" spans="1:48" ht="17.100000000000001" customHeight="1" x14ac:dyDescent="0.25">
      <c r="A41" s="1"/>
      <c r="B41" s="195"/>
      <c r="C41" s="196"/>
      <c r="D41" s="197"/>
      <c r="E41" s="198"/>
      <c r="F41" s="191"/>
      <c r="G41" s="183"/>
      <c r="H41" s="199"/>
      <c r="I41" s="199"/>
      <c r="J41" s="200"/>
      <c r="K41" s="201"/>
      <c r="L41" s="428"/>
      <c r="M41" s="475"/>
      <c r="N41" s="467"/>
      <c r="O41" s="516" t="s">
        <v>1539</v>
      </c>
      <c r="P41" s="205"/>
      <c r="Q41" s="205"/>
      <c r="R41" s="203"/>
      <c r="S41" s="207"/>
      <c r="T41" s="208"/>
      <c r="AV41" t="str">
        <f>IF(F41&gt;0,(COUNT($AV$1:AV40)+1),"")</f>
        <v/>
      </c>
    </row>
    <row r="42" spans="1:48" ht="17.100000000000001" customHeight="1" x14ac:dyDescent="0.25">
      <c r="A42" s="1"/>
      <c r="B42" s="195"/>
      <c r="C42" s="196"/>
      <c r="D42" s="197"/>
      <c r="E42" s="198"/>
      <c r="F42" s="191"/>
      <c r="G42" s="183"/>
      <c r="H42" s="199"/>
      <c r="I42" s="199"/>
      <c r="J42" s="200"/>
      <c r="K42" s="201"/>
      <c r="L42" s="428"/>
      <c r="M42" s="475"/>
      <c r="N42" s="467"/>
      <c r="O42" s="1066" t="s">
        <v>5531</v>
      </c>
      <c r="P42" s="1067"/>
      <c r="Q42" s="1067"/>
      <c r="R42" s="203"/>
      <c r="S42" s="207"/>
      <c r="T42" s="208"/>
      <c r="AV42" t="str">
        <f>IF(F42&gt;0,(COUNT($AV$1:AV41)+1),"")</f>
        <v/>
      </c>
    </row>
    <row r="43" spans="1:48" ht="17.100000000000001" customHeight="1" x14ac:dyDescent="0.25">
      <c r="A43" s="1"/>
      <c r="B43" s="195"/>
      <c r="C43" s="196"/>
      <c r="D43" s="197"/>
      <c r="E43" s="198"/>
      <c r="F43" s="191"/>
      <c r="G43" s="183"/>
      <c r="H43" s="199"/>
      <c r="I43" s="199"/>
      <c r="J43" s="200"/>
      <c r="K43" s="201"/>
      <c r="L43" s="428"/>
      <c r="M43" s="475"/>
      <c r="N43" s="467"/>
      <c r="O43" s="516" t="s">
        <v>3974</v>
      </c>
      <c r="P43" s="205"/>
      <c r="Q43" s="205"/>
      <c r="R43" s="203"/>
      <c r="S43" s="207"/>
      <c r="T43" s="208"/>
      <c r="AV43" t="str">
        <f>IF(F43&gt;0,(COUNT($AV$1:AV42)+1),"")</f>
        <v/>
      </c>
    </row>
    <row r="44" spans="1:48" ht="17.100000000000001" customHeight="1" x14ac:dyDescent="0.25">
      <c r="A44" s="1"/>
      <c r="B44" s="195"/>
      <c r="C44" s="196"/>
      <c r="D44" s="197"/>
      <c r="E44" s="198"/>
      <c r="F44" s="191"/>
      <c r="G44" s="183"/>
      <c r="H44" s="199"/>
      <c r="I44" s="199"/>
      <c r="J44" s="200"/>
      <c r="K44" s="201"/>
      <c r="L44" s="428"/>
      <c r="M44" s="475"/>
      <c r="N44" s="467"/>
      <c r="O44" s="1066" t="s">
        <v>1540</v>
      </c>
      <c r="P44" s="1067"/>
      <c r="Q44" s="1067"/>
      <c r="R44" s="203"/>
      <c r="S44" s="207"/>
      <c r="T44" s="208"/>
      <c r="AV44" t="str">
        <f>IF(F44&gt;0,(COUNT($AV$1:AV43)+1),"")</f>
        <v/>
      </c>
    </row>
    <row r="45" spans="1:48" ht="17.100000000000001" customHeight="1" x14ac:dyDescent="0.25">
      <c r="A45" s="1"/>
      <c r="B45" s="195"/>
      <c r="C45" s="196"/>
      <c r="D45" s="197"/>
      <c r="E45" s="198"/>
      <c r="F45" s="191"/>
      <c r="G45" s="183"/>
      <c r="H45" s="199"/>
      <c r="I45" s="199"/>
      <c r="J45" s="200"/>
      <c r="K45" s="201"/>
      <c r="L45" s="428"/>
      <c r="M45" s="475"/>
      <c r="N45" s="467"/>
      <c r="O45" s="516" t="s">
        <v>1541</v>
      </c>
      <c r="P45" s="205"/>
      <c r="Q45" s="205"/>
      <c r="R45" s="203"/>
      <c r="S45" s="207"/>
      <c r="T45" s="208"/>
      <c r="AV45" t="str">
        <f>IF(F45&gt;0,(COUNT($AV$1:AV44)+1),"")</f>
        <v/>
      </c>
    </row>
    <row r="46" spans="1:48" ht="17.100000000000001" customHeight="1" x14ac:dyDescent="0.25">
      <c r="A46" s="1"/>
      <c r="B46" s="195"/>
      <c r="C46" s="196"/>
      <c r="D46" s="197"/>
      <c r="E46" s="198"/>
      <c r="F46" s="191"/>
      <c r="G46" s="183"/>
      <c r="H46" s="199"/>
      <c r="I46" s="199"/>
      <c r="J46" s="200"/>
      <c r="K46" s="201"/>
      <c r="L46" s="428"/>
      <c r="M46" s="475"/>
      <c r="N46" s="467"/>
      <c r="O46" s="1066" t="s">
        <v>7498</v>
      </c>
      <c r="P46" s="1067"/>
      <c r="Q46" s="1067"/>
      <c r="R46" s="203"/>
      <c r="S46" s="207"/>
      <c r="T46" s="208"/>
      <c r="AV46" t="str">
        <f>IF(F46&gt;0,(COUNT($AV$1:AV45)+1),"")</f>
        <v/>
      </c>
    </row>
    <row r="47" spans="1:48" ht="17.100000000000001" customHeight="1" x14ac:dyDescent="0.25">
      <c r="A47" s="1"/>
      <c r="B47" s="195"/>
      <c r="C47" s="196"/>
      <c r="D47" s="197"/>
      <c r="E47" s="198"/>
      <c r="F47" s="191"/>
      <c r="G47" s="183"/>
      <c r="H47" s="199"/>
      <c r="I47" s="199"/>
      <c r="J47" s="200"/>
      <c r="K47" s="201"/>
      <c r="L47" s="428"/>
      <c r="M47" s="475"/>
      <c r="N47" s="467"/>
      <c r="O47" s="516" t="s">
        <v>1296</v>
      </c>
      <c r="P47" s="205"/>
      <c r="Q47" s="205"/>
      <c r="R47" s="203"/>
      <c r="S47" s="207"/>
      <c r="T47" s="208"/>
      <c r="AV47" t="str">
        <f>IF(F47&gt;0,(COUNT($AV$1:AV46)+1),"")</f>
        <v/>
      </c>
    </row>
    <row r="48" spans="1:48" ht="17.100000000000001" customHeight="1" x14ac:dyDescent="0.25">
      <c r="A48" s="1"/>
      <c r="B48" s="195"/>
      <c r="C48" s="196"/>
      <c r="D48" s="197"/>
      <c r="E48" s="198"/>
      <c r="F48" s="191"/>
      <c r="G48" s="183"/>
      <c r="H48" s="199"/>
      <c r="I48" s="199"/>
      <c r="J48" s="200"/>
      <c r="K48" s="201"/>
      <c r="L48" s="428"/>
      <c r="M48" s="475"/>
      <c r="N48" s="467"/>
      <c r="O48" s="1066" t="s">
        <v>5539</v>
      </c>
      <c r="P48" s="1067"/>
      <c r="Q48" s="1067"/>
      <c r="R48" s="203"/>
      <c r="S48" s="207"/>
      <c r="T48" s="208"/>
      <c r="AV48" t="str">
        <f>IF(F48&gt;0,(COUNT($AV$1:AV47)+1),"")</f>
        <v/>
      </c>
    </row>
    <row r="49" spans="1:48" ht="17.100000000000001" customHeight="1" x14ac:dyDescent="0.25">
      <c r="A49" s="1"/>
      <c r="B49" s="195"/>
      <c r="C49" s="196"/>
      <c r="D49" s="197"/>
      <c r="E49" s="198"/>
      <c r="F49" s="191"/>
      <c r="G49" s="183"/>
      <c r="H49" s="199"/>
      <c r="I49" s="199"/>
      <c r="J49" s="200"/>
      <c r="K49" s="201"/>
      <c r="L49" s="428"/>
      <c r="M49" s="475"/>
      <c r="N49" s="467"/>
      <c r="O49" s="516" t="s">
        <v>3169</v>
      </c>
      <c r="P49" s="205"/>
      <c r="Q49" s="205"/>
      <c r="R49" s="203"/>
      <c r="S49" s="207"/>
      <c r="T49" s="208"/>
      <c r="AV49" t="str">
        <f>IF(F49&gt;0,(COUNT($AV$1:AV48)+1),"")</f>
        <v/>
      </c>
    </row>
    <row r="50" spans="1:48" ht="17.100000000000001" customHeight="1" x14ac:dyDescent="0.25">
      <c r="A50" s="1"/>
      <c r="B50" s="195"/>
      <c r="C50" s="196"/>
      <c r="D50" s="197"/>
      <c r="E50" s="198"/>
      <c r="F50" s="191"/>
      <c r="G50" s="183"/>
      <c r="H50" s="199"/>
      <c r="I50" s="199"/>
      <c r="J50" s="200"/>
      <c r="K50" s="201"/>
      <c r="L50" s="428"/>
      <c r="M50" s="475"/>
      <c r="N50" s="467"/>
      <c r="O50" s="1066" t="s">
        <v>18</v>
      </c>
      <c r="P50" s="1067"/>
      <c r="Q50" s="1067"/>
      <c r="R50" s="203"/>
      <c r="S50" s="207"/>
      <c r="T50" s="208"/>
      <c r="AV50" t="str">
        <f>IF(F50&gt;0,(COUNT($AV$1:AV49)+1),"")</f>
        <v/>
      </c>
    </row>
    <row r="51" spans="1:48" ht="17.100000000000001" customHeight="1" x14ac:dyDescent="0.25">
      <c r="A51" s="1"/>
      <c r="B51" s="195"/>
      <c r="C51" s="196"/>
      <c r="D51" s="197"/>
      <c r="E51" s="198"/>
      <c r="F51" s="191"/>
      <c r="G51" s="183"/>
      <c r="H51" s="199"/>
      <c r="I51" s="199"/>
      <c r="J51" s="200"/>
      <c r="K51" s="201"/>
      <c r="L51" s="428"/>
      <c r="M51" s="475"/>
      <c r="N51" s="467"/>
      <c r="O51" s="516" t="s">
        <v>2225</v>
      </c>
      <c r="P51" s="205"/>
      <c r="Q51" s="205"/>
      <c r="R51" s="203"/>
      <c r="T51" s="208"/>
      <c r="AV51" t="str">
        <f>IF(F51&gt;0,(COUNT($AV$1:AV50)+1),"")</f>
        <v/>
      </c>
    </row>
    <row r="52" spans="1:48" ht="17.100000000000001" customHeight="1" x14ac:dyDescent="0.25">
      <c r="A52" s="1"/>
      <c r="B52" s="195"/>
      <c r="C52" s="196"/>
      <c r="D52" s="197"/>
      <c r="E52" s="198"/>
      <c r="F52" s="191"/>
      <c r="G52" s="183"/>
      <c r="H52" s="199"/>
      <c r="I52" s="199"/>
      <c r="J52" s="200"/>
      <c r="K52" s="201"/>
      <c r="L52" s="428"/>
      <c r="M52" s="475"/>
      <c r="N52" s="467"/>
      <c r="O52" s="1066" t="s">
        <v>1542</v>
      </c>
      <c r="P52" s="1067"/>
      <c r="Q52" s="1067"/>
      <c r="R52" s="203"/>
      <c r="S52" s="207"/>
      <c r="T52" s="208"/>
      <c r="AV52" t="str">
        <f>IF(F52&gt;0,(COUNT($AV$1:AV51)+1),"")</f>
        <v/>
      </c>
    </row>
    <row r="53" spans="1:48" ht="17.100000000000001" customHeight="1" x14ac:dyDescent="0.25">
      <c r="A53" s="1"/>
      <c r="B53" s="195"/>
      <c r="C53" s="196"/>
      <c r="D53" s="197"/>
      <c r="E53" s="198"/>
      <c r="F53" s="191"/>
      <c r="G53" s="183"/>
      <c r="H53" s="199"/>
      <c r="I53" s="199"/>
      <c r="J53" s="200"/>
      <c r="K53" s="201"/>
      <c r="L53" s="428"/>
      <c r="M53" s="475"/>
      <c r="N53" s="467"/>
      <c r="O53" s="516" t="s">
        <v>1311</v>
      </c>
      <c r="P53" s="205"/>
      <c r="Q53" s="205"/>
      <c r="R53" s="203"/>
      <c r="S53" s="207"/>
      <c r="T53" s="208"/>
      <c r="AV53" t="str">
        <f>IF(F53&gt;0,(COUNT($AV$1:AV52)+1),"")</f>
        <v/>
      </c>
    </row>
    <row r="54" spans="1:48" ht="17.100000000000001" customHeight="1" x14ac:dyDescent="0.25">
      <c r="A54" s="1"/>
      <c r="B54" s="195"/>
      <c r="C54" s="196"/>
      <c r="D54" s="197"/>
      <c r="E54" s="198"/>
      <c r="F54" s="191"/>
      <c r="G54" s="183"/>
      <c r="H54" s="199"/>
      <c r="I54" s="199"/>
      <c r="J54" s="200"/>
      <c r="K54" s="201"/>
      <c r="L54" s="428"/>
      <c r="M54" s="475"/>
      <c r="N54" s="467"/>
      <c r="O54" s="1066" t="s">
        <v>6726</v>
      </c>
      <c r="P54" s="1067"/>
      <c r="Q54" s="1067"/>
      <c r="R54" s="203"/>
      <c r="S54" s="207"/>
      <c r="T54" s="208"/>
      <c r="AV54" t="str">
        <f>IF(F54&gt;0,(COUNT($AV$1:AV53)+1),"")</f>
        <v/>
      </c>
    </row>
    <row r="55" spans="1:48" ht="17.100000000000001" customHeight="1" x14ac:dyDescent="0.25">
      <c r="A55" s="1"/>
      <c r="B55" s="195"/>
      <c r="C55" s="196"/>
      <c r="D55" s="197"/>
      <c r="E55" s="198"/>
      <c r="F55" s="191"/>
      <c r="G55" s="183"/>
      <c r="H55" s="199"/>
      <c r="I55" s="199"/>
      <c r="J55" s="200"/>
      <c r="K55" s="201"/>
      <c r="L55" s="428"/>
      <c r="M55" s="475"/>
      <c r="N55" s="467"/>
      <c r="O55" s="516" t="s">
        <v>735</v>
      </c>
      <c r="P55" s="205"/>
      <c r="Q55" s="205"/>
      <c r="R55" s="203"/>
      <c r="S55" s="207"/>
      <c r="T55" s="208"/>
      <c r="AV55" t="str">
        <f>IF(F55&gt;0,(COUNT($AV$1:AV54)+1),"")</f>
        <v/>
      </c>
    </row>
    <row r="56" spans="1:48" ht="17.100000000000001" customHeight="1" x14ac:dyDescent="0.25">
      <c r="A56" s="1"/>
      <c r="B56" s="195"/>
      <c r="C56" s="196"/>
      <c r="D56" s="197"/>
      <c r="E56" s="198"/>
      <c r="F56" s="191"/>
      <c r="G56" s="183"/>
      <c r="H56" s="199"/>
      <c r="I56" s="199"/>
      <c r="J56" s="200"/>
      <c r="K56" s="201"/>
      <c r="L56" s="428"/>
      <c r="M56" s="475"/>
      <c r="N56" s="467"/>
      <c r="O56" s="1066" t="s">
        <v>4459</v>
      </c>
      <c r="P56" s="1067"/>
      <c r="Q56" s="1067"/>
      <c r="R56" s="203"/>
      <c r="S56" s="207"/>
      <c r="T56" s="208"/>
      <c r="AV56" t="str">
        <f>IF(F56&gt;0,(COUNT($AV$1:AV55)+1),"")</f>
        <v/>
      </c>
    </row>
    <row r="57" spans="1:48" ht="17.100000000000001" customHeight="1" x14ac:dyDescent="0.25">
      <c r="A57" s="1"/>
      <c r="B57" s="195"/>
      <c r="C57" s="196"/>
      <c r="D57" s="197"/>
      <c r="E57" s="198"/>
      <c r="F57" s="191"/>
      <c r="G57" s="183"/>
      <c r="H57" s="199"/>
      <c r="I57" s="199"/>
      <c r="J57" s="200"/>
      <c r="K57" s="201"/>
      <c r="L57" s="428"/>
      <c r="M57" s="475"/>
      <c r="N57" s="467"/>
      <c r="O57" s="516" t="s">
        <v>1543</v>
      </c>
      <c r="P57" s="205"/>
      <c r="Q57" s="205"/>
      <c r="R57" s="203"/>
      <c r="S57" s="207"/>
      <c r="T57" s="208"/>
      <c r="AV57" t="str">
        <f>IF(F57&gt;0,(COUNT($AV$1:AV56)+1),"")</f>
        <v/>
      </c>
    </row>
    <row r="58" spans="1:48" ht="17.100000000000001" customHeight="1" x14ac:dyDescent="0.25">
      <c r="A58" s="1"/>
      <c r="B58" s="195"/>
      <c r="C58" s="196"/>
      <c r="D58" s="197"/>
      <c r="E58" s="198"/>
      <c r="F58" s="191"/>
      <c r="G58" s="183"/>
      <c r="H58" s="199"/>
      <c r="I58" s="199"/>
      <c r="J58" s="200"/>
      <c r="K58" s="201"/>
      <c r="L58" s="428"/>
      <c r="M58" s="475"/>
      <c r="N58" s="467"/>
      <c r="O58" s="1066" t="s">
        <v>1792</v>
      </c>
      <c r="P58" s="1067"/>
      <c r="Q58" s="1067"/>
      <c r="R58" s="203"/>
      <c r="S58" s="207"/>
      <c r="T58" s="208"/>
      <c r="AV58" t="str">
        <f>IF(F58&gt;0,(COUNT($AV$1:AV57)+1),"")</f>
        <v/>
      </c>
    </row>
    <row r="59" spans="1:48" ht="17.100000000000001" customHeight="1" x14ac:dyDescent="0.25">
      <c r="A59" s="1"/>
      <c r="B59" s="195"/>
      <c r="C59" s="196"/>
      <c r="D59" s="197"/>
      <c r="E59" s="198"/>
      <c r="F59" s="191"/>
      <c r="G59" s="183"/>
      <c r="H59" s="199"/>
      <c r="I59" s="199"/>
      <c r="J59" s="200"/>
      <c r="K59" s="201"/>
      <c r="L59" s="428"/>
      <c r="M59" s="475"/>
      <c r="N59" s="467"/>
      <c r="O59" s="516" t="s">
        <v>1544</v>
      </c>
      <c r="P59" s="205"/>
      <c r="Q59" s="205"/>
      <c r="R59" s="203"/>
      <c r="S59" s="207"/>
      <c r="T59" s="208"/>
      <c r="AV59" t="str">
        <f>IF(F59&gt;0,(COUNT($AV$1:AV58)+1),"")</f>
        <v/>
      </c>
    </row>
    <row r="60" spans="1:48" ht="17.100000000000001" customHeight="1" x14ac:dyDescent="0.25">
      <c r="A60" s="1"/>
      <c r="B60" s="195"/>
      <c r="C60" s="196"/>
      <c r="D60" s="197"/>
      <c r="E60" s="198"/>
      <c r="F60" s="191"/>
      <c r="G60" s="183"/>
      <c r="H60" s="199"/>
      <c r="I60" s="199"/>
      <c r="J60" s="200"/>
      <c r="K60" s="201"/>
      <c r="L60" s="428"/>
      <c r="M60" s="475"/>
      <c r="N60" s="467"/>
      <c r="O60" s="1066" t="s">
        <v>5543</v>
      </c>
      <c r="P60" s="1067"/>
      <c r="Q60" s="1067"/>
      <c r="R60" s="203"/>
      <c r="S60" s="207"/>
      <c r="T60" s="208"/>
      <c r="AV60" t="str">
        <f>IF(F60&gt;0,(COUNT($AV$1:AV59)+1),"")</f>
        <v/>
      </c>
    </row>
    <row r="61" spans="1:48" ht="17.100000000000001" customHeight="1" x14ac:dyDescent="0.25">
      <c r="A61" s="1"/>
      <c r="B61" s="195"/>
      <c r="C61" s="196"/>
      <c r="D61" s="197"/>
      <c r="E61" s="198"/>
      <c r="F61" s="191"/>
      <c r="G61" s="183"/>
      <c r="H61" s="199"/>
      <c r="I61" s="199"/>
      <c r="J61" s="200"/>
      <c r="K61" s="201"/>
      <c r="L61" s="428"/>
      <c r="M61" s="475"/>
      <c r="N61" s="467"/>
      <c r="O61" s="516" t="s">
        <v>5532</v>
      </c>
      <c r="P61" s="205"/>
      <c r="Q61" s="205"/>
      <c r="R61" s="203"/>
      <c r="S61" s="207"/>
      <c r="T61" s="208"/>
      <c r="AV61" t="str">
        <f>IF(F61&gt;0,(COUNT($AV$1:AV60)+1),"")</f>
        <v/>
      </c>
    </row>
    <row r="62" spans="1:48" ht="17.100000000000001" customHeight="1" x14ac:dyDescent="0.25">
      <c r="A62" s="1"/>
      <c r="B62" s="195"/>
      <c r="C62" s="196"/>
      <c r="D62" s="197"/>
      <c r="E62" s="198"/>
      <c r="F62" s="191"/>
      <c r="G62" s="183"/>
      <c r="H62" s="199"/>
      <c r="I62" s="199"/>
      <c r="J62" s="200"/>
      <c r="K62" s="201"/>
      <c r="L62" s="428"/>
      <c r="M62" s="475"/>
      <c r="N62" s="467"/>
      <c r="O62" s="1066" t="s">
        <v>5536</v>
      </c>
      <c r="P62" s="1067"/>
      <c r="Q62" s="1067"/>
      <c r="R62" s="203"/>
      <c r="S62" s="207"/>
      <c r="T62" s="208"/>
      <c r="AV62" t="str">
        <f>IF(F62&gt;0,(COUNT($AV$1:AV61)+1),"")</f>
        <v/>
      </c>
    </row>
    <row r="63" spans="1:48" ht="17.100000000000001" customHeight="1" x14ac:dyDescent="0.25">
      <c r="A63" s="1"/>
      <c r="B63" s="195"/>
      <c r="C63" s="196"/>
      <c r="D63" s="197"/>
      <c r="E63" s="198"/>
      <c r="F63" s="191"/>
      <c r="G63" s="183"/>
      <c r="H63" s="199"/>
      <c r="I63" s="199"/>
      <c r="J63" s="200"/>
      <c r="K63" s="201"/>
      <c r="L63" s="428"/>
      <c r="M63" s="475"/>
      <c r="N63" s="467"/>
      <c r="O63" s="516" t="s">
        <v>567</v>
      </c>
      <c r="P63" s="205"/>
      <c r="Q63" s="205"/>
      <c r="R63" s="203"/>
      <c r="S63" s="207"/>
      <c r="T63" s="208"/>
      <c r="AV63" t="str">
        <f>IF(F63&gt;0,(COUNT($AV$1:AV62)+1),"")</f>
        <v/>
      </c>
    </row>
    <row r="64" spans="1:48" ht="17.100000000000001" customHeight="1" x14ac:dyDescent="0.25">
      <c r="A64" s="1"/>
      <c r="B64" s="195"/>
      <c r="C64" s="196"/>
      <c r="D64" s="197"/>
      <c r="E64" s="198"/>
      <c r="F64" s="191"/>
      <c r="G64" s="183"/>
      <c r="H64" s="199"/>
      <c r="I64" s="199"/>
      <c r="J64" s="200"/>
      <c r="K64" s="201"/>
      <c r="L64" s="428"/>
      <c r="M64" s="475"/>
      <c r="N64" s="467"/>
      <c r="O64" s="1066" t="s">
        <v>996</v>
      </c>
      <c r="P64" s="1067"/>
      <c r="Q64" s="1067"/>
      <c r="R64" s="203"/>
      <c r="S64" s="207"/>
      <c r="T64" s="208"/>
      <c r="AV64" t="str">
        <f>IF(F64&gt;0,(COUNT($AV$1:AV63)+1),"")</f>
        <v/>
      </c>
    </row>
    <row r="65" spans="1:48" ht="17.100000000000001" customHeight="1" x14ac:dyDescent="0.25">
      <c r="A65" s="1"/>
      <c r="B65" s="195"/>
      <c r="C65" s="196"/>
      <c r="D65" s="197"/>
      <c r="E65" s="198"/>
      <c r="F65" s="191"/>
      <c r="G65" s="183"/>
      <c r="H65" s="199"/>
      <c r="I65" s="199"/>
      <c r="J65" s="200"/>
      <c r="K65" s="201"/>
      <c r="L65" s="428"/>
      <c r="M65" s="475"/>
      <c r="N65" s="467"/>
      <c r="O65" s="516" t="s">
        <v>6439</v>
      </c>
      <c r="P65" s="205"/>
      <c r="Q65" s="205"/>
      <c r="R65" s="203"/>
      <c r="S65" s="207"/>
      <c r="T65" s="208"/>
      <c r="AV65" t="str">
        <f>IF(F65&gt;0,(COUNT($AV$1:AV64)+1),"")</f>
        <v/>
      </c>
    </row>
    <row r="66" spans="1:48" ht="17.100000000000001" customHeight="1" x14ac:dyDescent="0.25">
      <c r="A66" s="1"/>
      <c r="B66" s="195"/>
      <c r="C66" s="196"/>
      <c r="D66" s="197"/>
      <c r="E66" s="198"/>
      <c r="F66" s="191"/>
      <c r="G66" s="183"/>
      <c r="H66" s="199"/>
      <c r="I66" s="199"/>
      <c r="J66" s="200"/>
      <c r="K66" s="201"/>
      <c r="L66" s="428"/>
      <c r="M66" s="475"/>
      <c r="N66" s="467"/>
      <c r="O66" s="1066" t="s">
        <v>5546</v>
      </c>
      <c r="P66" s="1067"/>
      <c r="Q66" s="1067"/>
      <c r="R66" s="203"/>
      <c r="S66" s="207"/>
      <c r="T66" s="208"/>
      <c r="AV66" t="str">
        <f>IF(F66&gt;0,(COUNT($AV$1:AV65)+1),"")</f>
        <v/>
      </c>
    </row>
    <row r="67" spans="1:48" ht="17.100000000000001" customHeight="1" x14ac:dyDescent="0.25">
      <c r="A67" s="1"/>
      <c r="B67" s="195"/>
      <c r="C67" s="196"/>
      <c r="D67" s="197"/>
      <c r="E67" s="198"/>
      <c r="F67" s="191"/>
      <c r="G67" s="183"/>
      <c r="H67" s="199"/>
      <c r="I67" s="199"/>
      <c r="J67" s="200"/>
      <c r="K67" s="201"/>
      <c r="L67" s="428"/>
      <c r="M67" s="475"/>
      <c r="N67" s="467"/>
      <c r="O67" s="516" t="s">
        <v>1545</v>
      </c>
      <c r="P67" s="205"/>
      <c r="Q67" s="205"/>
      <c r="R67" s="203"/>
      <c r="S67" s="207"/>
      <c r="T67" s="208"/>
      <c r="AV67" t="str">
        <f>IF(F67&gt;0,(COUNT($AV$1:AV66)+1),"")</f>
        <v/>
      </c>
    </row>
    <row r="68" spans="1:48" ht="17.100000000000001" customHeight="1" x14ac:dyDescent="0.25">
      <c r="A68" s="1"/>
      <c r="B68" s="195"/>
      <c r="C68" s="196"/>
      <c r="D68" s="197"/>
      <c r="E68" s="198"/>
      <c r="F68" s="191"/>
      <c r="G68" s="183"/>
      <c r="H68" s="199"/>
      <c r="I68" s="199"/>
      <c r="J68" s="200"/>
      <c r="K68" s="201"/>
      <c r="L68" s="428"/>
      <c r="M68" s="475"/>
      <c r="N68" s="467"/>
      <c r="O68" s="1066" t="s">
        <v>2123</v>
      </c>
      <c r="P68" s="1067"/>
      <c r="Q68" s="1067"/>
      <c r="R68" s="203"/>
      <c r="S68" s="207"/>
      <c r="T68" s="208"/>
      <c r="AV68" t="str">
        <f>IF(F68&gt;0,(COUNT($AV$1:AV67)+1),"")</f>
        <v/>
      </c>
    </row>
    <row r="69" spans="1:48" ht="17.100000000000001" customHeight="1" x14ac:dyDescent="0.25">
      <c r="A69" s="1"/>
      <c r="B69" s="195"/>
      <c r="C69" s="196"/>
      <c r="D69" s="197"/>
      <c r="E69" s="198"/>
      <c r="F69" s="191"/>
      <c r="G69" s="183"/>
      <c r="H69" s="199"/>
      <c r="I69" s="199"/>
      <c r="J69" s="200"/>
      <c r="K69" s="201"/>
      <c r="L69" s="428"/>
      <c r="M69" s="475"/>
      <c r="N69" s="467"/>
      <c r="O69" s="516" t="s">
        <v>380</v>
      </c>
      <c r="P69" s="205"/>
      <c r="Q69" s="205"/>
      <c r="R69" s="203"/>
      <c r="S69" s="207"/>
      <c r="T69" s="208"/>
      <c r="AV69" t="str">
        <f>IF(F69&gt;0,(COUNT($AV$1:AV68)+1),"")</f>
        <v/>
      </c>
    </row>
    <row r="70" spans="1:48" ht="17.100000000000001" customHeight="1" x14ac:dyDescent="0.25">
      <c r="A70" s="1"/>
      <c r="B70" s="195"/>
      <c r="C70" s="196"/>
      <c r="D70" s="197"/>
      <c r="E70" s="198"/>
      <c r="F70" s="191"/>
      <c r="G70" s="183"/>
      <c r="H70" s="199"/>
      <c r="I70" s="199"/>
      <c r="J70" s="200"/>
      <c r="K70" s="201"/>
      <c r="L70" s="428"/>
      <c r="M70" s="475"/>
      <c r="N70" s="467"/>
      <c r="O70" s="1066" t="s">
        <v>1151</v>
      </c>
      <c r="P70" s="1067"/>
      <c r="Q70" s="1067"/>
      <c r="R70" s="203"/>
      <c r="S70" s="207"/>
      <c r="T70" s="208"/>
      <c r="AV70" t="str">
        <f>IF(F70&gt;0,(COUNT($AV$1:AV69)+1),"")</f>
        <v/>
      </c>
    </row>
    <row r="71" spans="1:48" ht="17.100000000000001" customHeight="1" x14ac:dyDescent="0.25">
      <c r="A71" s="1"/>
      <c r="B71" s="195"/>
      <c r="C71" s="196"/>
      <c r="D71" s="197"/>
      <c r="E71" s="198"/>
      <c r="F71" s="191"/>
      <c r="G71" s="183"/>
      <c r="H71" s="199"/>
      <c r="I71" s="199"/>
      <c r="J71" s="200"/>
      <c r="K71" s="201"/>
      <c r="L71" s="428"/>
      <c r="M71" s="475"/>
      <c r="N71" s="467"/>
      <c r="O71" s="516" t="s">
        <v>3235</v>
      </c>
      <c r="P71" s="205"/>
      <c r="Q71" s="205"/>
      <c r="R71" s="203"/>
      <c r="S71" s="207"/>
      <c r="T71" s="208"/>
      <c r="AV71" t="str">
        <f>IF(F71&gt;0,(COUNT($AV$1:AV70)+1),"")</f>
        <v/>
      </c>
    </row>
    <row r="72" spans="1:48" ht="17.100000000000001" customHeight="1" x14ac:dyDescent="0.25">
      <c r="A72" s="1"/>
      <c r="B72" s="195"/>
      <c r="C72" s="196"/>
      <c r="D72" s="197"/>
      <c r="E72" s="198"/>
      <c r="F72" s="191"/>
      <c r="G72" s="183"/>
      <c r="H72" s="199"/>
      <c r="I72" s="199"/>
      <c r="J72" s="200"/>
      <c r="K72" s="201"/>
      <c r="L72" s="428"/>
      <c r="M72" s="475"/>
      <c r="N72" s="467"/>
      <c r="O72" s="1066" t="s">
        <v>1106</v>
      </c>
      <c r="P72" s="1067"/>
      <c r="Q72" s="1067"/>
      <c r="R72" s="203"/>
      <c r="S72" s="207"/>
      <c r="T72" s="208"/>
      <c r="AV72" t="str">
        <f>IF(F72&gt;0,(COUNT($AV$1:AV71)+1),"")</f>
        <v/>
      </c>
    </row>
    <row r="73" spans="1:48" ht="17.100000000000001" customHeight="1" x14ac:dyDescent="0.25">
      <c r="A73" s="1"/>
      <c r="B73" s="195"/>
      <c r="C73" s="196"/>
      <c r="D73" s="197"/>
      <c r="E73" s="198"/>
      <c r="F73" s="191"/>
      <c r="G73" s="183"/>
      <c r="H73" s="199"/>
      <c r="I73" s="199"/>
      <c r="J73" s="200"/>
      <c r="K73" s="201"/>
      <c r="L73" s="428"/>
      <c r="M73" s="475"/>
      <c r="N73" s="467"/>
      <c r="O73" s="516" t="s">
        <v>1546</v>
      </c>
      <c r="P73" s="205"/>
      <c r="Q73" s="205"/>
      <c r="R73" s="203"/>
      <c r="S73" s="207"/>
      <c r="T73" s="208"/>
      <c r="AV73" t="str">
        <f>IF(F73&gt;0,(COUNT($AV$1:AV72)+1),"")</f>
        <v/>
      </c>
    </row>
    <row r="74" spans="1:48" ht="17.100000000000001" customHeight="1" x14ac:dyDescent="0.25">
      <c r="A74" s="1"/>
      <c r="B74" s="195"/>
      <c r="C74" s="196"/>
      <c r="D74" s="197"/>
      <c r="E74" s="198"/>
      <c r="F74" s="191"/>
      <c r="G74" s="183"/>
      <c r="H74" s="199"/>
      <c r="I74" s="199"/>
      <c r="J74" s="200"/>
      <c r="K74" s="201"/>
      <c r="L74" s="428"/>
      <c r="M74" s="475"/>
      <c r="N74" s="467"/>
      <c r="O74" s="1066" t="s">
        <v>6727</v>
      </c>
      <c r="P74" s="1067"/>
      <c r="Q74" s="1067"/>
      <c r="R74" s="203"/>
      <c r="S74" s="207"/>
      <c r="T74" s="208"/>
      <c r="AV74" t="str">
        <f>IF(F74&gt;0,(COUNT($AV$1:AV73)+1),"")</f>
        <v/>
      </c>
    </row>
    <row r="75" spans="1:48" ht="17.100000000000001" customHeight="1" x14ac:dyDescent="0.25">
      <c r="A75" s="1"/>
      <c r="B75" s="195"/>
      <c r="C75" s="196"/>
      <c r="D75" s="197"/>
      <c r="E75" s="198"/>
      <c r="F75" s="191"/>
      <c r="G75" s="183"/>
      <c r="H75" s="199"/>
      <c r="I75" s="199"/>
      <c r="J75" s="200"/>
      <c r="K75" s="201"/>
      <c r="L75" s="428"/>
      <c r="M75" s="475"/>
      <c r="N75" s="467"/>
      <c r="O75" s="516" t="s">
        <v>962</v>
      </c>
      <c r="P75" s="205"/>
      <c r="Q75" s="205"/>
      <c r="R75" s="203"/>
      <c r="S75" s="207"/>
      <c r="T75" s="208"/>
      <c r="AV75" t="str">
        <f>IF(F75&gt;0,(COUNT($AV$1:AV74)+1),"")</f>
        <v/>
      </c>
    </row>
    <row r="76" spans="1:48" ht="17.100000000000001" customHeight="1" x14ac:dyDescent="0.25">
      <c r="A76" s="1"/>
      <c r="B76" s="195"/>
      <c r="C76" s="196"/>
      <c r="D76" s="197"/>
      <c r="E76" s="198"/>
      <c r="F76" s="191"/>
      <c r="G76" s="183"/>
      <c r="H76" s="199"/>
      <c r="I76" s="199"/>
      <c r="J76" s="200"/>
      <c r="K76" s="201"/>
      <c r="L76" s="428"/>
      <c r="M76" s="475"/>
      <c r="N76" s="467"/>
      <c r="O76" s="1066" t="s">
        <v>1547</v>
      </c>
      <c r="P76" s="1067"/>
      <c r="Q76" s="1067"/>
      <c r="R76" s="203"/>
      <c r="S76" s="207"/>
      <c r="T76" s="208"/>
      <c r="AV76" t="str">
        <f>IF(F76&gt;0,(COUNT($AV$1:AV75)+1),"")</f>
        <v/>
      </c>
    </row>
    <row r="77" spans="1:48" ht="17.100000000000001" customHeight="1" x14ac:dyDescent="0.25">
      <c r="A77" s="1"/>
      <c r="B77" s="195"/>
      <c r="C77" s="196"/>
      <c r="D77" s="197"/>
      <c r="E77" s="198"/>
      <c r="F77" s="191"/>
      <c r="G77" s="183"/>
      <c r="H77" s="199"/>
      <c r="I77" s="199"/>
      <c r="J77" s="200"/>
      <c r="K77" s="201"/>
      <c r="L77" s="428"/>
      <c r="M77" s="475"/>
      <c r="N77" s="467"/>
      <c r="O77" s="516" t="s">
        <v>1548</v>
      </c>
      <c r="P77" s="205"/>
      <c r="Q77" s="205"/>
      <c r="R77" s="203"/>
      <c r="S77" s="207"/>
      <c r="T77" s="208"/>
      <c r="AV77" t="str">
        <f>IF(F77&gt;0,(COUNT($AV$1:AV76)+1),"")</f>
        <v/>
      </c>
    </row>
    <row r="78" spans="1:48" ht="17.100000000000001" customHeight="1" x14ac:dyDescent="0.25">
      <c r="A78" s="1"/>
      <c r="B78" s="195"/>
      <c r="C78" s="196"/>
      <c r="D78" s="197"/>
      <c r="E78" s="198"/>
      <c r="F78" s="191"/>
      <c r="G78" s="183"/>
      <c r="H78" s="199"/>
      <c r="I78" s="199"/>
      <c r="J78" s="200"/>
      <c r="K78" s="201"/>
      <c r="L78" s="428"/>
      <c r="M78" s="475"/>
      <c r="N78" s="467"/>
      <c r="O78" s="1066" t="s">
        <v>4458</v>
      </c>
      <c r="P78" s="1067"/>
      <c r="Q78" s="1067"/>
      <c r="R78" s="203"/>
      <c r="S78" s="207"/>
      <c r="T78" s="208"/>
      <c r="AV78" t="str">
        <f>IF(F78&gt;0,(COUNT($AV$1:AV77)+1),"")</f>
        <v/>
      </c>
    </row>
    <row r="79" spans="1:48" ht="17.100000000000001" customHeight="1" x14ac:dyDescent="0.25">
      <c r="A79" s="1"/>
      <c r="B79" s="195"/>
      <c r="C79" s="196"/>
      <c r="D79" s="197"/>
      <c r="E79" s="198"/>
      <c r="F79" s="191"/>
      <c r="G79" s="183"/>
      <c r="H79" s="199"/>
      <c r="I79" s="199"/>
      <c r="J79" s="200"/>
      <c r="K79" s="201"/>
      <c r="L79" s="428"/>
      <c r="M79" s="475"/>
      <c r="N79" s="467"/>
      <c r="O79" s="516" t="s">
        <v>1079</v>
      </c>
      <c r="P79" s="205"/>
      <c r="Q79" s="205"/>
      <c r="R79" s="203"/>
      <c r="S79" s="207"/>
      <c r="T79" s="208"/>
      <c r="AV79" t="str">
        <f>IF(F79&gt;0,(COUNT($AV$1:AV78)+1),"")</f>
        <v/>
      </c>
    </row>
    <row r="80" spans="1:48" ht="17.100000000000001" customHeight="1" x14ac:dyDescent="0.25">
      <c r="A80" s="1"/>
      <c r="B80" s="195"/>
      <c r="C80" s="196"/>
      <c r="D80" s="197"/>
      <c r="E80" s="198"/>
      <c r="F80" s="191"/>
      <c r="G80" s="183"/>
      <c r="H80" s="199"/>
      <c r="I80" s="199"/>
      <c r="J80" s="200"/>
      <c r="K80" s="201"/>
      <c r="L80" s="428"/>
      <c r="M80" s="475"/>
      <c r="N80" s="467"/>
      <c r="O80" s="1066" t="s">
        <v>3167</v>
      </c>
      <c r="P80" s="1067"/>
      <c r="Q80" s="1067"/>
      <c r="R80" s="203"/>
      <c r="S80" s="207"/>
      <c r="T80" s="208"/>
      <c r="AV80" t="str">
        <f>IF(F80&gt;0,(COUNT($AV$1:AV79)+1),"")</f>
        <v/>
      </c>
    </row>
    <row r="81" spans="1:48" ht="17.100000000000001" customHeight="1" x14ac:dyDescent="0.25">
      <c r="A81" s="1"/>
      <c r="B81" s="195"/>
      <c r="C81" s="196"/>
      <c r="D81" s="197"/>
      <c r="E81" s="198"/>
      <c r="F81" s="191"/>
      <c r="G81" s="183"/>
      <c r="H81" s="199"/>
      <c r="I81" s="199"/>
      <c r="J81" s="200"/>
      <c r="K81" s="201"/>
      <c r="L81" s="428"/>
      <c r="M81" s="475"/>
      <c r="N81" s="467"/>
      <c r="O81" s="516" t="s">
        <v>222</v>
      </c>
      <c r="P81" s="205"/>
      <c r="Q81" s="205"/>
      <c r="R81" s="203"/>
      <c r="S81" s="207"/>
      <c r="T81" s="208"/>
      <c r="AV81" t="str">
        <f>IF(F81&gt;0,(COUNT($AV$1:AV80)+1),"")</f>
        <v/>
      </c>
    </row>
    <row r="82" spans="1:48" ht="17.100000000000001" customHeight="1" x14ac:dyDescent="0.25">
      <c r="A82" s="1"/>
      <c r="B82" s="195"/>
      <c r="C82" s="196"/>
      <c r="D82" s="197"/>
      <c r="E82" s="198"/>
      <c r="F82" s="191"/>
      <c r="G82" s="183"/>
      <c r="H82" s="199"/>
      <c r="I82" s="199"/>
      <c r="J82" s="200"/>
      <c r="K82" s="201"/>
      <c r="L82" s="428"/>
      <c r="M82" s="475"/>
      <c r="N82" s="467"/>
      <c r="O82" s="1066" t="s">
        <v>1549</v>
      </c>
      <c r="P82" s="1067"/>
      <c r="Q82" s="1067"/>
      <c r="R82" s="203"/>
      <c r="S82" s="207"/>
      <c r="T82" s="208"/>
      <c r="AV82" t="str">
        <f>IF(F82&gt;0,(COUNT($AV$1:AV81)+1),"")</f>
        <v/>
      </c>
    </row>
    <row r="83" spans="1:48" ht="17.100000000000001" customHeight="1" x14ac:dyDescent="0.25">
      <c r="A83" s="1"/>
      <c r="B83" s="195"/>
      <c r="C83" s="196"/>
      <c r="D83" s="197"/>
      <c r="E83" s="198"/>
      <c r="F83" s="191"/>
      <c r="G83" s="183"/>
      <c r="H83" s="199"/>
      <c r="I83" s="199"/>
      <c r="J83" s="200"/>
      <c r="K83" s="201"/>
      <c r="L83" s="428"/>
      <c r="M83" s="475"/>
      <c r="N83" s="467"/>
      <c r="O83" s="516" t="s">
        <v>1411</v>
      </c>
      <c r="P83" s="205"/>
      <c r="Q83" s="205"/>
      <c r="R83" s="203"/>
      <c r="S83" s="207"/>
      <c r="T83" s="208"/>
      <c r="AV83" t="str">
        <f>IF(F83&gt;0,(COUNT($AV$1:AV82)+1),"")</f>
        <v/>
      </c>
    </row>
    <row r="84" spans="1:48" ht="17.100000000000001" customHeight="1" x14ac:dyDescent="0.25">
      <c r="A84" s="1"/>
      <c r="B84" s="195"/>
      <c r="C84" s="196"/>
      <c r="D84" s="197"/>
      <c r="E84" s="198"/>
      <c r="F84" s="191"/>
      <c r="G84" s="183"/>
      <c r="H84" s="199"/>
      <c r="I84" s="199"/>
      <c r="J84" s="200"/>
      <c r="K84" s="201"/>
      <c r="L84" s="428"/>
      <c r="M84" s="475"/>
      <c r="N84" s="467"/>
      <c r="O84" s="1066" t="s">
        <v>6567</v>
      </c>
      <c r="P84" s="1067"/>
      <c r="Q84" s="1067"/>
      <c r="R84" s="203"/>
      <c r="S84" s="207"/>
      <c r="T84" s="208"/>
      <c r="AV84" t="str">
        <f>IF(F84&gt;0,(COUNT($AV$1:AV83)+1),"")</f>
        <v/>
      </c>
    </row>
    <row r="85" spans="1:48" ht="17.100000000000001" customHeight="1" x14ac:dyDescent="0.25">
      <c r="A85" s="1"/>
      <c r="B85" s="195"/>
      <c r="C85" s="196"/>
      <c r="D85" s="197"/>
      <c r="E85" s="198"/>
      <c r="F85" s="191"/>
      <c r="G85" s="183"/>
      <c r="H85" s="199"/>
      <c r="I85" s="199"/>
      <c r="J85" s="200"/>
      <c r="K85" s="201"/>
      <c r="L85" s="428"/>
      <c r="M85" s="475"/>
      <c r="N85" s="467"/>
      <c r="O85" s="516" t="s">
        <v>1550</v>
      </c>
      <c r="P85" s="205"/>
      <c r="Q85" s="205"/>
      <c r="R85" s="203"/>
      <c r="S85" s="207"/>
      <c r="T85" s="208"/>
      <c r="AV85" t="str">
        <f>IF(F85&gt;0,(COUNT($AV$1:AV84)+1),"")</f>
        <v/>
      </c>
    </row>
    <row r="86" spans="1:48" ht="17.100000000000001" customHeight="1" x14ac:dyDescent="0.25">
      <c r="A86" s="1"/>
      <c r="B86" s="195"/>
      <c r="C86" s="196"/>
      <c r="D86" s="197"/>
      <c r="E86" s="198"/>
      <c r="F86" s="191"/>
      <c r="G86" s="183"/>
      <c r="H86" s="199"/>
      <c r="I86" s="199"/>
      <c r="J86" s="200"/>
      <c r="K86" s="201"/>
      <c r="L86" s="428"/>
      <c r="M86" s="475"/>
      <c r="N86" s="467"/>
      <c r="O86" s="1066" t="s">
        <v>1847</v>
      </c>
      <c r="P86" s="1067"/>
      <c r="Q86" s="1067"/>
      <c r="R86" s="203"/>
      <c r="S86" s="207"/>
      <c r="T86" s="208"/>
      <c r="AV86" t="str">
        <f>IF(F86&gt;0,(COUNT($AV$1:AV85)+1),"")</f>
        <v/>
      </c>
    </row>
    <row r="87" spans="1:48" ht="17.100000000000001" customHeight="1" x14ac:dyDescent="0.25">
      <c r="A87" s="1"/>
      <c r="B87" s="195"/>
      <c r="C87" s="196"/>
      <c r="D87" s="197"/>
      <c r="E87" s="198"/>
      <c r="F87" s="191"/>
      <c r="G87" s="183"/>
      <c r="H87" s="199"/>
      <c r="I87" s="199"/>
      <c r="J87" s="200"/>
      <c r="K87" s="201"/>
      <c r="L87" s="428"/>
      <c r="M87" s="475"/>
      <c r="N87" s="467"/>
      <c r="O87" s="516" t="s">
        <v>7092</v>
      </c>
      <c r="P87" s="205"/>
      <c r="Q87" s="205"/>
      <c r="R87" s="203"/>
      <c r="S87" s="207"/>
      <c r="T87" s="208"/>
      <c r="AV87" t="str">
        <f>IF(F87&gt;0,(COUNT($AV$1:AV86)+1),"")</f>
        <v/>
      </c>
    </row>
    <row r="88" spans="1:48" ht="17.100000000000001" customHeight="1" x14ac:dyDescent="0.25">
      <c r="A88" s="1"/>
      <c r="B88" s="195"/>
      <c r="C88" s="196"/>
      <c r="D88" s="197"/>
      <c r="E88" s="198"/>
      <c r="F88" s="191"/>
      <c r="G88" s="183"/>
      <c r="H88" s="199"/>
      <c r="I88" s="199"/>
      <c r="J88" s="200"/>
      <c r="K88" s="201"/>
      <c r="L88" s="428"/>
      <c r="M88" s="475"/>
      <c r="N88" s="467"/>
      <c r="O88" s="1066" t="s">
        <v>2968</v>
      </c>
      <c r="P88" s="1067"/>
      <c r="Q88" s="1067"/>
      <c r="R88" s="203"/>
      <c r="S88" s="207"/>
      <c r="T88" s="208"/>
      <c r="AV88" t="str">
        <f>IF(F88&gt;0,(COUNT($AV$1:AV87)+1),"")</f>
        <v/>
      </c>
    </row>
    <row r="89" spans="1:48" ht="17.100000000000001" customHeight="1" x14ac:dyDescent="0.25">
      <c r="A89" s="1"/>
      <c r="B89" s="195"/>
      <c r="C89" s="196"/>
      <c r="D89" s="197"/>
      <c r="E89" s="198"/>
      <c r="F89" s="191"/>
      <c r="G89" s="183"/>
      <c r="H89" s="199"/>
      <c r="I89" s="199"/>
      <c r="J89" s="200"/>
      <c r="K89" s="201"/>
      <c r="L89" s="428"/>
      <c r="M89" s="475"/>
      <c r="N89" s="467"/>
      <c r="O89" s="516" t="s">
        <v>1173</v>
      </c>
      <c r="P89" s="205"/>
      <c r="Q89" s="205"/>
      <c r="R89" s="203"/>
      <c r="S89" s="207"/>
      <c r="T89" s="208"/>
      <c r="AV89" t="str">
        <f>IF(F89&gt;0,(COUNT($AV$1:AV88)+1),"")</f>
        <v/>
      </c>
    </row>
    <row r="90" spans="1:48" ht="17.100000000000001" customHeight="1" x14ac:dyDescent="0.25">
      <c r="A90" s="1"/>
      <c r="B90" s="195"/>
      <c r="C90" s="196"/>
      <c r="D90" s="197"/>
      <c r="E90" s="198"/>
      <c r="F90" s="191"/>
      <c r="G90" s="183"/>
      <c r="H90" s="199"/>
      <c r="I90" s="199"/>
      <c r="J90" s="200"/>
      <c r="K90" s="201"/>
      <c r="L90" s="428"/>
      <c r="M90" s="475"/>
      <c r="N90" s="467"/>
      <c r="O90" s="1066" t="s">
        <v>1552</v>
      </c>
      <c r="P90" s="1067"/>
      <c r="Q90" s="1067"/>
      <c r="R90" s="203"/>
      <c r="S90" s="207"/>
      <c r="T90" s="208"/>
      <c r="AV90" t="str">
        <f>IF(F90&gt;0,(COUNT($AV$1:AV89)+1),"")</f>
        <v/>
      </c>
    </row>
    <row r="91" spans="1:48" ht="17.100000000000001" customHeight="1" x14ac:dyDescent="0.25">
      <c r="A91" s="1"/>
      <c r="B91" s="195"/>
      <c r="C91" s="196"/>
      <c r="D91" s="197"/>
      <c r="E91" s="198"/>
      <c r="F91" s="191"/>
      <c r="G91" s="183"/>
      <c r="H91" s="199"/>
      <c r="I91" s="199"/>
      <c r="J91" s="200"/>
      <c r="K91" s="201"/>
      <c r="L91" s="428"/>
      <c r="M91" s="475"/>
      <c r="N91" s="467"/>
      <c r="O91" s="516" t="s">
        <v>1553</v>
      </c>
      <c r="P91" s="205"/>
      <c r="Q91" s="205"/>
      <c r="R91" s="203"/>
      <c r="S91" s="207"/>
      <c r="T91" s="208"/>
      <c r="AV91" t="str">
        <f>IF(F91&gt;0,(COUNT($AV$1:AV90)+1),"")</f>
        <v/>
      </c>
    </row>
    <row r="92" spans="1:48" ht="17.100000000000001" customHeight="1" x14ac:dyDescent="0.25">
      <c r="A92" s="1"/>
      <c r="B92" s="195"/>
      <c r="C92" s="196"/>
      <c r="D92" s="197"/>
      <c r="E92" s="198"/>
      <c r="F92" s="191"/>
      <c r="G92" s="183"/>
      <c r="H92" s="199"/>
      <c r="I92" s="199"/>
      <c r="J92" s="200"/>
      <c r="K92" s="201"/>
      <c r="L92" s="428"/>
      <c r="M92" s="475"/>
      <c r="N92" s="467"/>
      <c r="O92" s="1066" t="s">
        <v>5541</v>
      </c>
      <c r="P92" s="1067"/>
      <c r="Q92" s="1067"/>
      <c r="R92" s="203"/>
      <c r="S92" s="207"/>
      <c r="T92" s="208"/>
      <c r="AV92" t="str">
        <f>IF(F92&gt;0,(COUNT($AV$1:AV91)+1),"")</f>
        <v/>
      </c>
    </row>
    <row r="93" spans="1:48" ht="17.100000000000001" customHeight="1" x14ac:dyDescent="0.25">
      <c r="A93" s="1"/>
      <c r="B93" s="195"/>
      <c r="C93" s="196"/>
      <c r="D93" s="197"/>
      <c r="E93" s="198"/>
      <c r="F93" s="191"/>
      <c r="G93" s="183"/>
      <c r="H93" s="199"/>
      <c r="I93" s="199"/>
      <c r="J93" s="200"/>
      <c r="K93" s="201"/>
      <c r="L93" s="428"/>
      <c r="M93" s="475"/>
      <c r="N93" s="467"/>
      <c r="O93" s="516" t="s">
        <v>1554</v>
      </c>
      <c r="P93" s="205"/>
      <c r="Q93" s="205"/>
      <c r="R93" s="203"/>
      <c r="S93" s="207"/>
      <c r="T93" s="208"/>
      <c r="AV93" t="str">
        <f>IF(F93&gt;0,(COUNT($AV$1:AV92)+1),"")</f>
        <v/>
      </c>
    </row>
    <row r="94" spans="1:48" ht="17.100000000000001" customHeight="1" x14ac:dyDescent="0.25">
      <c r="A94" s="1"/>
      <c r="B94" s="195"/>
      <c r="C94" s="196"/>
      <c r="D94" s="197"/>
      <c r="E94" s="198"/>
      <c r="F94" s="191"/>
      <c r="G94" s="183"/>
      <c r="H94" s="199"/>
      <c r="I94" s="199"/>
      <c r="J94" s="200"/>
      <c r="K94" s="201"/>
      <c r="L94" s="428"/>
      <c r="M94" s="475"/>
      <c r="N94" s="467"/>
      <c r="O94" s="1066" t="s">
        <v>1555</v>
      </c>
      <c r="P94" s="1067"/>
      <c r="Q94" s="1067"/>
      <c r="R94" s="203"/>
      <c r="S94" s="207"/>
      <c r="T94" s="208"/>
      <c r="AV94" t="str">
        <f>IF(F94&gt;0,(COUNT($AV$1:AV93)+1),"")</f>
        <v/>
      </c>
    </row>
    <row r="95" spans="1:48" ht="17.100000000000001" customHeight="1" x14ac:dyDescent="0.25">
      <c r="A95" s="1"/>
      <c r="B95" s="195"/>
      <c r="C95" s="196"/>
      <c r="D95" s="197"/>
      <c r="E95" s="198"/>
      <c r="F95" s="191"/>
      <c r="G95" s="183"/>
      <c r="H95" s="199"/>
      <c r="I95" s="199"/>
      <c r="J95" s="200"/>
      <c r="K95" s="201"/>
      <c r="L95" s="428"/>
      <c r="M95" s="475"/>
      <c r="N95" s="467"/>
      <c r="O95" s="516" t="s">
        <v>1556</v>
      </c>
      <c r="P95" s="205"/>
      <c r="Q95" s="205"/>
      <c r="R95" s="203"/>
      <c r="S95" s="207"/>
      <c r="T95" s="208"/>
      <c r="AV95" t="str">
        <f>IF(F95&gt;0,(COUNT($AV$1:AV94)+1),"")</f>
        <v/>
      </c>
    </row>
    <row r="96" spans="1:48" ht="17.100000000000001" customHeight="1" x14ac:dyDescent="0.25">
      <c r="A96" s="1"/>
      <c r="B96" s="195"/>
      <c r="C96" s="196"/>
      <c r="D96" s="197"/>
      <c r="E96" s="198"/>
      <c r="F96" s="191"/>
      <c r="G96" s="183"/>
      <c r="H96" s="199"/>
      <c r="I96" s="199"/>
      <c r="J96" s="200"/>
      <c r="K96" s="201"/>
      <c r="L96" s="428"/>
      <c r="M96" s="475"/>
      <c r="N96" s="467"/>
      <c r="O96" s="1066" t="s">
        <v>5544</v>
      </c>
      <c r="P96" s="1067"/>
      <c r="Q96" s="1067"/>
      <c r="R96" s="203"/>
      <c r="S96" s="207"/>
      <c r="T96" s="208"/>
      <c r="AV96" t="str">
        <f>IF(F96&gt;0,(COUNT($AV$1:AV95)+1),"")</f>
        <v/>
      </c>
    </row>
    <row r="97" spans="1:48" ht="17.100000000000001" customHeight="1" x14ac:dyDescent="0.25">
      <c r="A97" s="1"/>
      <c r="B97" s="195"/>
      <c r="C97" s="196"/>
      <c r="D97" s="197"/>
      <c r="E97" s="198"/>
      <c r="F97" s="191"/>
      <c r="G97" s="183"/>
      <c r="H97" s="199"/>
      <c r="I97" s="199"/>
      <c r="J97" s="200"/>
      <c r="K97" s="201"/>
      <c r="L97" s="428"/>
      <c r="M97" s="475"/>
      <c r="N97" s="467"/>
      <c r="O97" s="516"/>
      <c r="P97" s="205"/>
      <c r="Q97" s="205"/>
      <c r="R97" s="203"/>
      <c r="S97" s="207"/>
      <c r="T97" s="208"/>
      <c r="AV97" t="str">
        <f>IF(F97&gt;0,(COUNT($AV$1:AV96)+1),"")</f>
        <v/>
      </c>
    </row>
    <row r="98" spans="1:48" ht="17.100000000000001" customHeight="1" x14ac:dyDescent="0.25">
      <c r="A98" s="1"/>
      <c r="B98" s="195"/>
      <c r="C98" s="196"/>
      <c r="D98" s="197"/>
      <c r="E98" s="198"/>
      <c r="F98" s="191"/>
      <c r="G98" s="183"/>
      <c r="H98" s="199"/>
      <c r="I98" s="199"/>
      <c r="J98" s="200"/>
      <c r="K98" s="201"/>
      <c r="L98" s="428"/>
      <c r="M98" s="475"/>
      <c r="N98" s="467"/>
      <c r="O98" s="183"/>
      <c r="P98" s="196"/>
      <c r="Q98" s="202"/>
      <c r="R98" s="203"/>
      <c r="S98" s="207"/>
      <c r="T98" s="208"/>
      <c r="AV98" t="str">
        <f>IF(F98&gt;0,(COUNT($AV$1:AV97)+1),"")</f>
        <v/>
      </c>
    </row>
    <row r="99" spans="1:48" ht="21" customHeight="1" x14ac:dyDescent="0.25">
      <c r="A99" s="1"/>
      <c r="B99" s="195"/>
      <c r="C99" s="196"/>
      <c r="D99" s="197"/>
      <c r="E99" s="198"/>
      <c r="F99" s="191"/>
      <c r="G99" s="183"/>
      <c r="H99" s="199"/>
      <c r="I99" s="199"/>
      <c r="J99" s="200"/>
      <c r="K99" s="201"/>
      <c r="L99" s="428"/>
      <c r="M99" s="475"/>
      <c r="N99" s="467"/>
      <c r="O99" s="204" t="s">
        <v>3942</v>
      </c>
      <c r="P99" s="204"/>
      <c r="Q99" s="204"/>
      <c r="R99" s="203"/>
      <c r="S99" s="207"/>
      <c r="T99" s="208"/>
      <c r="AV99" t="str">
        <f>IF(F99&gt;0,(COUNT($AV$1:AV98)+1),"")</f>
        <v/>
      </c>
    </row>
    <row r="100" spans="1:48" ht="17.100000000000001" customHeight="1" x14ac:dyDescent="0.25">
      <c r="A100" s="1"/>
      <c r="B100" s="195"/>
      <c r="C100" s="196"/>
      <c r="D100" s="197"/>
      <c r="E100" s="198"/>
      <c r="F100" s="191"/>
      <c r="G100" s="183"/>
      <c r="H100" s="199"/>
      <c r="I100" s="199"/>
      <c r="J100" s="200"/>
      <c r="K100" s="201"/>
      <c r="L100" s="428"/>
      <c r="M100" s="475"/>
      <c r="N100" s="467"/>
      <c r="O100" s="892" t="s">
        <v>421</v>
      </c>
      <c r="P100" s="1274">
        <v>46157</v>
      </c>
      <c r="Q100" s="1275"/>
      <c r="R100" s="203"/>
      <c r="S100" s="207"/>
      <c r="T100" s="208"/>
      <c r="AV100" t="str">
        <f>IF(F100&gt;0,(COUNT($AV$1:AV99)+1),"")</f>
        <v/>
      </c>
    </row>
    <row r="101" spans="1:48" ht="17.100000000000001" customHeight="1" x14ac:dyDescent="0.25">
      <c r="A101" s="1"/>
      <c r="B101" s="195"/>
      <c r="C101" s="196"/>
      <c r="D101" s="197"/>
      <c r="E101" s="198"/>
      <c r="F101" s="191"/>
      <c r="G101" s="183"/>
      <c r="H101" s="199"/>
      <c r="I101" s="199"/>
      <c r="J101" s="200"/>
      <c r="K101" s="201"/>
      <c r="L101" s="428"/>
      <c r="M101" s="475"/>
      <c r="N101" s="467"/>
      <c r="O101" s="893" t="s">
        <v>3166</v>
      </c>
      <c r="P101" s="1272">
        <v>46157</v>
      </c>
      <c r="Q101" s="1273"/>
      <c r="R101" s="614"/>
      <c r="S101" s="207"/>
      <c r="T101" s="208"/>
      <c r="AV101" t="str">
        <f>IF(F101&gt;0,(COUNT($AV$1:AV100)+1),"")</f>
        <v/>
      </c>
    </row>
    <row r="102" spans="1:48" ht="17.100000000000001" customHeight="1" x14ac:dyDescent="0.25">
      <c r="A102" s="1"/>
      <c r="B102" s="195"/>
      <c r="C102" s="196"/>
      <c r="D102" s="197"/>
      <c r="E102" s="198"/>
      <c r="F102" s="191"/>
      <c r="G102" s="183"/>
      <c r="H102" s="199"/>
      <c r="I102" s="199"/>
      <c r="J102" s="200"/>
      <c r="K102" s="201"/>
      <c r="L102" s="428"/>
      <c r="M102" s="475"/>
      <c r="N102" s="467"/>
      <c r="O102" s="892" t="s">
        <v>7554</v>
      </c>
      <c r="P102" s="1274">
        <v>46191</v>
      </c>
      <c r="Q102" s="1275"/>
      <c r="R102" s="203"/>
      <c r="S102" s="207"/>
      <c r="T102" s="208"/>
      <c r="AV102" t="str">
        <f>IF(F102&gt;0,(COUNT($AV$1:AV101)+1),"")</f>
        <v/>
      </c>
    </row>
    <row r="103" spans="1:48" ht="17.100000000000001" customHeight="1" x14ac:dyDescent="0.25">
      <c r="A103" s="1"/>
      <c r="B103" s="195"/>
      <c r="C103" s="196"/>
      <c r="D103" s="197"/>
      <c r="E103" s="198"/>
      <c r="F103" s="191"/>
      <c r="G103" s="183"/>
      <c r="H103" s="199"/>
      <c r="I103" s="199"/>
      <c r="J103" s="200"/>
      <c r="K103" s="201"/>
      <c r="L103" s="428"/>
      <c r="M103" s="475"/>
      <c r="N103" s="467"/>
      <c r="O103" s="893"/>
      <c r="P103" s="1272"/>
      <c r="Q103" s="1273"/>
      <c r="R103" s="203"/>
      <c r="S103" s="207"/>
      <c r="T103" s="208"/>
      <c r="AV103" t="str">
        <f>IF(F103&gt;0,(COUNT($AV$1:AV102)+1),"")</f>
        <v/>
      </c>
    </row>
    <row r="104" spans="1:48" ht="17.100000000000001" customHeight="1" x14ac:dyDescent="0.25">
      <c r="A104" s="1"/>
      <c r="B104" s="195"/>
      <c r="C104" s="196"/>
      <c r="D104" s="197"/>
      <c r="E104" s="198"/>
      <c r="F104" s="191"/>
      <c r="G104" s="183"/>
      <c r="H104" s="199"/>
      <c r="I104" s="199"/>
      <c r="J104" s="200"/>
      <c r="K104" s="201"/>
      <c r="L104" s="428"/>
      <c r="M104" s="475"/>
      <c r="N104" s="467"/>
      <c r="O104" s="892"/>
      <c r="P104" s="1274"/>
      <c r="Q104" s="1275"/>
      <c r="R104" s="203"/>
      <c r="S104" s="207"/>
      <c r="T104" s="208"/>
      <c r="AV104" t="str">
        <f>IF(F104&gt;0,(COUNT($AV$1:AV103)+1),"")</f>
        <v/>
      </c>
    </row>
    <row r="105" spans="1:48" ht="17.100000000000001" customHeight="1" x14ac:dyDescent="0.25">
      <c r="A105" s="1"/>
      <c r="B105" s="195"/>
      <c r="C105" s="196"/>
      <c r="D105" s="197"/>
      <c r="E105" s="198"/>
      <c r="F105" s="191"/>
      <c r="G105" s="183"/>
      <c r="H105" s="199"/>
      <c r="I105" s="199"/>
      <c r="J105" s="200"/>
      <c r="K105" s="201"/>
      <c r="L105" s="428"/>
      <c r="M105" s="475"/>
      <c r="N105" s="467"/>
      <c r="O105" s="893"/>
      <c r="P105" s="1272"/>
      <c r="Q105" s="1273"/>
      <c r="R105" s="203"/>
      <c r="S105" s="207"/>
      <c r="T105" s="208"/>
      <c r="AV105" t="str">
        <f>IF(F105&gt;0,(COUNT($AV$1:AV104)+1),"")</f>
        <v/>
      </c>
    </row>
    <row r="106" spans="1:48" ht="17.100000000000001" customHeight="1" x14ac:dyDescent="0.25">
      <c r="A106" s="1"/>
      <c r="B106" s="195"/>
      <c r="C106" s="196"/>
      <c r="D106" s="197"/>
      <c r="E106" s="198"/>
      <c r="F106" s="191"/>
      <c r="G106" s="183"/>
      <c r="H106" s="199"/>
      <c r="I106" s="199"/>
      <c r="J106" s="200"/>
      <c r="K106" s="201"/>
      <c r="L106" s="428"/>
      <c r="M106" s="475"/>
      <c r="N106" s="467"/>
      <c r="O106" s="892"/>
      <c r="P106" s="1274"/>
      <c r="Q106" s="1275"/>
      <c r="R106" s="203"/>
      <c r="S106" s="207"/>
      <c r="T106" s="208"/>
      <c r="AV106" t="str">
        <f>IF(F106&gt;0,(COUNT($AV$1:AV105)+1),"")</f>
        <v/>
      </c>
    </row>
    <row r="107" spans="1:48" ht="17.100000000000001" customHeight="1" x14ac:dyDescent="0.25">
      <c r="A107" s="1"/>
      <c r="B107" s="195"/>
      <c r="C107" s="196"/>
      <c r="D107" s="197"/>
      <c r="E107" s="198"/>
      <c r="F107" s="191"/>
      <c r="G107" s="183"/>
      <c r="H107" s="199"/>
      <c r="I107" s="199"/>
      <c r="J107" s="200"/>
      <c r="K107" s="201"/>
      <c r="L107" s="428"/>
      <c r="M107" s="475"/>
      <c r="N107" s="467"/>
      <c r="O107" s="893"/>
      <c r="P107" s="1272"/>
      <c r="Q107" s="1273"/>
      <c r="R107" s="203"/>
      <c r="S107" s="207"/>
      <c r="T107" s="208"/>
      <c r="AV107" t="str">
        <f>IF(F107&gt;0,(COUNT($AV$1:AV106)+1),"")</f>
        <v/>
      </c>
    </row>
    <row r="108" spans="1:48" ht="17.100000000000001" customHeight="1" x14ac:dyDescent="0.25">
      <c r="A108" s="1"/>
      <c r="B108" s="195"/>
      <c r="C108" s="196"/>
      <c r="D108" s="197"/>
      <c r="E108" s="198"/>
      <c r="F108" s="191"/>
      <c r="G108" s="183"/>
      <c r="H108" s="199"/>
      <c r="I108" s="199"/>
      <c r="J108" s="200"/>
      <c r="K108" s="201"/>
      <c r="L108" s="428"/>
      <c r="M108" s="475"/>
      <c r="N108" s="467"/>
      <c r="O108" s="892"/>
      <c r="P108" s="1274"/>
      <c r="Q108" s="1275"/>
      <c r="R108" s="203"/>
      <c r="S108" s="207"/>
      <c r="T108" s="208"/>
      <c r="AV108" t="str">
        <f>IF(F108&gt;0,(COUNT($AV$1:AV107)+1),"")</f>
        <v/>
      </c>
    </row>
    <row r="109" spans="1:48" ht="17.100000000000001" customHeight="1" x14ac:dyDescent="0.25">
      <c r="A109" s="1"/>
      <c r="B109" s="195"/>
      <c r="C109" s="196"/>
      <c r="D109" s="197"/>
      <c r="E109" s="198"/>
      <c r="F109" s="191"/>
      <c r="G109" s="183"/>
      <c r="H109" s="199"/>
      <c r="I109" s="199"/>
      <c r="J109" s="200"/>
      <c r="K109" s="201"/>
      <c r="L109" s="428"/>
      <c r="M109" s="475"/>
      <c r="N109" s="467"/>
      <c r="O109" s="893"/>
      <c r="P109" s="1272"/>
      <c r="Q109" s="1273"/>
      <c r="R109" s="203"/>
      <c r="S109" s="207"/>
      <c r="T109" s="208"/>
      <c r="AV109" t="str">
        <f>IF(F109&gt;0,(COUNT($AV$1:AV108)+1),"")</f>
        <v/>
      </c>
    </row>
    <row r="110" spans="1:48" ht="17.100000000000001" customHeight="1" x14ac:dyDescent="0.25">
      <c r="A110" s="1"/>
      <c r="B110" s="195"/>
      <c r="C110" s="196"/>
      <c r="D110" s="197"/>
      <c r="E110" s="198"/>
      <c r="F110" s="191"/>
      <c r="G110" s="183"/>
      <c r="H110" s="199"/>
      <c r="I110" s="199"/>
      <c r="J110" s="200"/>
      <c r="K110" s="201"/>
      <c r="L110" s="428"/>
      <c r="M110" s="475"/>
      <c r="N110" s="467"/>
      <c r="O110" s="892"/>
      <c r="P110" s="1274"/>
      <c r="Q110" s="1275"/>
      <c r="R110" s="203"/>
      <c r="S110" s="207"/>
      <c r="T110" s="208"/>
      <c r="AV110" t="str">
        <f>IF(F110&gt;0,(COUNT($AV$1:AV109)+1),"")</f>
        <v/>
      </c>
    </row>
    <row r="111" spans="1:48" ht="17.100000000000001" customHeight="1" x14ac:dyDescent="0.25">
      <c r="A111" s="1"/>
      <c r="B111" s="195"/>
      <c r="C111" s="196"/>
      <c r="D111" s="197"/>
      <c r="E111" s="198"/>
      <c r="F111" s="191"/>
      <c r="G111" s="183"/>
      <c r="H111" s="199"/>
      <c r="I111" s="199"/>
      <c r="J111" s="200"/>
      <c r="K111" s="201"/>
      <c r="L111" s="428"/>
      <c r="M111" s="475"/>
      <c r="N111" s="467"/>
      <c r="O111" s="893"/>
      <c r="P111" s="1272"/>
      <c r="Q111" s="1273"/>
      <c r="R111" s="203"/>
      <c r="S111" s="207"/>
      <c r="T111" s="208"/>
      <c r="AV111" t="str">
        <f>IF(F111&gt;0,(COUNT($AV$1:AV110)+1),"")</f>
        <v/>
      </c>
    </row>
    <row r="112" spans="1:48" ht="17.100000000000001" customHeight="1" x14ac:dyDescent="0.25">
      <c r="A112" s="1"/>
      <c r="B112" s="195"/>
      <c r="C112" s="196"/>
      <c r="D112" s="197"/>
      <c r="E112" s="198"/>
      <c r="F112" s="191"/>
      <c r="G112" s="183"/>
      <c r="H112" s="199"/>
      <c r="I112" s="199"/>
      <c r="J112" s="200"/>
      <c r="K112" s="201"/>
      <c r="L112" s="428"/>
      <c r="M112" s="475"/>
      <c r="N112" s="467"/>
      <c r="O112" s="892"/>
      <c r="P112" s="1274"/>
      <c r="Q112" s="1275"/>
      <c r="R112" s="203"/>
      <c r="S112" s="207"/>
      <c r="T112" s="208"/>
      <c r="AV112" t="str">
        <f>IF(F112&gt;0,(COUNT($AV$1:AV111)+1),"")</f>
        <v/>
      </c>
    </row>
    <row r="113" spans="1:48" ht="17.100000000000001" customHeight="1" x14ac:dyDescent="0.25">
      <c r="A113" s="1"/>
      <c r="B113" s="195"/>
      <c r="C113" s="196"/>
      <c r="D113" s="197"/>
      <c r="E113" s="198"/>
      <c r="F113" s="191"/>
      <c r="G113" s="183"/>
      <c r="H113" s="199"/>
      <c r="I113" s="199"/>
      <c r="J113" s="200"/>
      <c r="K113" s="201"/>
      <c r="L113" s="428"/>
      <c r="M113" s="475"/>
      <c r="N113" s="467"/>
      <c r="O113" s="893"/>
      <c r="P113" s="1272"/>
      <c r="Q113" s="1273"/>
      <c r="R113" s="203"/>
      <c r="S113" s="207"/>
      <c r="T113" s="208"/>
      <c r="AV113" t="str">
        <f>IF(F113&gt;0,(COUNT($AV$1:AV112)+1),"")</f>
        <v/>
      </c>
    </row>
    <row r="114" spans="1:48" ht="14.1" customHeight="1" x14ac:dyDescent="0.25">
      <c r="A114" s="1"/>
      <c r="B114" s="195"/>
      <c r="C114" s="196"/>
      <c r="D114" s="197"/>
      <c r="E114" s="198"/>
      <c r="F114" s="191"/>
      <c r="G114" s="183"/>
      <c r="H114" s="199"/>
      <c r="I114" s="199"/>
      <c r="J114" s="200"/>
      <c r="K114" s="201"/>
      <c r="L114" s="428"/>
      <c r="M114" s="475"/>
      <c r="N114" s="467"/>
      <c r="O114" s="183"/>
      <c r="P114" s="196"/>
      <c r="Q114" s="202"/>
      <c r="R114" s="203"/>
      <c r="S114" s="207"/>
      <c r="T114" s="208"/>
      <c r="AV114" t="str">
        <f>IF(F114&gt;0,(COUNT($AV$1:AV113)+1),"")</f>
        <v/>
      </c>
    </row>
    <row r="115" spans="1:48" ht="14.1" customHeight="1" x14ac:dyDescent="0.25">
      <c r="A115" s="1"/>
      <c r="B115" s="195"/>
      <c r="C115" s="196"/>
      <c r="D115" s="197"/>
      <c r="E115" s="198"/>
      <c r="F115" s="191"/>
      <c r="G115" s="183"/>
      <c r="H115" s="199"/>
      <c r="I115" s="199"/>
      <c r="J115" s="200"/>
      <c r="K115" s="201"/>
      <c r="L115" s="428"/>
      <c r="M115" s="475"/>
      <c r="N115" s="467"/>
      <c r="O115" s="183"/>
      <c r="P115" s="196"/>
      <c r="Q115" s="202"/>
      <c r="R115" s="203"/>
      <c r="S115" s="207"/>
      <c r="T115" s="208"/>
      <c r="AV115" t="str">
        <f>IF(F115&gt;0,(COUNT($AV$1:AV114)+1),"")</f>
        <v/>
      </c>
    </row>
    <row r="116" spans="1:48" ht="15" customHeight="1" thickBot="1" x14ac:dyDescent="0.3">
      <c r="A116" s="1"/>
      <c r="B116" s="136"/>
      <c r="C116" s="137"/>
      <c r="D116" s="138"/>
      <c r="E116" s="145"/>
      <c r="F116" s="190"/>
      <c r="G116" s="141"/>
      <c r="H116" s="142"/>
      <c r="I116" s="143"/>
      <c r="J116" s="139"/>
      <c r="K116" s="140"/>
      <c r="L116" s="434"/>
      <c r="M116" s="477"/>
      <c r="N116" s="468"/>
      <c r="O116" s="182"/>
      <c r="P116" s="144"/>
      <c r="Q116" s="146"/>
      <c r="R116" s="13"/>
      <c r="S116" s="207"/>
      <c r="T116" s="208"/>
      <c r="AV116" t="str">
        <f>IF(F116&gt;0,(COUNT($AV$1:AV115)+1),"")</f>
        <v/>
      </c>
    </row>
    <row r="117" spans="1:48" ht="24.95" customHeight="1" thickBot="1" x14ac:dyDescent="0.3">
      <c r="A117" s="1"/>
      <c r="B117" s="684"/>
      <c r="C117" s="685"/>
      <c r="D117" s="686" t="str">
        <f>CONCATENATE("СКИДКА! Продукция с коротким сроком годности","     |     Сумма заказа: ",AK117," руб.")</f>
        <v>СКИДКА! Продукция с коротким сроком годности     |     Сумма заказа: 0 руб.</v>
      </c>
      <c r="E117" s="687"/>
      <c r="F117" s="688"/>
      <c r="G117" s="689"/>
      <c r="H117" s="690"/>
      <c r="I117" s="690"/>
      <c r="J117" s="691"/>
      <c r="K117" s="692"/>
      <c r="L117" s="693"/>
      <c r="M117" s="694" t="s">
        <v>104</v>
      </c>
      <c r="N117" s="999"/>
      <c r="O117" s="695"/>
      <c r="P117" s="696"/>
      <c r="Q117" s="697"/>
      <c r="R117" s="698" t="s">
        <v>1558</v>
      </c>
      <c r="S117" s="14"/>
      <c r="AG117" s="84"/>
      <c r="AH117" s="84"/>
      <c r="AJ117">
        <f>ROUND(IF(AL117&gt;15000,"0", IF(AND(AL117&lt;15000,AM117&gt;3000),15000-AL117,3000-AM117)),2)</f>
        <v>3000</v>
      </c>
      <c r="AK117">
        <f>SUM(Q119:Q173)</f>
        <v>0</v>
      </c>
      <c r="AL117">
        <f>SUM(AL119:AL175)</f>
        <v>0</v>
      </c>
      <c r="AM117">
        <f>SUM(AM119:AM175)</f>
        <v>0</v>
      </c>
      <c r="AO117">
        <f>IF(AM117&gt;3000,IF(AL117&gt;15000,1,2),3)</f>
        <v>3</v>
      </c>
      <c r="AV117" t="str">
        <f>IF(F117&gt;0,(COUNT($AV$1:AV116)+1),"")</f>
        <v/>
      </c>
    </row>
    <row r="118" spans="1:48" ht="28.5" customHeight="1" x14ac:dyDescent="0.25">
      <c r="A118" s="1"/>
      <c r="B118" s="699"/>
      <c r="C118" s="700"/>
      <c r="D118" s="701" t="s">
        <v>5711</v>
      </c>
      <c r="E118" s="702"/>
      <c r="F118" s="703"/>
      <c r="G118" s="734" t="s">
        <v>5714</v>
      </c>
      <c r="H118" s="735" t="s">
        <v>5715</v>
      </c>
      <c r="I118" s="736" t="s">
        <v>5713</v>
      </c>
      <c r="J118" s="704"/>
      <c r="K118" s="705"/>
      <c r="L118" s="706"/>
      <c r="M118" s="707" t="s">
        <v>104</v>
      </c>
      <c r="N118" s="843"/>
      <c r="O118" s="757" t="s">
        <v>5712</v>
      </c>
      <c r="P118" s="708"/>
      <c r="Q118" s="709"/>
      <c r="R118" s="2"/>
      <c r="S118" s="6"/>
      <c r="AV118" t="str">
        <f>IF(F118&gt;0,(COUNT($AV$1:AV117)+1),"")</f>
        <v/>
      </c>
    </row>
    <row r="119" spans="1:48" ht="15" customHeight="1" x14ac:dyDescent="0.25">
      <c r="A119" s="1"/>
      <c r="B119" s="364" t="s">
        <v>7441</v>
      </c>
      <c r="C119" s="365">
        <v>4640125881946</v>
      </c>
      <c r="D119" s="514" t="s">
        <v>7437</v>
      </c>
      <c r="E119" s="366">
        <v>16</v>
      </c>
      <c r="F119" s="315"/>
      <c r="G119" s="758">
        <v>70.5</v>
      </c>
      <c r="H119" s="759">
        <v>108.4</v>
      </c>
      <c r="I119" s="760">
        <f t="shared" ref="I119:I159" si="0">ROUND((1-(G119/H119)),2)</f>
        <v>0.35</v>
      </c>
      <c r="J119" s="370" t="s">
        <v>599</v>
      </c>
      <c r="K119" s="371" t="s">
        <v>96</v>
      </c>
      <c r="L119" s="431" t="s">
        <v>2927</v>
      </c>
      <c r="M119" s="494" t="s">
        <v>1856</v>
      </c>
      <c r="N119" s="1000"/>
      <c r="O119" s="761" t="s">
        <v>7695</v>
      </c>
      <c r="P119" s="373" t="s">
        <v>195</v>
      </c>
      <c r="Q119" s="721">
        <f t="shared" ref="Q119:Q173" si="1">G119*F119</f>
        <v>0</v>
      </c>
      <c r="R119" s="94" t="str">
        <f t="shared" ref="R119:R173" si="2">IF(AO119&gt;0,HYPERLINK(AO119,"Фото &gt;&gt;"),"")</f>
        <v>Фото &gt;&gt;</v>
      </c>
      <c r="S119" s="14" t="s">
        <v>2091</v>
      </c>
      <c r="AK119">
        <v>5.5E-2</v>
      </c>
      <c r="AL119">
        <f t="shared" ref="AL119:AL120" si="3">F119*G119</f>
        <v>0</v>
      </c>
      <c r="AM119">
        <f t="shared" ref="AM119:AM120" si="4">F119*H119</f>
        <v>0</v>
      </c>
      <c r="AN119">
        <f t="shared" ref="AN119:AN120" si="5">AK119*F119+IF(E119&gt;1.01,F119/E119*0.2,0)</f>
        <v>0</v>
      </c>
      <c r="AO119" t="s">
        <v>2685</v>
      </c>
      <c r="AS119" s="298" t="s">
        <v>3792</v>
      </c>
      <c r="AV119" t="str">
        <f>IF(F119&gt;0,(COUNT($AV$1:AV118)+1),"")</f>
        <v/>
      </c>
    </row>
    <row r="120" spans="1:48" ht="15" customHeight="1" x14ac:dyDescent="0.25">
      <c r="A120" s="1"/>
      <c r="B120" s="316" t="s">
        <v>7442</v>
      </c>
      <c r="C120" s="317">
        <v>4640125881823</v>
      </c>
      <c r="D120" s="513" t="s">
        <v>7438</v>
      </c>
      <c r="E120" s="318">
        <v>16</v>
      </c>
      <c r="F120" s="315"/>
      <c r="G120" s="1208">
        <v>70.5</v>
      </c>
      <c r="H120" s="1209">
        <v>108.4</v>
      </c>
      <c r="I120" s="1210">
        <f t="shared" si="0"/>
        <v>0.35</v>
      </c>
      <c r="J120" s="319" t="s">
        <v>599</v>
      </c>
      <c r="K120" s="320" t="s">
        <v>96</v>
      </c>
      <c r="L120" s="432" t="s">
        <v>2927</v>
      </c>
      <c r="M120" s="493" t="s">
        <v>1856</v>
      </c>
      <c r="N120" s="1004"/>
      <c r="O120" s="1211" t="s">
        <v>7696</v>
      </c>
      <c r="P120" s="321" t="s">
        <v>195</v>
      </c>
      <c r="Q120" s="721">
        <f t="shared" si="1"/>
        <v>0</v>
      </c>
      <c r="R120" s="94" t="str">
        <f t="shared" si="2"/>
        <v>Фото &gt;&gt;</v>
      </c>
      <c r="S120" s="14" t="s">
        <v>2146</v>
      </c>
      <c r="AK120">
        <v>5.5E-2</v>
      </c>
      <c r="AL120">
        <f t="shared" si="3"/>
        <v>0</v>
      </c>
      <c r="AM120">
        <f t="shared" si="4"/>
        <v>0</v>
      </c>
      <c r="AN120">
        <f t="shared" si="5"/>
        <v>0</v>
      </c>
      <c r="AO120" t="s">
        <v>2686</v>
      </c>
      <c r="AS120" s="298" t="s">
        <v>3792</v>
      </c>
      <c r="AV120" t="str">
        <f>IF(F120&gt;0,(COUNT($AV$1:AV119)+1),"")</f>
        <v/>
      </c>
    </row>
    <row r="121" spans="1:48" ht="15" customHeight="1" x14ac:dyDescent="0.25">
      <c r="A121" s="1"/>
      <c r="B121" s="1217" t="s">
        <v>7413</v>
      </c>
      <c r="C121" s="915">
        <v>4607051355125</v>
      </c>
      <c r="D121" s="916" t="s">
        <v>7412</v>
      </c>
      <c r="E121" s="917">
        <v>24</v>
      </c>
      <c r="F121" s="1212"/>
      <c r="G121" s="1218">
        <v>27.4</v>
      </c>
      <c r="H121" s="1219">
        <v>39.200000000000003</v>
      </c>
      <c r="I121" s="1220">
        <f t="shared" si="0"/>
        <v>0.3</v>
      </c>
      <c r="J121" s="921" t="s">
        <v>5541</v>
      </c>
      <c r="K121" s="922" t="s">
        <v>96</v>
      </c>
      <c r="L121" s="923"/>
      <c r="M121" s="924" t="s">
        <v>1856</v>
      </c>
      <c r="N121" s="1025" t="s">
        <v>1856</v>
      </c>
      <c r="O121" s="1221" t="s">
        <v>7697</v>
      </c>
      <c r="P121" s="926" t="s">
        <v>20</v>
      </c>
      <c r="Q121" s="721">
        <f t="shared" si="1"/>
        <v>0</v>
      </c>
      <c r="R121" s="94" t="str">
        <f t="shared" si="2"/>
        <v>Фото &gt;&gt;</v>
      </c>
      <c r="S121" s="14" t="s">
        <v>3040</v>
      </c>
      <c r="AK121">
        <v>0.03</v>
      </c>
      <c r="AL121">
        <f t="shared" ref="AL121:AL144" si="6">F121*G121</f>
        <v>0</v>
      </c>
      <c r="AM121">
        <f t="shared" ref="AM121:AM144" si="7">F121*H121</f>
        <v>0</v>
      </c>
      <c r="AN121">
        <f t="shared" ref="AN121:AN144" si="8">AK121*F121+IF(E121&gt;1.01,F121/E121*0.2,0)</f>
        <v>0</v>
      </c>
      <c r="AO121" t="s">
        <v>3042</v>
      </c>
      <c r="AV121" t="str">
        <f>IF(F121&gt;0,(COUNT($AV$1:AV120)+1),"")</f>
        <v/>
      </c>
    </row>
    <row r="122" spans="1:48" ht="15" customHeight="1" x14ac:dyDescent="0.25">
      <c r="A122" s="1"/>
      <c r="B122" s="880" t="s">
        <v>7414</v>
      </c>
      <c r="C122" s="722">
        <v>4607051356597</v>
      </c>
      <c r="D122" s="723" t="s">
        <v>7767</v>
      </c>
      <c r="E122" s="724">
        <v>12</v>
      </c>
      <c r="F122" s="718"/>
      <c r="G122" s="725">
        <v>31.9</v>
      </c>
      <c r="H122" s="726">
        <v>45.5</v>
      </c>
      <c r="I122" s="727">
        <f t="shared" si="0"/>
        <v>0.3</v>
      </c>
      <c r="J122" s="728" t="s">
        <v>5541</v>
      </c>
      <c r="K122" s="729" t="s">
        <v>96</v>
      </c>
      <c r="L122" s="730"/>
      <c r="M122" s="731" t="s">
        <v>1856</v>
      </c>
      <c r="N122" s="1001" t="s">
        <v>1856</v>
      </c>
      <c r="O122" s="732" t="s">
        <v>7698</v>
      </c>
      <c r="P122" s="733" t="s">
        <v>100</v>
      </c>
      <c r="Q122" s="721">
        <f t="shared" si="1"/>
        <v>0</v>
      </c>
      <c r="R122" s="94" t="str">
        <f t="shared" si="2"/>
        <v>Фото &gt;&gt;</v>
      </c>
      <c r="S122" s="14" t="s">
        <v>4147</v>
      </c>
      <c r="AK122">
        <v>3.5000000000000003E-2</v>
      </c>
      <c r="AL122">
        <f t="shared" si="6"/>
        <v>0</v>
      </c>
      <c r="AM122">
        <f t="shared" si="7"/>
        <v>0</v>
      </c>
      <c r="AN122">
        <f t="shared" si="8"/>
        <v>0</v>
      </c>
      <c r="AO122" t="s">
        <v>4152</v>
      </c>
      <c r="AV122" t="str">
        <f>IF(F122&gt;0,(COUNT($AV$1:AV121)+1),"")</f>
        <v/>
      </c>
    </row>
    <row r="123" spans="1:48" ht="15" customHeight="1" x14ac:dyDescent="0.25">
      <c r="A123" s="1"/>
      <c r="B123" s="364" t="s">
        <v>7415</v>
      </c>
      <c r="C123" s="365">
        <v>4607051356573</v>
      </c>
      <c r="D123" s="514" t="s">
        <v>7768</v>
      </c>
      <c r="E123" s="366">
        <v>12</v>
      </c>
      <c r="F123" s="315"/>
      <c r="G123" s="758">
        <v>31.9</v>
      </c>
      <c r="H123" s="759">
        <v>45.5</v>
      </c>
      <c r="I123" s="760">
        <f t="shared" si="0"/>
        <v>0.3</v>
      </c>
      <c r="J123" s="370" t="s">
        <v>5541</v>
      </c>
      <c r="K123" s="371" t="s">
        <v>96</v>
      </c>
      <c r="L123" s="431"/>
      <c r="M123" s="494" t="s">
        <v>1856</v>
      </c>
      <c r="N123" s="1000" t="s">
        <v>1856</v>
      </c>
      <c r="O123" s="761" t="s">
        <v>7699</v>
      </c>
      <c r="P123" s="373" t="s">
        <v>100</v>
      </c>
      <c r="Q123" s="721">
        <f t="shared" si="1"/>
        <v>0</v>
      </c>
      <c r="R123" s="94" t="str">
        <f t="shared" si="2"/>
        <v>Фото &gt;&gt;</v>
      </c>
      <c r="S123" s="14" t="s">
        <v>4149</v>
      </c>
      <c r="AK123">
        <v>3.5000000000000003E-2</v>
      </c>
      <c r="AL123">
        <f t="shared" si="6"/>
        <v>0</v>
      </c>
      <c r="AM123">
        <f t="shared" si="7"/>
        <v>0</v>
      </c>
      <c r="AN123">
        <f t="shared" si="8"/>
        <v>0</v>
      </c>
      <c r="AO123" t="s">
        <v>4154</v>
      </c>
      <c r="AV123" t="str">
        <f>IF(F123&gt;0,(COUNT($AV$1:AV122)+1),"")</f>
        <v/>
      </c>
    </row>
    <row r="124" spans="1:48" ht="15" customHeight="1" x14ac:dyDescent="0.25">
      <c r="A124" s="1"/>
      <c r="B124" s="900" t="s">
        <v>7755</v>
      </c>
      <c r="C124" s="901">
        <v>4607941900039</v>
      </c>
      <c r="D124" s="902" t="s">
        <v>7769</v>
      </c>
      <c r="E124" s="903">
        <v>8</v>
      </c>
      <c r="F124" s="1212"/>
      <c r="G124" s="1213">
        <v>124.2</v>
      </c>
      <c r="H124" s="1214">
        <v>177.4</v>
      </c>
      <c r="I124" s="1215">
        <f t="shared" si="0"/>
        <v>0.3</v>
      </c>
      <c r="J124" s="907" t="s">
        <v>5827</v>
      </c>
      <c r="K124" s="908" t="s">
        <v>326</v>
      </c>
      <c r="L124" s="909"/>
      <c r="M124" s="910" t="s">
        <v>1856</v>
      </c>
      <c r="N124" s="1026" t="s">
        <v>1856</v>
      </c>
      <c r="O124" s="1216" t="s">
        <v>7746</v>
      </c>
      <c r="P124" s="912" t="s">
        <v>100</v>
      </c>
      <c r="Q124" s="721">
        <f t="shared" si="1"/>
        <v>0</v>
      </c>
      <c r="R124" s="94" t="str">
        <f t="shared" si="2"/>
        <v>Фото &gt;&gt;</v>
      </c>
      <c r="S124" s="14" t="s">
        <v>5794</v>
      </c>
      <c r="AK124">
        <v>0.16</v>
      </c>
      <c r="AL124">
        <f t="shared" si="6"/>
        <v>0</v>
      </c>
      <c r="AM124">
        <f t="shared" si="7"/>
        <v>0</v>
      </c>
      <c r="AN124">
        <f t="shared" si="8"/>
        <v>0</v>
      </c>
      <c r="AO124" t="s">
        <v>5814</v>
      </c>
      <c r="AV124" t="s">
        <v>104</v>
      </c>
    </row>
    <row r="125" spans="1:48" ht="15" customHeight="1" x14ac:dyDescent="0.25">
      <c r="A125" s="1"/>
      <c r="B125" s="364" t="s">
        <v>7756</v>
      </c>
      <c r="C125" s="365">
        <v>4607941900848</v>
      </c>
      <c r="D125" s="514" t="s">
        <v>7770</v>
      </c>
      <c r="E125" s="366">
        <v>8</v>
      </c>
      <c r="F125" s="315"/>
      <c r="G125" s="758">
        <v>151.1</v>
      </c>
      <c r="H125" s="759">
        <v>201.4</v>
      </c>
      <c r="I125" s="760">
        <f t="shared" si="0"/>
        <v>0.25</v>
      </c>
      <c r="J125" s="370" t="s">
        <v>5827</v>
      </c>
      <c r="K125" s="371" t="s">
        <v>326</v>
      </c>
      <c r="L125" s="431"/>
      <c r="M125" s="494" t="s">
        <v>1856</v>
      </c>
      <c r="N125" s="1000" t="s">
        <v>1856</v>
      </c>
      <c r="O125" s="761" t="s">
        <v>7747</v>
      </c>
      <c r="P125" s="373" t="s">
        <v>100</v>
      </c>
      <c r="Q125" s="721">
        <f t="shared" si="1"/>
        <v>0</v>
      </c>
      <c r="R125" s="94" t="str">
        <f t="shared" si="2"/>
        <v>Фото &gt;&gt;</v>
      </c>
      <c r="S125" s="14" t="s">
        <v>6816</v>
      </c>
      <c r="AK125">
        <v>0.16</v>
      </c>
      <c r="AL125">
        <f t="shared" si="6"/>
        <v>0</v>
      </c>
      <c r="AM125">
        <f t="shared" si="7"/>
        <v>0</v>
      </c>
      <c r="AN125">
        <f t="shared" si="8"/>
        <v>0</v>
      </c>
      <c r="AO125" t="s">
        <v>6819</v>
      </c>
      <c r="AV125" t="s">
        <v>104</v>
      </c>
    </row>
    <row r="126" spans="1:48" ht="15" customHeight="1" x14ac:dyDescent="0.25">
      <c r="A126" s="1"/>
      <c r="B126" s="880" t="s">
        <v>7757</v>
      </c>
      <c r="C126" s="722">
        <v>4607941900831</v>
      </c>
      <c r="D126" s="723" t="s">
        <v>7771</v>
      </c>
      <c r="E126" s="724">
        <v>8</v>
      </c>
      <c r="F126" s="718"/>
      <c r="G126" s="725">
        <v>146.30000000000001</v>
      </c>
      <c r="H126" s="726">
        <v>195.1</v>
      </c>
      <c r="I126" s="727">
        <f t="shared" si="0"/>
        <v>0.25</v>
      </c>
      <c r="J126" s="728" t="s">
        <v>5827</v>
      </c>
      <c r="K126" s="729" t="s">
        <v>326</v>
      </c>
      <c r="L126" s="730"/>
      <c r="M126" s="731" t="s">
        <v>1856</v>
      </c>
      <c r="N126" s="1001" t="s">
        <v>1856</v>
      </c>
      <c r="O126" s="732" t="s">
        <v>7748</v>
      </c>
      <c r="P126" s="733" t="s">
        <v>100</v>
      </c>
      <c r="Q126" s="721">
        <f t="shared" si="1"/>
        <v>0</v>
      </c>
      <c r="R126" s="94" t="str">
        <f t="shared" si="2"/>
        <v>Фото &gt;&gt;</v>
      </c>
      <c r="S126" s="14" t="s">
        <v>6817</v>
      </c>
      <c r="AK126">
        <v>0.16</v>
      </c>
      <c r="AL126">
        <f t="shared" si="6"/>
        <v>0</v>
      </c>
      <c r="AM126">
        <f t="shared" si="7"/>
        <v>0</v>
      </c>
      <c r="AN126">
        <f t="shared" si="8"/>
        <v>0</v>
      </c>
      <c r="AO126" t="s">
        <v>6820</v>
      </c>
      <c r="AV126" t="s">
        <v>104</v>
      </c>
    </row>
    <row r="127" spans="1:48" ht="15" customHeight="1" x14ac:dyDescent="0.25">
      <c r="A127" s="1"/>
      <c r="B127" s="364" t="s">
        <v>7758</v>
      </c>
      <c r="C127" s="365">
        <v>4607941900787</v>
      </c>
      <c r="D127" s="514" t="s">
        <v>7772</v>
      </c>
      <c r="E127" s="366">
        <v>8</v>
      </c>
      <c r="F127" s="315"/>
      <c r="G127" s="758">
        <v>129.30000000000001</v>
      </c>
      <c r="H127" s="759">
        <v>172.4</v>
      </c>
      <c r="I127" s="760">
        <f t="shared" si="0"/>
        <v>0.25</v>
      </c>
      <c r="J127" s="370" t="s">
        <v>5827</v>
      </c>
      <c r="K127" s="371" t="s">
        <v>326</v>
      </c>
      <c r="L127" s="431"/>
      <c r="M127" s="494" t="s">
        <v>1856</v>
      </c>
      <c r="N127" s="1000" t="s">
        <v>1856</v>
      </c>
      <c r="O127" s="761" t="s">
        <v>7748</v>
      </c>
      <c r="P127" s="373" t="s">
        <v>100</v>
      </c>
      <c r="Q127" s="721">
        <f t="shared" si="1"/>
        <v>0</v>
      </c>
      <c r="R127" s="94" t="str">
        <f t="shared" si="2"/>
        <v>Фото &gt;&gt;</v>
      </c>
      <c r="S127" s="14" t="s">
        <v>6818</v>
      </c>
      <c r="AK127">
        <v>0.16</v>
      </c>
      <c r="AL127">
        <f t="shared" si="6"/>
        <v>0</v>
      </c>
      <c r="AM127">
        <f t="shared" si="7"/>
        <v>0</v>
      </c>
      <c r="AN127">
        <f t="shared" si="8"/>
        <v>0</v>
      </c>
      <c r="AO127" t="s">
        <v>6821</v>
      </c>
      <c r="AV127" t="s">
        <v>104</v>
      </c>
    </row>
    <row r="128" spans="1:48" ht="15" customHeight="1" x14ac:dyDescent="0.25">
      <c r="A128" s="1"/>
      <c r="B128" s="880" t="s">
        <v>7759</v>
      </c>
      <c r="C128" s="722">
        <v>4607941900596</v>
      </c>
      <c r="D128" s="723" t="s">
        <v>7773</v>
      </c>
      <c r="E128" s="724">
        <v>8</v>
      </c>
      <c r="F128" s="718"/>
      <c r="G128" s="725">
        <v>149.69999999999999</v>
      </c>
      <c r="H128" s="726">
        <v>199.6</v>
      </c>
      <c r="I128" s="727">
        <f t="shared" si="0"/>
        <v>0.25</v>
      </c>
      <c r="J128" s="728" t="s">
        <v>5827</v>
      </c>
      <c r="K128" s="729" t="s">
        <v>326</v>
      </c>
      <c r="L128" s="730"/>
      <c r="M128" s="731"/>
      <c r="N128" s="1001" t="s">
        <v>1856</v>
      </c>
      <c r="O128" s="732" t="s">
        <v>7749</v>
      </c>
      <c r="P128" s="733" t="s">
        <v>100</v>
      </c>
      <c r="Q128" s="721">
        <f t="shared" si="1"/>
        <v>0</v>
      </c>
      <c r="R128" s="94" t="str">
        <f t="shared" si="2"/>
        <v>Фото &gt;&gt;</v>
      </c>
      <c r="S128" s="14" t="s">
        <v>5826</v>
      </c>
      <c r="AK128">
        <v>0.23</v>
      </c>
      <c r="AL128">
        <f t="shared" si="6"/>
        <v>0</v>
      </c>
      <c r="AM128">
        <f t="shared" si="7"/>
        <v>0</v>
      </c>
      <c r="AN128">
        <f t="shared" si="8"/>
        <v>0</v>
      </c>
      <c r="AO128" t="s">
        <v>5815</v>
      </c>
      <c r="AV128" t="s">
        <v>104</v>
      </c>
    </row>
    <row r="129" spans="1:48" ht="15" customHeight="1" x14ac:dyDescent="0.25">
      <c r="A129" s="1"/>
      <c r="B129" s="364" t="s">
        <v>7760</v>
      </c>
      <c r="C129" s="365">
        <v>4627112870473</v>
      </c>
      <c r="D129" s="514" t="s">
        <v>7774</v>
      </c>
      <c r="E129" s="366">
        <v>8</v>
      </c>
      <c r="F129" s="315"/>
      <c r="G129" s="758">
        <v>139.30000000000001</v>
      </c>
      <c r="H129" s="759">
        <v>199</v>
      </c>
      <c r="I129" s="760">
        <f t="shared" si="0"/>
        <v>0.3</v>
      </c>
      <c r="J129" s="370" t="s">
        <v>5827</v>
      </c>
      <c r="K129" s="371" t="s">
        <v>326</v>
      </c>
      <c r="L129" s="431"/>
      <c r="M129" s="494"/>
      <c r="N129" s="1000" t="s">
        <v>1856</v>
      </c>
      <c r="O129" s="761" t="s">
        <v>7699</v>
      </c>
      <c r="P129" s="373" t="s">
        <v>100</v>
      </c>
      <c r="Q129" s="721">
        <f t="shared" si="1"/>
        <v>0</v>
      </c>
      <c r="R129" s="94" t="str">
        <f t="shared" si="2"/>
        <v>Фото &gt;&gt;</v>
      </c>
      <c r="S129" s="14" t="s">
        <v>5798</v>
      </c>
      <c r="AK129">
        <v>0.23</v>
      </c>
      <c r="AL129">
        <f t="shared" si="6"/>
        <v>0</v>
      </c>
      <c r="AM129">
        <f t="shared" si="7"/>
        <v>0</v>
      </c>
      <c r="AN129">
        <f t="shared" si="8"/>
        <v>0</v>
      </c>
      <c r="AO129" t="s">
        <v>5818</v>
      </c>
      <c r="AV129" t="s">
        <v>104</v>
      </c>
    </row>
    <row r="130" spans="1:48" ht="15" customHeight="1" x14ac:dyDescent="0.25">
      <c r="A130" s="1"/>
      <c r="B130" s="880" t="s">
        <v>7761</v>
      </c>
      <c r="C130" s="722">
        <v>4627112870268</v>
      </c>
      <c r="D130" s="723" t="s">
        <v>7775</v>
      </c>
      <c r="E130" s="724">
        <v>8</v>
      </c>
      <c r="F130" s="718"/>
      <c r="G130" s="725">
        <v>132.9</v>
      </c>
      <c r="H130" s="726">
        <v>189.8</v>
      </c>
      <c r="I130" s="727">
        <f t="shared" si="0"/>
        <v>0.3</v>
      </c>
      <c r="J130" s="728" t="s">
        <v>5827</v>
      </c>
      <c r="K130" s="729" t="s">
        <v>326</v>
      </c>
      <c r="L130" s="730"/>
      <c r="M130" s="731"/>
      <c r="N130" s="1001" t="s">
        <v>1856</v>
      </c>
      <c r="O130" s="732" t="s">
        <v>7750</v>
      </c>
      <c r="P130" s="733" t="s">
        <v>100</v>
      </c>
      <c r="Q130" s="721">
        <f t="shared" si="1"/>
        <v>0</v>
      </c>
      <c r="R130" s="94" t="str">
        <f t="shared" si="2"/>
        <v>Фото &gt;&gt;</v>
      </c>
      <c r="S130" s="14" t="s">
        <v>6963</v>
      </c>
      <c r="AK130">
        <v>0.23</v>
      </c>
      <c r="AL130">
        <f t="shared" si="6"/>
        <v>0</v>
      </c>
      <c r="AM130">
        <f t="shared" si="7"/>
        <v>0</v>
      </c>
      <c r="AN130">
        <f t="shared" si="8"/>
        <v>0</v>
      </c>
      <c r="AO130" t="s">
        <v>6964</v>
      </c>
      <c r="AV130" t="s">
        <v>104</v>
      </c>
    </row>
    <row r="131" spans="1:48" ht="15" customHeight="1" x14ac:dyDescent="0.25">
      <c r="A131" s="1"/>
      <c r="B131" s="364" t="s">
        <v>7762</v>
      </c>
      <c r="C131" s="365">
        <v>4607941900336</v>
      </c>
      <c r="D131" s="514" t="s">
        <v>7776</v>
      </c>
      <c r="E131" s="366">
        <v>8</v>
      </c>
      <c r="F131" s="315"/>
      <c r="G131" s="758">
        <v>138.19999999999999</v>
      </c>
      <c r="H131" s="759">
        <v>184.2</v>
      </c>
      <c r="I131" s="760">
        <f t="shared" si="0"/>
        <v>0.25</v>
      </c>
      <c r="J131" s="370" t="s">
        <v>5827</v>
      </c>
      <c r="K131" s="371" t="s">
        <v>326</v>
      </c>
      <c r="L131" s="431"/>
      <c r="M131" s="494"/>
      <c r="N131" s="1000" t="s">
        <v>1856</v>
      </c>
      <c r="O131" s="761" t="s">
        <v>7751</v>
      </c>
      <c r="P131" s="373" t="s">
        <v>100</v>
      </c>
      <c r="Q131" s="721">
        <f t="shared" si="1"/>
        <v>0</v>
      </c>
      <c r="R131" s="94" t="str">
        <f t="shared" si="2"/>
        <v>Фото &gt;&gt;</v>
      </c>
      <c r="S131" s="14" t="s">
        <v>5901</v>
      </c>
      <c r="AK131">
        <v>0.23</v>
      </c>
      <c r="AL131">
        <f t="shared" si="6"/>
        <v>0</v>
      </c>
      <c r="AM131">
        <f t="shared" si="7"/>
        <v>0</v>
      </c>
      <c r="AN131">
        <f t="shared" si="8"/>
        <v>0</v>
      </c>
      <c r="AO131" t="s">
        <v>5902</v>
      </c>
      <c r="AV131" t="s">
        <v>104</v>
      </c>
    </row>
    <row r="132" spans="1:48" ht="15" customHeight="1" x14ac:dyDescent="0.25">
      <c r="A132" s="1"/>
      <c r="B132" s="880" t="s">
        <v>7763</v>
      </c>
      <c r="C132" s="722">
        <v>4607941900374</v>
      </c>
      <c r="D132" s="723" t="s">
        <v>7780</v>
      </c>
      <c r="E132" s="724">
        <v>10</v>
      </c>
      <c r="F132" s="718"/>
      <c r="G132" s="725">
        <v>108.3</v>
      </c>
      <c r="H132" s="726">
        <v>144.4</v>
      </c>
      <c r="I132" s="727">
        <f t="shared" si="0"/>
        <v>0.25</v>
      </c>
      <c r="J132" s="728" t="s">
        <v>5827</v>
      </c>
      <c r="K132" s="729" t="s">
        <v>99</v>
      </c>
      <c r="L132" s="730"/>
      <c r="M132" s="731" t="s">
        <v>1856</v>
      </c>
      <c r="N132" s="1001" t="s">
        <v>1856</v>
      </c>
      <c r="O132" s="732" t="s">
        <v>7752</v>
      </c>
      <c r="P132" s="733" t="s">
        <v>100</v>
      </c>
      <c r="Q132" s="721">
        <f t="shared" si="1"/>
        <v>0</v>
      </c>
      <c r="R132" s="94" t="str">
        <f t="shared" si="2"/>
        <v>Фото &gt;&gt;</v>
      </c>
      <c r="S132" s="14" t="s">
        <v>5801</v>
      </c>
      <c r="AK132">
        <v>0.32</v>
      </c>
      <c r="AL132">
        <f t="shared" si="6"/>
        <v>0</v>
      </c>
      <c r="AM132">
        <f t="shared" si="7"/>
        <v>0</v>
      </c>
      <c r="AN132">
        <f t="shared" si="8"/>
        <v>0</v>
      </c>
      <c r="AO132" t="s">
        <v>5821</v>
      </c>
      <c r="AV132" t="s">
        <v>104</v>
      </c>
    </row>
    <row r="133" spans="1:48" ht="15" customHeight="1" x14ac:dyDescent="0.25">
      <c r="A133" s="1"/>
      <c r="B133" s="364" t="s">
        <v>7764</v>
      </c>
      <c r="C133" s="365">
        <v>4607941900343</v>
      </c>
      <c r="D133" s="514" t="s">
        <v>7777</v>
      </c>
      <c r="E133" s="366">
        <v>10</v>
      </c>
      <c r="F133" s="315"/>
      <c r="G133" s="758">
        <v>101.9</v>
      </c>
      <c r="H133" s="759">
        <v>135.9</v>
      </c>
      <c r="I133" s="760">
        <f t="shared" si="0"/>
        <v>0.25</v>
      </c>
      <c r="J133" s="370" t="s">
        <v>5827</v>
      </c>
      <c r="K133" s="371" t="s">
        <v>99</v>
      </c>
      <c r="L133" s="431"/>
      <c r="M133" s="494" t="s">
        <v>1856</v>
      </c>
      <c r="N133" s="1000" t="s">
        <v>1856</v>
      </c>
      <c r="O133" s="761" t="s">
        <v>7753</v>
      </c>
      <c r="P133" s="373" t="s">
        <v>100</v>
      </c>
      <c r="Q133" s="721">
        <f t="shared" si="1"/>
        <v>0</v>
      </c>
      <c r="R133" s="94" t="str">
        <f t="shared" si="2"/>
        <v>Фото &gt;&gt;</v>
      </c>
      <c r="S133" s="14" t="s">
        <v>5804</v>
      </c>
      <c r="AK133">
        <v>0.32</v>
      </c>
      <c r="AL133">
        <f t="shared" si="6"/>
        <v>0</v>
      </c>
      <c r="AM133">
        <f t="shared" si="7"/>
        <v>0</v>
      </c>
      <c r="AN133">
        <f t="shared" si="8"/>
        <v>0</v>
      </c>
      <c r="AO133" t="s">
        <v>5822</v>
      </c>
      <c r="AV133" t="s">
        <v>104</v>
      </c>
    </row>
    <row r="134" spans="1:48" ht="15" customHeight="1" x14ac:dyDescent="0.25">
      <c r="A134" s="1"/>
      <c r="B134" s="880" t="s">
        <v>7765</v>
      </c>
      <c r="C134" s="722">
        <v>4607941900473</v>
      </c>
      <c r="D134" s="723" t="s">
        <v>7778</v>
      </c>
      <c r="E134" s="724">
        <v>10</v>
      </c>
      <c r="F134" s="718"/>
      <c r="G134" s="725">
        <v>110.7</v>
      </c>
      <c r="H134" s="726">
        <v>138.43</v>
      </c>
      <c r="I134" s="727">
        <f t="shared" si="0"/>
        <v>0.2</v>
      </c>
      <c r="J134" s="728" t="s">
        <v>5827</v>
      </c>
      <c r="K134" s="729" t="s">
        <v>99</v>
      </c>
      <c r="L134" s="730"/>
      <c r="M134" s="731" t="s">
        <v>1856</v>
      </c>
      <c r="N134" s="1001" t="s">
        <v>1856</v>
      </c>
      <c r="O134" s="732" t="s">
        <v>7754</v>
      </c>
      <c r="P134" s="733" t="s">
        <v>100</v>
      </c>
      <c r="Q134" s="721">
        <f t="shared" si="1"/>
        <v>0</v>
      </c>
      <c r="R134" s="94" t="str">
        <f t="shared" si="2"/>
        <v>Фото &gt;&gt;</v>
      </c>
      <c r="S134" s="14" t="s">
        <v>5802</v>
      </c>
      <c r="AK134">
        <v>0.32</v>
      </c>
      <c r="AL134">
        <f t="shared" si="6"/>
        <v>0</v>
      </c>
      <c r="AM134">
        <f t="shared" si="7"/>
        <v>0</v>
      </c>
      <c r="AN134">
        <f t="shared" si="8"/>
        <v>0</v>
      </c>
      <c r="AO134" t="s">
        <v>5823</v>
      </c>
      <c r="AV134" t="s">
        <v>104</v>
      </c>
    </row>
    <row r="135" spans="1:48" ht="15" customHeight="1" x14ac:dyDescent="0.25">
      <c r="A135" s="1"/>
      <c r="B135" s="364" t="s">
        <v>7766</v>
      </c>
      <c r="C135" s="365">
        <v>4607941900503</v>
      </c>
      <c r="D135" s="514" t="s">
        <v>7779</v>
      </c>
      <c r="E135" s="366">
        <v>10</v>
      </c>
      <c r="F135" s="315"/>
      <c r="G135" s="758">
        <v>132.30000000000001</v>
      </c>
      <c r="H135" s="759">
        <v>176.4</v>
      </c>
      <c r="I135" s="760">
        <f t="shared" si="0"/>
        <v>0.25</v>
      </c>
      <c r="J135" s="370" t="s">
        <v>5827</v>
      </c>
      <c r="K135" s="371" t="s">
        <v>99</v>
      </c>
      <c r="L135" s="431"/>
      <c r="M135" s="494" t="s">
        <v>1856</v>
      </c>
      <c r="N135" s="1000" t="s">
        <v>1856</v>
      </c>
      <c r="O135" s="761" t="s">
        <v>7698</v>
      </c>
      <c r="P135" s="373" t="s">
        <v>100</v>
      </c>
      <c r="Q135" s="721">
        <f t="shared" si="1"/>
        <v>0</v>
      </c>
      <c r="R135" s="94" t="str">
        <f t="shared" si="2"/>
        <v>Фото &gt;&gt;</v>
      </c>
      <c r="S135" s="14" t="s">
        <v>5800</v>
      </c>
      <c r="AK135">
        <v>0.32</v>
      </c>
      <c r="AL135">
        <f t="shared" si="6"/>
        <v>0</v>
      </c>
      <c r="AM135">
        <f t="shared" si="7"/>
        <v>0</v>
      </c>
      <c r="AN135">
        <f t="shared" si="8"/>
        <v>0</v>
      </c>
      <c r="AO135" t="s">
        <v>5824</v>
      </c>
      <c r="AV135" t="s">
        <v>104</v>
      </c>
    </row>
    <row r="136" spans="1:48" ht="15" customHeight="1" x14ac:dyDescent="0.25">
      <c r="A136" s="1"/>
      <c r="B136" s="900" t="s">
        <v>7404</v>
      </c>
      <c r="C136" s="901">
        <v>4680013877330</v>
      </c>
      <c r="D136" s="902" t="s">
        <v>7401</v>
      </c>
      <c r="E136" s="903">
        <v>5</v>
      </c>
      <c r="F136" s="1212"/>
      <c r="G136" s="1213">
        <v>357.4</v>
      </c>
      <c r="H136" s="1214">
        <v>549.79999999999995</v>
      </c>
      <c r="I136" s="1215">
        <f t="shared" si="0"/>
        <v>0.35</v>
      </c>
      <c r="J136" s="907" t="s">
        <v>483</v>
      </c>
      <c r="K136" s="908" t="s">
        <v>367</v>
      </c>
      <c r="L136" s="909" t="s">
        <v>2929</v>
      </c>
      <c r="M136" s="910" t="s">
        <v>104</v>
      </c>
      <c r="N136" s="1026" t="s">
        <v>1856</v>
      </c>
      <c r="O136" s="1216" t="s">
        <v>7700</v>
      </c>
      <c r="P136" s="912" t="s">
        <v>53</v>
      </c>
      <c r="Q136" s="721">
        <f t="shared" si="1"/>
        <v>0</v>
      </c>
      <c r="R136" s="94" t="str">
        <f t="shared" si="2"/>
        <v>Фото &gt;&gt;</v>
      </c>
      <c r="S136" s="14" t="s">
        <v>497</v>
      </c>
      <c r="AK136">
        <v>0.12</v>
      </c>
      <c r="AL136">
        <f t="shared" si="6"/>
        <v>0</v>
      </c>
      <c r="AM136">
        <f t="shared" si="7"/>
        <v>0</v>
      </c>
      <c r="AN136">
        <f t="shared" si="8"/>
        <v>0</v>
      </c>
      <c r="AO136" t="s">
        <v>5360</v>
      </c>
      <c r="AV136" t="str">
        <f>IF(F136&gt;0,(COUNT($AV$1:AV135)+1),"")</f>
        <v/>
      </c>
    </row>
    <row r="137" spans="1:48" ht="15" customHeight="1" x14ac:dyDescent="0.25">
      <c r="A137" s="1"/>
      <c r="B137" s="364" t="s">
        <v>7405</v>
      </c>
      <c r="C137" s="365">
        <v>4630049334208</v>
      </c>
      <c r="D137" s="514" t="s">
        <v>7402</v>
      </c>
      <c r="E137" s="366">
        <v>18</v>
      </c>
      <c r="F137" s="315"/>
      <c r="G137" s="758">
        <v>50.6</v>
      </c>
      <c r="H137" s="759">
        <v>77.900000000000006</v>
      </c>
      <c r="I137" s="760">
        <f t="shared" si="0"/>
        <v>0.35</v>
      </c>
      <c r="J137" s="370" t="s">
        <v>483</v>
      </c>
      <c r="K137" s="371" t="s">
        <v>367</v>
      </c>
      <c r="L137" s="431" t="s">
        <v>2929</v>
      </c>
      <c r="M137" s="494" t="s">
        <v>104</v>
      </c>
      <c r="N137" s="1000"/>
      <c r="O137" s="761" t="s">
        <v>7701</v>
      </c>
      <c r="P137" s="373" t="s">
        <v>53</v>
      </c>
      <c r="Q137" s="721">
        <f t="shared" si="1"/>
        <v>0</v>
      </c>
      <c r="R137" s="94" t="str">
        <f t="shared" si="2"/>
        <v>Фото &gt;&gt;</v>
      </c>
      <c r="S137" s="14" t="s">
        <v>2154</v>
      </c>
      <c r="AK137">
        <v>4.2000000000000003E-2</v>
      </c>
      <c r="AL137">
        <f t="shared" si="6"/>
        <v>0</v>
      </c>
      <c r="AM137">
        <f t="shared" si="7"/>
        <v>0</v>
      </c>
      <c r="AN137">
        <f t="shared" si="8"/>
        <v>0</v>
      </c>
      <c r="AO137" t="s">
        <v>2580</v>
      </c>
      <c r="AV137" t="str">
        <f>IF(F137&gt;0,(COUNT($AV$1:AV136)+1),"")</f>
        <v/>
      </c>
    </row>
    <row r="138" spans="1:48" ht="15" customHeight="1" x14ac:dyDescent="0.25">
      <c r="A138" s="1"/>
      <c r="B138" s="880" t="s">
        <v>7406</v>
      </c>
      <c r="C138" s="722">
        <v>4680013875169</v>
      </c>
      <c r="D138" s="723" t="s">
        <v>4544</v>
      </c>
      <c r="E138" s="724">
        <v>6</v>
      </c>
      <c r="F138" s="718"/>
      <c r="G138" s="725">
        <v>364.4</v>
      </c>
      <c r="H138" s="726">
        <v>560.6</v>
      </c>
      <c r="I138" s="727">
        <f t="shared" si="0"/>
        <v>0.35</v>
      </c>
      <c r="J138" s="728" t="s">
        <v>483</v>
      </c>
      <c r="K138" s="729" t="s">
        <v>367</v>
      </c>
      <c r="L138" s="730" t="s">
        <v>2929</v>
      </c>
      <c r="M138" s="731" t="s">
        <v>104</v>
      </c>
      <c r="N138" s="1001" t="s">
        <v>1856</v>
      </c>
      <c r="O138" s="732" t="s">
        <v>7700</v>
      </c>
      <c r="P138" s="733" t="s">
        <v>53</v>
      </c>
      <c r="Q138" s="721">
        <f t="shared" si="1"/>
        <v>0</v>
      </c>
      <c r="R138" s="94" t="str">
        <f t="shared" si="2"/>
        <v>Фото &gt;&gt;</v>
      </c>
      <c r="S138" s="14" t="s">
        <v>484</v>
      </c>
      <c r="AK138">
        <v>0.15</v>
      </c>
      <c r="AL138">
        <f t="shared" si="6"/>
        <v>0</v>
      </c>
      <c r="AM138">
        <f t="shared" si="7"/>
        <v>0</v>
      </c>
      <c r="AN138">
        <f t="shared" si="8"/>
        <v>0</v>
      </c>
      <c r="AO138" t="s">
        <v>4542</v>
      </c>
      <c r="AV138" t="str">
        <f>IF(F138&gt;0,(COUNT($AV$1:AV137)+1),"")</f>
        <v/>
      </c>
    </row>
    <row r="139" spans="1:48" ht="15" customHeight="1" x14ac:dyDescent="0.25">
      <c r="A139" s="1"/>
      <c r="B139" s="364" t="s">
        <v>7443</v>
      </c>
      <c r="C139" s="365">
        <v>4680013879921</v>
      </c>
      <c r="D139" s="514" t="s">
        <v>488</v>
      </c>
      <c r="E139" s="366">
        <v>4</v>
      </c>
      <c r="F139" s="315"/>
      <c r="G139" s="758">
        <v>289.8</v>
      </c>
      <c r="H139" s="759">
        <v>579.6</v>
      </c>
      <c r="I139" s="760">
        <f t="shared" si="0"/>
        <v>0.5</v>
      </c>
      <c r="J139" s="370" t="s">
        <v>483</v>
      </c>
      <c r="K139" s="371" t="s">
        <v>367</v>
      </c>
      <c r="L139" s="431" t="s">
        <v>2929</v>
      </c>
      <c r="M139" s="494" t="s">
        <v>104</v>
      </c>
      <c r="N139" s="1000" t="s">
        <v>1856</v>
      </c>
      <c r="O139" s="761" t="s">
        <v>7702</v>
      </c>
      <c r="P139" s="373" t="s">
        <v>53</v>
      </c>
      <c r="Q139" s="721">
        <f t="shared" si="1"/>
        <v>0</v>
      </c>
      <c r="R139" s="94" t="str">
        <f t="shared" si="2"/>
        <v>Фото &gt;&gt;</v>
      </c>
      <c r="S139" s="14" t="s">
        <v>489</v>
      </c>
      <c r="AK139">
        <v>0.14000000000000001</v>
      </c>
      <c r="AL139">
        <f t="shared" si="6"/>
        <v>0</v>
      </c>
      <c r="AM139">
        <f t="shared" si="7"/>
        <v>0</v>
      </c>
      <c r="AN139">
        <f t="shared" si="8"/>
        <v>0</v>
      </c>
      <c r="AO139" t="s">
        <v>5363</v>
      </c>
      <c r="AV139" t="str">
        <f>IF(F139&gt;0,(COUNT($AV$1:AV138)+1),"")</f>
        <v/>
      </c>
    </row>
    <row r="140" spans="1:48" ht="15" customHeight="1" x14ac:dyDescent="0.25">
      <c r="A140" s="1"/>
      <c r="B140" s="880" t="s">
        <v>7407</v>
      </c>
      <c r="C140" s="722">
        <v>4680013873851</v>
      </c>
      <c r="D140" s="723" t="s">
        <v>486</v>
      </c>
      <c r="E140" s="724">
        <v>5</v>
      </c>
      <c r="F140" s="718"/>
      <c r="G140" s="725">
        <v>390.5</v>
      </c>
      <c r="H140" s="726">
        <v>600.70000000000005</v>
      </c>
      <c r="I140" s="727">
        <f t="shared" si="0"/>
        <v>0.35</v>
      </c>
      <c r="J140" s="728" t="s">
        <v>483</v>
      </c>
      <c r="K140" s="729" t="s">
        <v>367</v>
      </c>
      <c r="L140" s="730" t="s">
        <v>2929</v>
      </c>
      <c r="M140" s="731" t="s">
        <v>104</v>
      </c>
      <c r="N140" s="1001" t="s">
        <v>1856</v>
      </c>
      <c r="O140" s="732" t="s">
        <v>7703</v>
      </c>
      <c r="P140" s="733" t="s">
        <v>53</v>
      </c>
      <c r="Q140" s="721">
        <f t="shared" si="1"/>
        <v>0</v>
      </c>
      <c r="R140" s="94" t="str">
        <f t="shared" si="2"/>
        <v>Фото &gt;&gt;</v>
      </c>
      <c r="S140" s="14" t="s">
        <v>487</v>
      </c>
      <c r="AK140">
        <v>0.14000000000000001</v>
      </c>
      <c r="AL140">
        <f t="shared" si="6"/>
        <v>0</v>
      </c>
      <c r="AM140">
        <f t="shared" si="7"/>
        <v>0</v>
      </c>
      <c r="AN140">
        <f t="shared" si="8"/>
        <v>0</v>
      </c>
      <c r="AO140" t="s">
        <v>5362</v>
      </c>
      <c r="AV140" t="str">
        <f>IF(F140&gt;0,(COUNT($AV$1:AV139)+1),"")</f>
        <v/>
      </c>
    </row>
    <row r="141" spans="1:48" ht="15" customHeight="1" x14ac:dyDescent="0.25">
      <c r="A141" s="1"/>
      <c r="B141" s="364" t="s">
        <v>7408</v>
      </c>
      <c r="C141" s="365">
        <v>4680013874995</v>
      </c>
      <c r="D141" s="514" t="s">
        <v>492</v>
      </c>
      <c r="E141" s="366">
        <v>5</v>
      </c>
      <c r="F141" s="315"/>
      <c r="G141" s="758">
        <v>211.3</v>
      </c>
      <c r="H141" s="759">
        <v>325.10000000000002</v>
      </c>
      <c r="I141" s="760">
        <f t="shared" si="0"/>
        <v>0.35</v>
      </c>
      <c r="J141" s="370" t="s">
        <v>483</v>
      </c>
      <c r="K141" s="371" t="s">
        <v>367</v>
      </c>
      <c r="L141" s="431" t="s">
        <v>2929</v>
      </c>
      <c r="M141" s="494" t="s">
        <v>104</v>
      </c>
      <c r="N141" s="1000" t="s">
        <v>1856</v>
      </c>
      <c r="O141" s="761" t="s">
        <v>7703</v>
      </c>
      <c r="P141" s="373" t="s">
        <v>53</v>
      </c>
      <c r="Q141" s="721">
        <f t="shared" si="1"/>
        <v>0</v>
      </c>
      <c r="R141" s="94" t="str">
        <f t="shared" si="2"/>
        <v>Фото &gt;&gt;</v>
      </c>
      <c r="S141" s="14" t="s">
        <v>493</v>
      </c>
      <c r="AK141">
        <v>0.15</v>
      </c>
      <c r="AL141">
        <f t="shared" si="6"/>
        <v>0</v>
      </c>
      <c r="AM141">
        <f t="shared" si="7"/>
        <v>0</v>
      </c>
      <c r="AN141">
        <f t="shared" si="8"/>
        <v>0</v>
      </c>
      <c r="AO141" t="s">
        <v>5364</v>
      </c>
      <c r="AV141" t="str">
        <f>IF(F141&gt;0,(COUNT($AV$1:AV140)+1),"")</f>
        <v/>
      </c>
    </row>
    <row r="142" spans="1:48" ht="15" customHeight="1" x14ac:dyDescent="0.25">
      <c r="A142" s="1"/>
      <c r="B142" s="364" t="s">
        <v>7409</v>
      </c>
      <c r="C142" s="365">
        <v>4640201202931</v>
      </c>
      <c r="D142" s="514" t="s">
        <v>7403</v>
      </c>
      <c r="E142" s="366">
        <v>4</v>
      </c>
      <c r="F142" s="315"/>
      <c r="G142" s="758">
        <v>379.2</v>
      </c>
      <c r="H142" s="759">
        <v>583.4</v>
      </c>
      <c r="I142" s="760">
        <f t="shared" si="0"/>
        <v>0.35</v>
      </c>
      <c r="J142" s="370" t="s">
        <v>483</v>
      </c>
      <c r="K142" s="371" t="s">
        <v>367</v>
      </c>
      <c r="L142" s="431" t="s">
        <v>2929</v>
      </c>
      <c r="M142" s="494"/>
      <c r="N142" s="1000" t="s">
        <v>1856</v>
      </c>
      <c r="O142" s="761" t="s">
        <v>7700</v>
      </c>
      <c r="P142" s="373" t="s">
        <v>53</v>
      </c>
      <c r="Q142" s="721">
        <f t="shared" si="1"/>
        <v>0</v>
      </c>
      <c r="R142" s="94" t="str">
        <f t="shared" si="2"/>
        <v>Фото &gt;&gt;</v>
      </c>
      <c r="S142" s="14" t="s">
        <v>6124</v>
      </c>
      <c r="AK142">
        <v>0.11</v>
      </c>
      <c r="AL142">
        <f t="shared" si="6"/>
        <v>0</v>
      </c>
      <c r="AM142">
        <f t="shared" si="7"/>
        <v>0</v>
      </c>
      <c r="AN142">
        <f t="shared" si="8"/>
        <v>0</v>
      </c>
      <c r="AO142" t="s">
        <v>6128</v>
      </c>
      <c r="AV142" t="str">
        <f>IF(F142&gt;0,(COUNT($AV$1:AV141)+1),"")</f>
        <v/>
      </c>
    </row>
    <row r="143" spans="1:48" ht="15" customHeight="1" x14ac:dyDescent="0.25">
      <c r="A143" s="1"/>
      <c r="B143" s="880" t="s">
        <v>7410</v>
      </c>
      <c r="C143" s="722">
        <v>4640201202405</v>
      </c>
      <c r="D143" s="723" t="s">
        <v>4010</v>
      </c>
      <c r="E143" s="724">
        <v>10</v>
      </c>
      <c r="F143" s="718"/>
      <c r="G143" s="725">
        <v>193.4</v>
      </c>
      <c r="H143" s="726">
        <v>297.60000000000002</v>
      </c>
      <c r="I143" s="727">
        <f t="shared" si="0"/>
        <v>0.35</v>
      </c>
      <c r="J143" s="728" t="s">
        <v>483</v>
      </c>
      <c r="K143" s="729" t="s">
        <v>4016</v>
      </c>
      <c r="L143" s="730" t="s">
        <v>2929</v>
      </c>
      <c r="M143" s="731" t="s">
        <v>104</v>
      </c>
      <c r="N143" s="1001"/>
      <c r="O143" s="732" t="s">
        <v>7704</v>
      </c>
      <c r="P143" s="733" t="s">
        <v>53</v>
      </c>
      <c r="Q143" s="721">
        <f t="shared" si="1"/>
        <v>0</v>
      </c>
      <c r="R143" s="94" t="str">
        <f t="shared" si="2"/>
        <v>Фото &gt;&gt;</v>
      </c>
      <c r="S143" s="14" t="s">
        <v>4011</v>
      </c>
      <c r="AK143">
        <v>7.0000000000000007E-2</v>
      </c>
      <c r="AL143">
        <f t="shared" si="6"/>
        <v>0</v>
      </c>
      <c r="AM143">
        <f t="shared" si="7"/>
        <v>0</v>
      </c>
      <c r="AN143">
        <f t="shared" si="8"/>
        <v>0</v>
      </c>
      <c r="AO143" t="s">
        <v>4012</v>
      </c>
      <c r="AV143" t="str">
        <f>IF(F143&gt;0,(COUNT($AV$1:AV142)+1),"")</f>
        <v/>
      </c>
    </row>
    <row r="144" spans="1:48" ht="15" customHeight="1" x14ac:dyDescent="0.25">
      <c r="A144" s="1"/>
      <c r="B144" s="364" t="s">
        <v>7411</v>
      </c>
      <c r="C144" s="365">
        <v>4640201202412</v>
      </c>
      <c r="D144" s="514" t="s">
        <v>4013</v>
      </c>
      <c r="E144" s="366">
        <v>10</v>
      </c>
      <c r="F144" s="315"/>
      <c r="G144" s="758">
        <v>193.4</v>
      </c>
      <c r="H144" s="759">
        <v>297.60000000000002</v>
      </c>
      <c r="I144" s="760">
        <f t="shared" si="0"/>
        <v>0.35</v>
      </c>
      <c r="J144" s="370" t="s">
        <v>483</v>
      </c>
      <c r="K144" s="371" t="s">
        <v>4016</v>
      </c>
      <c r="L144" s="431" t="s">
        <v>2929</v>
      </c>
      <c r="M144" s="494" t="s">
        <v>104</v>
      </c>
      <c r="N144" s="1000" t="s">
        <v>1856</v>
      </c>
      <c r="O144" s="761" t="s">
        <v>7705</v>
      </c>
      <c r="P144" s="373" t="s">
        <v>53</v>
      </c>
      <c r="Q144" s="721">
        <f t="shared" si="1"/>
        <v>0</v>
      </c>
      <c r="R144" s="94" t="str">
        <f t="shared" si="2"/>
        <v>Фото &gt;&gt;</v>
      </c>
      <c r="S144" s="14" t="s">
        <v>4015</v>
      </c>
      <c r="AK144">
        <v>7.0000000000000007E-2</v>
      </c>
      <c r="AL144">
        <f t="shared" si="6"/>
        <v>0</v>
      </c>
      <c r="AM144">
        <f t="shared" si="7"/>
        <v>0</v>
      </c>
      <c r="AN144">
        <f t="shared" si="8"/>
        <v>0</v>
      </c>
      <c r="AO144" t="s">
        <v>4014</v>
      </c>
      <c r="AV144" t="str">
        <f>IF(F144&gt;0,(COUNT($AV$1:AV143)+1),"")</f>
        <v/>
      </c>
    </row>
    <row r="145" spans="1:48" ht="15" customHeight="1" x14ac:dyDescent="0.25">
      <c r="A145" s="1"/>
      <c r="B145" s="900" t="s">
        <v>7789</v>
      </c>
      <c r="C145" s="901">
        <v>4650057966611</v>
      </c>
      <c r="D145" s="902" t="s">
        <v>7781</v>
      </c>
      <c r="E145" s="903">
        <v>6</v>
      </c>
      <c r="F145" s="1212"/>
      <c r="G145" s="1213">
        <v>102.6</v>
      </c>
      <c r="H145" s="1214">
        <v>146.5</v>
      </c>
      <c r="I145" s="1215">
        <f t="shared" si="0"/>
        <v>0.3</v>
      </c>
      <c r="J145" s="907" t="s">
        <v>5538</v>
      </c>
      <c r="K145" s="908" t="s">
        <v>201</v>
      </c>
      <c r="L145" s="909"/>
      <c r="M145" s="910" t="s">
        <v>104</v>
      </c>
      <c r="N145" s="1026" t="s">
        <v>1856</v>
      </c>
      <c r="O145" s="1216" t="s">
        <v>7782</v>
      </c>
      <c r="P145" s="912" t="s">
        <v>72</v>
      </c>
      <c r="Q145" s="721">
        <f t="shared" si="1"/>
        <v>0</v>
      </c>
      <c r="R145" s="94" t="str">
        <f t="shared" si="2"/>
        <v>Фото &gt;&gt;</v>
      </c>
      <c r="S145" s="14"/>
      <c r="AK145">
        <v>0.18</v>
      </c>
      <c r="AL145">
        <v>0</v>
      </c>
      <c r="AM145">
        <v>0</v>
      </c>
      <c r="AN145">
        <v>0</v>
      </c>
      <c r="AO145" t="s">
        <v>7259</v>
      </c>
      <c r="AV145" t="str">
        <f>IF(F145&gt;0,(COUNT($AV$1:AV144)+1),"")</f>
        <v/>
      </c>
    </row>
    <row r="146" spans="1:48" ht="15" customHeight="1" x14ac:dyDescent="0.25">
      <c r="A146" s="1"/>
      <c r="B146" s="364" t="s">
        <v>7790</v>
      </c>
      <c r="C146" s="365">
        <v>4650057966628</v>
      </c>
      <c r="D146" s="514" t="s">
        <v>7783</v>
      </c>
      <c r="E146" s="366">
        <v>6</v>
      </c>
      <c r="F146" s="315"/>
      <c r="G146" s="758">
        <v>102.3</v>
      </c>
      <c r="H146" s="759">
        <v>146.1</v>
      </c>
      <c r="I146" s="760">
        <f t="shared" si="0"/>
        <v>0.3</v>
      </c>
      <c r="J146" s="370" t="s">
        <v>5538</v>
      </c>
      <c r="K146" s="371" t="s">
        <v>201</v>
      </c>
      <c r="L146" s="431"/>
      <c r="M146" s="494" t="s">
        <v>1856</v>
      </c>
      <c r="N146" s="1000" t="s">
        <v>1856</v>
      </c>
      <c r="O146" s="761" t="s">
        <v>7784</v>
      </c>
      <c r="P146" s="373" t="s">
        <v>72</v>
      </c>
      <c r="Q146" s="721">
        <f t="shared" si="1"/>
        <v>0</v>
      </c>
      <c r="R146" s="94" t="str">
        <f t="shared" si="2"/>
        <v>Фото &gt;&gt;</v>
      </c>
      <c r="S146" s="14" t="s">
        <v>3695</v>
      </c>
      <c r="AK146">
        <v>0.2</v>
      </c>
      <c r="AL146">
        <v>0</v>
      </c>
      <c r="AM146">
        <v>0</v>
      </c>
      <c r="AN146">
        <v>0</v>
      </c>
      <c r="AO146" t="s">
        <v>3944</v>
      </c>
      <c r="AV146" t="str">
        <f>IF(F146&gt;0,(COUNT($AV$1:AV145)+1),"")</f>
        <v/>
      </c>
    </row>
    <row r="147" spans="1:48" ht="15" customHeight="1" x14ac:dyDescent="0.25">
      <c r="A147" s="1"/>
      <c r="B147" s="880" t="s">
        <v>7791</v>
      </c>
      <c r="C147" s="722">
        <v>4650057962712</v>
      </c>
      <c r="D147" s="723" t="s">
        <v>7785</v>
      </c>
      <c r="E147" s="724">
        <v>12</v>
      </c>
      <c r="F147" s="718"/>
      <c r="G147" s="725">
        <v>88.1</v>
      </c>
      <c r="H147" s="726">
        <v>125.8</v>
      </c>
      <c r="I147" s="727">
        <f t="shared" si="0"/>
        <v>0.3</v>
      </c>
      <c r="J147" s="728" t="s">
        <v>5538</v>
      </c>
      <c r="K147" s="729" t="s">
        <v>201</v>
      </c>
      <c r="L147" s="730"/>
      <c r="M147" s="731" t="s">
        <v>1856</v>
      </c>
      <c r="N147" s="1001" t="s">
        <v>1856</v>
      </c>
      <c r="O147" s="732" t="s">
        <v>7711</v>
      </c>
      <c r="P147" s="733" t="s">
        <v>72</v>
      </c>
      <c r="Q147" s="721">
        <f t="shared" si="1"/>
        <v>0</v>
      </c>
      <c r="R147" s="94" t="str">
        <f t="shared" si="2"/>
        <v>Фото &gt;&gt;</v>
      </c>
      <c r="S147" s="14" t="s">
        <v>3952</v>
      </c>
      <c r="AK147">
        <v>0.2</v>
      </c>
      <c r="AL147">
        <v>0</v>
      </c>
      <c r="AM147">
        <v>0</v>
      </c>
      <c r="AN147">
        <v>0</v>
      </c>
      <c r="AO147" t="s">
        <v>6031</v>
      </c>
      <c r="AV147" t="str">
        <f>IF(F147&gt;0,(COUNT($AV$1:AV146)+1),"")</f>
        <v/>
      </c>
    </row>
    <row r="148" spans="1:48" ht="15" customHeight="1" x14ac:dyDescent="0.25">
      <c r="A148" s="1"/>
      <c r="B148" s="364" t="s">
        <v>7792</v>
      </c>
      <c r="C148" s="365">
        <v>4650057966093</v>
      </c>
      <c r="D148" s="514" t="s">
        <v>7786</v>
      </c>
      <c r="E148" s="366">
        <v>6</v>
      </c>
      <c r="F148" s="315"/>
      <c r="G148" s="758">
        <v>62.9</v>
      </c>
      <c r="H148" s="759">
        <v>125.8</v>
      </c>
      <c r="I148" s="760">
        <f t="shared" si="0"/>
        <v>0.5</v>
      </c>
      <c r="J148" s="370" t="s">
        <v>5538</v>
      </c>
      <c r="K148" s="371" t="s">
        <v>201</v>
      </c>
      <c r="L148" s="431"/>
      <c r="M148" s="494" t="s">
        <v>1856</v>
      </c>
      <c r="N148" s="1000" t="s">
        <v>1856</v>
      </c>
      <c r="O148" s="761" t="s">
        <v>7787</v>
      </c>
      <c r="P148" s="373" t="s">
        <v>72</v>
      </c>
      <c r="Q148" s="721">
        <f t="shared" si="1"/>
        <v>0</v>
      </c>
      <c r="R148" s="94" t="str">
        <f t="shared" si="2"/>
        <v>Фото &gt;&gt;</v>
      </c>
      <c r="S148" s="14" t="s">
        <v>3994</v>
      </c>
      <c r="AK148">
        <v>0.2</v>
      </c>
      <c r="AL148">
        <v>0</v>
      </c>
      <c r="AM148">
        <v>0</v>
      </c>
      <c r="AN148">
        <v>0</v>
      </c>
      <c r="AO148" t="s">
        <v>6032</v>
      </c>
      <c r="AV148" t="str">
        <f>IF(F148&gt;0,(COUNT($AV$1:AV147)+1),"")</f>
        <v/>
      </c>
    </row>
    <row r="149" spans="1:48" ht="15" customHeight="1" x14ac:dyDescent="0.25">
      <c r="A149" s="1"/>
      <c r="B149" s="316" t="s">
        <v>7793</v>
      </c>
      <c r="C149" s="317">
        <v>4650057963634</v>
      </c>
      <c r="D149" s="513" t="s">
        <v>7788</v>
      </c>
      <c r="E149" s="318">
        <v>12</v>
      </c>
      <c r="F149" s="315"/>
      <c r="G149" s="1208">
        <v>62.9</v>
      </c>
      <c r="H149" s="1209">
        <v>125.8</v>
      </c>
      <c r="I149" s="1210">
        <f t="shared" si="0"/>
        <v>0.5</v>
      </c>
      <c r="J149" s="319" t="s">
        <v>5538</v>
      </c>
      <c r="K149" s="320" t="s">
        <v>201</v>
      </c>
      <c r="L149" s="432"/>
      <c r="M149" s="493" t="s">
        <v>1856</v>
      </c>
      <c r="N149" s="1004" t="s">
        <v>1856</v>
      </c>
      <c r="O149" s="1211" t="s">
        <v>7787</v>
      </c>
      <c r="P149" s="321" t="s">
        <v>72</v>
      </c>
      <c r="Q149" s="721">
        <f t="shared" si="1"/>
        <v>0</v>
      </c>
      <c r="R149" s="94" t="str">
        <f t="shared" si="2"/>
        <v>Фото &gt;&gt;</v>
      </c>
      <c r="S149" s="14" t="s">
        <v>3951</v>
      </c>
      <c r="AK149">
        <v>0.2</v>
      </c>
      <c r="AL149">
        <v>0</v>
      </c>
      <c r="AM149">
        <v>0</v>
      </c>
      <c r="AN149">
        <v>0</v>
      </c>
      <c r="AO149" t="s">
        <v>6033</v>
      </c>
      <c r="AV149" t="str">
        <f>IF(F149&gt;0,(COUNT($AV$1:AV148)+1),"")</f>
        <v/>
      </c>
    </row>
    <row r="150" spans="1:48" ht="15" customHeight="1" x14ac:dyDescent="0.25">
      <c r="A150" s="1"/>
      <c r="B150" s="1217" t="s">
        <v>7444</v>
      </c>
      <c r="C150" s="915">
        <v>4650061331108</v>
      </c>
      <c r="D150" s="916" t="s">
        <v>450</v>
      </c>
      <c r="E150" s="917">
        <v>20</v>
      </c>
      <c r="F150" s="1212"/>
      <c r="G150" s="1218">
        <v>150.19999999999999</v>
      </c>
      <c r="H150" s="1219">
        <v>187.8</v>
      </c>
      <c r="I150" s="1220">
        <f t="shared" si="0"/>
        <v>0.2</v>
      </c>
      <c r="J150" s="921" t="s">
        <v>421</v>
      </c>
      <c r="K150" s="922" t="s">
        <v>374</v>
      </c>
      <c r="L150" s="923"/>
      <c r="M150" s="924" t="s">
        <v>1856</v>
      </c>
      <c r="N150" s="1025"/>
      <c r="O150" s="1221" t="s">
        <v>7706</v>
      </c>
      <c r="P150" s="926" t="s">
        <v>72</v>
      </c>
      <c r="Q150" s="721">
        <f t="shared" si="1"/>
        <v>0</v>
      </c>
      <c r="R150" s="94" t="str">
        <f t="shared" si="2"/>
        <v>Фото &gt;&gt;</v>
      </c>
      <c r="S150" s="14" t="s">
        <v>451</v>
      </c>
      <c r="AK150">
        <v>0.1</v>
      </c>
      <c r="AL150">
        <f t="shared" ref="AL150:AL158" si="9">F150*G150</f>
        <v>0</v>
      </c>
      <c r="AM150">
        <f t="shared" ref="AM150:AM158" si="10">F150*H150</f>
        <v>0</v>
      </c>
      <c r="AN150">
        <f t="shared" ref="AN150:AN158" si="11">AK150*F150+IF(E150&gt;1.01,F150/E150*0.2,0)</f>
        <v>0</v>
      </c>
      <c r="AO150" t="s">
        <v>4867</v>
      </c>
      <c r="AV150" t="str">
        <f>IF(F150&gt;0,(COUNT($AV$1:AV149)+1),"")</f>
        <v/>
      </c>
    </row>
    <row r="151" spans="1:48" ht="15" customHeight="1" x14ac:dyDescent="0.25">
      <c r="A151" s="1"/>
      <c r="B151" s="880" t="s">
        <v>7445</v>
      </c>
      <c r="C151" s="722">
        <v>4603741783056</v>
      </c>
      <c r="D151" s="723" t="s">
        <v>7439</v>
      </c>
      <c r="E151" s="724">
        <v>20</v>
      </c>
      <c r="F151" s="718"/>
      <c r="G151" s="725">
        <v>140.9</v>
      </c>
      <c r="H151" s="726">
        <v>187.8</v>
      </c>
      <c r="I151" s="727">
        <f t="shared" si="0"/>
        <v>0.25</v>
      </c>
      <c r="J151" s="728" t="s">
        <v>421</v>
      </c>
      <c r="K151" s="729" t="s">
        <v>374</v>
      </c>
      <c r="L151" s="730"/>
      <c r="M151" s="731" t="s">
        <v>1856</v>
      </c>
      <c r="N151" s="1001"/>
      <c r="O151" s="732" t="s">
        <v>7707</v>
      </c>
      <c r="P151" s="733" t="s">
        <v>72</v>
      </c>
      <c r="Q151" s="721">
        <f t="shared" si="1"/>
        <v>0</v>
      </c>
      <c r="R151" s="94" t="str">
        <f t="shared" si="2"/>
        <v>Фото &gt;&gt;</v>
      </c>
      <c r="S151" s="14" t="s">
        <v>452</v>
      </c>
      <c r="AK151">
        <v>0.1</v>
      </c>
      <c r="AL151">
        <f t="shared" si="9"/>
        <v>0</v>
      </c>
      <c r="AM151">
        <f t="shared" si="10"/>
        <v>0</v>
      </c>
      <c r="AN151">
        <f t="shared" si="11"/>
        <v>0</v>
      </c>
      <c r="AO151" t="s">
        <v>4868</v>
      </c>
      <c r="AV151" t="str">
        <f>IF(F151&gt;0,(COUNT($AV$1:AV150)+1),"")</f>
        <v/>
      </c>
    </row>
    <row r="152" spans="1:48" ht="15" customHeight="1" x14ac:dyDescent="0.25">
      <c r="A152" s="1"/>
      <c r="B152" s="364" t="s">
        <v>7446</v>
      </c>
      <c r="C152" s="365">
        <v>4650061331139</v>
      </c>
      <c r="D152" s="514" t="s">
        <v>7440</v>
      </c>
      <c r="E152" s="366">
        <v>20</v>
      </c>
      <c r="F152" s="315"/>
      <c r="G152" s="758">
        <v>140.9</v>
      </c>
      <c r="H152" s="759">
        <v>187.8</v>
      </c>
      <c r="I152" s="760">
        <f t="shared" si="0"/>
        <v>0.25</v>
      </c>
      <c r="J152" s="370" t="s">
        <v>421</v>
      </c>
      <c r="K152" s="371" t="s">
        <v>417</v>
      </c>
      <c r="L152" s="431"/>
      <c r="M152" s="494" t="s">
        <v>1856</v>
      </c>
      <c r="N152" s="1000"/>
      <c r="O152" s="761" t="s">
        <v>7708</v>
      </c>
      <c r="P152" s="373" t="s">
        <v>72</v>
      </c>
      <c r="Q152" s="721">
        <f t="shared" si="1"/>
        <v>0</v>
      </c>
      <c r="R152" s="94" t="str">
        <f t="shared" si="2"/>
        <v>Фото &gt;&gt;</v>
      </c>
      <c r="S152" s="14" t="s">
        <v>452</v>
      </c>
      <c r="AK152">
        <v>0.1</v>
      </c>
      <c r="AL152">
        <f t="shared" si="9"/>
        <v>0</v>
      </c>
      <c r="AM152">
        <f t="shared" si="10"/>
        <v>0</v>
      </c>
      <c r="AN152">
        <f t="shared" si="11"/>
        <v>0</v>
      </c>
      <c r="AO152" t="s">
        <v>4868</v>
      </c>
      <c r="AV152" t="str">
        <f>IF(F152&gt;0,(COUNT($AV$1:AV151)+1),"")</f>
        <v/>
      </c>
    </row>
    <row r="153" spans="1:48" ht="15" customHeight="1" x14ac:dyDescent="0.25">
      <c r="A153" s="1"/>
      <c r="B153" s="900" t="s">
        <v>7138</v>
      </c>
      <c r="C153" s="901">
        <v>4607081020840</v>
      </c>
      <c r="D153" s="902" t="s">
        <v>749</v>
      </c>
      <c r="E153" s="903">
        <v>10</v>
      </c>
      <c r="F153" s="1212"/>
      <c r="G153" s="1213">
        <v>109.2</v>
      </c>
      <c r="H153" s="1214">
        <v>218.4</v>
      </c>
      <c r="I153" s="1215">
        <f t="shared" si="0"/>
        <v>0.5</v>
      </c>
      <c r="J153" s="907" t="s">
        <v>735</v>
      </c>
      <c r="K153" s="908" t="s">
        <v>19</v>
      </c>
      <c r="L153" s="909"/>
      <c r="M153" s="910" t="s">
        <v>1856</v>
      </c>
      <c r="N153" s="1026" t="s">
        <v>1856</v>
      </c>
      <c r="O153" s="1216" t="s">
        <v>7709</v>
      </c>
      <c r="P153" s="912" t="s">
        <v>72</v>
      </c>
      <c r="Q153" s="721">
        <f t="shared" si="1"/>
        <v>0</v>
      </c>
      <c r="R153" s="94" t="str">
        <f t="shared" si="2"/>
        <v>Фото &gt;&gt;</v>
      </c>
      <c r="S153" s="14" t="s">
        <v>748</v>
      </c>
      <c r="AK153">
        <v>0.67</v>
      </c>
      <c r="AL153">
        <f t="shared" si="9"/>
        <v>0</v>
      </c>
      <c r="AM153">
        <f t="shared" si="10"/>
        <v>0</v>
      </c>
      <c r="AN153">
        <f t="shared" si="11"/>
        <v>0</v>
      </c>
      <c r="AO153" t="s">
        <v>5032</v>
      </c>
      <c r="AV153" t="str">
        <f>IF(F153&gt;0,(COUNT($AV$1:AV152)+1),"")</f>
        <v/>
      </c>
    </row>
    <row r="154" spans="1:48" ht="15" customHeight="1" x14ac:dyDescent="0.25">
      <c r="A154" s="1"/>
      <c r="B154" s="364" t="s">
        <v>7139</v>
      </c>
      <c r="C154" s="365">
        <v>4607081020291</v>
      </c>
      <c r="D154" s="514" t="s">
        <v>753</v>
      </c>
      <c r="E154" s="366">
        <v>10</v>
      </c>
      <c r="F154" s="315"/>
      <c r="G154" s="758">
        <v>452.8</v>
      </c>
      <c r="H154" s="759">
        <v>603.70000000000005</v>
      </c>
      <c r="I154" s="760">
        <f t="shared" si="0"/>
        <v>0.25</v>
      </c>
      <c r="J154" s="370" t="s">
        <v>735</v>
      </c>
      <c r="K154" s="371" t="s">
        <v>19</v>
      </c>
      <c r="L154" s="431"/>
      <c r="M154" s="494" t="s">
        <v>1856</v>
      </c>
      <c r="N154" s="1000" t="s">
        <v>1856</v>
      </c>
      <c r="O154" s="761" t="s">
        <v>7710</v>
      </c>
      <c r="P154" s="373" t="s">
        <v>50</v>
      </c>
      <c r="Q154" s="721">
        <f t="shared" si="1"/>
        <v>0</v>
      </c>
      <c r="R154" s="94" t="str">
        <f t="shared" si="2"/>
        <v>Фото &gt;&gt;</v>
      </c>
      <c r="S154" s="14" t="s">
        <v>752</v>
      </c>
      <c r="AK154">
        <v>0.67</v>
      </c>
      <c r="AL154">
        <f t="shared" si="9"/>
        <v>0</v>
      </c>
      <c r="AM154">
        <f t="shared" si="10"/>
        <v>0</v>
      </c>
      <c r="AN154">
        <f t="shared" si="11"/>
        <v>0</v>
      </c>
      <c r="AO154" t="s">
        <v>5037</v>
      </c>
      <c r="AV154" t="str">
        <f>IF(F154&gt;0,(COUNT($AV$1:AV153)+1),"")</f>
        <v/>
      </c>
    </row>
    <row r="155" spans="1:48" ht="15" customHeight="1" x14ac:dyDescent="0.25">
      <c r="A155" s="1"/>
      <c r="B155" s="880" t="s">
        <v>7140</v>
      </c>
      <c r="C155" s="722">
        <v>4607081024572</v>
      </c>
      <c r="D155" s="723" t="s">
        <v>246</v>
      </c>
      <c r="E155" s="724">
        <v>12</v>
      </c>
      <c r="F155" s="718"/>
      <c r="G155" s="725">
        <v>71.3</v>
      </c>
      <c r="H155" s="726">
        <v>142.6</v>
      </c>
      <c r="I155" s="727">
        <f t="shared" si="0"/>
        <v>0.5</v>
      </c>
      <c r="J155" s="728" t="s">
        <v>735</v>
      </c>
      <c r="K155" s="729" t="s">
        <v>19</v>
      </c>
      <c r="L155" s="730"/>
      <c r="M155" s="731" t="s">
        <v>1856</v>
      </c>
      <c r="N155" s="1001" t="s">
        <v>1856</v>
      </c>
      <c r="O155" s="732" t="s">
        <v>7711</v>
      </c>
      <c r="P155" s="733" t="s">
        <v>72</v>
      </c>
      <c r="Q155" s="721">
        <f t="shared" si="1"/>
        <v>0</v>
      </c>
      <c r="R155" s="94" t="str">
        <f t="shared" si="2"/>
        <v>Фото &gt;&gt;</v>
      </c>
      <c r="S155" s="14" t="s">
        <v>754</v>
      </c>
      <c r="AK155">
        <v>0.5</v>
      </c>
      <c r="AL155">
        <f t="shared" si="9"/>
        <v>0</v>
      </c>
      <c r="AM155">
        <f t="shared" si="10"/>
        <v>0</v>
      </c>
      <c r="AN155">
        <f t="shared" si="11"/>
        <v>0</v>
      </c>
      <c r="AO155" t="s">
        <v>5039</v>
      </c>
      <c r="AV155" t="str">
        <f>IF(F155&gt;0,(COUNT($AV$1:AV154)+1),"")</f>
        <v/>
      </c>
    </row>
    <row r="156" spans="1:48" ht="15" customHeight="1" x14ac:dyDescent="0.25">
      <c r="A156" s="1"/>
      <c r="B156" s="364" t="s">
        <v>7141</v>
      </c>
      <c r="C156" s="365">
        <v>4607081025005</v>
      </c>
      <c r="D156" s="514" t="s">
        <v>767</v>
      </c>
      <c r="E156" s="366">
        <v>10</v>
      </c>
      <c r="F156" s="315"/>
      <c r="G156" s="758">
        <v>159.80000000000001</v>
      </c>
      <c r="H156" s="759">
        <v>213</v>
      </c>
      <c r="I156" s="760">
        <f t="shared" si="0"/>
        <v>0.25</v>
      </c>
      <c r="J156" s="370" t="s">
        <v>735</v>
      </c>
      <c r="K156" s="371" t="s">
        <v>19</v>
      </c>
      <c r="L156" s="431"/>
      <c r="M156" s="494" t="s">
        <v>1856</v>
      </c>
      <c r="N156" s="1000" t="s">
        <v>1856</v>
      </c>
      <c r="O156" s="761" t="s">
        <v>7712</v>
      </c>
      <c r="P156" s="373" t="s">
        <v>72</v>
      </c>
      <c r="Q156" s="721">
        <f t="shared" si="1"/>
        <v>0</v>
      </c>
      <c r="R156" s="94" t="str">
        <f t="shared" si="2"/>
        <v>Фото &gt;&gt;</v>
      </c>
      <c r="S156" s="14" t="s">
        <v>768</v>
      </c>
      <c r="AK156">
        <v>0.67</v>
      </c>
      <c r="AL156">
        <f t="shared" si="9"/>
        <v>0</v>
      </c>
      <c r="AM156">
        <f t="shared" si="10"/>
        <v>0</v>
      </c>
      <c r="AN156">
        <f t="shared" si="11"/>
        <v>0</v>
      </c>
      <c r="AO156" t="s">
        <v>5047</v>
      </c>
      <c r="AV156" t="str">
        <f>IF(F156&gt;0,(COUNT($AV$1:AV155)+1),"")</f>
        <v/>
      </c>
    </row>
    <row r="157" spans="1:48" ht="15" customHeight="1" x14ac:dyDescent="0.25">
      <c r="A157" s="1"/>
      <c r="B157" s="900" t="s">
        <v>7142</v>
      </c>
      <c r="C157" s="901">
        <v>4680031571913</v>
      </c>
      <c r="D157" s="902" t="s">
        <v>4070</v>
      </c>
      <c r="E157" s="903">
        <v>12</v>
      </c>
      <c r="F157" s="1212"/>
      <c r="G157" s="1213">
        <v>62.5</v>
      </c>
      <c r="H157" s="1214">
        <v>96.1</v>
      </c>
      <c r="I157" s="1215">
        <f t="shared" si="0"/>
        <v>0.35</v>
      </c>
      <c r="J157" s="907" t="s">
        <v>2322</v>
      </c>
      <c r="K157" s="908" t="s">
        <v>116</v>
      </c>
      <c r="L157" s="909"/>
      <c r="M157" s="910" t="s">
        <v>1856</v>
      </c>
      <c r="N157" s="1026" t="s">
        <v>1856</v>
      </c>
      <c r="O157" s="1216" t="s">
        <v>7713</v>
      </c>
      <c r="P157" s="912" t="s">
        <v>72</v>
      </c>
      <c r="Q157" s="721">
        <f t="shared" si="1"/>
        <v>0</v>
      </c>
      <c r="R157" s="94" t="str">
        <f t="shared" si="2"/>
        <v>Фото &gt;&gt;</v>
      </c>
      <c r="S157" s="14" t="s">
        <v>2354</v>
      </c>
      <c r="AK157">
        <v>0.48</v>
      </c>
      <c r="AL157">
        <f t="shared" si="9"/>
        <v>0</v>
      </c>
      <c r="AM157">
        <f t="shared" si="10"/>
        <v>0</v>
      </c>
      <c r="AN157">
        <f t="shared" si="11"/>
        <v>0</v>
      </c>
      <c r="AO157" t="s">
        <v>2430</v>
      </c>
      <c r="AV157" t="str">
        <f>IF(F157&gt;0,(COUNT($AV$1:AV156)+1),"")</f>
        <v/>
      </c>
    </row>
    <row r="158" spans="1:48" ht="15" customHeight="1" x14ac:dyDescent="0.25">
      <c r="A158" s="1"/>
      <c r="B158" s="364" t="s">
        <v>7143</v>
      </c>
      <c r="C158" s="365">
        <v>4680031571753</v>
      </c>
      <c r="D158" s="514" t="s">
        <v>4222</v>
      </c>
      <c r="E158" s="366">
        <v>12</v>
      </c>
      <c r="F158" s="315"/>
      <c r="G158" s="758">
        <v>62.5</v>
      </c>
      <c r="H158" s="759">
        <v>96.1</v>
      </c>
      <c r="I158" s="760">
        <f t="shared" si="0"/>
        <v>0.35</v>
      </c>
      <c r="J158" s="370" t="s">
        <v>2322</v>
      </c>
      <c r="K158" s="371" t="s">
        <v>116</v>
      </c>
      <c r="L158" s="431"/>
      <c r="M158" s="494" t="s">
        <v>1856</v>
      </c>
      <c r="N158" s="1000" t="s">
        <v>1856</v>
      </c>
      <c r="O158" s="761" t="s">
        <v>7711</v>
      </c>
      <c r="P158" s="373" t="s">
        <v>72</v>
      </c>
      <c r="Q158" s="721">
        <f t="shared" si="1"/>
        <v>0</v>
      </c>
      <c r="R158" s="94" t="str">
        <f t="shared" si="2"/>
        <v>Фото &gt;&gt;</v>
      </c>
      <c r="S158" s="14" t="s">
        <v>3931</v>
      </c>
      <c r="AK158">
        <v>0.48</v>
      </c>
      <c r="AL158">
        <f t="shared" si="9"/>
        <v>0</v>
      </c>
      <c r="AM158">
        <f t="shared" si="10"/>
        <v>0</v>
      </c>
      <c r="AN158">
        <f t="shared" si="11"/>
        <v>0</v>
      </c>
      <c r="AO158" t="s">
        <v>3930</v>
      </c>
      <c r="AV158" t="str">
        <f>IF(F158&gt;0,(COUNT($AV$1:AV157)+1),"")</f>
        <v/>
      </c>
    </row>
    <row r="159" spans="1:48" ht="15" customHeight="1" x14ac:dyDescent="0.25">
      <c r="A159" s="1"/>
      <c r="B159" s="880" t="s">
        <v>7144</v>
      </c>
      <c r="C159" s="722">
        <v>4680031571340</v>
      </c>
      <c r="D159" s="723" t="s">
        <v>2366</v>
      </c>
      <c r="E159" s="724">
        <v>12</v>
      </c>
      <c r="F159" s="718"/>
      <c r="G159" s="725">
        <v>62.5</v>
      </c>
      <c r="H159" s="726">
        <v>96.1</v>
      </c>
      <c r="I159" s="727">
        <f t="shared" si="0"/>
        <v>0.35</v>
      </c>
      <c r="J159" s="728" t="s">
        <v>2322</v>
      </c>
      <c r="K159" s="729" t="s">
        <v>116</v>
      </c>
      <c r="L159" s="730"/>
      <c r="M159" s="731" t="s">
        <v>1856</v>
      </c>
      <c r="N159" s="1001" t="s">
        <v>1856</v>
      </c>
      <c r="O159" s="732" t="s">
        <v>7714</v>
      </c>
      <c r="P159" s="733" t="s">
        <v>72</v>
      </c>
      <c r="Q159" s="721">
        <f t="shared" si="1"/>
        <v>0</v>
      </c>
      <c r="R159" s="94" t="str">
        <f t="shared" si="2"/>
        <v>Фото &gt;&gt;</v>
      </c>
      <c r="S159" s="14" t="s">
        <v>3767</v>
      </c>
      <c r="AK159">
        <v>0.48</v>
      </c>
      <c r="AL159">
        <f t="shared" ref="AL159:AL171" si="12">F159*G159</f>
        <v>0</v>
      </c>
      <c r="AM159">
        <f t="shared" ref="AM159:AM171" si="13">F159*H159</f>
        <v>0</v>
      </c>
      <c r="AN159">
        <f t="shared" ref="AN159:AN171" si="14">AK159*F159+IF(E159&gt;1.01,F159/E159*0.2,0)</f>
        <v>0</v>
      </c>
      <c r="AO159" t="s">
        <v>2434</v>
      </c>
      <c r="AV159" t="str">
        <f>IF(F159&gt;0,(COUNT($AV$1:AV158)+1),"")</f>
        <v/>
      </c>
    </row>
    <row r="160" spans="1:48" ht="15" customHeight="1" x14ac:dyDescent="0.25">
      <c r="A160" s="1"/>
      <c r="B160" s="364" t="s">
        <v>7145</v>
      </c>
      <c r="C160" s="365">
        <v>4680031571364</v>
      </c>
      <c r="D160" s="514" t="s">
        <v>2367</v>
      </c>
      <c r="E160" s="366">
        <v>12</v>
      </c>
      <c r="F160" s="315"/>
      <c r="G160" s="758">
        <v>62.5</v>
      </c>
      <c r="H160" s="759">
        <v>96.1</v>
      </c>
      <c r="I160" s="760">
        <f t="shared" ref="I160" si="15">ROUND((1-(G160/H160)),2)</f>
        <v>0.35</v>
      </c>
      <c r="J160" s="370" t="s">
        <v>2322</v>
      </c>
      <c r="K160" s="371" t="s">
        <v>116</v>
      </c>
      <c r="L160" s="431"/>
      <c r="M160" s="494" t="s">
        <v>1856</v>
      </c>
      <c r="N160" s="1000" t="s">
        <v>1856</v>
      </c>
      <c r="O160" s="761" t="s">
        <v>7715</v>
      </c>
      <c r="P160" s="373" t="s">
        <v>72</v>
      </c>
      <c r="Q160" s="721">
        <f t="shared" si="1"/>
        <v>0</v>
      </c>
      <c r="R160" s="94" t="str">
        <f t="shared" si="2"/>
        <v>Фото &gt;&gt;</v>
      </c>
      <c r="S160" s="14" t="s">
        <v>2358</v>
      </c>
      <c r="AK160">
        <v>0.48</v>
      </c>
      <c r="AL160">
        <f t="shared" si="12"/>
        <v>0</v>
      </c>
      <c r="AM160">
        <f t="shared" si="13"/>
        <v>0</v>
      </c>
      <c r="AN160">
        <f t="shared" si="14"/>
        <v>0</v>
      </c>
      <c r="AO160" t="s">
        <v>2435</v>
      </c>
      <c r="AV160" t="str">
        <f>IF(F160&gt;0,(COUNT($AV$1:AV159)+1),"")</f>
        <v/>
      </c>
    </row>
    <row r="161" spans="1:48" ht="15" customHeight="1" x14ac:dyDescent="0.25">
      <c r="A161" s="1"/>
      <c r="B161" s="900" t="s">
        <v>7532</v>
      </c>
      <c r="C161" s="901"/>
      <c r="D161" s="902" t="s">
        <v>7528</v>
      </c>
      <c r="E161" s="903">
        <v>1</v>
      </c>
      <c r="F161" s="1212"/>
      <c r="G161" s="1213">
        <v>58.3</v>
      </c>
      <c r="H161" s="1214">
        <v>116.6</v>
      </c>
      <c r="I161" s="1215">
        <f t="shared" ref="I161:I169" si="16">ROUND((1-(G161/H161)),2)</f>
        <v>0.5</v>
      </c>
      <c r="J161" s="907" t="s">
        <v>18</v>
      </c>
      <c r="K161" s="908" t="s">
        <v>131</v>
      </c>
      <c r="L161" s="909"/>
      <c r="M161" s="910"/>
      <c r="N161" s="1026"/>
      <c r="O161" s="1216" t="s">
        <v>7716</v>
      </c>
      <c r="P161" s="912" t="s">
        <v>132</v>
      </c>
      <c r="Q161" s="721">
        <f t="shared" si="1"/>
        <v>0</v>
      </c>
      <c r="R161" s="94" t="str">
        <f t="shared" si="2"/>
        <v/>
      </c>
      <c r="S161" s="14"/>
      <c r="AL161">
        <f t="shared" si="12"/>
        <v>0</v>
      </c>
      <c r="AM161">
        <f t="shared" si="13"/>
        <v>0</v>
      </c>
      <c r="AN161">
        <f t="shared" si="14"/>
        <v>0</v>
      </c>
      <c r="AV161" t="str">
        <f>IF(F161&gt;0,(COUNT($AV$1:AV160)+1),"")</f>
        <v/>
      </c>
    </row>
    <row r="162" spans="1:48" ht="15" customHeight="1" x14ac:dyDescent="0.25">
      <c r="A162" s="1"/>
      <c r="B162" s="364" t="s">
        <v>7533</v>
      </c>
      <c r="C162" s="365"/>
      <c r="D162" s="514" t="s">
        <v>7529</v>
      </c>
      <c r="E162" s="366">
        <v>1</v>
      </c>
      <c r="F162" s="315"/>
      <c r="G162" s="758">
        <v>95.9</v>
      </c>
      <c r="H162" s="759">
        <v>191.8</v>
      </c>
      <c r="I162" s="760">
        <f t="shared" si="16"/>
        <v>0.5</v>
      </c>
      <c r="J162" s="370" t="s">
        <v>18</v>
      </c>
      <c r="K162" s="371" t="s">
        <v>154</v>
      </c>
      <c r="L162" s="431"/>
      <c r="M162" s="494"/>
      <c r="N162" s="1000"/>
      <c r="O162" s="761" t="s">
        <v>7717</v>
      </c>
      <c r="P162" s="373" t="s">
        <v>50</v>
      </c>
      <c r="Q162" s="721">
        <f t="shared" si="1"/>
        <v>0</v>
      </c>
      <c r="R162" s="94" t="str">
        <f t="shared" si="2"/>
        <v/>
      </c>
      <c r="S162" s="14"/>
      <c r="AL162">
        <f t="shared" si="12"/>
        <v>0</v>
      </c>
      <c r="AM162">
        <f t="shared" si="13"/>
        <v>0</v>
      </c>
      <c r="AN162">
        <f t="shared" si="14"/>
        <v>0</v>
      </c>
      <c r="AV162" t="str">
        <f>IF(F162&gt;0,(COUNT($AV$1:AV161)+1),"")</f>
        <v/>
      </c>
    </row>
    <row r="163" spans="1:48" ht="15" customHeight="1" x14ac:dyDescent="0.25">
      <c r="A163" s="1"/>
      <c r="B163" s="880" t="s">
        <v>7534</v>
      </c>
      <c r="C163" s="722"/>
      <c r="D163" s="723" t="s">
        <v>7530</v>
      </c>
      <c r="E163" s="724">
        <v>1</v>
      </c>
      <c r="F163" s="718"/>
      <c r="G163" s="725">
        <v>122</v>
      </c>
      <c r="H163" s="726">
        <v>243.9</v>
      </c>
      <c r="I163" s="727">
        <f t="shared" si="16"/>
        <v>0.5</v>
      </c>
      <c r="J163" s="728" t="s">
        <v>18</v>
      </c>
      <c r="K163" s="729" t="s">
        <v>131</v>
      </c>
      <c r="L163" s="730"/>
      <c r="M163" s="731"/>
      <c r="N163" s="1001"/>
      <c r="O163" s="732" t="s">
        <v>7718</v>
      </c>
      <c r="P163" s="733" t="s">
        <v>72</v>
      </c>
      <c r="Q163" s="721">
        <f t="shared" si="1"/>
        <v>0</v>
      </c>
      <c r="R163" s="94" t="str">
        <f t="shared" si="2"/>
        <v/>
      </c>
      <c r="S163" s="14"/>
      <c r="AL163">
        <f t="shared" si="12"/>
        <v>0</v>
      </c>
      <c r="AM163">
        <f t="shared" si="13"/>
        <v>0</v>
      </c>
      <c r="AN163">
        <f t="shared" si="14"/>
        <v>0</v>
      </c>
      <c r="AV163" t="str">
        <f>IF(F163&gt;0,(COUNT($AV$1:AV162)+1),"")</f>
        <v/>
      </c>
    </row>
    <row r="164" spans="1:48" ht="15" customHeight="1" x14ac:dyDescent="0.25">
      <c r="A164" s="1"/>
      <c r="B164" s="364" t="s">
        <v>7535</v>
      </c>
      <c r="C164" s="365"/>
      <c r="D164" s="514" t="s">
        <v>7531</v>
      </c>
      <c r="E164" s="366">
        <v>1</v>
      </c>
      <c r="F164" s="315"/>
      <c r="G164" s="758">
        <v>257.3</v>
      </c>
      <c r="H164" s="759">
        <v>514.6</v>
      </c>
      <c r="I164" s="760">
        <f t="shared" si="16"/>
        <v>0.5</v>
      </c>
      <c r="J164" s="370" t="s">
        <v>18</v>
      </c>
      <c r="K164" s="371" t="s">
        <v>68</v>
      </c>
      <c r="L164" s="431"/>
      <c r="M164" s="494"/>
      <c r="N164" s="1000"/>
      <c r="O164" s="761" t="s">
        <v>7719</v>
      </c>
      <c r="P164" s="373" t="s">
        <v>55</v>
      </c>
      <c r="Q164" s="721">
        <f t="shared" si="1"/>
        <v>0</v>
      </c>
      <c r="R164" s="94" t="str">
        <f t="shared" si="2"/>
        <v/>
      </c>
      <c r="S164" s="14"/>
      <c r="AL164">
        <f t="shared" si="12"/>
        <v>0</v>
      </c>
      <c r="AM164">
        <f t="shared" si="13"/>
        <v>0</v>
      </c>
      <c r="AN164">
        <f t="shared" si="14"/>
        <v>0</v>
      </c>
      <c r="AV164" t="str">
        <f>IF(F164&gt;0,(COUNT($AV$1:AV163)+1),"")</f>
        <v/>
      </c>
    </row>
    <row r="165" spans="1:48" ht="15" customHeight="1" x14ac:dyDescent="0.25">
      <c r="A165" s="1"/>
      <c r="B165" s="900" t="s">
        <v>7811</v>
      </c>
      <c r="C165" s="901">
        <v>4627082941661</v>
      </c>
      <c r="D165" s="902" t="s">
        <v>7802</v>
      </c>
      <c r="E165" s="903">
        <v>8</v>
      </c>
      <c r="F165" s="1212"/>
      <c r="G165" s="1213">
        <v>66.599999999999994</v>
      </c>
      <c r="H165" s="1214">
        <v>222</v>
      </c>
      <c r="I165" s="1215">
        <f t="shared" si="16"/>
        <v>0.7</v>
      </c>
      <c r="J165" s="907" t="s">
        <v>545</v>
      </c>
      <c r="K165" s="908" t="s">
        <v>117</v>
      </c>
      <c r="L165" s="909"/>
      <c r="M165" s="910" t="s">
        <v>104</v>
      </c>
      <c r="N165" s="1026" t="s">
        <v>1856</v>
      </c>
      <c r="O165" s="1216" t="s">
        <v>7814</v>
      </c>
      <c r="P165" s="912" t="s">
        <v>40</v>
      </c>
      <c r="Q165" s="721">
        <f t="shared" si="1"/>
        <v>0</v>
      </c>
      <c r="R165" s="94" t="str">
        <f t="shared" si="2"/>
        <v>Фото &gt;&gt;</v>
      </c>
      <c r="S165" s="14" t="s">
        <v>7803</v>
      </c>
      <c r="AK165">
        <v>0.09</v>
      </c>
      <c r="AL165">
        <f t="shared" si="12"/>
        <v>0</v>
      </c>
      <c r="AM165">
        <f t="shared" si="13"/>
        <v>0</v>
      </c>
      <c r="AN165">
        <f t="shared" si="14"/>
        <v>0</v>
      </c>
      <c r="AO165" t="s">
        <v>7804</v>
      </c>
      <c r="AV165" t="str">
        <f>IF(F165&gt;0,(COUNT($AV$1:AV164)+1),"")</f>
        <v/>
      </c>
    </row>
    <row r="166" spans="1:48" ht="15" customHeight="1" x14ac:dyDescent="0.25">
      <c r="A166" s="1"/>
      <c r="B166" s="364" t="s">
        <v>7812</v>
      </c>
      <c r="C166" s="365">
        <v>4627082940619</v>
      </c>
      <c r="D166" s="514" t="s">
        <v>7805</v>
      </c>
      <c r="E166" s="366">
        <v>16</v>
      </c>
      <c r="F166" s="315"/>
      <c r="G166" s="758">
        <v>264.89999999999998</v>
      </c>
      <c r="H166" s="759">
        <v>529.79999999999995</v>
      </c>
      <c r="I166" s="760">
        <f t="shared" si="16"/>
        <v>0.5</v>
      </c>
      <c r="J166" s="370" t="s">
        <v>545</v>
      </c>
      <c r="K166" s="371" t="s">
        <v>219</v>
      </c>
      <c r="L166" s="431"/>
      <c r="M166" s="494" t="s">
        <v>104</v>
      </c>
      <c r="N166" s="1000" t="s">
        <v>1856</v>
      </c>
      <c r="O166" s="761" t="s">
        <v>7815</v>
      </c>
      <c r="P166" s="373" t="s">
        <v>50</v>
      </c>
      <c r="Q166" s="721">
        <f t="shared" si="1"/>
        <v>0</v>
      </c>
      <c r="R166" s="94" t="str">
        <f t="shared" si="2"/>
        <v>Фото &gt;&gt;</v>
      </c>
      <c r="S166" s="14" t="s">
        <v>7806</v>
      </c>
      <c r="AK166">
        <v>0.28999999999999998</v>
      </c>
      <c r="AL166">
        <f t="shared" si="12"/>
        <v>0</v>
      </c>
      <c r="AM166">
        <f t="shared" si="13"/>
        <v>0</v>
      </c>
      <c r="AN166">
        <f t="shared" si="14"/>
        <v>0</v>
      </c>
      <c r="AO166" t="s">
        <v>7807</v>
      </c>
      <c r="AV166" t="str">
        <f>IF(F166&gt;0,(COUNT($AV$1:AV165)+1),"")</f>
        <v/>
      </c>
    </row>
    <row r="167" spans="1:48" ht="15" customHeight="1" x14ac:dyDescent="0.25">
      <c r="A167" s="1"/>
      <c r="B167" s="316" t="s">
        <v>7813</v>
      </c>
      <c r="C167" s="317">
        <v>4627082945362</v>
      </c>
      <c r="D167" s="513" t="s">
        <v>7808</v>
      </c>
      <c r="E167" s="318">
        <v>16</v>
      </c>
      <c r="F167" s="315"/>
      <c r="G167" s="1208">
        <v>147.5</v>
      </c>
      <c r="H167" s="1209">
        <v>294.89999999999998</v>
      </c>
      <c r="I167" s="1210">
        <f t="shared" si="16"/>
        <v>0.5</v>
      </c>
      <c r="J167" s="319" t="s">
        <v>545</v>
      </c>
      <c r="K167" s="320" t="s">
        <v>374</v>
      </c>
      <c r="L167" s="432"/>
      <c r="M167" s="493" t="s">
        <v>1856</v>
      </c>
      <c r="N167" s="1004" t="s">
        <v>1856</v>
      </c>
      <c r="O167" s="1211" t="s">
        <v>7816</v>
      </c>
      <c r="P167" s="321" t="s">
        <v>72</v>
      </c>
      <c r="Q167" s="721">
        <f t="shared" si="1"/>
        <v>0</v>
      </c>
      <c r="R167" s="94" t="str">
        <f t="shared" si="2"/>
        <v>Фото &gt;&gt;</v>
      </c>
      <c r="S167" s="14" t="s">
        <v>7809</v>
      </c>
      <c r="AK167">
        <v>7.0000000000000007E-2</v>
      </c>
      <c r="AL167">
        <f t="shared" ref="AL167:AL170" si="17">F167*G167</f>
        <v>0</v>
      </c>
      <c r="AM167">
        <f t="shared" ref="AM167:AM170" si="18">F167*H167</f>
        <v>0</v>
      </c>
      <c r="AN167">
        <f t="shared" ref="AN167:AN170" si="19">AK167*F167+IF(E167&gt;1.01,F167/E167*0.2,0)</f>
        <v>0</v>
      </c>
      <c r="AO167" t="s">
        <v>7810</v>
      </c>
      <c r="AV167" t="str">
        <f>IF(F167&gt;0,(COUNT($AV$1:AV166)+1),"")</f>
        <v/>
      </c>
    </row>
    <row r="168" spans="1:48" ht="15" customHeight="1" x14ac:dyDescent="0.25">
      <c r="A168" s="1"/>
      <c r="B168" s="1217" t="s">
        <v>7831</v>
      </c>
      <c r="C168" s="915">
        <v>4680288033899</v>
      </c>
      <c r="D168" s="916" t="s">
        <v>7834</v>
      </c>
      <c r="E168" s="917">
        <v>12</v>
      </c>
      <c r="F168" s="1212"/>
      <c r="G168" s="1218">
        <v>35.299999999999997</v>
      </c>
      <c r="H168" s="1219">
        <v>117.8</v>
      </c>
      <c r="I168" s="1220">
        <f t="shared" si="16"/>
        <v>0.7</v>
      </c>
      <c r="J168" s="921" t="s">
        <v>295</v>
      </c>
      <c r="K168" s="922" t="s">
        <v>78</v>
      </c>
      <c r="L168" s="923"/>
      <c r="M168" s="924" t="s">
        <v>1856</v>
      </c>
      <c r="N168" s="1025" t="s">
        <v>1856</v>
      </c>
      <c r="O168" s="1221" t="s">
        <v>7829</v>
      </c>
      <c r="P168" s="926" t="s">
        <v>53</v>
      </c>
      <c r="Q168" s="721">
        <f t="shared" si="1"/>
        <v>0</v>
      </c>
      <c r="R168" s="94" t="s">
        <v>5851</v>
      </c>
      <c r="S168" s="14" t="s">
        <v>197</v>
      </c>
      <c r="AK168">
        <v>0.32</v>
      </c>
      <c r="AL168">
        <f t="shared" si="17"/>
        <v>0</v>
      </c>
      <c r="AM168">
        <f t="shared" si="18"/>
        <v>0</v>
      </c>
      <c r="AN168">
        <f t="shared" si="19"/>
        <v>0</v>
      </c>
      <c r="AO168" t="s">
        <v>5383</v>
      </c>
      <c r="AV168" t="str">
        <f>IF(F168&gt;0,(COUNT($AV$1:AV167)+1),"")</f>
        <v/>
      </c>
    </row>
    <row r="169" spans="1:48" ht="15" customHeight="1" x14ac:dyDescent="0.25">
      <c r="A169" s="1"/>
      <c r="B169" s="316" t="s">
        <v>7832</v>
      </c>
      <c r="C169" s="317">
        <v>4627129931754</v>
      </c>
      <c r="D169" s="513" t="s">
        <v>7833</v>
      </c>
      <c r="E169" s="318">
        <v>8</v>
      </c>
      <c r="F169" s="315"/>
      <c r="G169" s="1208">
        <v>121.8</v>
      </c>
      <c r="H169" s="1209">
        <v>243.5</v>
      </c>
      <c r="I169" s="1210">
        <f t="shared" si="16"/>
        <v>0.5</v>
      </c>
      <c r="J169" s="319" t="s">
        <v>712</v>
      </c>
      <c r="K169" s="320" t="s">
        <v>556</v>
      </c>
      <c r="L169" s="432"/>
      <c r="M169" s="493" t="s">
        <v>1856</v>
      </c>
      <c r="N169" s="1004" t="s">
        <v>1856</v>
      </c>
      <c r="O169" s="1211" t="s">
        <v>7830</v>
      </c>
      <c r="P169" s="321" t="s">
        <v>53</v>
      </c>
      <c r="Q169" s="721">
        <f t="shared" si="1"/>
        <v>0</v>
      </c>
      <c r="R169" s="94" t="s">
        <v>5851</v>
      </c>
      <c r="S169" s="14" t="s">
        <v>1859</v>
      </c>
      <c r="AK169">
        <v>0.55000000000000004</v>
      </c>
      <c r="AL169">
        <f t="shared" si="17"/>
        <v>0</v>
      </c>
      <c r="AM169">
        <f t="shared" si="18"/>
        <v>0</v>
      </c>
      <c r="AN169">
        <f t="shared" si="19"/>
        <v>0</v>
      </c>
      <c r="AO169" t="s">
        <v>2752</v>
      </c>
      <c r="AV169" t="str">
        <f>IF(F169&gt;0,(COUNT($AV$1:AV168)+1),"")</f>
        <v/>
      </c>
    </row>
    <row r="170" spans="1:48" ht="15" customHeight="1" x14ac:dyDescent="0.25">
      <c r="A170" s="1"/>
      <c r="B170" s="1217" t="s">
        <v>7536</v>
      </c>
      <c r="C170" s="915">
        <v>4620286090890</v>
      </c>
      <c r="D170" s="916" t="s">
        <v>7525</v>
      </c>
      <c r="E170" s="917">
        <v>14</v>
      </c>
      <c r="F170" s="1212"/>
      <c r="G170" s="1218">
        <v>116.4</v>
      </c>
      <c r="H170" s="1219">
        <v>136.9</v>
      </c>
      <c r="I170" s="1220">
        <f t="shared" ref="I170:I173" si="20">ROUND((1-(G170/H170)),2)</f>
        <v>0.15</v>
      </c>
      <c r="J170" s="921" t="s">
        <v>5550</v>
      </c>
      <c r="K170" s="922" t="s">
        <v>367</v>
      </c>
      <c r="L170" s="923"/>
      <c r="M170" s="924"/>
      <c r="N170" s="1025"/>
      <c r="O170" s="1221" t="s">
        <v>7720</v>
      </c>
      <c r="P170" s="926" t="s">
        <v>53</v>
      </c>
      <c r="Q170" s="721">
        <f t="shared" si="1"/>
        <v>0</v>
      </c>
      <c r="R170" s="94" t="str">
        <f t="shared" si="2"/>
        <v>Фото &gt;&gt;</v>
      </c>
      <c r="S170" s="14" t="s">
        <v>6778</v>
      </c>
      <c r="AK170">
        <v>0.1</v>
      </c>
      <c r="AL170">
        <f t="shared" si="17"/>
        <v>0</v>
      </c>
      <c r="AM170">
        <f t="shared" si="18"/>
        <v>0</v>
      </c>
      <c r="AN170">
        <f t="shared" si="19"/>
        <v>0</v>
      </c>
      <c r="AO170" t="s">
        <v>6776</v>
      </c>
      <c r="AV170" t="str">
        <f>IF(F170&gt;0,(COUNT($AV$1:AV169)+1),"")</f>
        <v/>
      </c>
    </row>
    <row r="171" spans="1:48" ht="15" customHeight="1" x14ac:dyDescent="0.25">
      <c r="A171" s="1"/>
      <c r="B171" s="880" t="s">
        <v>7537</v>
      </c>
      <c r="C171" s="722">
        <v>4620286090036</v>
      </c>
      <c r="D171" s="723" t="s">
        <v>7526</v>
      </c>
      <c r="E171" s="724">
        <v>14</v>
      </c>
      <c r="F171" s="718"/>
      <c r="G171" s="725">
        <v>102.9</v>
      </c>
      <c r="H171" s="726">
        <v>121.1</v>
      </c>
      <c r="I171" s="727">
        <f t="shared" si="20"/>
        <v>0.15</v>
      </c>
      <c r="J171" s="728" t="s">
        <v>5550</v>
      </c>
      <c r="K171" s="729" t="s">
        <v>367</v>
      </c>
      <c r="L171" s="730"/>
      <c r="M171" s="731"/>
      <c r="N171" s="1001"/>
      <c r="O171" s="732" t="s">
        <v>7721</v>
      </c>
      <c r="P171" s="733" t="s">
        <v>53</v>
      </c>
      <c r="Q171" s="721">
        <f t="shared" si="1"/>
        <v>0</v>
      </c>
      <c r="R171" s="94" t="str">
        <f t="shared" si="2"/>
        <v>Фото &gt;&gt;</v>
      </c>
      <c r="S171" s="14" t="s">
        <v>5558</v>
      </c>
      <c r="AK171">
        <v>0.12</v>
      </c>
      <c r="AL171">
        <f t="shared" si="12"/>
        <v>0</v>
      </c>
      <c r="AM171">
        <f t="shared" si="13"/>
        <v>0</v>
      </c>
      <c r="AN171">
        <f t="shared" si="14"/>
        <v>0</v>
      </c>
      <c r="AO171" t="s">
        <v>5551</v>
      </c>
      <c r="AV171" t="str">
        <f>IF(F171&gt;0,(COUNT($AV$1:AV170)+1),"")</f>
        <v/>
      </c>
    </row>
    <row r="172" spans="1:48" ht="15" customHeight="1" x14ac:dyDescent="0.25">
      <c r="A172" s="1"/>
      <c r="B172" s="364" t="s">
        <v>7538</v>
      </c>
      <c r="C172" s="365">
        <v>4620286090043</v>
      </c>
      <c r="D172" s="514" t="s">
        <v>5549</v>
      </c>
      <c r="E172" s="366">
        <v>14</v>
      </c>
      <c r="F172" s="315"/>
      <c r="G172" s="758">
        <v>110.2</v>
      </c>
      <c r="H172" s="759">
        <v>129.6</v>
      </c>
      <c r="I172" s="760">
        <f t="shared" si="20"/>
        <v>0.15</v>
      </c>
      <c r="J172" s="370" t="s">
        <v>5550</v>
      </c>
      <c r="K172" s="371" t="s">
        <v>326</v>
      </c>
      <c r="L172" s="431"/>
      <c r="M172" s="494" t="s">
        <v>1856</v>
      </c>
      <c r="N172" s="1000" t="s">
        <v>1856</v>
      </c>
      <c r="O172" s="761" t="s">
        <v>7721</v>
      </c>
      <c r="P172" s="373" t="s">
        <v>53</v>
      </c>
      <c r="Q172" s="721">
        <f t="shared" si="1"/>
        <v>0</v>
      </c>
      <c r="R172" s="94" t="str">
        <f t="shared" si="2"/>
        <v>Фото &gt;&gt;</v>
      </c>
      <c r="S172" s="14" t="s">
        <v>5555</v>
      </c>
      <c r="AK172">
        <v>0.11</v>
      </c>
      <c r="AL172">
        <f t="shared" ref="AL172:AL173" si="21">F172*G172</f>
        <v>0</v>
      </c>
      <c r="AM172">
        <f t="shared" ref="AM172:AM173" si="22">F172*H172</f>
        <v>0</v>
      </c>
      <c r="AN172">
        <f t="shared" ref="AN172:AN173" si="23">AK172*F172+IF(E172&gt;1.01,F172/E172*0.2,0)</f>
        <v>0</v>
      </c>
      <c r="AO172" t="s">
        <v>5552</v>
      </c>
      <c r="AV172" t="str">
        <f>IF(F172&gt;0,(COUNT($AV$1:AV171)+1),"")</f>
        <v/>
      </c>
    </row>
    <row r="173" spans="1:48" ht="15" customHeight="1" x14ac:dyDescent="0.25">
      <c r="A173" s="1"/>
      <c r="B173" s="880" t="s">
        <v>7539</v>
      </c>
      <c r="C173" s="722">
        <v>4620286090166</v>
      </c>
      <c r="D173" s="723" t="s">
        <v>7527</v>
      </c>
      <c r="E173" s="724">
        <v>14</v>
      </c>
      <c r="F173" s="718"/>
      <c r="G173" s="725">
        <v>117.6</v>
      </c>
      <c r="H173" s="726">
        <v>138.30000000000001</v>
      </c>
      <c r="I173" s="727">
        <f t="shared" si="20"/>
        <v>0.15</v>
      </c>
      <c r="J173" s="728" t="s">
        <v>5550</v>
      </c>
      <c r="K173" s="729" t="s">
        <v>326</v>
      </c>
      <c r="L173" s="730"/>
      <c r="M173" s="731" t="s">
        <v>1856</v>
      </c>
      <c r="N173" s="1001" t="s">
        <v>1856</v>
      </c>
      <c r="O173" s="732" t="s">
        <v>7721</v>
      </c>
      <c r="P173" s="733" t="s">
        <v>53</v>
      </c>
      <c r="Q173" s="721">
        <f t="shared" si="1"/>
        <v>0</v>
      </c>
      <c r="R173" s="94" t="str">
        <f t="shared" si="2"/>
        <v>Фото &gt;&gt;</v>
      </c>
      <c r="S173" s="14" t="s">
        <v>5556</v>
      </c>
      <c r="AK173">
        <v>0.11</v>
      </c>
      <c r="AL173">
        <f t="shared" si="21"/>
        <v>0</v>
      </c>
      <c r="AM173">
        <f t="shared" si="22"/>
        <v>0</v>
      </c>
      <c r="AN173">
        <f t="shared" si="23"/>
        <v>0</v>
      </c>
      <c r="AO173" t="s">
        <v>5553</v>
      </c>
      <c r="AV173" t="str">
        <f>IF(F173&gt;0,(COUNT($AV$1:AV172)+1),"")</f>
        <v/>
      </c>
    </row>
    <row r="174" spans="1:48" ht="15" customHeight="1" x14ac:dyDescent="0.25">
      <c r="A174" s="1"/>
      <c r="B174" s="125"/>
      <c r="C174" s="126"/>
      <c r="D174" s="127"/>
      <c r="E174" s="134"/>
      <c r="F174" s="189"/>
      <c r="G174" s="130"/>
      <c r="H174" s="131"/>
      <c r="I174" s="132"/>
      <c r="J174" s="128"/>
      <c r="K174" s="129"/>
      <c r="L174" s="433"/>
      <c r="M174" s="481"/>
      <c r="N174" s="471"/>
      <c r="O174" s="181"/>
      <c r="P174" s="133"/>
      <c r="Q174" s="135"/>
      <c r="R174" s="13"/>
      <c r="S174" s="207"/>
      <c r="T174" s="208"/>
      <c r="AV174" t="str">
        <f>IF(F174&gt;0,(COUNT($AV$1:AV173)+1),"")</f>
        <v/>
      </c>
    </row>
    <row r="175" spans="1:48" ht="15" customHeight="1" thickBot="1" x14ac:dyDescent="0.3">
      <c r="A175" s="1"/>
      <c r="B175" s="158"/>
      <c r="C175" s="159"/>
      <c r="D175" s="160"/>
      <c r="E175" s="167"/>
      <c r="F175" s="191"/>
      <c r="G175" s="163"/>
      <c r="H175" s="164"/>
      <c r="I175" s="165"/>
      <c r="J175" s="161"/>
      <c r="K175" s="162"/>
      <c r="L175" s="439"/>
      <c r="M175" s="475"/>
      <c r="N175" s="467"/>
      <c r="O175" s="183"/>
      <c r="P175" s="166"/>
      <c r="Q175" s="168"/>
      <c r="R175" s="13"/>
      <c r="S175" s="207"/>
      <c r="T175" s="208"/>
      <c r="AV175" t="str">
        <f>IF(F175&gt;0,(COUNT($AV$1:AV174)+1),"")</f>
        <v/>
      </c>
    </row>
    <row r="176" spans="1:48" ht="24.95" customHeight="1" thickBot="1" x14ac:dyDescent="0.3">
      <c r="A176" s="1"/>
      <c r="B176" s="625"/>
      <c r="C176" s="626"/>
      <c r="D176" s="627" t="str">
        <f>CONCATENATE("iki кокосовые напитки","     |     Сумма заказа: ",AK176," руб.")</f>
        <v>iki кокосовые напитки     |     Сумма заказа: 0 руб.</v>
      </c>
      <c r="E176" s="628"/>
      <c r="F176" s="629"/>
      <c r="G176" s="630" t="str">
        <f>CONCATENATE("Ценовая колонка: ",AO176,"   |   До следующей скидки: ",AJ176," руб.")</f>
        <v>Ценовая колонка: 3   |   До следующей скидки: 3000 руб.</v>
      </c>
      <c r="H176" s="631"/>
      <c r="I176" s="631"/>
      <c r="J176" s="632" t="s">
        <v>7449</v>
      </c>
      <c r="K176" s="633"/>
      <c r="L176" s="634"/>
      <c r="M176" s="635"/>
      <c r="N176" s="840"/>
      <c r="O176" s="636"/>
      <c r="P176" s="637"/>
      <c r="Q176" s="638"/>
      <c r="R176" s="639" t="s">
        <v>1558</v>
      </c>
      <c r="S176" s="6"/>
      <c r="AJ176">
        <f>ROUND(IF(AL176&gt;10000,"0", IF(AND(AL176&lt;10000,AM176&gt;3000),10000-AL176,3000-AM176)),2)</f>
        <v>3000</v>
      </c>
      <c r="AK176">
        <f>SUM(Q183:Q193)</f>
        <v>0</v>
      </c>
      <c r="AL176">
        <f>SUM(AL183:AL193)</f>
        <v>0</v>
      </c>
      <c r="AM176">
        <f>SUM(AM183:AM193)</f>
        <v>0</v>
      </c>
      <c r="AO176">
        <f>IF(AM176&gt;3000,IF(AL176&gt;10000,1,2),3)</f>
        <v>3</v>
      </c>
      <c r="AV176" t="str">
        <f>IF(F176&gt;0,(COUNT($AV$1:AV175)+1),"")</f>
        <v/>
      </c>
    </row>
    <row r="177" spans="1:48" ht="15" customHeight="1" x14ac:dyDescent="0.25">
      <c r="A177" s="1"/>
      <c r="B177" s="294"/>
      <c r="C177" s="243"/>
      <c r="D177" s="263" t="s">
        <v>2085</v>
      </c>
      <c r="E177" s="244"/>
      <c r="F177" s="245"/>
      <c r="G177" s="246"/>
      <c r="H177" s="247"/>
      <c r="I177" s="247"/>
      <c r="J177" s="248"/>
      <c r="K177" s="249"/>
      <c r="L177" s="435"/>
      <c r="M177" s="478"/>
      <c r="N177" s="469"/>
      <c r="O177" s="250"/>
      <c r="P177" s="251"/>
      <c r="Q177" s="252"/>
      <c r="R177" s="13"/>
      <c r="S177" s="14"/>
      <c r="AV177" t="str">
        <f>IF(F177&gt;0,(COUNT($AV$1:AV176)+1),"")</f>
        <v/>
      </c>
    </row>
    <row r="178" spans="1:48" ht="15" customHeight="1" x14ac:dyDescent="0.25">
      <c r="A178" s="1"/>
      <c r="B178" s="158"/>
      <c r="C178" s="159"/>
      <c r="D178" s="263" t="s">
        <v>7482</v>
      </c>
      <c r="E178" s="238"/>
      <c r="F178" s="203"/>
      <c r="G178" s="239"/>
      <c r="H178" s="240"/>
      <c r="I178" s="240"/>
      <c r="J178" s="241"/>
      <c r="K178" s="201"/>
      <c r="L178" s="428"/>
      <c r="M178" s="475"/>
      <c r="N178" s="467"/>
      <c r="O178" s="166"/>
      <c r="P178" s="242"/>
      <c r="Q178" s="202"/>
      <c r="R178" s="13"/>
      <c r="S178" s="14"/>
      <c r="AV178" t="str">
        <f>IF(F178&gt;0,(COUNT($AV$1:AV177)+1),"")</f>
        <v/>
      </c>
    </row>
    <row r="179" spans="1:48" ht="15" customHeight="1" x14ac:dyDescent="0.25">
      <c r="A179" s="1"/>
      <c r="B179" s="158"/>
      <c r="C179" s="159"/>
      <c r="D179" s="263" t="s">
        <v>7483</v>
      </c>
      <c r="E179" s="238"/>
      <c r="F179" s="203"/>
      <c r="G179" s="239"/>
      <c r="H179" s="240"/>
      <c r="I179" s="240"/>
      <c r="K179" s="201"/>
      <c r="L179" s="428"/>
      <c r="M179" s="475"/>
      <c r="N179" s="467"/>
      <c r="O179" s="166"/>
      <c r="P179" s="242"/>
      <c r="Q179" s="202"/>
      <c r="R179" s="13"/>
      <c r="S179" s="14"/>
      <c r="AV179" t="str">
        <f>IF(F179&gt;0,(COUNT($AV$1:AV178)+1),"")</f>
        <v/>
      </c>
    </row>
    <row r="180" spans="1:48" ht="15" customHeight="1" x14ac:dyDescent="0.25">
      <c r="A180" s="1"/>
      <c r="B180" s="158"/>
      <c r="C180" s="159"/>
      <c r="D180" s="263"/>
      <c r="E180" s="238"/>
      <c r="F180" s="203"/>
      <c r="G180" s="239"/>
      <c r="H180" s="240"/>
      <c r="I180" s="240"/>
      <c r="J180" s="241"/>
      <c r="K180" s="201"/>
      <c r="L180" s="428"/>
      <c r="M180" s="475"/>
      <c r="N180" s="467"/>
      <c r="O180" s="166"/>
      <c r="P180" s="242"/>
      <c r="Q180" s="202"/>
      <c r="R180" s="13"/>
      <c r="S180" s="14"/>
      <c r="AV180" t="str">
        <f>IF(F180&gt;0,(COUNT($AV$1:AV179)+1),"")</f>
        <v/>
      </c>
    </row>
    <row r="181" spans="1:48" ht="15" customHeight="1" x14ac:dyDescent="0.25">
      <c r="A181" s="1"/>
      <c r="B181" s="295"/>
      <c r="C181" s="253"/>
      <c r="D181" s="263"/>
      <c r="E181" s="254"/>
      <c r="F181" s="255"/>
      <c r="G181" s="256"/>
      <c r="H181" s="257"/>
      <c r="I181" s="257"/>
      <c r="J181" s="258"/>
      <c r="K181" s="259"/>
      <c r="L181" s="436"/>
      <c r="M181" s="479"/>
      <c r="N181" s="470"/>
      <c r="O181" s="260"/>
      <c r="P181" s="261"/>
      <c r="Q181" s="262"/>
      <c r="R181" s="13"/>
      <c r="S181" s="14"/>
      <c r="AV181" t="str">
        <f>IF(F181&gt;0,(COUNT($AV$1:AV180)+1),"")</f>
        <v/>
      </c>
    </row>
    <row r="182" spans="1:48" ht="15" customHeight="1" x14ac:dyDescent="0.25">
      <c r="A182" s="1"/>
      <c r="B182" s="699"/>
      <c r="C182" s="700"/>
      <c r="D182" s="701" t="s">
        <v>116</v>
      </c>
      <c r="E182" s="702"/>
      <c r="F182" s="703"/>
      <c r="G182" s="841" t="s">
        <v>1451</v>
      </c>
      <c r="H182" s="842" t="s">
        <v>1461</v>
      </c>
      <c r="I182" s="842" t="s">
        <v>221</v>
      </c>
      <c r="J182" s="704"/>
      <c r="K182" s="705"/>
      <c r="L182" s="706"/>
      <c r="M182" s="707"/>
      <c r="N182" s="843"/>
      <c r="O182" s="844"/>
      <c r="P182" s="708"/>
      <c r="Q182" s="709"/>
      <c r="R182" s="2"/>
      <c r="S182" s="6"/>
      <c r="AV182" t="str">
        <f>IF(F182&gt;0,(COUNT($AV$1:AV181)+1),"")</f>
        <v/>
      </c>
    </row>
    <row r="183" spans="1:48" ht="15" customHeight="1" x14ac:dyDescent="0.25">
      <c r="A183" s="1"/>
      <c r="B183" s="37">
        <v>21586</v>
      </c>
      <c r="C183" s="23">
        <v>4630106800844</v>
      </c>
      <c r="D183" s="237" t="s">
        <v>7451</v>
      </c>
      <c r="E183" s="1225">
        <v>6</v>
      </c>
      <c r="F183" s="845"/>
      <c r="G183" s="111">
        <v>90</v>
      </c>
      <c r="H183" s="5">
        <v>94.5</v>
      </c>
      <c r="I183" s="24">
        <v>99.2</v>
      </c>
      <c r="J183" s="115" t="s">
        <v>7449</v>
      </c>
      <c r="K183" s="46" t="s">
        <v>116</v>
      </c>
      <c r="L183" s="440"/>
      <c r="M183" s="482"/>
      <c r="N183" s="1002" t="s">
        <v>1856</v>
      </c>
      <c r="O183" s="211" t="s">
        <v>7581</v>
      </c>
      <c r="P183" s="74" t="s">
        <v>50</v>
      </c>
      <c r="Q183" s="521">
        <f t="shared" ref="Q183:Q193" si="24">IF($AO$176=2,F183*H183,IF($AO$176=1,F183*G183,F183*I183))</f>
        <v>0</v>
      </c>
      <c r="R183" s="94" t="str">
        <f t="shared" ref="R183:R193" si="25">IF(AO183&gt;0,HYPERLINK(AO183,"Фото &gt;&gt;"),"")</f>
        <v>Фото &gt;&gt;</v>
      </c>
      <c r="S183" s="14" t="s">
        <v>7471</v>
      </c>
      <c r="AK183">
        <v>0.38</v>
      </c>
      <c r="AL183">
        <f t="shared" ref="AL183" si="26">F183*G183</f>
        <v>0</v>
      </c>
      <c r="AM183">
        <f t="shared" ref="AM183" si="27">F183*H183</f>
        <v>0</v>
      </c>
      <c r="AN183">
        <f t="shared" ref="AN183" si="28">AK183*F183+IF(E183&gt;1.01,F183/E183*0.2,0)</f>
        <v>0</v>
      </c>
      <c r="AO183" t="s">
        <v>7484</v>
      </c>
      <c r="AQ183" s="520" t="str">
        <f>CONCATENATE("http://1.c8804.nichost.ru/pics/",B183,".jpg")</f>
        <v>http://1.c8804.nichost.ru/pics/21586.jpg</v>
      </c>
      <c r="AV183" t="str">
        <f>IF(F183&gt;0,(COUNT($AV$1:AV182)+1),"")</f>
        <v/>
      </c>
    </row>
    <row r="184" spans="1:48" ht="15" customHeight="1" x14ac:dyDescent="0.25">
      <c r="A184" s="1"/>
      <c r="B184" s="825">
        <v>21577</v>
      </c>
      <c r="C184" s="523">
        <v>4630106800837</v>
      </c>
      <c r="D184" s="534" t="s">
        <v>7450</v>
      </c>
      <c r="E184" s="1226">
        <v>6</v>
      </c>
      <c r="F184" s="845"/>
      <c r="G184" s="525">
        <v>90</v>
      </c>
      <c r="H184" s="526">
        <v>94.5</v>
      </c>
      <c r="I184" s="527">
        <v>99.2</v>
      </c>
      <c r="J184" s="528" t="s">
        <v>7449</v>
      </c>
      <c r="K184" s="529" t="s">
        <v>116</v>
      </c>
      <c r="L184" s="530"/>
      <c r="M184" s="531"/>
      <c r="N184" s="1003" t="s">
        <v>1856</v>
      </c>
      <c r="O184" s="532" t="s">
        <v>7581</v>
      </c>
      <c r="P184" s="533" t="s">
        <v>50</v>
      </c>
      <c r="Q184" s="521">
        <f t="shared" si="24"/>
        <v>0</v>
      </c>
      <c r="R184" s="94" t="str">
        <f t="shared" si="25"/>
        <v>Фото &gt;&gt;</v>
      </c>
      <c r="S184" s="14" t="s">
        <v>7470</v>
      </c>
      <c r="AK184">
        <v>0.38</v>
      </c>
      <c r="AL184">
        <f t="shared" ref="AL184:AL193" si="29">F184*G184</f>
        <v>0</v>
      </c>
      <c r="AM184">
        <f t="shared" ref="AM184:AM193" si="30">F184*H184</f>
        <v>0</v>
      </c>
      <c r="AN184">
        <f t="shared" ref="AN184:AN193" si="31">AK184*F184+IF(E184&gt;1.01,F184/E184*0.2,0)</f>
        <v>0</v>
      </c>
      <c r="AO184" t="s">
        <v>7485</v>
      </c>
      <c r="AQ184" s="520" t="str">
        <f t="shared" ref="AQ184:AQ193" si="32">CONCATENATE("http://1.c8804.nichost.ru/pics/",B184,".jpg")</f>
        <v>http://1.c8804.nichost.ru/pics/21577.jpg</v>
      </c>
      <c r="AV184" t="str">
        <f>IF(F184&gt;0,(COUNT($AV$1:AV183)+1),"")</f>
        <v/>
      </c>
    </row>
    <row r="185" spans="1:48" ht="15" customHeight="1" x14ac:dyDescent="0.25">
      <c r="A185" s="1"/>
      <c r="B185" s="37">
        <v>21568</v>
      </c>
      <c r="C185" s="23">
        <v>4630106800554</v>
      </c>
      <c r="D185" s="237" t="s">
        <v>7452</v>
      </c>
      <c r="E185" s="1225">
        <v>6</v>
      </c>
      <c r="F185" s="845"/>
      <c r="G185" s="111">
        <v>95</v>
      </c>
      <c r="H185" s="5">
        <v>99.7</v>
      </c>
      <c r="I185" s="24">
        <v>104.7</v>
      </c>
      <c r="J185" s="115" t="s">
        <v>7449</v>
      </c>
      <c r="K185" s="46" t="s">
        <v>116</v>
      </c>
      <c r="L185" s="440"/>
      <c r="M185" s="482"/>
      <c r="N185" s="1002" t="s">
        <v>1856</v>
      </c>
      <c r="O185" s="211" t="s">
        <v>7581</v>
      </c>
      <c r="P185" s="74" t="s">
        <v>40</v>
      </c>
      <c r="Q185" s="521">
        <f t="shared" si="24"/>
        <v>0</v>
      </c>
      <c r="R185" s="94" t="str">
        <f t="shared" si="25"/>
        <v>Фото &gt;&gt;</v>
      </c>
      <c r="S185" s="14" t="s">
        <v>7462</v>
      </c>
      <c r="AK185">
        <v>0.37</v>
      </c>
      <c r="AL185">
        <f t="shared" si="29"/>
        <v>0</v>
      </c>
      <c r="AM185">
        <f t="shared" si="30"/>
        <v>0</v>
      </c>
      <c r="AN185">
        <f t="shared" si="31"/>
        <v>0</v>
      </c>
      <c r="AO185" t="s">
        <v>7486</v>
      </c>
      <c r="AQ185" s="520" t="str">
        <f t="shared" si="32"/>
        <v>http://1.c8804.nichost.ru/pics/21568.jpg</v>
      </c>
      <c r="AV185" t="str">
        <f>IF(F185&gt;0,(COUNT($AV$1:AV184)+1),"")</f>
        <v/>
      </c>
    </row>
    <row r="186" spans="1:48" ht="15" customHeight="1" x14ac:dyDescent="0.25">
      <c r="A186" s="1"/>
      <c r="B186" s="825">
        <v>21567</v>
      </c>
      <c r="C186" s="523">
        <v>4630106800530</v>
      </c>
      <c r="D186" s="534" t="s">
        <v>7453</v>
      </c>
      <c r="E186" s="1226">
        <v>6</v>
      </c>
      <c r="F186" s="845"/>
      <c r="G186" s="525">
        <v>95</v>
      </c>
      <c r="H186" s="526">
        <v>99.7</v>
      </c>
      <c r="I186" s="527">
        <v>104.7</v>
      </c>
      <c r="J186" s="528" t="s">
        <v>7449</v>
      </c>
      <c r="K186" s="529" t="s">
        <v>116</v>
      </c>
      <c r="L186" s="530"/>
      <c r="M186" s="531"/>
      <c r="N186" s="1003" t="s">
        <v>1856</v>
      </c>
      <c r="O186" s="532" t="s">
        <v>7581</v>
      </c>
      <c r="P186" s="533" t="s">
        <v>50</v>
      </c>
      <c r="Q186" s="521">
        <f t="shared" si="24"/>
        <v>0</v>
      </c>
      <c r="R186" s="94" t="str">
        <f t="shared" si="25"/>
        <v>Фото &gt;&gt;</v>
      </c>
      <c r="S186" s="14" t="s">
        <v>7461</v>
      </c>
      <c r="AK186">
        <v>0.37</v>
      </c>
      <c r="AL186">
        <f t="shared" si="29"/>
        <v>0</v>
      </c>
      <c r="AM186">
        <f t="shared" si="30"/>
        <v>0</v>
      </c>
      <c r="AN186">
        <f t="shared" si="31"/>
        <v>0</v>
      </c>
      <c r="AO186" t="s">
        <v>7487</v>
      </c>
      <c r="AQ186" s="520" t="str">
        <f t="shared" si="32"/>
        <v>http://1.c8804.nichost.ru/pics/21567.jpg</v>
      </c>
      <c r="AV186" t="str">
        <f>IF(F186&gt;0,(COUNT($AV$1:AV185)+1),"")</f>
        <v/>
      </c>
    </row>
    <row r="187" spans="1:48" ht="15" customHeight="1" x14ac:dyDescent="0.25">
      <c r="A187" s="1"/>
      <c r="B187" s="37">
        <v>21570</v>
      </c>
      <c r="C187" s="23">
        <v>4630106800578</v>
      </c>
      <c r="D187" s="237" t="s">
        <v>7454</v>
      </c>
      <c r="E187" s="1225">
        <v>6</v>
      </c>
      <c r="F187" s="845"/>
      <c r="G187" s="111">
        <v>95</v>
      </c>
      <c r="H187" s="5">
        <v>99.7</v>
      </c>
      <c r="I187" s="24">
        <v>104.7</v>
      </c>
      <c r="J187" s="115" t="s">
        <v>7449</v>
      </c>
      <c r="K187" s="46" t="s">
        <v>116</v>
      </c>
      <c r="L187" s="440"/>
      <c r="M187" s="482"/>
      <c r="N187" s="1002" t="s">
        <v>1856</v>
      </c>
      <c r="O187" s="211" t="s">
        <v>7581</v>
      </c>
      <c r="P187" s="74" t="s">
        <v>50</v>
      </c>
      <c r="Q187" s="521">
        <f t="shared" si="24"/>
        <v>0</v>
      </c>
      <c r="R187" s="94" t="str">
        <f t="shared" si="25"/>
        <v>Фото &gt;&gt;</v>
      </c>
      <c r="S187" s="14" t="s">
        <v>7464</v>
      </c>
      <c r="AK187">
        <v>0.37</v>
      </c>
      <c r="AL187">
        <f t="shared" si="29"/>
        <v>0</v>
      </c>
      <c r="AM187">
        <f t="shared" si="30"/>
        <v>0</v>
      </c>
      <c r="AN187">
        <f t="shared" si="31"/>
        <v>0</v>
      </c>
      <c r="AO187" t="s">
        <v>7488</v>
      </c>
      <c r="AQ187" s="520" t="str">
        <f t="shared" si="32"/>
        <v>http://1.c8804.nichost.ru/pics/21570.jpg</v>
      </c>
      <c r="AV187" t="str">
        <f>IF(F187&gt;0,(COUNT($AV$1:AV186)+1),"")</f>
        <v/>
      </c>
    </row>
    <row r="188" spans="1:48" ht="15" customHeight="1" x14ac:dyDescent="0.25">
      <c r="A188" s="1"/>
      <c r="B188" s="825">
        <v>21569</v>
      </c>
      <c r="C188" s="523">
        <v>4630106800561</v>
      </c>
      <c r="D188" s="534" t="s">
        <v>7455</v>
      </c>
      <c r="E188" s="1226">
        <v>6</v>
      </c>
      <c r="F188" s="845"/>
      <c r="G188" s="525">
        <v>95</v>
      </c>
      <c r="H188" s="526">
        <v>99.7</v>
      </c>
      <c r="I188" s="527">
        <v>104.7</v>
      </c>
      <c r="J188" s="528" t="s">
        <v>7449</v>
      </c>
      <c r="K188" s="529" t="s">
        <v>116</v>
      </c>
      <c r="L188" s="530"/>
      <c r="M188" s="531"/>
      <c r="N188" s="1003" t="s">
        <v>1856</v>
      </c>
      <c r="O188" s="532" t="s">
        <v>7581</v>
      </c>
      <c r="P188" s="533" t="s">
        <v>50</v>
      </c>
      <c r="Q188" s="521">
        <f t="shared" si="24"/>
        <v>0</v>
      </c>
      <c r="R188" s="94" t="str">
        <f t="shared" si="25"/>
        <v>Фото &gt;&gt;</v>
      </c>
      <c r="S188" s="14" t="s">
        <v>7463</v>
      </c>
      <c r="AK188">
        <v>0.37</v>
      </c>
      <c r="AL188">
        <f t="shared" si="29"/>
        <v>0</v>
      </c>
      <c r="AM188">
        <f t="shared" si="30"/>
        <v>0</v>
      </c>
      <c r="AN188">
        <f t="shared" si="31"/>
        <v>0</v>
      </c>
      <c r="AO188" t="s">
        <v>7489</v>
      </c>
      <c r="AQ188" s="520" t="str">
        <f t="shared" si="32"/>
        <v>http://1.c8804.nichost.ru/pics/21569.jpg</v>
      </c>
      <c r="AV188" t="str">
        <f>IF(F188&gt;0,(COUNT($AV$1:AV187)+1),"")</f>
        <v/>
      </c>
    </row>
    <row r="189" spans="1:48" ht="15" customHeight="1" x14ac:dyDescent="0.25">
      <c r="A189" s="1"/>
      <c r="B189" s="37">
        <v>21575</v>
      </c>
      <c r="C189" s="23">
        <v>4630106800738</v>
      </c>
      <c r="D189" s="237" t="s">
        <v>7456</v>
      </c>
      <c r="E189" s="1225">
        <v>6</v>
      </c>
      <c r="F189" s="845"/>
      <c r="G189" s="111">
        <v>95</v>
      </c>
      <c r="H189" s="5">
        <v>99.7</v>
      </c>
      <c r="I189" s="24">
        <v>104.7</v>
      </c>
      <c r="J189" s="115" t="s">
        <v>7449</v>
      </c>
      <c r="K189" s="46" t="s">
        <v>116</v>
      </c>
      <c r="L189" s="440"/>
      <c r="M189" s="482"/>
      <c r="N189" s="1002" t="s">
        <v>1856</v>
      </c>
      <c r="O189" s="211" t="s">
        <v>7581</v>
      </c>
      <c r="P189" s="74" t="s">
        <v>40</v>
      </c>
      <c r="Q189" s="521">
        <f t="shared" si="24"/>
        <v>0</v>
      </c>
      <c r="R189" s="94" t="str">
        <f t="shared" si="25"/>
        <v>Фото &gt;&gt;</v>
      </c>
      <c r="S189" s="14" t="s">
        <v>7469</v>
      </c>
      <c r="AK189">
        <v>0.37</v>
      </c>
      <c r="AL189">
        <f t="shared" si="29"/>
        <v>0</v>
      </c>
      <c r="AM189">
        <f t="shared" si="30"/>
        <v>0</v>
      </c>
      <c r="AN189">
        <f t="shared" si="31"/>
        <v>0</v>
      </c>
      <c r="AO189" t="s">
        <v>7490</v>
      </c>
      <c r="AQ189" s="520" t="str">
        <f t="shared" si="32"/>
        <v>http://1.c8804.nichost.ru/pics/21575.jpg</v>
      </c>
      <c r="AV189" t="str">
        <f>IF(F189&gt;0,(COUNT($AV$1:AV188)+1),"")</f>
        <v/>
      </c>
    </row>
    <row r="190" spans="1:48" ht="15" customHeight="1" x14ac:dyDescent="0.25">
      <c r="A190" s="1"/>
      <c r="B190" s="825">
        <v>21571</v>
      </c>
      <c r="C190" s="523">
        <v>4630106800639</v>
      </c>
      <c r="D190" s="534" t="s">
        <v>7457</v>
      </c>
      <c r="E190" s="1226">
        <v>6</v>
      </c>
      <c r="F190" s="845"/>
      <c r="G190" s="525">
        <v>95</v>
      </c>
      <c r="H190" s="526">
        <v>99.7</v>
      </c>
      <c r="I190" s="527">
        <v>104.7</v>
      </c>
      <c r="J190" s="528" t="s">
        <v>7449</v>
      </c>
      <c r="K190" s="529" t="s">
        <v>116</v>
      </c>
      <c r="L190" s="530"/>
      <c r="M190" s="531"/>
      <c r="N190" s="1003" t="s">
        <v>1856</v>
      </c>
      <c r="O190" s="532" t="s">
        <v>7581</v>
      </c>
      <c r="P190" s="533" t="s">
        <v>40</v>
      </c>
      <c r="Q190" s="521">
        <f t="shared" si="24"/>
        <v>0</v>
      </c>
      <c r="R190" s="94" t="str">
        <f t="shared" si="25"/>
        <v>Фото &gt;&gt;</v>
      </c>
      <c r="S190" s="14" t="s">
        <v>7465</v>
      </c>
      <c r="AK190">
        <v>0.37</v>
      </c>
      <c r="AL190">
        <f t="shared" si="29"/>
        <v>0</v>
      </c>
      <c r="AM190">
        <f t="shared" si="30"/>
        <v>0</v>
      </c>
      <c r="AN190">
        <f t="shared" si="31"/>
        <v>0</v>
      </c>
      <c r="AO190" t="s">
        <v>7491</v>
      </c>
      <c r="AQ190" s="520" t="str">
        <f t="shared" si="32"/>
        <v>http://1.c8804.nichost.ru/pics/21571.jpg</v>
      </c>
      <c r="AV190" t="str">
        <f>IF(F190&gt;0,(COUNT($AV$1:AV189)+1),"")</f>
        <v/>
      </c>
    </row>
    <row r="191" spans="1:48" ht="15" customHeight="1" x14ac:dyDescent="0.25">
      <c r="A191" s="1"/>
      <c r="B191" s="37">
        <v>21572</v>
      </c>
      <c r="C191" s="23">
        <v>4630106800646</v>
      </c>
      <c r="D191" s="237" t="s">
        <v>7458</v>
      </c>
      <c r="E191" s="1225">
        <v>6</v>
      </c>
      <c r="F191" s="845"/>
      <c r="G191" s="111">
        <v>95</v>
      </c>
      <c r="H191" s="5">
        <v>99.7</v>
      </c>
      <c r="I191" s="24">
        <v>104.7</v>
      </c>
      <c r="J191" s="115" t="s">
        <v>7449</v>
      </c>
      <c r="K191" s="46" t="s">
        <v>116</v>
      </c>
      <c r="L191" s="440"/>
      <c r="M191" s="482"/>
      <c r="N191" s="1002" t="s">
        <v>1856</v>
      </c>
      <c r="O191" s="211" t="s">
        <v>7581</v>
      </c>
      <c r="P191" s="74" t="s">
        <v>40</v>
      </c>
      <c r="Q191" s="521">
        <f t="shared" si="24"/>
        <v>0</v>
      </c>
      <c r="R191" s="94" t="str">
        <f t="shared" si="25"/>
        <v>Фото &gt;&gt;</v>
      </c>
      <c r="S191" s="14" t="s">
        <v>7467</v>
      </c>
      <c r="AK191">
        <v>0.37</v>
      </c>
      <c r="AL191">
        <f t="shared" si="29"/>
        <v>0</v>
      </c>
      <c r="AM191">
        <f t="shared" si="30"/>
        <v>0</v>
      </c>
      <c r="AN191">
        <f t="shared" si="31"/>
        <v>0</v>
      </c>
      <c r="AO191" t="s">
        <v>7492</v>
      </c>
      <c r="AQ191" s="520" t="str">
        <f t="shared" si="32"/>
        <v>http://1.c8804.nichost.ru/pics/21572.jpg</v>
      </c>
      <c r="AV191" t="str">
        <f>IF(F191&gt;0,(COUNT($AV$1:AV190)+1),"")</f>
        <v/>
      </c>
    </row>
    <row r="192" spans="1:48" ht="15" customHeight="1" x14ac:dyDescent="0.25">
      <c r="A192" s="1"/>
      <c r="B192" s="825">
        <v>21573</v>
      </c>
      <c r="C192" s="523">
        <v>4630106800653</v>
      </c>
      <c r="D192" s="534" t="s">
        <v>7459</v>
      </c>
      <c r="E192" s="1226">
        <v>6</v>
      </c>
      <c r="F192" s="845"/>
      <c r="G192" s="525">
        <v>95</v>
      </c>
      <c r="H192" s="526">
        <v>99.7</v>
      </c>
      <c r="I192" s="527">
        <v>104.7</v>
      </c>
      <c r="J192" s="528" t="s">
        <v>7449</v>
      </c>
      <c r="K192" s="529" t="s">
        <v>116</v>
      </c>
      <c r="L192" s="530"/>
      <c r="M192" s="531"/>
      <c r="N192" s="1003" t="s">
        <v>1856</v>
      </c>
      <c r="O192" s="532" t="s">
        <v>7581</v>
      </c>
      <c r="P192" s="533" t="s">
        <v>40</v>
      </c>
      <c r="Q192" s="521">
        <f t="shared" si="24"/>
        <v>0</v>
      </c>
      <c r="R192" s="94" t="str">
        <f t="shared" si="25"/>
        <v>Фото &gt;&gt;</v>
      </c>
      <c r="S192" s="14" t="s">
        <v>7466</v>
      </c>
      <c r="AK192">
        <v>0.37</v>
      </c>
      <c r="AL192">
        <f t="shared" si="29"/>
        <v>0</v>
      </c>
      <c r="AM192">
        <f t="shared" si="30"/>
        <v>0</v>
      </c>
      <c r="AN192">
        <f t="shared" si="31"/>
        <v>0</v>
      </c>
      <c r="AO192" t="s">
        <v>7493</v>
      </c>
      <c r="AQ192" s="520" t="str">
        <f t="shared" si="32"/>
        <v>http://1.c8804.nichost.ru/pics/21573.jpg</v>
      </c>
      <c r="AV192" t="str">
        <f>IF(F192&gt;0,(COUNT($AV$1:AV191)+1),"")</f>
        <v/>
      </c>
    </row>
    <row r="193" spans="1:48" ht="15" customHeight="1" x14ac:dyDescent="0.25">
      <c r="A193" s="1"/>
      <c r="B193" s="37">
        <v>21574</v>
      </c>
      <c r="C193" s="23">
        <v>4630106800721</v>
      </c>
      <c r="D193" s="237" t="s">
        <v>7460</v>
      </c>
      <c r="E193" s="1225">
        <v>6</v>
      </c>
      <c r="F193" s="845"/>
      <c r="G193" s="111">
        <v>95</v>
      </c>
      <c r="H193" s="5">
        <v>99.7</v>
      </c>
      <c r="I193" s="24">
        <v>104.7</v>
      </c>
      <c r="J193" s="115" t="s">
        <v>7449</v>
      </c>
      <c r="K193" s="46" t="s">
        <v>116</v>
      </c>
      <c r="L193" s="440"/>
      <c r="M193" s="482"/>
      <c r="N193" s="1002" t="s">
        <v>1856</v>
      </c>
      <c r="O193" s="211" t="s">
        <v>7581</v>
      </c>
      <c r="P193" s="74" t="s">
        <v>40</v>
      </c>
      <c r="Q193" s="521">
        <f t="shared" si="24"/>
        <v>0</v>
      </c>
      <c r="R193" s="94" t="str">
        <f t="shared" si="25"/>
        <v>Фото &gt;&gt;</v>
      </c>
      <c r="S193" s="14" t="s">
        <v>7468</v>
      </c>
      <c r="AK193">
        <v>0.37</v>
      </c>
      <c r="AL193">
        <f t="shared" si="29"/>
        <v>0</v>
      </c>
      <c r="AM193">
        <f t="shared" si="30"/>
        <v>0</v>
      </c>
      <c r="AN193">
        <f t="shared" si="31"/>
        <v>0</v>
      </c>
      <c r="AO193" t="s">
        <v>7494</v>
      </c>
      <c r="AQ193" s="520" t="str">
        <f t="shared" si="32"/>
        <v>http://1.c8804.nichost.ru/pics/21574.jpg</v>
      </c>
      <c r="AV193" t="str">
        <f>IF(F193&gt;0,(COUNT($AV$1:AV192)+1),"")</f>
        <v/>
      </c>
    </row>
    <row r="194" spans="1:48" ht="15" customHeight="1" x14ac:dyDescent="0.25">
      <c r="A194" s="1"/>
      <c r="B194" s="125"/>
      <c r="C194" s="126"/>
      <c r="D194" s="127"/>
      <c r="E194" s="134"/>
      <c r="F194" s="189"/>
      <c r="G194" s="130"/>
      <c r="H194" s="131"/>
      <c r="I194" s="132"/>
      <c r="J194" s="128"/>
      <c r="K194" s="129"/>
      <c r="L194" s="433"/>
      <c r="M194" s="481"/>
      <c r="N194" s="471"/>
      <c r="O194" s="181"/>
      <c r="P194" s="133"/>
      <c r="Q194" s="135"/>
      <c r="R194" s="13"/>
      <c r="S194" s="207"/>
      <c r="T194" s="208"/>
      <c r="AV194" t="str">
        <f>IF(F194&gt;0,(COUNT($AV$1:AV193)+1),"")</f>
        <v/>
      </c>
    </row>
    <row r="195" spans="1:48" ht="15" customHeight="1" thickBot="1" x14ac:dyDescent="0.3">
      <c r="A195" s="1"/>
      <c r="B195" s="158"/>
      <c r="C195" s="159"/>
      <c r="D195" s="160"/>
      <c r="E195" s="167"/>
      <c r="F195" s="191"/>
      <c r="G195" s="163"/>
      <c r="H195" s="164"/>
      <c r="I195" s="165"/>
      <c r="J195" s="161"/>
      <c r="K195" s="162"/>
      <c r="L195" s="439"/>
      <c r="M195" s="475"/>
      <c r="N195" s="467"/>
      <c r="O195" s="183"/>
      <c r="P195" s="166"/>
      <c r="Q195" s="168"/>
      <c r="R195" s="13"/>
      <c r="S195" s="207"/>
      <c r="T195" s="208"/>
      <c r="AV195" t="str">
        <f>IF(F195&gt;0,(COUNT($AV$1:AV194)+1),"")</f>
        <v/>
      </c>
    </row>
    <row r="196" spans="1:48" ht="24.95" customHeight="1" thickBot="1" x14ac:dyDescent="0.3">
      <c r="A196" s="1"/>
      <c r="B196" s="625"/>
      <c r="C196" s="626"/>
      <c r="D196" s="627" t="str">
        <f>CONCATENATE("Am food","     |     Сумма заказа: ",AK196," руб.")</f>
        <v>Am food     |     Сумма заказа: 0 руб.</v>
      </c>
      <c r="E196" s="628"/>
      <c r="F196" s="629"/>
      <c r="G196" s="630" t="str">
        <f>CONCATENATE("Ценовая колонка: ",AO196,"   |   До следующей скидки: ",AJ196," руб.")</f>
        <v>Ценовая колонка: 3   |   До следующей скидки: 3000 руб.</v>
      </c>
      <c r="H196" s="631"/>
      <c r="I196" s="631"/>
      <c r="J196" s="632" t="s">
        <v>6438</v>
      </c>
      <c r="K196" s="633"/>
      <c r="L196" s="634"/>
      <c r="M196" s="635"/>
      <c r="N196" s="840"/>
      <c r="O196" s="636"/>
      <c r="P196" s="637"/>
      <c r="Q196" s="638"/>
      <c r="R196" s="639" t="s">
        <v>1558</v>
      </c>
      <c r="S196" s="6"/>
      <c r="AJ196">
        <f>ROUND(IF(AL196&gt;10000,"0", IF(AND(AL196&lt;10000,AM196&gt;3000),10000-AL196,3000-AM196)),2)</f>
        <v>3000</v>
      </c>
      <c r="AK196">
        <f>SUM(Q203:Q217)</f>
        <v>0</v>
      </c>
      <c r="AL196">
        <f>SUM(AL203:AL217)</f>
        <v>0</v>
      </c>
      <c r="AM196">
        <f>SUM(AM203:AM217)</f>
        <v>0</v>
      </c>
      <c r="AO196">
        <f>IF(AM196&gt;3000,IF(AL196&gt;10000,1,2),3)</f>
        <v>3</v>
      </c>
      <c r="AV196" t="str">
        <f>IF(F196&gt;0,(COUNT($AV$1:AV195)+1),"")</f>
        <v/>
      </c>
    </row>
    <row r="197" spans="1:48" ht="15" customHeight="1" x14ac:dyDescent="0.25">
      <c r="A197" s="1"/>
      <c r="B197" s="294"/>
      <c r="C197" s="243"/>
      <c r="D197" s="263" t="s">
        <v>6462</v>
      </c>
      <c r="E197" s="244"/>
      <c r="F197" s="245"/>
      <c r="G197" s="246"/>
      <c r="H197" s="247"/>
      <c r="I197" s="247"/>
      <c r="J197" s="248"/>
      <c r="K197" s="249"/>
      <c r="L197" s="435"/>
      <c r="M197" s="478"/>
      <c r="N197" s="469"/>
      <c r="O197" s="250"/>
      <c r="P197" s="251"/>
      <c r="Q197" s="252"/>
      <c r="R197" s="13"/>
      <c r="S197" s="14"/>
      <c r="AV197" t="str">
        <f>IF(F197&gt;0,(COUNT($AV$1:AV196)+1),"")</f>
        <v/>
      </c>
    </row>
    <row r="198" spans="1:48" ht="15" customHeight="1" x14ac:dyDescent="0.25">
      <c r="A198" s="1"/>
      <c r="B198" s="158"/>
      <c r="C198" s="159"/>
      <c r="D198" s="263" t="s">
        <v>6463</v>
      </c>
      <c r="E198" s="238"/>
      <c r="F198" s="203"/>
      <c r="G198" s="239"/>
      <c r="H198" s="240"/>
      <c r="I198" s="240"/>
      <c r="J198" s="241"/>
      <c r="K198" s="201"/>
      <c r="L198" s="428"/>
      <c r="M198" s="475"/>
      <c r="N198" s="467"/>
      <c r="O198" s="166"/>
      <c r="P198" s="242"/>
      <c r="Q198" s="202"/>
      <c r="R198" s="13"/>
      <c r="S198" s="14"/>
      <c r="AV198" t="str">
        <f>IF(F198&gt;0,(COUNT($AV$1:AV197)+1),"")</f>
        <v/>
      </c>
    </row>
    <row r="199" spans="1:48" ht="15" customHeight="1" x14ac:dyDescent="0.25">
      <c r="A199" s="1"/>
      <c r="B199" s="158"/>
      <c r="C199" s="159"/>
      <c r="D199" s="263" t="s">
        <v>6464</v>
      </c>
      <c r="E199" s="238"/>
      <c r="F199" s="203"/>
      <c r="G199" s="239"/>
      <c r="H199" s="240"/>
      <c r="I199" s="240"/>
      <c r="K199" s="201"/>
      <c r="L199" s="428"/>
      <c r="M199" s="475"/>
      <c r="N199" s="467"/>
      <c r="O199" s="166"/>
      <c r="P199" s="242"/>
      <c r="Q199" s="202"/>
      <c r="R199" s="13"/>
      <c r="S199" s="14"/>
      <c r="AV199" t="str">
        <f>IF(F199&gt;0,(COUNT($AV$1:AV198)+1),"")</f>
        <v/>
      </c>
    </row>
    <row r="200" spans="1:48" ht="15" customHeight="1" x14ac:dyDescent="0.25">
      <c r="A200" s="1"/>
      <c r="B200" s="158"/>
      <c r="C200" s="159"/>
      <c r="D200" s="263"/>
      <c r="E200" s="238"/>
      <c r="F200" s="203"/>
      <c r="G200" s="239"/>
      <c r="H200" s="240"/>
      <c r="I200" s="240"/>
      <c r="J200" s="241"/>
      <c r="K200" s="201"/>
      <c r="L200" s="428"/>
      <c r="M200" s="475"/>
      <c r="N200" s="467"/>
      <c r="O200" s="166"/>
      <c r="P200" s="242"/>
      <c r="Q200" s="202"/>
      <c r="R200" s="13"/>
      <c r="S200" s="14"/>
      <c r="AV200" t="str">
        <f>IF(F200&gt;0,(COUNT($AV$1:AV199)+1),"")</f>
        <v/>
      </c>
    </row>
    <row r="201" spans="1:48" ht="15" customHeight="1" x14ac:dyDescent="0.25">
      <c r="A201" s="1"/>
      <c r="B201" s="295"/>
      <c r="C201" s="253"/>
      <c r="D201" s="263"/>
      <c r="E201" s="254"/>
      <c r="F201" s="255"/>
      <c r="G201" s="256"/>
      <c r="H201" s="257"/>
      <c r="I201" s="257"/>
      <c r="J201" s="258"/>
      <c r="K201" s="259"/>
      <c r="L201" s="436"/>
      <c r="M201" s="479"/>
      <c r="N201" s="470"/>
      <c r="O201" s="260"/>
      <c r="P201" s="261"/>
      <c r="Q201" s="262"/>
      <c r="R201" s="13"/>
      <c r="S201" s="14"/>
      <c r="AV201" t="str">
        <f>IF(F201&gt;0,(COUNT($AV$1:AV200)+1),"")</f>
        <v/>
      </c>
    </row>
    <row r="202" spans="1:48" ht="15" customHeight="1" x14ac:dyDescent="0.25">
      <c r="A202" s="1"/>
      <c r="B202" s="699"/>
      <c r="C202" s="700"/>
      <c r="D202" s="701" t="s">
        <v>6465</v>
      </c>
      <c r="E202" s="702"/>
      <c r="F202" s="703"/>
      <c r="G202" s="841" t="s">
        <v>1451</v>
      </c>
      <c r="H202" s="842" t="s">
        <v>1461</v>
      </c>
      <c r="I202" s="842" t="s">
        <v>221</v>
      </c>
      <c r="J202" s="704"/>
      <c r="K202" s="705"/>
      <c r="L202" s="706"/>
      <c r="M202" s="707"/>
      <c r="N202" s="843"/>
      <c r="O202" s="844"/>
      <c r="P202" s="708"/>
      <c r="Q202" s="709"/>
      <c r="R202" s="2"/>
      <c r="S202" s="6"/>
      <c r="AV202" t="str">
        <f>IF(F202&gt;0,(COUNT($AV$1:AV201)+1),"")</f>
        <v/>
      </c>
    </row>
    <row r="203" spans="1:48" ht="15" customHeight="1" x14ac:dyDescent="0.25">
      <c r="A203" s="1"/>
      <c r="B203" s="37">
        <v>21309</v>
      </c>
      <c r="C203" s="23">
        <v>4680020591601</v>
      </c>
      <c r="D203" s="616" t="s">
        <v>7426</v>
      </c>
      <c r="E203" s="75">
        <v>6</v>
      </c>
      <c r="F203" s="845"/>
      <c r="G203" s="927">
        <v>131.19999999999999</v>
      </c>
      <c r="H203" s="928">
        <v>137.80000000000001</v>
      </c>
      <c r="I203" s="929">
        <v>144.69999999999999</v>
      </c>
      <c r="J203" s="115" t="s">
        <v>6438</v>
      </c>
      <c r="K203" s="46" t="s">
        <v>201</v>
      </c>
      <c r="L203" s="440" t="s">
        <v>6447</v>
      </c>
      <c r="M203" s="482" t="s">
        <v>1856</v>
      </c>
      <c r="N203" s="1002" t="s">
        <v>1856</v>
      </c>
      <c r="O203" s="211" t="s">
        <v>7396</v>
      </c>
      <c r="P203" s="74" t="s">
        <v>20</v>
      </c>
      <c r="Q203" s="521">
        <f t="shared" ref="Q203:Q217" si="33">IF($AO$196=2,F203*H203,IF($AO$196=1,F203*G203,F203*I203))</f>
        <v>0</v>
      </c>
      <c r="R203" s="94" t="str">
        <f t="shared" ref="R203:R206" si="34">IF(AO203&gt;0,HYPERLINK(AO203,"Фото &gt;&gt;"),"")</f>
        <v>Фото &gt;&gt;</v>
      </c>
      <c r="S203" s="14" t="s">
        <v>6448</v>
      </c>
      <c r="AK203">
        <v>0.35</v>
      </c>
      <c r="AL203">
        <f t="shared" ref="AL203:AL204" si="35">F203*G203</f>
        <v>0</v>
      </c>
      <c r="AM203">
        <f t="shared" ref="AM203:AM204" si="36">F203*H203</f>
        <v>0</v>
      </c>
      <c r="AN203">
        <f t="shared" ref="AN203:AN204" si="37">AK203*F203+IF(E203&gt;1.01,F203/E203*0.2,0)</f>
        <v>0</v>
      </c>
      <c r="AO203" t="s">
        <v>6436</v>
      </c>
      <c r="AV203" t="str">
        <f>IF(F203&gt;0,(COUNT($AV$1:AV202)+1),"")</f>
        <v/>
      </c>
    </row>
    <row r="204" spans="1:48" ht="15" customHeight="1" x14ac:dyDescent="0.25">
      <c r="A204" s="1"/>
      <c r="B204" s="825">
        <v>21308</v>
      </c>
      <c r="C204" s="523">
        <v>4680020591625</v>
      </c>
      <c r="D204" s="1146" t="s">
        <v>7397</v>
      </c>
      <c r="E204" s="524">
        <v>6</v>
      </c>
      <c r="F204" s="845"/>
      <c r="G204" s="930">
        <v>131.19999999999999</v>
      </c>
      <c r="H204" s="931">
        <v>137.80000000000001</v>
      </c>
      <c r="I204" s="932">
        <v>144.69999999999999</v>
      </c>
      <c r="J204" s="528" t="s">
        <v>6438</v>
      </c>
      <c r="K204" s="529" t="s">
        <v>201</v>
      </c>
      <c r="L204" s="530" t="s">
        <v>6447</v>
      </c>
      <c r="M204" s="531" t="s">
        <v>1856</v>
      </c>
      <c r="N204" s="1003" t="s">
        <v>1856</v>
      </c>
      <c r="O204" s="532" t="s">
        <v>7396</v>
      </c>
      <c r="P204" s="533" t="s">
        <v>20</v>
      </c>
      <c r="Q204" s="521">
        <f t="shared" si="33"/>
        <v>0</v>
      </c>
      <c r="R204" s="94" t="str">
        <f t="shared" si="34"/>
        <v>Фото &gt;&gt;</v>
      </c>
      <c r="S204" s="14" t="s">
        <v>6449</v>
      </c>
      <c r="AK204">
        <v>0.35</v>
      </c>
      <c r="AL204">
        <f t="shared" si="35"/>
        <v>0</v>
      </c>
      <c r="AM204">
        <f t="shared" si="36"/>
        <v>0</v>
      </c>
      <c r="AN204">
        <f t="shared" si="37"/>
        <v>0</v>
      </c>
      <c r="AO204" t="s">
        <v>6437</v>
      </c>
      <c r="AV204" t="str">
        <f>IF(F204&gt;0,(COUNT($AV$1:AV203)+1),"")</f>
        <v/>
      </c>
    </row>
    <row r="205" spans="1:48" ht="15" customHeight="1" x14ac:dyDescent="0.25">
      <c r="A205" s="1"/>
      <c r="B205" s="37">
        <v>21421</v>
      </c>
      <c r="C205" s="23" t="s">
        <v>104</v>
      </c>
      <c r="D205" s="237" t="s">
        <v>7499</v>
      </c>
      <c r="E205" s="75">
        <v>6</v>
      </c>
      <c r="F205" s="845"/>
      <c r="G205" s="927">
        <v>113.9</v>
      </c>
      <c r="H205" s="928">
        <v>119.6</v>
      </c>
      <c r="I205" s="929">
        <v>131.6</v>
      </c>
      <c r="J205" s="115" t="s">
        <v>6438</v>
      </c>
      <c r="K205" s="46" t="s">
        <v>201</v>
      </c>
      <c r="L205" s="440" t="s">
        <v>6447</v>
      </c>
      <c r="M205" s="482" t="s">
        <v>1856</v>
      </c>
      <c r="N205" s="1002" t="s">
        <v>1856</v>
      </c>
      <c r="O205" s="211" t="s">
        <v>7261</v>
      </c>
      <c r="P205" s="74" t="s">
        <v>20</v>
      </c>
      <c r="Q205" s="521">
        <f t="shared" si="33"/>
        <v>0</v>
      </c>
      <c r="R205" s="94" t="str">
        <f t="shared" si="34"/>
        <v>Фото &gt;&gt;</v>
      </c>
      <c r="S205" s="14" t="s">
        <v>6787</v>
      </c>
      <c r="AK205">
        <v>0.35</v>
      </c>
      <c r="AL205">
        <f t="shared" ref="AL205:AL213" si="38">F205*G205</f>
        <v>0</v>
      </c>
      <c r="AM205">
        <f t="shared" ref="AM205:AM213" si="39">F205*H205</f>
        <v>0</v>
      </c>
      <c r="AN205">
        <f t="shared" ref="AN205:AN213" si="40">AK205*F205+IF(E205&gt;1.01,F205/E205*0.2,0)</f>
        <v>0</v>
      </c>
      <c r="AO205" t="s">
        <v>7041</v>
      </c>
      <c r="AV205" t="str">
        <f>IF(F205&gt;0,(COUNT($AV$1:AV204)+1),"")</f>
        <v/>
      </c>
    </row>
    <row r="206" spans="1:48" ht="15" customHeight="1" x14ac:dyDescent="0.25">
      <c r="A206" s="1"/>
      <c r="B206" s="795">
        <v>21313</v>
      </c>
      <c r="C206" s="796">
        <v>4680020592202</v>
      </c>
      <c r="D206" s="797" t="s">
        <v>7500</v>
      </c>
      <c r="E206" s="809">
        <v>16</v>
      </c>
      <c r="F206" s="860"/>
      <c r="G206" s="810">
        <v>32.299999999999997</v>
      </c>
      <c r="H206" s="799">
        <v>33.9</v>
      </c>
      <c r="I206" s="800">
        <v>35.6</v>
      </c>
      <c r="J206" s="801" t="s">
        <v>6438</v>
      </c>
      <c r="K206" s="802" t="s">
        <v>201</v>
      </c>
      <c r="L206" s="803" t="s">
        <v>6447</v>
      </c>
      <c r="M206" s="804" t="s">
        <v>1856</v>
      </c>
      <c r="N206" s="1006" t="s">
        <v>1856</v>
      </c>
      <c r="O206" s="805"/>
      <c r="P206" s="806" t="s">
        <v>20</v>
      </c>
      <c r="Q206" s="521">
        <f t="shared" si="33"/>
        <v>0</v>
      </c>
      <c r="R206" s="94" t="str">
        <f t="shared" si="34"/>
        <v>Фото &gt;&gt;</v>
      </c>
      <c r="S206" s="14" t="s">
        <v>6446</v>
      </c>
      <c r="AK206">
        <v>0.06</v>
      </c>
      <c r="AL206">
        <f t="shared" si="38"/>
        <v>0</v>
      </c>
      <c r="AM206">
        <f t="shared" si="39"/>
        <v>0</v>
      </c>
      <c r="AN206">
        <f t="shared" si="40"/>
        <v>0</v>
      </c>
      <c r="AO206" t="s">
        <v>6455</v>
      </c>
      <c r="AV206" t="str">
        <f>IF(F206&gt;0,(COUNT($AV$1:AV205)+1),"")</f>
        <v/>
      </c>
    </row>
    <row r="207" spans="1:48" ht="15" customHeight="1" x14ac:dyDescent="0.25">
      <c r="A207" s="1"/>
      <c r="B207" s="37">
        <v>21306</v>
      </c>
      <c r="C207" s="23">
        <v>4607087941668</v>
      </c>
      <c r="D207" s="237" t="s">
        <v>7501</v>
      </c>
      <c r="E207" s="75">
        <v>6</v>
      </c>
      <c r="F207" s="845"/>
      <c r="G207" s="1177">
        <v>156.30000000000001</v>
      </c>
      <c r="H207" s="1178">
        <v>164.1</v>
      </c>
      <c r="I207" s="1179">
        <v>172.3</v>
      </c>
      <c r="J207" s="115" t="s">
        <v>6438</v>
      </c>
      <c r="K207" s="46" t="s">
        <v>201</v>
      </c>
      <c r="L207" s="440" t="s">
        <v>6447</v>
      </c>
      <c r="M207" s="482" t="s">
        <v>1856</v>
      </c>
      <c r="N207" s="1002" t="s">
        <v>1856</v>
      </c>
      <c r="O207" s="211"/>
      <c r="P207" s="74" t="s">
        <v>20</v>
      </c>
      <c r="Q207" s="521">
        <f t="shared" si="33"/>
        <v>0</v>
      </c>
      <c r="R207" s="94" t="str">
        <f t="shared" ref="R207:R217" si="41">IF(AO207&gt;0,HYPERLINK(AO207,"Фото &gt;&gt;"),"")</f>
        <v>Фото &gt;&gt;</v>
      </c>
      <c r="S207" s="14" t="s">
        <v>6442</v>
      </c>
      <c r="AK207">
        <v>0.35</v>
      </c>
      <c r="AL207">
        <f t="shared" si="38"/>
        <v>0</v>
      </c>
      <c r="AM207">
        <f t="shared" si="39"/>
        <v>0</v>
      </c>
      <c r="AN207">
        <f t="shared" si="40"/>
        <v>0</v>
      </c>
      <c r="AO207" t="s">
        <v>6454</v>
      </c>
      <c r="AV207" t="str">
        <f>IF(F207&gt;0,(COUNT($AV$1:AV206)+1),"")</f>
        <v/>
      </c>
    </row>
    <row r="208" spans="1:48" ht="15" customHeight="1" x14ac:dyDescent="0.25">
      <c r="A208" s="1"/>
      <c r="B208" s="825">
        <v>21422</v>
      </c>
      <c r="C208" s="523" t="s">
        <v>104</v>
      </c>
      <c r="D208" s="534" t="s">
        <v>7570</v>
      </c>
      <c r="E208" s="524">
        <v>6</v>
      </c>
      <c r="F208" s="845"/>
      <c r="G208" s="1222">
        <v>159.69999999999999</v>
      </c>
      <c r="H208" s="1223">
        <v>167.7</v>
      </c>
      <c r="I208" s="1224">
        <v>176.1</v>
      </c>
      <c r="J208" s="528" t="s">
        <v>6438</v>
      </c>
      <c r="K208" s="529" t="s">
        <v>201</v>
      </c>
      <c r="L208" s="530" t="s">
        <v>6447</v>
      </c>
      <c r="M208" s="531" t="s">
        <v>1856</v>
      </c>
      <c r="N208" s="1003" t="s">
        <v>1856</v>
      </c>
      <c r="O208" s="532"/>
      <c r="P208" s="533" t="s">
        <v>20</v>
      </c>
      <c r="Q208" s="521">
        <f t="shared" si="33"/>
        <v>0</v>
      </c>
      <c r="R208" s="94" t="str">
        <f t="shared" si="41"/>
        <v>Фото &gt;&gt;</v>
      </c>
      <c r="S208" s="14" t="s">
        <v>6786</v>
      </c>
      <c r="AK208">
        <v>0.35</v>
      </c>
      <c r="AL208">
        <f t="shared" si="38"/>
        <v>0</v>
      </c>
      <c r="AM208">
        <f t="shared" si="39"/>
        <v>0</v>
      </c>
      <c r="AN208">
        <f t="shared" si="40"/>
        <v>0</v>
      </c>
      <c r="AO208" t="s">
        <v>6772</v>
      </c>
      <c r="AV208" t="str">
        <f>IF(F208&gt;0,(COUNT($AV$1:AV207)+1),"")</f>
        <v/>
      </c>
    </row>
    <row r="209" spans="1:48" ht="15" customHeight="1" x14ac:dyDescent="0.25">
      <c r="A209" s="1"/>
      <c r="B209" s="37">
        <v>21423</v>
      </c>
      <c r="C209" s="23" t="s">
        <v>104</v>
      </c>
      <c r="D209" s="237" t="s">
        <v>6771</v>
      </c>
      <c r="E209" s="75">
        <v>6</v>
      </c>
      <c r="F209" s="845"/>
      <c r="G209" s="1177">
        <v>159.69999999999999</v>
      </c>
      <c r="H209" s="1178">
        <v>167.7</v>
      </c>
      <c r="I209" s="1179">
        <v>176.1</v>
      </c>
      <c r="J209" s="115" t="s">
        <v>6438</v>
      </c>
      <c r="K209" s="46" t="s">
        <v>201</v>
      </c>
      <c r="L209" s="440" t="s">
        <v>6447</v>
      </c>
      <c r="M209" s="482" t="s">
        <v>1856</v>
      </c>
      <c r="N209" s="1002" t="s">
        <v>1856</v>
      </c>
      <c r="O209" s="211"/>
      <c r="P209" s="74" t="s">
        <v>20</v>
      </c>
      <c r="Q209" s="521">
        <f t="shared" si="33"/>
        <v>0</v>
      </c>
      <c r="R209" s="94" t="str">
        <f t="shared" si="41"/>
        <v>Фото &gt;&gt;</v>
      </c>
      <c r="S209" s="14" t="s">
        <v>6785</v>
      </c>
      <c r="AK209">
        <v>0.35</v>
      </c>
      <c r="AL209">
        <f t="shared" si="38"/>
        <v>0</v>
      </c>
      <c r="AM209">
        <f t="shared" si="39"/>
        <v>0</v>
      </c>
      <c r="AN209">
        <f t="shared" si="40"/>
        <v>0</v>
      </c>
      <c r="AO209" t="s">
        <v>6773</v>
      </c>
      <c r="AV209" t="str">
        <f>IF(F209&gt;0,(COUNT($AV$1:AV208)+1),"")</f>
        <v/>
      </c>
    </row>
    <row r="210" spans="1:48" ht="15" customHeight="1" x14ac:dyDescent="0.25">
      <c r="A210" s="1"/>
      <c r="B210" s="825">
        <v>21424</v>
      </c>
      <c r="C210" s="523" t="s">
        <v>104</v>
      </c>
      <c r="D210" s="534" t="s">
        <v>7571</v>
      </c>
      <c r="E210" s="524">
        <v>6</v>
      </c>
      <c r="F210" s="845"/>
      <c r="G210" s="1222">
        <v>156.30000000000001</v>
      </c>
      <c r="H210" s="1223">
        <v>164.1</v>
      </c>
      <c r="I210" s="1224">
        <v>172.3</v>
      </c>
      <c r="J210" s="528" t="s">
        <v>6438</v>
      </c>
      <c r="K210" s="529" t="s">
        <v>201</v>
      </c>
      <c r="L210" s="530" t="s">
        <v>6447</v>
      </c>
      <c r="M210" s="531" t="s">
        <v>1856</v>
      </c>
      <c r="N210" s="1003" t="s">
        <v>1856</v>
      </c>
      <c r="O210" s="532"/>
      <c r="P210" s="533" t="s">
        <v>20</v>
      </c>
      <c r="Q210" s="521">
        <f t="shared" si="33"/>
        <v>0</v>
      </c>
      <c r="R210" s="94"/>
      <c r="S210" s="14" t="s">
        <v>6784</v>
      </c>
      <c r="AK210">
        <v>0.35</v>
      </c>
      <c r="AL210">
        <f t="shared" si="38"/>
        <v>0</v>
      </c>
      <c r="AM210">
        <f t="shared" si="39"/>
        <v>0</v>
      </c>
      <c r="AN210">
        <f t="shared" si="40"/>
        <v>0</v>
      </c>
      <c r="AV210" t="str">
        <f>IF(F210&gt;0,(COUNT($AV$1:AV209)+1),"")</f>
        <v/>
      </c>
    </row>
    <row r="211" spans="1:48" ht="15" customHeight="1" x14ac:dyDescent="0.25">
      <c r="A211" s="1"/>
      <c r="B211" s="37">
        <v>21307</v>
      </c>
      <c r="C211" s="23">
        <v>4607087941736</v>
      </c>
      <c r="D211" s="616" t="s">
        <v>7427</v>
      </c>
      <c r="E211" s="75">
        <v>6</v>
      </c>
      <c r="F211" s="845"/>
      <c r="G211" s="927">
        <v>131.19999999999999</v>
      </c>
      <c r="H211" s="928">
        <v>137.80000000000001</v>
      </c>
      <c r="I211" s="929">
        <v>144.69999999999999</v>
      </c>
      <c r="J211" s="115" t="s">
        <v>6438</v>
      </c>
      <c r="K211" s="46" t="s">
        <v>201</v>
      </c>
      <c r="L211" s="440" t="s">
        <v>6447</v>
      </c>
      <c r="M211" s="482" t="s">
        <v>1856</v>
      </c>
      <c r="N211" s="1002" t="s">
        <v>1856</v>
      </c>
      <c r="O211" s="211" t="s">
        <v>7396</v>
      </c>
      <c r="P211" s="74" t="s">
        <v>20</v>
      </c>
      <c r="Q211" s="521">
        <f t="shared" si="33"/>
        <v>0</v>
      </c>
      <c r="R211" s="94" t="str">
        <f t="shared" si="41"/>
        <v>Фото &gt;&gt;</v>
      </c>
      <c r="S211" s="14" t="s">
        <v>6435</v>
      </c>
      <c r="AK211">
        <v>0.35</v>
      </c>
      <c r="AL211">
        <f t="shared" si="38"/>
        <v>0</v>
      </c>
      <c r="AM211">
        <f t="shared" si="39"/>
        <v>0</v>
      </c>
      <c r="AN211">
        <f t="shared" si="40"/>
        <v>0</v>
      </c>
      <c r="AO211" t="s">
        <v>6453</v>
      </c>
      <c r="AV211" t="str">
        <f>IF(F211&gt;0,(COUNT($AV$1:AV210)+1),"")</f>
        <v/>
      </c>
    </row>
    <row r="212" spans="1:48" ht="15" customHeight="1" x14ac:dyDescent="0.25">
      <c r="A212" s="1"/>
      <c r="B212" s="825">
        <v>21304</v>
      </c>
      <c r="C212" s="523">
        <v>4607087941699</v>
      </c>
      <c r="D212" s="1146" t="s">
        <v>7398</v>
      </c>
      <c r="E212" s="524">
        <v>6</v>
      </c>
      <c r="F212" s="845"/>
      <c r="G212" s="930">
        <v>131.19999999999999</v>
      </c>
      <c r="H212" s="931">
        <v>137.80000000000001</v>
      </c>
      <c r="I212" s="932">
        <v>144.69999999999999</v>
      </c>
      <c r="J212" s="528" t="s">
        <v>6438</v>
      </c>
      <c r="K212" s="529" t="s">
        <v>201</v>
      </c>
      <c r="L212" s="530" t="s">
        <v>6447</v>
      </c>
      <c r="M212" s="531" t="s">
        <v>1856</v>
      </c>
      <c r="N212" s="1003" t="s">
        <v>1856</v>
      </c>
      <c r="O212" s="532" t="s">
        <v>7396</v>
      </c>
      <c r="P212" s="533" t="s">
        <v>20</v>
      </c>
      <c r="Q212" s="521">
        <f t="shared" si="33"/>
        <v>0</v>
      </c>
      <c r="R212" s="94" t="str">
        <f t="shared" si="41"/>
        <v>Фото &gt;&gt;</v>
      </c>
      <c r="S212" s="14" t="s">
        <v>6444</v>
      </c>
      <c r="AK212">
        <v>0.35</v>
      </c>
      <c r="AL212">
        <f t="shared" si="38"/>
        <v>0</v>
      </c>
      <c r="AM212">
        <f t="shared" si="39"/>
        <v>0</v>
      </c>
      <c r="AN212">
        <f t="shared" si="40"/>
        <v>0</v>
      </c>
      <c r="AO212" t="s">
        <v>6457</v>
      </c>
      <c r="AV212" t="str">
        <f>IF(F212&gt;0,(COUNT($AV$1:AV211)+1),"")</f>
        <v/>
      </c>
    </row>
    <row r="213" spans="1:48" ht="15" customHeight="1" x14ac:dyDescent="0.25">
      <c r="A213" s="1"/>
      <c r="B213" s="37">
        <v>21303</v>
      </c>
      <c r="C213" s="23">
        <v>4607087941712</v>
      </c>
      <c r="D213" s="237" t="s">
        <v>7572</v>
      </c>
      <c r="E213" s="75">
        <v>6</v>
      </c>
      <c r="F213" s="845"/>
      <c r="G213" s="1177">
        <v>156.30000000000001</v>
      </c>
      <c r="H213" s="1178">
        <v>164.1</v>
      </c>
      <c r="I213" s="1179">
        <v>172.3</v>
      </c>
      <c r="J213" s="115" t="s">
        <v>6438</v>
      </c>
      <c r="K213" s="46" t="s">
        <v>201</v>
      </c>
      <c r="L213" s="440" t="s">
        <v>6447</v>
      </c>
      <c r="M213" s="482" t="s">
        <v>1856</v>
      </c>
      <c r="N213" s="1002" t="s">
        <v>1856</v>
      </c>
      <c r="O213" s="211"/>
      <c r="P213" s="74" t="s">
        <v>20</v>
      </c>
      <c r="Q213" s="521">
        <f t="shared" si="33"/>
        <v>0</v>
      </c>
      <c r="R213" s="94" t="str">
        <f t="shared" si="41"/>
        <v>Фото &gt;&gt;</v>
      </c>
      <c r="S213" s="14" t="s">
        <v>6443</v>
      </c>
      <c r="AK213">
        <v>0.35</v>
      </c>
      <c r="AL213">
        <f t="shared" si="38"/>
        <v>0</v>
      </c>
      <c r="AM213">
        <f t="shared" si="39"/>
        <v>0</v>
      </c>
      <c r="AN213">
        <f t="shared" si="40"/>
        <v>0</v>
      </c>
      <c r="AO213" t="s">
        <v>6458</v>
      </c>
      <c r="AV213" t="str">
        <f>IF(F213&gt;0,(COUNT($AV$1:AV212)+1),"")</f>
        <v/>
      </c>
    </row>
    <row r="214" spans="1:48" ht="15" customHeight="1" x14ac:dyDescent="0.25">
      <c r="A214" s="1"/>
      <c r="B214" s="825">
        <v>21305</v>
      </c>
      <c r="C214" s="523">
        <v>4607087941705</v>
      </c>
      <c r="D214" s="534" t="s">
        <v>7573</v>
      </c>
      <c r="E214" s="524">
        <v>6</v>
      </c>
      <c r="F214" s="845"/>
      <c r="G214" s="1222">
        <v>156.30000000000001</v>
      </c>
      <c r="H214" s="1223">
        <v>164.1</v>
      </c>
      <c r="I214" s="1224">
        <v>172.3</v>
      </c>
      <c r="J214" s="528" t="s">
        <v>6438</v>
      </c>
      <c r="K214" s="529" t="s">
        <v>201</v>
      </c>
      <c r="L214" s="530" t="s">
        <v>6447</v>
      </c>
      <c r="M214" s="531" t="s">
        <v>1856</v>
      </c>
      <c r="N214" s="1003" t="s">
        <v>1856</v>
      </c>
      <c r="O214" s="532"/>
      <c r="P214" s="533" t="s">
        <v>20</v>
      </c>
      <c r="Q214" s="521">
        <f t="shared" si="33"/>
        <v>0</v>
      </c>
      <c r="R214" s="94" t="str">
        <f t="shared" si="41"/>
        <v>Фото &gt;&gt;</v>
      </c>
      <c r="S214" s="14" t="s">
        <v>6445</v>
      </c>
      <c r="AK214">
        <v>0.35</v>
      </c>
      <c r="AL214">
        <f t="shared" ref="AL214:AL215" si="42">F214*G214</f>
        <v>0</v>
      </c>
      <c r="AM214">
        <f t="shared" ref="AM214:AM215" si="43">F214*H214</f>
        <v>0</v>
      </c>
      <c r="AN214">
        <f t="shared" ref="AN214:AN215" si="44">AK214*F214+IF(E214&gt;1.01,F214/E214*0.2,0)</f>
        <v>0</v>
      </c>
      <c r="AO214" t="s">
        <v>6456</v>
      </c>
      <c r="AV214" t="str">
        <f>IF(F214&gt;0,(COUNT($AV$1:AV213)+1),"")</f>
        <v/>
      </c>
    </row>
    <row r="215" spans="1:48" ht="15" customHeight="1" x14ac:dyDescent="0.25">
      <c r="A215" s="1"/>
      <c r="B215" s="37">
        <v>21302</v>
      </c>
      <c r="C215" s="23">
        <v>4680020592035</v>
      </c>
      <c r="D215" s="616" t="s">
        <v>7399</v>
      </c>
      <c r="E215" s="75">
        <v>6</v>
      </c>
      <c r="F215" s="845"/>
      <c r="G215" s="927">
        <v>131.19999999999999</v>
      </c>
      <c r="H215" s="928">
        <v>137.80000000000001</v>
      </c>
      <c r="I215" s="929">
        <v>144.69999999999999</v>
      </c>
      <c r="J215" s="115" t="s">
        <v>6438</v>
      </c>
      <c r="K215" s="46" t="s">
        <v>201</v>
      </c>
      <c r="L215" s="440" t="s">
        <v>6447</v>
      </c>
      <c r="M215" s="482" t="s">
        <v>1856</v>
      </c>
      <c r="N215" s="1002" t="s">
        <v>1856</v>
      </c>
      <c r="O215" s="211" t="s">
        <v>7396</v>
      </c>
      <c r="P215" s="74" t="s">
        <v>20</v>
      </c>
      <c r="Q215" s="521">
        <f t="shared" si="33"/>
        <v>0</v>
      </c>
      <c r="R215" s="94" t="str">
        <f t="shared" si="41"/>
        <v>Фото &gt;&gt;</v>
      </c>
      <c r="S215" s="14" t="s">
        <v>6450</v>
      </c>
      <c r="AK215">
        <v>0.35</v>
      </c>
      <c r="AL215">
        <f t="shared" si="42"/>
        <v>0</v>
      </c>
      <c r="AM215">
        <f t="shared" si="43"/>
        <v>0</v>
      </c>
      <c r="AN215">
        <f t="shared" si="44"/>
        <v>0</v>
      </c>
      <c r="AO215" t="s">
        <v>6459</v>
      </c>
      <c r="AV215" t="str">
        <f>IF(F215&gt;0,(COUNT($AV$1:AV214)+1),"")</f>
        <v/>
      </c>
    </row>
    <row r="216" spans="1:48" ht="15" customHeight="1" x14ac:dyDescent="0.25">
      <c r="A216" s="1"/>
      <c r="B216" s="825">
        <v>21311</v>
      </c>
      <c r="C216" s="523">
        <v>4680020592042</v>
      </c>
      <c r="D216" s="1146" t="s">
        <v>7400</v>
      </c>
      <c r="E216" s="524">
        <v>6</v>
      </c>
      <c r="F216" s="845"/>
      <c r="G216" s="930">
        <v>131.19999999999999</v>
      </c>
      <c r="H216" s="931">
        <v>137.80000000000001</v>
      </c>
      <c r="I216" s="932">
        <v>144.69999999999999</v>
      </c>
      <c r="J216" s="528" t="s">
        <v>6438</v>
      </c>
      <c r="K216" s="529" t="s">
        <v>201</v>
      </c>
      <c r="L216" s="530" t="s">
        <v>6447</v>
      </c>
      <c r="M216" s="531" t="s">
        <v>1856</v>
      </c>
      <c r="N216" s="1003" t="s">
        <v>1856</v>
      </c>
      <c r="O216" s="532" t="s">
        <v>7396</v>
      </c>
      <c r="P216" s="533" t="s">
        <v>20</v>
      </c>
      <c r="Q216" s="521">
        <f t="shared" si="33"/>
        <v>0</v>
      </c>
      <c r="R216" s="94" t="str">
        <f t="shared" si="41"/>
        <v>Фото &gt;&gt;</v>
      </c>
      <c r="S216" s="14" t="s">
        <v>6451</v>
      </c>
      <c r="AK216">
        <v>0.35</v>
      </c>
      <c r="AL216">
        <f t="shared" ref="AL216:AL217" si="45">F216*G216</f>
        <v>0</v>
      </c>
      <c r="AM216">
        <f t="shared" ref="AM216:AM217" si="46">F216*H216</f>
        <v>0</v>
      </c>
      <c r="AN216">
        <f t="shared" ref="AN216:AN217" si="47">AK216*F216+IF(E216&gt;1.01,F216/E216*0.2,0)</f>
        <v>0</v>
      </c>
      <c r="AO216" t="s">
        <v>6460</v>
      </c>
      <c r="AV216" t="str">
        <f>IF(F216&gt;0,(COUNT($AV$1:AV215)+1),"")</f>
        <v/>
      </c>
    </row>
    <row r="217" spans="1:48" ht="15" customHeight="1" x14ac:dyDescent="0.25">
      <c r="A217" s="1"/>
      <c r="B217" s="37">
        <v>21312</v>
      </c>
      <c r="C217" s="23">
        <v>4680020592080</v>
      </c>
      <c r="D217" s="237" t="s">
        <v>7502</v>
      </c>
      <c r="E217" s="75">
        <v>6</v>
      </c>
      <c r="F217" s="845"/>
      <c r="G217" s="1177">
        <v>159.9</v>
      </c>
      <c r="H217" s="1178">
        <v>167.9</v>
      </c>
      <c r="I217" s="1179">
        <v>176.3</v>
      </c>
      <c r="J217" s="115" t="s">
        <v>6438</v>
      </c>
      <c r="K217" s="46" t="s">
        <v>201</v>
      </c>
      <c r="L217" s="440" t="s">
        <v>6447</v>
      </c>
      <c r="M217" s="482" t="s">
        <v>1856</v>
      </c>
      <c r="N217" s="1002" t="s">
        <v>1856</v>
      </c>
      <c r="O217" s="211"/>
      <c r="P217" s="74" t="s">
        <v>20</v>
      </c>
      <c r="Q217" s="521">
        <f t="shared" si="33"/>
        <v>0</v>
      </c>
      <c r="R217" s="94" t="str">
        <f t="shared" si="41"/>
        <v>Фото &gt;&gt;</v>
      </c>
      <c r="S217" s="14" t="s">
        <v>6452</v>
      </c>
      <c r="AK217">
        <v>0.35</v>
      </c>
      <c r="AL217">
        <f t="shared" si="45"/>
        <v>0</v>
      </c>
      <c r="AM217">
        <f t="shared" si="46"/>
        <v>0</v>
      </c>
      <c r="AN217">
        <f t="shared" si="47"/>
        <v>0</v>
      </c>
      <c r="AO217" t="s">
        <v>6461</v>
      </c>
      <c r="AV217" t="str">
        <f>IF(F217&gt;0,(COUNT($AV$1:AV216)+1),"")</f>
        <v/>
      </c>
    </row>
    <row r="218" spans="1:48" ht="15" customHeight="1" x14ac:dyDescent="0.25">
      <c r="A218" s="1"/>
      <c r="B218" s="125"/>
      <c r="C218" s="126"/>
      <c r="D218" s="127"/>
      <c r="E218" s="134"/>
      <c r="F218" s="189"/>
      <c r="G218" s="130"/>
      <c r="H218" s="131"/>
      <c r="I218" s="132"/>
      <c r="J218" s="128"/>
      <c r="K218" s="129"/>
      <c r="L218" s="433"/>
      <c r="M218" s="481"/>
      <c r="N218" s="471"/>
      <c r="O218" s="181"/>
      <c r="P218" s="133"/>
      <c r="Q218" s="135"/>
      <c r="R218" s="13"/>
      <c r="S218" s="207"/>
      <c r="T218" s="1159"/>
      <c r="AV218" t="str">
        <f>IF(F218&gt;0,(COUNT($AV$1:AV217)+1),"")</f>
        <v/>
      </c>
    </row>
    <row r="219" spans="1:48" ht="15" customHeight="1" thickBot="1" x14ac:dyDescent="0.3">
      <c r="A219" s="1"/>
      <c r="B219" s="158"/>
      <c r="C219" s="159"/>
      <c r="D219" s="160"/>
      <c r="E219" s="167"/>
      <c r="F219" s="191"/>
      <c r="G219" s="163"/>
      <c r="H219" s="164"/>
      <c r="I219" s="165"/>
      <c r="J219" s="161"/>
      <c r="K219" s="162"/>
      <c r="L219" s="439"/>
      <c r="M219" s="475"/>
      <c r="N219" s="467"/>
      <c r="O219" s="183"/>
      <c r="P219" s="166"/>
      <c r="Q219" s="168"/>
      <c r="R219" s="13"/>
      <c r="S219" s="207"/>
      <c r="T219" s="208"/>
      <c r="AV219" t="str">
        <f>IF(F219&gt;0,(COUNT($AV$1:AV218)+1),"")</f>
        <v/>
      </c>
    </row>
    <row r="220" spans="1:48" ht="24.95" customHeight="1" thickBot="1" x14ac:dyDescent="0.3">
      <c r="A220" s="1"/>
      <c r="B220" s="625"/>
      <c r="C220" s="626"/>
      <c r="D220" s="627" t="str">
        <f>CONCATENATE("Vitro Naturals","     |     Сумма заказа: ",AK220," руб.")</f>
        <v>Vitro Naturals     |     Сумма заказа: 0 руб.</v>
      </c>
      <c r="E220" s="628"/>
      <c r="F220" s="629"/>
      <c r="G220" s="630" t="str">
        <f>CONCATENATE("Ценовая колонка: ",AO220,"   |   До следующей скидки: ",AJ220," руб.")</f>
        <v>Ценовая колонка: 3   |   До следующей скидки: 3000 руб.</v>
      </c>
      <c r="H220" s="631"/>
      <c r="I220" s="631"/>
      <c r="J220" s="632" t="s">
        <v>6630</v>
      </c>
      <c r="K220" s="633"/>
      <c r="L220" s="634"/>
      <c r="M220" s="635"/>
      <c r="N220" s="840"/>
      <c r="O220" s="636"/>
      <c r="P220" s="637"/>
      <c r="Q220" s="638"/>
      <c r="R220" s="639" t="s">
        <v>1558</v>
      </c>
      <c r="S220" s="6"/>
      <c r="AJ220">
        <f>ROUND(IF(AL220&gt;15000,"0", IF(AND(AL220&lt;15000,AM220&gt;3000),15000-AL220,3000-AM220)),2)</f>
        <v>3000</v>
      </c>
      <c r="AK220">
        <f>SUM(Q227:Q231)</f>
        <v>0</v>
      </c>
      <c r="AL220">
        <f>SUM(AL227:AL231)</f>
        <v>0</v>
      </c>
      <c r="AM220">
        <f>SUM(AM227:AM231)</f>
        <v>0</v>
      </c>
      <c r="AO220">
        <f>IF(AM220&gt;3000,IF(AL220&gt;15000,1,2),3)</f>
        <v>3</v>
      </c>
      <c r="AV220" t="str">
        <f>IF(F220&gt;0,(COUNT($AV$1:AV219)+1),"")</f>
        <v/>
      </c>
    </row>
    <row r="221" spans="1:48" ht="15" customHeight="1" x14ac:dyDescent="0.25">
      <c r="A221" s="1"/>
      <c r="B221" s="294"/>
      <c r="C221" s="243"/>
      <c r="D221" s="263" t="s">
        <v>6642</v>
      </c>
      <c r="E221" s="244"/>
      <c r="F221" s="245"/>
      <c r="G221" s="246"/>
      <c r="H221" s="247"/>
      <c r="I221" s="247"/>
      <c r="J221" s="248"/>
      <c r="K221" s="249"/>
      <c r="L221" s="435"/>
      <c r="M221" s="478"/>
      <c r="N221" s="469"/>
      <c r="O221" s="250"/>
      <c r="P221" s="251"/>
      <c r="Q221" s="252"/>
      <c r="R221" s="13"/>
      <c r="S221" s="14"/>
      <c r="AV221" t="str">
        <f>IF(F221&gt;0,(COUNT($AV$1:AV220)+1),"")</f>
        <v/>
      </c>
    </row>
    <row r="222" spans="1:48" ht="15" customHeight="1" x14ac:dyDescent="0.25">
      <c r="A222" s="1"/>
      <c r="B222" s="158"/>
      <c r="C222" s="159"/>
      <c r="D222" s="263" t="s">
        <v>6645</v>
      </c>
      <c r="E222" s="238"/>
      <c r="F222" s="203"/>
      <c r="G222" s="239"/>
      <c r="H222" s="240"/>
      <c r="I222" s="240"/>
      <c r="J222" s="241"/>
      <c r="K222" s="201"/>
      <c r="L222" s="428"/>
      <c r="M222" s="475"/>
      <c r="N222" s="467"/>
      <c r="O222" s="166"/>
      <c r="P222" s="242"/>
      <c r="Q222" s="202"/>
      <c r="R222" s="13"/>
      <c r="S222" s="14"/>
      <c r="AV222" t="str">
        <f>IF(F222&gt;0,(COUNT($AV$1:AV221)+1),"")</f>
        <v/>
      </c>
    </row>
    <row r="223" spans="1:48" ht="15" customHeight="1" x14ac:dyDescent="0.25">
      <c r="A223" s="1"/>
      <c r="B223" s="158"/>
      <c r="C223" s="159"/>
      <c r="D223" s="263" t="s">
        <v>6643</v>
      </c>
      <c r="E223" s="238"/>
      <c r="F223" s="203"/>
      <c r="G223" s="239"/>
      <c r="H223" s="240"/>
      <c r="I223" s="240"/>
      <c r="K223" s="201"/>
      <c r="L223" s="428"/>
      <c r="M223" s="475"/>
      <c r="N223" s="467"/>
      <c r="O223" s="166"/>
      <c r="P223" s="242"/>
      <c r="Q223" s="202"/>
      <c r="R223" s="13"/>
      <c r="S223" s="14"/>
      <c r="AV223" t="str">
        <f>IF(F223&gt;0,(COUNT($AV$1:AV222)+1),"")</f>
        <v/>
      </c>
    </row>
    <row r="224" spans="1:48" ht="15" customHeight="1" x14ac:dyDescent="0.25">
      <c r="A224" s="1"/>
      <c r="B224" s="158"/>
      <c r="C224" s="159"/>
      <c r="D224" s="263" t="s">
        <v>6644</v>
      </c>
      <c r="E224" s="238"/>
      <c r="F224" s="203"/>
      <c r="G224" s="239"/>
      <c r="H224" s="240"/>
      <c r="I224" s="240"/>
      <c r="J224" s="241"/>
      <c r="K224" s="201"/>
      <c r="L224" s="428"/>
      <c r="M224" s="475"/>
      <c r="N224" s="467"/>
      <c r="O224" s="166"/>
      <c r="P224" s="242"/>
      <c r="Q224" s="202"/>
      <c r="R224" s="13"/>
      <c r="S224" s="14"/>
      <c r="AV224" t="str">
        <f>IF(F224&gt;0,(COUNT($AV$1:AV223)+1),"")</f>
        <v/>
      </c>
    </row>
    <row r="225" spans="1:48" ht="15" customHeight="1" x14ac:dyDescent="0.25">
      <c r="A225" s="1"/>
      <c r="B225" s="295"/>
      <c r="C225" s="253"/>
      <c r="D225" s="263"/>
      <c r="E225" s="254"/>
      <c r="F225" s="255"/>
      <c r="G225" s="256"/>
      <c r="H225" s="257"/>
      <c r="I225" s="257"/>
      <c r="J225" s="258"/>
      <c r="K225" s="259"/>
      <c r="L225" s="436"/>
      <c r="M225" s="479"/>
      <c r="N225" s="470"/>
      <c r="O225" s="260"/>
      <c r="P225" s="261"/>
      <c r="Q225" s="262"/>
      <c r="R225" s="13"/>
      <c r="S225" s="14"/>
      <c r="AV225" t="str">
        <f>IF(F225&gt;0,(COUNT($AV$1:AV224)+1),"")</f>
        <v/>
      </c>
    </row>
    <row r="226" spans="1:48" ht="15" customHeight="1" x14ac:dyDescent="0.25">
      <c r="A226" s="1"/>
      <c r="B226" s="699"/>
      <c r="C226" s="700"/>
      <c r="D226" s="701" t="s">
        <v>6629</v>
      </c>
      <c r="E226" s="702"/>
      <c r="F226" s="703"/>
      <c r="G226" s="841" t="s">
        <v>170</v>
      </c>
      <c r="H226" s="842" t="s">
        <v>1461</v>
      </c>
      <c r="I226" s="842" t="s">
        <v>221</v>
      </c>
      <c r="J226" s="704"/>
      <c r="K226" s="705"/>
      <c r="L226" s="706"/>
      <c r="M226" s="707"/>
      <c r="N226" s="843"/>
      <c r="O226" s="844"/>
      <c r="P226" s="708"/>
      <c r="Q226" s="709"/>
      <c r="R226" s="2"/>
      <c r="S226" s="6"/>
      <c r="AV226" t="str">
        <f>IF(F226&gt;0,(COUNT($AV$1:AV225)+1),"")</f>
        <v/>
      </c>
    </row>
    <row r="227" spans="1:48" ht="15" customHeight="1" x14ac:dyDescent="0.25">
      <c r="A227" s="1"/>
      <c r="B227" s="1147">
        <v>21359</v>
      </c>
      <c r="C227" s="1148">
        <v>8904045065661</v>
      </c>
      <c r="D227" s="1155" t="s">
        <v>7416</v>
      </c>
      <c r="E227" s="1149">
        <v>12</v>
      </c>
      <c r="F227" s="1156"/>
      <c r="G227" s="1150">
        <v>410.8</v>
      </c>
      <c r="H227" s="1151">
        <v>431.1</v>
      </c>
      <c r="I227" s="1152">
        <v>473.8</v>
      </c>
      <c r="J227" s="1153" t="s">
        <v>6630</v>
      </c>
      <c r="K227" s="1154" t="s">
        <v>116</v>
      </c>
      <c r="L227" s="440"/>
      <c r="M227" s="482" t="s">
        <v>1856</v>
      </c>
      <c r="N227" s="1002" t="s">
        <v>1856</v>
      </c>
      <c r="O227" s="214" t="s">
        <v>1690</v>
      </c>
      <c r="P227" s="74" t="s">
        <v>50</v>
      </c>
      <c r="Q227" s="521">
        <f>IF($AO$220=2,F227*H227,IF($AO$220=1,F227*G227,F227*I227))</f>
        <v>0</v>
      </c>
      <c r="R227" s="94" t="str">
        <f t="shared" ref="R227:R231" si="48">IF(AO227&gt;0,HYPERLINK(AO227,"Фото &gt;&gt;"),"")</f>
        <v>Фото &gt;&gt;</v>
      </c>
      <c r="S227" s="14" t="s">
        <v>6631</v>
      </c>
      <c r="AK227">
        <v>0.6</v>
      </c>
      <c r="AL227">
        <f t="shared" ref="AL227" si="49">F227*G227</f>
        <v>0</v>
      </c>
      <c r="AM227">
        <f t="shared" ref="AM227" si="50">F227*H227</f>
        <v>0</v>
      </c>
      <c r="AN227">
        <f t="shared" ref="AN227" si="51">AK227*F227+IF(E227&gt;1.01,F227/E227*0.2,0)</f>
        <v>0</v>
      </c>
      <c r="AO227" t="s">
        <v>6637</v>
      </c>
      <c r="AV227" t="str">
        <f>IF(F227&gt;0,(COUNT($AV$1:AV226)+1),"")</f>
        <v/>
      </c>
    </row>
    <row r="228" spans="1:48" ht="15" customHeight="1" x14ac:dyDescent="0.25">
      <c r="A228" s="1"/>
      <c r="B228" s="1240">
        <v>21358</v>
      </c>
      <c r="C228" s="1241">
        <v>8904045065685</v>
      </c>
      <c r="D228" s="1248" t="s">
        <v>7795</v>
      </c>
      <c r="E228" s="1242">
        <v>12</v>
      </c>
      <c r="F228" s="1156"/>
      <c r="G228" s="1243">
        <v>410.8</v>
      </c>
      <c r="H228" s="1244">
        <v>431.1</v>
      </c>
      <c r="I228" s="1245">
        <v>473.8</v>
      </c>
      <c r="J228" s="1246" t="s">
        <v>6630</v>
      </c>
      <c r="K228" s="1247" t="s">
        <v>116</v>
      </c>
      <c r="L228" s="530"/>
      <c r="M228" s="531" t="s">
        <v>1856</v>
      </c>
      <c r="N228" s="1003" t="s">
        <v>1856</v>
      </c>
      <c r="O228" s="1249" t="s">
        <v>1690</v>
      </c>
      <c r="P228" s="533" t="s">
        <v>50</v>
      </c>
      <c r="Q228" s="521">
        <f>IF($AO$220=2,F228*H228,IF($AO$220=1,F228*G228,F228*I228))</f>
        <v>0</v>
      </c>
      <c r="R228" s="94" t="str">
        <f t="shared" si="48"/>
        <v>Фото &gt;&gt;</v>
      </c>
      <c r="S228" s="14" t="s">
        <v>6632</v>
      </c>
      <c r="AK228">
        <v>0.6</v>
      </c>
      <c r="AL228">
        <f t="shared" ref="AL228:AL231" si="52">F228*G228</f>
        <v>0</v>
      </c>
      <c r="AM228">
        <f t="shared" ref="AM228:AM231" si="53">F228*H228</f>
        <v>0</v>
      </c>
      <c r="AN228">
        <f t="shared" ref="AN228:AN231" si="54">AK228*F228+IF(E228&gt;1.01,F228/E228*0.2,0)</f>
        <v>0</v>
      </c>
      <c r="AO228" t="s">
        <v>6638</v>
      </c>
      <c r="AV228" t="str">
        <f>IF(F228&gt;0,(COUNT($AV$1:AV227)+1),"")</f>
        <v/>
      </c>
    </row>
    <row r="229" spans="1:48" ht="15" customHeight="1" x14ac:dyDescent="0.25">
      <c r="A229" s="1"/>
      <c r="B229" s="1147">
        <v>21357</v>
      </c>
      <c r="C229" s="1148">
        <v>8904045065708</v>
      </c>
      <c r="D229" s="1155" t="s">
        <v>7796</v>
      </c>
      <c r="E229" s="1149">
        <v>12</v>
      </c>
      <c r="F229" s="1156"/>
      <c r="G229" s="1150">
        <v>410.8</v>
      </c>
      <c r="H229" s="1151">
        <v>431.1</v>
      </c>
      <c r="I229" s="1152">
        <v>473.8</v>
      </c>
      <c r="J229" s="1153" t="s">
        <v>6630</v>
      </c>
      <c r="K229" s="1154" t="s">
        <v>116</v>
      </c>
      <c r="L229" s="440"/>
      <c r="M229" s="482" t="s">
        <v>1856</v>
      </c>
      <c r="N229" s="1002" t="s">
        <v>1856</v>
      </c>
      <c r="O229" s="214" t="s">
        <v>1690</v>
      </c>
      <c r="P229" s="74" t="s">
        <v>50</v>
      </c>
      <c r="Q229" s="521">
        <f>IF($AO$220=2,F229*H229,IF($AO$220=1,F229*G229,F229*I229))</f>
        <v>0</v>
      </c>
      <c r="R229" s="94" t="str">
        <f t="shared" si="48"/>
        <v>Фото &gt;&gt;</v>
      </c>
      <c r="S229" s="14" t="s">
        <v>6633</v>
      </c>
      <c r="AK229">
        <v>0.6</v>
      </c>
      <c r="AL229">
        <f t="shared" si="52"/>
        <v>0</v>
      </c>
      <c r="AM229">
        <f t="shared" si="53"/>
        <v>0</v>
      </c>
      <c r="AN229">
        <f t="shared" si="54"/>
        <v>0</v>
      </c>
      <c r="AO229" t="s">
        <v>6639</v>
      </c>
      <c r="AV229" t="str">
        <f>IF(F229&gt;0,(COUNT($AV$1:AV228)+1),"")</f>
        <v/>
      </c>
    </row>
    <row r="230" spans="1:48" ht="15" customHeight="1" x14ac:dyDescent="0.25">
      <c r="A230" s="1"/>
      <c r="B230" s="1240">
        <v>21356</v>
      </c>
      <c r="C230" s="1241">
        <v>8904045065722</v>
      </c>
      <c r="D230" s="1248" t="s">
        <v>7797</v>
      </c>
      <c r="E230" s="1242">
        <v>12</v>
      </c>
      <c r="F230" s="1156"/>
      <c r="G230" s="1243">
        <v>1077.7</v>
      </c>
      <c r="H230" s="1244">
        <v>1131.5999999999999</v>
      </c>
      <c r="I230" s="1245">
        <v>1244.4000000000001</v>
      </c>
      <c r="J230" s="1246" t="s">
        <v>6630</v>
      </c>
      <c r="K230" s="1247" t="s">
        <v>116</v>
      </c>
      <c r="L230" s="530"/>
      <c r="M230" s="531" t="s">
        <v>1856</v>
      </c>
      <c r="N230" s="1003" t="s">
        <v>1856</v>
      </c>
      <c r="O230" s="1249" t="s">
        <v>1690</v>
      </c>
      <c r="P230" s="533" t="s">
        <v>50</v>
      </c>
      <c r="Q230" s="521">
        <f>IF($AO$220=2,F230*H230,IF($AO$220=1,F230*G230,F230*I230))</f>
        <v>0</v>
      </c>
      <c r="R230" s="94" t="str">
        <f t="shared" si="48"/>
        <v>Фото &gt;&gt;</v>
      </c>
      <c r="S230" s="14" t="s">
        <v>6634</v>
      </c>
      <c r="AK230">
        <v>0.6</v>
      </c>
      <c r="AL230">
        <f t="shared" si="52"/>
        <v>0</v>
      </c>
      <c r="AM230">
        <f t="shared" si="53"/>
        <v>0</v>
      </c>
      <c r="AN230">
        <f t="shared" si="54"/>
        <v>0</v>
      </c>
      <c r="AO230" t="s">
        <v>6640</v>
      </c>
      <c r="AV230" t="str">
        <f>IF(F230&gt;0,(COUNT($AV$1:AV229)+1),"")</f>
        <v/>
      </c>
    </row>
    <row r="231" spans="1:48" ht="15" customHeight="1" x14ac:dyDescent="0.25">
      <c r="A231" s="1"/>
      <c r="B231" s="37">
        <v>21355</v>
      </c>
      <c r="C231" s="23">
        <v>8904045065692</v>
      </c>
      <c r="D231" s="237" t="s">
        <v>6635</v>
      </c>
      <c r="E231" s="75">
        <v>12</v>
      </c>
      <c r="F231" s="845"/>
      <c r="G231" s="864">
        <v>660.9</v>
      </c>
      <c r="H231" s="5">
        <v>693.4</v>
      </c>
      <c r="I231" s="24">
        <v>762.6</v>
      </c>
      <c r="J231" s="115" t="s">
        <v>6630</v>
      </c>
      <c r="K231" s="46" t="s">
        <v>116</v>
      </c>
      <c r="L231" s="440"/>
      <c r="M231" s="482" t="s">
        <v>1856</v>
      </c>
      <c r="N231" s="1002" t="s">
        <v>1856</v>
      </c>
      <c r="O231" s="211" t="s">
        <v>1637</v>
      </c>
      <c r="P231" s="74" t="s">
        <v>50</v>
      </c>
      <c r="Q231" s="521">
        <f>IF($AO$220=2,F231*H231,IF($AO$220=1,F231*G231,F231*I231))</f>
        <v>0</v>
      </c>
      <c r="R231" s="94" t="str">
        <f t="shared" si="48"/>
        <v>Фото &gt;&gt;</v>
      </c>
      <c r="S231" s="14" t="s">
        <v>6636</v>
      </c>
      <c r="AK231">
        <v>0.6</v>
      </c>
      <c r="AL231">
        <f t="shared" si="52"/>
        <v>0</v>
      </c>
      <c r="AM231">
        <f t="shared" si="53"/>
        <v>0</v>
      </c>
      <c r="AN231">
        <f t="shared" si="54"/>
        <v>0</v>
      </c>
      <c r="AO231" t="s">
        <v>6641</v>
      </c>
      <c r="AV231" t="str">
        <f>IF(F231&gt;0,(COUNT($AV$1:AV230)+1),"")</f>
        <v/>
      </c>
    </row>
    <row r="232" spans="1:48" ht="15" customHeight="1" x14ac:dyDescent="0.25">
      <c r="A232" s="1"/>
      <c r="B232" s="125"/>
      <c r="C232" s="126"/>
      <c r="D232" s="127"/>
      <c r="E232" s="134"/>
      <c r="F232" s="189"/>
      <c r="G232" s="130"/>
      <c r="H232" s="131"/>
      <c r="I232" s="132"/>
      <c r="J232" s="128"/>
      <c r="K232" s="129"/>
      <c r="L232" s="433"/>
      <c r="M232" s="481"/>
      <c r="N232" s="471"/>
      <c r="O232" s="181"/>
      <c r="P232" s="133"/>
      <c r="Q232" s="135"/>
      <c r="R232" s="13"/>
      <c r="S232" s="207"/>
      <c r="T232" s="208"/>
      <c r="AV232" t="str">
        <f>IF(F232&gt;0,(COUNT($AV$1:AV231)+1),"")</f>
        <v/>
      </c>
    </row>
    <row r="233" spans="1:48" ht="15" customHeight="1" thickBot="1" x14ac:dyDescent="0.3">
      <c r="A233" s="1"/>
      <c r="B233" s="158"/>
      <c r="C233" s="159"/>
      <c r="D233" s="160"/>
      <c r="E233" s="167"/>
      <c r="F233" s="191"/>
      <c r="G233" s="163"/>
      <c r="H233" s="164"/>
      <c r="I233" s="165"/>
      <c r="J233" s="161"/>
      <c r="K233" s="162"/>
      <c r="L233" s="439"/>
      <c r="M233" s="475"/>
      <c r="N233" s="467"/>
      <c r="O233" s="183"/>
      <c r="P233" s="166"/>
      <c r="Q233" s="168"/>
      <c r="R233" s="13"/>
      <c r="S233" s="207"/>
      <c r="T233" s="208"/>
      <c r="AV233" t="str">
        <f>IF(F233&gt;0,(COUNT($AV$1:AV232)+1),"")</f>
        <v/>
      </c>
    </row>
    <row r="234" spans="1:48" ht="24.95" customHeight="1" thickBot="1" x14ac:dyDescent="0.3">
      <c r="A234" s="1"/>
      <c r="B234" s="169"/>
      <c r="C234" s="170"/>
      <c r="D234" s="171" t="str">
        <f>CONCATENATE("Сибирский кедр","     |     Сумма заказа: ",AK234," руб.")</f>
        <v>Сибирский кедр     |     Сумма заказа: 0 руб.</v>
      </c>
      <c r="E234" s="176"/>
      <c r="F234" s="177"/>
      <c r="G234" s="180" t="str">
        <f>CONCATENATE("Ценовая колонка: ",AO234,"   |   До следующей скидки: ",AJ234," руб.")</f>
        <v>Ценовая колонка: 3   |   До следующей скидки: 5000 руб.</v>
      </c>
      <c r="H234" s="174"/>
      <c r="I234" s="174"/>
      <c r="J234" s="172" t="s">
        <v>483</v>
      </c>
      <c r="K234" s="173"/>
      <c r="L234" s="444"/>
      <c r="M234" s="486" t="s">
        <v>104</v>
      </c>
      <c r="N234" s="717"/>
      <c r="O234" s="184"/>
      <c r="P234" s="175"/>
      <c r="Q234" s="178"/>
      <c r="R234" s="179" t="s">
        <v>1558</v>
      </c>
      <c r="S234" s="14"/>
      <c r="AG234" s="84"/>
      <c r="AH234" s="84"/>
      <c r="AJ234">
        <f>ROUND(IF(AL234&gt;40000,"0", IF(AND(AL234&lt;40000,AM234&gt;5000),40000-AL234,5000-AM234)),2)</f>
        <v>5000</v>
      </c>
      <c r="AK234">
        <f>SUM(Q236:Q351)</f>
        <v>0</v>
      </c>
      <c r="AL234">
        <f>SUM(AL236:AL351)</f>
        <v>0</v>
      </c>
      <c r="AM234">
        <f>SUM(AM236:AM351)</f>
        <v>0</v>
      </c>
      <c r="AO234">
        <f>IF(AM234&gt;5000,IF(AL234&gt;40000,1,2),3)</f>
        <v>3</v>
      </c>
      <c r="AV234" t="str">
        <f>IF(F234&gt;0,(COUNT($AV$1:AV233)+1),"")</f>
        <v/>
      </c>
    </row>
    <row r="235" spans="1:48" ht="27.95" customHeight="1" x14ac:dyDescent="0.25">
      <c r="A235" s="1"/>
      <c r="B235" s="297"/>
      <c r="C235" s="283"/>
      <c r="D235" s="284" t="s">
        <v>367</v>
      </c>
      <c r="E235" s="285"/>
      <c r="F235" s="286"/>
      <c r="G235" s="1227" t="s">
        <v>7583</v>
      </c>
      <c r="H235" s="41" t="s">
        <v>16</v>
      </c>
      <c r="I235" s="41" t="s">
        <v>221</v>
      </c>
      <c r="J235" s="289"/>
      <c r="K235" s="290"/>
      <c r="L235" s="452"/>
      <c r="M235" s="496" t="s">
        <v>104</v>
      </c>
      <c r="N235" s="572"/>
      <c r="O235" s="291"/>
      <c r="P235" s="292"/>
      <c r="Q235" s="293"/>
      <c r="R235" s="2"/>
      <c r="S235" s="6"/>
      <c r="AV235" t="str">
        <f>IF(F235&gt;0,(COUNT($AV$1:AV234)+1),"")</f>
        <v/>
      </c>
    </row>
    <row r="236" spans="1:48" ht="15" customHeight="1" x14ac:dyDescent="0.25">
      <c r="A236" s="1"/>
      <c r="B236" s="31">
        <v>19215</v>
      </c>
      <c r="C236" s="16">
        <v>4630049334765</v>
      </c>
      <c r="D236" s="226" t="s">
        <v>1893</v>
      </c>
      <c r="E236" s="69">
        <v>5</v>
      </c>
      <c r="F236" s="222"/>
      <c r="G236" s="108">
        <v>529.70000000000005</v>
      </c>
      <c r="H236" s="17">
        <v>549.79999999999995</v>
      </c>
      <c r="I236" s="18">
        <v>581.9</v>
      </c>
      <c r="J236" s="113" t="s">
        <v>483</v>
      </c>
      <c r="K236" s="44" t="s">
        <v>367</v>
      </c>
      <c r="L236" s="442" t="s">
        <v>2929</v>
      </c>
      <c r="M236" s="480" t="s">
        <v>104</v>
      </c>
      <c r="N236" s="1015" t="s">
        <v>1856</v>
      </c>
      <c r="O236" s="217"/>
      <c r="P236" s="68" t="s">
        <v>53</v>
      </c>
      <c r="Q236" s="100">
        <f t="shared" ref="Q236:Q267" si="55">IF(AND($AO$234=1,MOD(F236,E236)=0),F236*G236,IF($AO$234&lt;=2,F236*H236,F236*I236))</f>
        <v>0</v>
      </c>
      <c r="R236" s="1095" t="str">
        <f t="shared" ref="R236:R290" si="56">IF(AO236&gt;0,HYPERLINK(AO236,"Фото &gt;&gt;"),"")</f>
        <v>Фото &gt;&gt;</v>
      </c>
      <c r="S236" s="14" t="s">
        <v>3314</v>
      </c>
      <c r="U236" s="4"/>
      <c r="V236" s="4"/>
      <c r="AG236" s="84"/>
      <c r="AH236" s="84"/>
      <c r="AK236">
        <v>0.14000000000000001</v>
      </c>
      <c r="AL236">
        <f t="shared" ref="AL236:AL326" si="57">F236*G236</f>
        <v>0</v>
      </c>
      <c r="AM236">
        <f t="shared" ref="AM236:AM326" si="58">F236*H236</f>
        <v>0</v>
      </c>
      <c r="AN236">
        <f t="shared" ref="AN236:AN326" si="59">AK236*F236+IF(E236&gt;1.01,F236/E236*0.2,0)</f>
        <v>0</v>
      </c>
      <c r="AO236" t="s">
        <v>2576</v>
      </c>
      <c r="AV236" t="str">
        <f>IF(F236&gt;0,(COUNT($AV$1:AV235)+1),"")</f>
        <v/>
      </c>
    </row>
    <row r="237" spans="1:48" ht="15" customHeight="1" x14ac:dyDescent="0.25">
      <c r="A237" s="1"/>
      <c r="B237" s="30">
        <v>21542</v>
      </c>
      <c r="C237" s="20">
        <v>4640201207226</v>
      </c>
      <c r="D237" s="225" t="s">
        <v>7447</v>
      </c>
      <c r="E237" s="336">
        <v>5</v>
      </c>
      <c r="F237" s="281"/>
      <c r="G237" s="107">
        <v>552</v>
      </c>
      <c r="H237" s="21">
        <v>580</v>
      </c>
      <c r="I237" s="22">
        <v>610</v>
      </c>
      <c r="J237" s="112" t="s">
        <v>483</v>
      </c>
      <c r="K237" s="45" t="s">
        <v>367</v>
      </c>
      <c r="L237" s="437" t="s">
        <v>2929</v>
      </c>
      <c r="M237" s="474" t="s">
        <v>104</v>
      </c>
      <c r="N237" s="1013" t="s">
        <v>1856</v>
      </c>
      <c r="O237" s="209"/>
      <c r="P237" s="66" t="s">
        <v>53</v>
      </c>
      <c r="Q237" s="100">
        <f t="shared" si="55"/>
        <v>0</v>
      </c>
      <c r="R237" s="1095" t="str">
        <f t="shared" si="56"/>
        <v>Фото &gt;&gt;</v>
      </c>
      <c r="S237" s="14" t="s">
        <v>7312</v>
      </c>
      <c r="U237" s="4"/>
      <c r="V237" s="4"/>
      <c r="AG237" s="84"/>
      <c r="AH237" s="84"/>
      <c r="AK237">
        <v>0.14000000000000001</v>
      </c>
      <c r="AL237">
        <f t="shared" ref="AL237" si="60">F237*G237</f>
        <v>0</v>
      </c>
      <c r="AM237">
        <f t="shared" ref="AM237" si="61">F237*H237</f>
        <v>0</v>
      </c>
      <c r="AN237">
        <f t="shared" ref="AN237" si="62">AK237*F237+IF(E237&gt;1.01,F237/E237*0.2,0)</f>
        <v>0</v>
      </c>
      <c r="AO237" t="s">
        <v>7313</v>
      </c>
      <c r="AV237" t="str">
        <f>IF(F237&gt;0,(COUNT($AV$1:AV236)+1),"")</f>
        <v/>
      </c>
    </row>
    <row r="238" spans="1:48" ht="15" customHeight="1" x14ac:dyDescent="0.25">
      <c r="A238" s="1"/>
      <c r="B238" s="31">
        <v>16725</v>
      </c>
      <c r="C238" s="16">
        <v>4680013878658</v>
      </c>
      <c r="D238" s="226" t="s">
        <v>3831</v>
      </c>
      <c r="E238" s="69">
        <v>5</v>
      </c>
      <c r="F238" s="222"/>
      <c r="G238" s="108">
        <v>529.70000000000005</v>
      </c>
      <c r="H238" s="17">
        <v>549.79999999999995</v>
      </c>
      <c r="I238" s="18">
        <v>581.9</v>
      </c>
      <c r="J238" s="113" t="s">
        <v>483</v>
      </c>
      <c r="K238" s="44" t="s">
        <v>367</v>
      </c>
      <c r="L238" s="442" t="s">
        <v>2929</v>
      </c>
      <c r="M238" s="480" t="s">
        <v>104</v>
      </c>
      <c r="N238" s="1015" t="s">
        <v>1856</v>
      </c>
      <c r="O238" s="217"/>
      <c r="P238" s="68" t="s">
        <v>53</v>
      </c>
      <c r="Q238" s="100">
        <f t="shared" si="55"/>
        <v>0</v>
      </c>
      <c r="R238" s="1095" t="str">
        <f t="shared" si="56"/>
        <v>Фото &gt;&gt;</v>
      </c>
      <c r="S238" s="14" t="s">
        <v>494</v>
      </c>
      <c r="U238" s="4"/>
      <c r="V238" s="4"/>
      <c r="AG238" s="84"/>
      <c r="AH238" s="84"/>
      <c r="AK238">
        <v>0.14000000000000001</v>
      </c>
      <c r="AL238">
        <f t="shared" si="57"/>
        <v>0</v>
      </c>
      <c r="AM238">
        <f t="shared" si="58"/>
        <v>0</v>
      </c>
      <c r="AN238">
        <f t="shared" si="59"/>
        <v>0</v>
      </c>
      <c r="AO238" t="s">
        <v>4809</v>
      </c>
      <c r="AV238" t="str">
        <f>IF(F238&gt;0,(COUNT($AV$1:AV237)+1),"")</f>
        <v/>
      </c>
    </row>
    <row r="239" spans="1:48" ht="15" customHeight="1" x14ac:dyDescent="0.25">
      <c r="A239" s="1"/>
      <c r="B239" s="30">
        <v>14576</v>
      </c>
      <c r="C239" s="20">
        <v>4680013872656</v>
      </c>
      <c r="D239" s="225" t="s">
        <v>1855</v>
      </c>
      <c r="E239" s="67">
        <v>5</v>
      </c>
      <c r="F239" s="222"/>
      <c r="G239" s="107">
        <v>529.70000000000005</v>
      </c>
      <c r="H239" s="21">
        <v>549.79999999999995</v>
      </c>
      <c r="I239" s="22">
        <v>581.9</v>
      </c>
      <c r="J239" s="112" t="s">
        <v>483</v>
      </c>
      <c r="K239" s="45" t="s">
        <v>367</v>
      </c>
      <c r="L239" s="437" t="s">
        <v>2929</v>
      </c>
      <c r="M239" s="474" t="s">
        <v>104</v>
      </c>
      <c r="N239" s="1013" t="s">
        <v>1856</v>
      </c>
      <c r="O239" s="209"/>
      <c r="P239" s="66" t="s">
        <v>53</v>
      </c>
      <c r="Q239" s="100">
        <f t="shared" si="55"/>
        <v>0</v>
      </c>
      <c r="R239" s="1095" t="str">
        <f t="shared" si="56"/>
        <v>Фото &gt;&gt;</v>
      </c>
      <c r="S239" s="14" t="s">
        <v>495</v>
      </c>
      <c r="U239" s="4"/>
      <c r="V239" s="4"/>
      <c r="AG239" s="84"/>
      <c r="AH239" s="84"/>
      <c r="AK239">
        <v>0.15</v>
      </c>
      <c r="AL239">
        <f t="shared" si="57"/>
        <v>0</v>
      </c>
      <c r="AM239">
        <f t="shared" si="58"/>
        <v>0</v>
      </c>
      <c r="AN239">
        <f t="shared" si="59"/>
        <v>0</v>
      </c>
      <c r="AO239" t="s">
        <v>4540</v>
      </c>
      <c r="AV239" t="str">
        <f>IF(F239&gt;0,(COUNT($AV$1:AV238)+1),"")</f>
        <v/>
      </c>
    </row>
    <row r="240" spans="1:48" ht="15" customHeight="1" x14ac:dyDescent="0.25">
      <c r="A240" s="1"/>
      <c r="B240" s="31">
        <v>14994</v>
      </c>
      <c r="C240" s="16">
        <v>4680013875176</v>
      </c>
      <c r="D240" s="226" t="s">
        <v>7225</v>
      </c>
      <c r="E240" s="69">
        <v>5</v>
      </c>
      <c r="F240" s="222"/>
      <c r="G240" s="108">
        <v>529.70000000000005</v>
      </c>
      <c r="H240" s="17">
        <v>549.79999999999995</v>
      </c>
      <c r="I240" s="18">
        <v>581.9</v>
      </c>
      <c r="J240" s="113" t="s">
        <v>483</v>
      </c>
      <c r="K240" s="44" t="s">
        <v>367</v>
      </c>
      <c r="L240" s="442" t="s">
        <v>2929</v>
      </c>
      <c r="M240" s="480" t="s">
        <v>104</v>
      </c>
      <c r="N240" s="1015" t="s">
        <v>1856</v>
      </c>
      <c r="O240" s="217"/>
      <c r="P240" s="68" t="s">
        <v>53</v>
      </c>
      <c r="Q240" s="100">
        <f t="shared" si="55"/>
        <v>0</v>
      </c>
      <c r="R240" s="1095" t="str">
        <f t="shared" si="56"/>
        <v>Фото &gt;&gt;</v>
      </c>
      <c r="S240" s="14" t="s">
        <v>496</v>
      </c>
      <c r="U240" s="4"/>
      <c r="V240" s="4"/>
      <c r="AG240" s="84"/>
      <c r="AH240" s="84"/>
      <c r="AK240">
        <v>0.12</v>
      </c>
      <c r="AL240">
        <f t="shared" si="57"/>
        <v>0</v>
      </c>
      <c r="AM240">
        <f t="shared" si="58"/>
        <v>0</v>
      </c>
      <c r="AN240">
        <f t="shared" si="59"/>
        <v>0</v>
      </c>
      <c r="AO240" t="s">
        <v>5359</v>
      </c>
      <c r="AV240" t="str">
        <f>IF(F240&gt;0,(COUNT($AV$1:AV239)+1),"")</f>
        <v/>
      </c>
    </row>
    <row r="241" spans="1:48" ht="15" customHeight="1" x14ac:dyDescent="0.25">
      <c r="A241" s="1"/>
      <c r="B241" s="30">
        <v>15544</v>
      </c>
      <c r="C241" s="20">
        <v>4680013877330</v>
      </c>
      <c r="D241" s="225" t="s">
        <v>7226</v>
      </c>
      <c r="E241" s="67">
        <v>5</v>
      </c>
      <c r="F241" s="222"/>
      <c r="G241" s="107">
        <v>529.70000000000005</v>
      </c>
      <c r="H241" s="21">
        <v>549.79999999999995</v>
      </c>
      <c r="I241" s="22">
        <v>581.9</v>
      </c>
      <c r="J241" s="112" t="s">
        <v>483</v>
      </c>
      <c r="K241" s="45" t="s">
        <v>367</v>
      </c>
      <c r="L241" s="437" t="s">
        <v>2929</v>
      </c>
      <c r="M241" s="474" t="s">
        <v>104</v>
      </c>
      <c r="N241" s="1013" t="s">
        <v>1856</v>
      </c>
      <c r="O241" s="209"/>
      <c r="P241" s="66" t="s">
        <v>53</v>
      </c>
      <c r="Q241" s="100">
        <f t="shared" si="55"/>
        <v>0</v>
      </c>
      <c r="R241" s="1095" t="str">
        <f t="shared" si="56"/>
        <v>Фото &gt;&gt;</v>
      </c>
      <c r="S241" s="14" t="s">
        <v>497</v>
      </c>
      <c r="U241" s="4"/>
      <c r="V241" s="4"/>
      <c r="AG241" s="84"/>
      <c r="AH241" s="84"/>
      <c r="AK241">
        <v>0.12</v>
      </c>
      <c r="AL241">
        <f t="shared" si="57"/>
        <v>0</v>
      </c>
      <c r="AM241">
        <f t="shared" si="58"/>
        <v>0</v>
      </c>
      <c r="AN241">
        <f t="shared" si="59"/>
        <v>0</v>
      </c>
      <c r="AO241" t="s">
        <v>5360</v>
      </c>
      <c r="AV241" t="str">
        <f>IF(F241&gt;0,(COUNT($AV$1:AV240)+1),"")</f>
        <v/>
      </c>
    </row>
    <row r="242" spans="1:48" ht="15" customHeight="1" x14ac:dyDescent="0.25">
      <c r="A242" s="1"/>
      <c r="B242" s="31">
        <v>15391</v>
      </c>
      <c r="C242" s="16">
        <v>4680013875411</v>
      </c>
      <c r="D242" s="226" t="s">
        <v>7227</v>
      </c>
      <c r="E242" s="69">
        <v>5</v>
      </c>
      <c r="F242" s="222"/>
      <c r="G242" s="108">
        <v>529.70000000000005</v>
      </c>
      <c r="H242" s="17">
        <v>549.79999999999995</v>
      </c>
      <c r="I242" s="18">
        <v>581.9</v>
      </c>
      <c r="J242" s="113" t="s">
        <v>483</v>
      </c>
      <c r="K242" s="44" t="s">
        <v>367</v>
      </c>
      <c r="L242" s="442" t="s">
        <v>2929</v>
      </c>
      <c r="M242" s="480" t="s">
        <v>104</v>
      </c>
      <c r="N242" s="1015" t="s">
        <v>1856</v>
      </c>
      <c r="O242" s="217"/>
      <c r="P242" s="68" t="s">
        <v>53</v>
      </c>
      <c r="Q242" s="100">
        <f t="shared" si="55"/>
        <v>0</v>
      </c>
      <c r="R242" s="1095" t="str">
        <f t="shared" si="56"/>
        <v>Фото &gt;&gt;</v>
      </c>
      <c r="S242" s="14" t="s">
        <v>498</v>
      </c>
      <c r="U242" s="4"/>
      <c r="V242" s="4"/>
      <c r="AG242" s="84"/>
      <c r="AH242" s="84"/>
      <c r="AK242">
        <v>0.12</v>
      </c>
      <c r="AL242">
        <f t="shared" si="57"/>
        <v>0</v>
      </c>
      <c r="AM242">
        <f t="shared" si="58"/>
        <v>0</v>
      </c>
      <c r="AN242">
        <f t="shared" si="59"/>
        <v>0</v>
      </c>
      <c r="AO242" t="s">
        <v>2577</v>
      </c>
      <c r="AV242" t="str">
        <f>IF(F242&gt;0,(COUNT($AV$1:AV241)+1),"")</f>
        <v/>
      </c>
    </row>
    <row r="243" spans="1:48" ht="15" customHeight="1" x14ac:dyDescent="0.25">
      <c r="A243" s="1"/>
      <c r="B243" s="785">
        <v>14641</v>
      </c>
      <c r="C243" s="786">
        <v>4680013874520</v>
      </c>
      <c r="D243" s="787" t="s">
        <v>1574</v>
      </c>
      <c r="E243" s="788">
        <v>5</v>
      </c>
      <c r="F243" s="789"/>
      <c r="G243" s="811">
        <v>405.6</v>
      </c>
      <c r="H243" s="790">
        <v>421</v>
      </c>
      <c r="I243" s="791">
        <v>445.6</v>
      </c>
      <c r="J243" s="792" t="s">
        <v>483</v>
      </c>
      <c r="K243" s="793" t="s">
        <v>367</v>
      </c>
      <c r="L243" s="781" t="s">
        <v>2929</v>
      </c>
      <c r="M243" s="782" t="s">
        <v>104</v>
      </c>
      <c r="N243" s="1009"/>
      <c r="O243" s="783"/>
      <c r="P243" s="784" t="s">
        <v>53</v>
      </c>
      <c r="Q243" s="100">
        <f t="shared" si="55"/>
        <v>0</v>
      </c>
      <c r="R243" s="1095" t="str">
        <f t="shared" si="56"/>
        <v>Фото &gt;&gt;</v>
      </c>
      <c r="S243" s="14" t="s">
        <v>3326</v>
      </c>
      <c r="U243" s="4"/>
      <c r="V243" s="4"/>
      <c r="AG243" s="84"/>
      <c r="AH243" s="84"/>
      <c r="AK243">
        <v>0.2</v>
      </c>
      <c r="AL243">
        <f t="shared" si="57"/>
        <v>0</v>
      </c>
      <c r="AM243">
        <f t="shared" si="58"/>
        <v>0</v>
      </c>
      <c r="AN243">
        <f t="shared" si="59"/>
        <v>0</v>
      </c>
      <c r="AO243" t="s">
        <v>2578</v>
      </c>
      <c r="AV243" t="str">
        <f>IF(F243&gt;0,(COUNT($AV$1:AV242)+1),"")</f>
        <v/>
      </c>
    </row>
    <row r="244" spans="1:48" ht="15" customHeight="1" x14ac:dyDescent="0.25">
      <c r="A244" s="1"/>
      <c r="B244" s="31">
        <v>16815</v>
      </c>
      <c r="C244" s="16">
        <v>4680013878351</v>
      </c>
      <c r="D244" s="226" t="s">
        <v>1575</v>
      </c>
      <c r="E244" s="69">
        <v>5</v>
      </c>
      <c r="F244" s="222"/>
      <c r="G244" s="108">
        <v>405.6</v>
      </c>
      <c r="H244" s="17">
        <v>421</v>
      </c>
      <c r="I244" s="18">
        <v>445.6</v>
      </c>
      <c r="J244" s="113" t="s">
        <v>483</v>
      </c>
      <c r="K244" s="44" t="s">
        <v>367</v>
      </c>
      <c r="L244" s="442" t="s">
        <v>2929</v>
      </c>
      <c r="M244" s="480" t="s">
        <v>104</v>
      </c>
      <c r="N244" s="1015"/>
      <c r="O244" s="210"/>
      <c r="P244" s="68" t="s">
        <v>53</v>
      </c>
      <c r="Q244" s="100">
        <f t="shared" si="55"/>
        <v>0</v>
      </c>
      <c r="R244" s="1095" t="str">
        <f t="shared" si="56"/>
        <v>Фото &gt;&gt;</v>
      </c>
      <c r="S244" s="14" t="s">
        <v>3324</v>
      </c>
      <c r="U244" s="4"/>
      <c r="V244" s="4"/>
      <c r="AG244" s="84"/>
      <c r="AH244" s="84"/>
      <c r="AK244">
        <v>0.2</v>
      </c>
      <c r="AL244">
        <f t="shared" si="57"/>
        <v>0</v>
      </c>
      <c r="AM244">
        <f t="shared" si="58"/>
        <v>0</v>
      </c>
      <c r="AN244">
        <f t="shared" si="59"/>
        <v>0</v>
      </c>
      <c r="AO244" t="s">
        <v>2579</v>
      </c>
      <c r="AV244" t="str">
        <f>IF(F244&gt;0,(COUNT($AV$1:AV243)+1),"")</f>
        <v/>
      </c>
    </row>
    <row r="245" spans="1:48" ht="15" customHeight="1" x14ac:dyDescent="0.25">
      <c r="A245" s="1"/>
      <c r="B245" s="30">
        <v>15053</v>
      </c>
      <c r="C245" s="20">
        <v>4680013874490</v>
      </c>
      <c r="D245" s="225" t="s">
        <v>1576</v>
      </c>
      <c r="E245" s="67">
        <v>5</v>
      </c>
      <c r="F245" s="222"/>
      <c r="G245" s="107">
        <v>395.2</v>
      </c>
      <c r="H245" s="21">
        <v>410.2</v>
      </c>
      <c r="I245" s="22">
        <v>434.1</v>
      </c>
      <c r="J245" s="112" t="s">
        <v>483</v>
      </c>
      <c r="K245" s="45" t="s">
        <v>367</v>
      </c>
      <c r="L245" s="437" t="s">
        <v>2929</v>
      </c>
      <c r="M245" s="474" t="s">
        <v>104</v>
      </c>
      <c r="N245" s="1013"/>
      <c r="O245" s="212"/>
      <c r="P245" s="66" t="s">
        <v>53</v>
      </c>
      <c r="Q245" s="100">
        <f t="shared" si="55"/>
        <v>0</v>
      </c>
      <c r="R245" s="1095" t="str">
        <f t="shared" si="56"/>
        <v>Фото &gt;&gt;</v>
      </c>
      <c r="S245" s="14" t="s">
        <v>3322</v>
      </c>
      <c r="U245" s="4"/>
      <c r="V245" s="4"/>
      <c r="AG245" s="84"/>
      <c r="AH245" s="84"/>
      <c r="AK245">
        <v>0.04</v>
      </c>
      <c r="AL245">
        <f t="shared" si="57"/>
        <v>0</v>
      </c>
      <c r="AM245">
        <f t="shared" si="58"/>
        <v>0</v>
      </c>
      <c r="AN245">
        <f t="shared" si="59"/>
        <v>0</v>
      </c>
      <c r="AO245" t="s">
        <v>4810</v>
      </c>
      <c r="AV245" t="str">
        <f>IF(F245&gt;0,(COUNT($AV$1:AV244)+1),"")</f>
        <v/>
      </c>
    </row>
    <row r="246" spans="1:48" ht="15" customHeight="1" x14ac:dyDescent="0.25">
      <c r="A246" s="1"/>
      <c r="B246" s="31">
        <v>19540</v>
      </c>
      <c r="C246" s="16">
        <v>4630049335519</v>
      </c>
      <c r="D246" s="226" t="s">
        <v>1980</v>
      </c>
      <c r="E246" s="323">
        <v>18</v>
      </c>
      <c r="F246" s="222"/>
      <c r="G246" s="108">
        <v>75.099999999999994</v>
      </c>
      <c r="H246" s="17">
        <v>77.900000000000006</v>
      </c>
      <c r="I246" s="18">
        <v>82.5</v>
      </c>
      <c r="J246" s="113" t="s">
        <v>483</v>
      </c>
      <c r="K246" s="44" t="s">
        <v>367</v>
      </c>
      <c r="L246" s="442" t="s">
        <v>2929</v>
      </c>
      <c r="M246" s="480" t="s">
        <v>104</v>
      </c>
      <c r="N246" s="1015"/>
      <c r="O246" s="217" t="s">
        <v>1569</v>
      </c>
      <c r="P246" s="68" t="s">
        <v>53</v>
      </c>
      <c r="Q246" s="100">
        <f t="shared" si="55"/>
        <v>0</v>
      </c>
      <c r="R246" s="1095" t="str">
        <f t="shared" si="56"/>
        <v>Фото &gt;&gt;</v>
      </c>
      <c r="S246" s="14" t="s">
        <v>3322</v>
      </c>
      <c r="U246" s="4"/>
      <c r="V246" s="4"/>
      <c r="AG246" s="84"/>
      <c r="AH246" s="84"/>
      <c r="AK246">
        <v>4.2000000000000003E-2</v>
      </c>
      <c r="AL246">
        <f t="shared" si="57"/>
        <v>0</v>
      </c>
      <c r="AM246">
        <f t="shared" si="58"/>
        <v>0</v>
      </c>
      <c r="AN246">
        <f t="shared" si="59"/>
        <v>0</v>
      </c>
      <c r="AO246" t="s">
        <v>3323</v>
      </c>
      <c r="AV246" t="str">
        <f>IF(F246&gt;0,(COUNT($AV$1:AV245)+1),"")</f>
        <v/>
      </c>
    </row>
    <row r="247" spans="1:48" ht="15" customHeight="1" x14ac:dyDescent="0.25">
      <c r="A247" s="1"/>
      <c r="B247" s="30">
        <v>19541</v>
      </c>
      <c r="C247" s="20">
        <v>4680013876043</v>
      </c>
      <c r="D247" s="225" t="s">
        <v>1871</v>
      </c>
      <c r="E247" s="324">
        <v>18</v>
      </c>
      <c r="F247" s="222"/>
      <c r="G247" s="107">
        <v>75.099999999999994</v>
      </c>
      <c r="H247" s="21">
        <v>77.900000000000006</v>
      </c>
      <c r="I247" s="22">
        <v>82.5</v>
      </c>
      <c r="J247" s="112" t="s">
        <v>483</v>
      </c>
      <c r="K247" s="45" t="s">
        <v>367</v>
      </c>
      <c r="L247" s="437" t="s">
        <v>2929</v>
      </c>
      <c r="M247" s="474" t="s">
        <v>104</v>
      </c>
      <c r="N247" s="1013"/>
      <c r="O247" s="212" t="s">
        <v>1569</v>
      </c>
      <c r="P247" s="66" t="s">
        <v>53</v>
      </c>
      <c r="Q247" s="100">
        <f t="shared" si="55"/>
        <v>0</v>
      </c>
      <c r="R247" s="1095" t="str">
        <f t="shared" si="56"/>
        <v>Фото &gt;&gt;</v>
      </c>
      <c r="S247" s="14" t="s">
        <v>3321</v>
      </c>
      <c r="U247" s="4"/>
      <c r="V247" s="4"/>
      <c r="AG247" s="84"/>
      <c r="AH247" s="84"/>
      <c r="AK247">
        <v>4.2000000000000003E-2</v>
      </c>
      <c r="AL247">
        <f t="shared" si="57"/>
        <v>0</v>
      </c>
      <c r="AM247">
        <f t="shared" si="58"/>
        <v>0</v>
      </c>
      <c r="AN247">
        <f t="shared" si="59"/>
        <v>0</v>
      </c>
      <c r="AO247" t="s">
        <v>3282</v>
      </c>
      <c r="AV247" t="str">
        <f>IF(F247&gt;0,(COUNT($AV$1:AV246)+1),"")</f>
        <v/>
      </c>
    </row>
    <row r="248" spans="1:48" ht="15" customHeight="1" x14ac:dyDescent="0.25">
      <c r="A248" s="1"/>
      <c r="B248" s="31">
        <v>19585</v>
      </c>
      <c r="C248" s="16">
        <v>4630049334208</v>
      </c>
      <c r="D248" s="226" t="s">
        <v>2297</v>
      </c>
      <c r="E248" s="323">
        <v>18</v>
      </c>
      <c r="F248" s="222"/>
      <c r="G248" s="108">
        <v>75.099999999999994</v>
      </c>
      <c r="H248" s="17">
        <v>77.900000000000006</v>
      </c>
      <c r="I248" s="18">
        <v>82.5</v>
      </c>
      <c r="J248" s="113" t="s">
        <v>483</v>
      </c>
      <c r="K248" s="44" t="s">
        <v>367</v>
      </c>
      <c r="L248" s="442" t="s">
        <v>2929</v>
      </c>
      <c r="M248" s="480" t="s">
        <v>104</v>
      </c>
      <c r="N248" s="1015"/>
      <c r="O248" s="217" t="s">
        <v>1569</v>
      </c>
      <c r="P248" s="68" t="s">
        <v>53</v>
      </c>
      <c r="Q248" s="100">
        <f t="shared" si="55"/>
        <v>0</v>
      </c>
      <c r="R248" s="1095" t="str">
        <f t="shared" si="56"/>
        <v>Фото &gt;&gt;</v>
      </c>
      <c r="S248" s="14" t="s">
        <v>2154</v>
      </c>
      <c r="U248" s="4"/>
      <c r="V248" s="4"/>
      <c r="AG248" s="84"/>
      <c r="AH248" s="84"/>
      <c r="AK248">
        <v>4.2000000000000003E-2</v>
      </c>
      <c r="AL248">
        <f t="shared" si="57"/>
        <v>0</v>
      </c>
      <c r="AM248">
        <f t="shared" si="58"/>
        <v>0</v>
      </c>
      <c r="AN248">
        <f t="shared" si="59"/>
        <v>0</v>
      </c>
      <c r="AO248" t="s">
        <v>2580</v>
      </c>
      <c r="AV248" t="str">
        <f>IF(F248&gt;0,(COUNT($AV$1:AV247)+1),"")</f>
        <v/>
      </c>
    </row>
    <row r="249" spans="1:48" ht="15" customHeight="1" x14ac:dyDescent="0.25">
      <c r="A249" s="1"/>
      <c r="B249" s="30">
        <v>20319</v>
      </c>
      <c r="C249" s="20">
        <v>4640201201484</v>
      </c>
      <c r="D249" s="225" t="s">
        <v>4040</v>
      </c>
      <c r="E249" s="324">
        <v>18</v>
      </c>
      <c r="F249" s="222"/>
      <c r="G249" s="107">
        <v>75.099999999999994</v>
      </c>
      <c r="H249" s="21">
        <v>77.900000000000006</v>
      </c>
      <c r="I249" s="22">
        <v>82.5</v>
      </c>
      <c r="J249" s="112" t="s">
        <v>483</v>
      </c>
      <c r="K249" s="45" t="s">
        <v>367</v>
      </c>
      <c r="L249" s="437" t="s">
        <v>2929</v>
      </c>
      <c r="M249" s="474" t="s">
        <v>104</v>
      </c>
      <c r="N249" s="1013"/>
      <c r="O249" s="212" t="s">
        <v>1569</v>
      </c>
      <c r="P249" s="66" t="s">
        <v>53</v>
      </c>
      <c r="Q249" s="100">
        <f t="shared" si="55"/>
        <v>0</v>
      </c>
      <c r="R249" s="1095" t="str">
        <f t="shared" si="56"/>
        <v>Фото &gt;&gt;</v>
      </c>
      <c r="S249" s="14" t="s">
        <v>3315</v>
      </c>
      <c r="U249" s="4"/>
      <c r="V249" s="4"/>
      <c r="AG249" s="84"/>
      <c r="AH249" s="84"/>
      <c r="AK249">
        <v>4.2000000000000003E-2</v>
      </c>
      <c r="AL249">
        <f t="shared" si="57"/>
        <v>0</v>
      </c>
      <c r="AM249">
        <f t="shared" si="58"/>
        <v>0</v>
      </c>
      <c r="AN249">
        <f t="shared" si="59"/>
        <v>0</v>
      </c>
      <c r="AO249" t="s">
        <v>3316</v>
      </c>
      <c r="AV249" t="str">
        <f>IF(F249&gt;0,(COUNT($AV$1:AV248)+1),"")</f>
        <v/>
      </c>
    </row>
    <row r="250" spans="1:48" ht="15" customHeight="1" x14ac:dyDescent="0.25">
      <c r="A250" s="1"/>
      <c r="B250" s="31">
        <v>19539</v>
      </c>
      <c r="C250" s="16">
        <v>4680013875787</v>
      </c>
      <c r="D250" s="226" t="s">
        <v>5657</v>
      </c>
      <c r="E250" s="323">
        <v>18</v>
      </c>
      <c r="F250" s="222"/>
      <c r="G250" s="108">
        <v>75.099999999999994</v>
      </c>
      <c r="H250" s="17">
        <v>77.900000000000006</v>
      </c>
      <c r="I250" s="18">
        <v>82.5</v>
      </c>
      <c r="J250" s="113" t="s">
        <v>483</v>
      </c>
      <c r="K250" s="44" t="s">
        <v>367</v>
      </c>
      <c r="L250" s="442" t="s">
        <v>2929</v>
      </c>
      <c r="M250" s="480" t="s">
        <v>104</v>
      </c>
      <c r="N250" s="1015"/>
      <c r="O250" s="217" t="s">
        <v>1569</v>
      </c>
      <c r="P250" s="68" t="s">
        <v>53</v>
      </c>
      <c r="Q250" s="100">
        <f t="shared" si="55"/>
        <v>0</v>
      </c>
      <c r="R250" s="1095" t="str">
        <f t="shared" si="56"/>
        <v>Фото &gt;&gt;</v>
      </c>
      <c r="S250" s="14" t="s">
        <v>3320</v>
      </c>
      <c r="U250" s="4"/>
      <c r="V250" s="4"/>
      <c r="AG250" s="84"/>
      <c r="AH250" s="84"/>
      <c r="AK250">
        <v>4.2000000000000003E-2</v>
      </c>
      <c r="AL250">
        <f t="shared" si="57"/>
        <v>0</v>
      </c>
      <c r="AM250">
        <f t="shared" si="58"/>
        <v>0</v>
      </c>
      <c r="AN250">
        <f t="shared" si="59"/>
        <v>0</v>
      </c>
      <c r="AO250" t="s">
        <v>3319</v>
      </c>
      <c r="AV250" t="str">
        <f>IF(F250&gt;0,(COUNT($AV$1:AV249)+1),"")</f>
        <v/>
      </c>
    </row>
    <row r="251" spans="1:48" ht="15" customHeight="1" x14ac:dyDescent="0.25">
      <c r="A251" s="1"/>
      <c r="B251" s="30">
        <v>20320</v>
      </c>
      <c r="C251" s="20">
        <v>4640201201491</v>
      </c>
      <c r="D251" s="225" t="s">
        <v>5658</v>
      </c>
      <c r="E251" s="324">
        <v>18</v>
      </c>
      <c r="F251" s="222"/>
      <c r="G251" s="107">
        <v>75.099999999999994</v>
      </c>
      <c r="H251" s="21">
        <v>77.900000000000006</v>
      </c>
      <c r="I251" s="22">
        <v>82.5</v>
      </c>
      <c r="J251" s="112" t="s">
        <v>483</v>
      </c>
      <c r="K251" s="45" t="s">
        <v>367</v>
      </c>
      <c r="L251" s="437" t="s">
        <v>2929</v>
      </c>
      <c r="M251" s="474" t="s">
        <v>104</v>
      </c>
      <c r="N251" s="1013"/>
      <c r="O251" s="212" t="s">
        <v>1569</v>
      </c>
      <c r="P251" s="66" t="s">
        <v>53</v>
      </c>
      <c r="Q251" s="100">
        <f t="shared" si="55"/>
        <v>0</v>
      </c>
      <c r="R251" s="1095" t="str">
        <f t="shared" si="56"/>
        <v>Фото &gt;&gt;</v>
      </c>
      <c r="S251" s="14" t="s">
        <v>3317</v>
      </c>
      <c r="U251" s="4"/>
      <c r="V251" s="4"/>
      <c r="AG251" s="84"/>
      <c r="AH251" s="84"/>
      <c r="AK251">
        <v>4.2000000000000003E-2</v>
      </c>
      <c r="AL251">
        <f t="shared" si="57"/>
        <v>0</v>
      </c>
      <c r="AM251">
        <f t="shared" si="58"/>
        <v>0</v>
      </c>
      <c r="AN251">
        <f t="shared" si="59"/>
        <v>0</v>
      </c>
      <c r="AO251" t="s">
        <v>3318</v>
      </c>
      <c r="AV251" t="str">
        <f>IF(F251&gt;0,(COUNT($AV$1:AV250)+1),"")</f>
        <v/>
      </c>
    </row>
    <row r="252" spans="1:48" ht="15" customHeight="1" x14ac:dyDescent="0.25">
      <c r="A252" s="1"/>
      <c r="B252" s="31">
        <v>19538</v>
      </c>
      <c r="C252" s="16">
        <v>4680013877903</v>
      </c>
      <c r="D252" s="226" t="s">
        <v>2296</v>
      </c>
      <c r="E252" s="323">
        <v>18</v>
      </c>
      <c r="F252" s="222"/>
      <c r="G252" s="108">
        <v>75.099999999999994</v>
      </c>
      <c r="H252" s="17">
        <v>77.900000000000006</v>
      </c>
      <c r="I252" s="18">
        <v>82.5</v>
      </c>
      <c r="J252" s="113" t="s">
        <v>483</v>
      </c>
      <c r="K252" s="44" t="s">
        <v>367</v>
      </c>
      <c r="L252" s="442" t="s">
        <v>2929</v>
      </c>
      <c r="M252" s="480" t="s">
        <v>104</v>
      </c>
      <c r="N252" s="1015"/>
      <c r="O252" s="217" t="s">
        <v>1569</v>
      </c>
      <c r="P252" s="68" t="s">
        <v>53</v>
      </c>
      <c r="Q252" s="100">
        <f t="shared" si="55"/>
        <v>0</v>
      </c>
      <c r="R252" s="1095" t="str">
        <f t="shared" si="56"/>
        <v>Фото &gt;&gt;</v>
      </c>
      <c r="S252" s="14" t="s">
        <v>501</v>
      </c>
      <c r="U252" s="4"/>
      <c r="V252" s="4"/>
      <c r="AG252" s="84"/>
      <c r="AH252" s="84"/>
      <c r="AK252">
        <v>4.2000000000000003E-2</v>
      </c>
      <c r="AL252">
        <f t="shared" si="57"/>
        <v>0</v>
      </c>
      <c r="AM252">
        <f t="shared" si="58"/>
        <v>0</v>
      </c>
      <c r="AN252">
        <f t="shared" si="59"/>
        <v>0</v>
      </c>
      <c r="AO252" t="s">
        <v>5361</v>
      </c>
      <c r="AV252" t="str">
        <f>IF(F252&gt;0,(COUNT($AV$1:AV251)+1),"")</f>
        <v/>
      </c>
    </row>
    <row r="253" spans="1:48" ht="15" customHeight="1" x14ac:dyDescent="0.25">
      <c r="A253" s="1"/>
      <c r="B253" s="37">
        <v>20548</v>
      </c>
      <c r="C253" s="23">
        <v>4630049337469</v>
      </c>
      <c r="D253" s="237" t="s">
        <v>4438</v>
      </c>
      <c r="E253" s="75">
        <v>2</v>
      </c>
      <c r="F253" s="223"/>
      <c r="G253" s="111">
        <v>1324.4</v>
      </c>
      <c r="H253" s="5">
        <v>1374.5</v>
      </c>
      <c r="I253" s="24">
        <v>1454.8</v>
      </c>
      <c r="J253" s="115" t="s">
        <v>483</v>
      </c>
      <c r="K253" s="46" t="s">
        <v>367</v>
      </c>
      <c r="L253" s="440" t="s">
        <v>2929</v>
      </c>
      <c r="M253" s="482"/>
      <c r="N253" s="1002"/>
      <c r="O253" s="211"/>
      <c r="P253" s="74" t="s">
        <v>53</v>
      </c>
      <c r="Q253" s="100">
        <f t="shared" si="55"/>
        <v>0</v>
      </c>
      <c r="R253" s="1095" t="str">
        <f t="shared" si="56"/>
        <v>Фото &gt;&gt;</v>
      </c>
      <c r="S253" s="14" t="s">
        <v>4022</v>
      </c>
      <c r="U253" s="4"/>
      <c r="V253" s="4"/>
      <c r="AG253" s="84"/>
      <c r="AH253" s="84"/>
      <c r="AK253">
        <v>0.75</v>
      </c>
      <c r="AL253">
        <f t="shared" si="57"/>
        <v>0</v>
      </c>
      <c r="AM253">
        <f t="shared" si="58"/>
        <v>0</v>
      </c>
      <c r="AN253">
        <f t="shared" si="59"/>
        <v>0</v>
      </c>
      <c r="AO253" t="s">
        <v>4023</v>
      </c>
      <c r="AV253" t="str">
        <f>IF(F253&gt;0,(COUNT($AV$1:AV252)+1),"")</f>
        <v/>
      </c>
    </row>
    <row r="254" spans="1:48" ht="15" customHeight="1" x14ac:dyDescent="0.25">
      <c r="A254" s="1"/>
      <c r="B254" s="785">
        <v>15049</v>
      </c>
      <c r="C254" s="786">
        <v>4680013875169</v>
      </c>
      <c r="D254" s="787" t="s">
        <v>4544</v>
      </c>
      <c r="E254" s="788">
        <v>6</v>
      </c>
      <c r="F254" s="789"/>
      <c r="G254" s="811">
        <v>540.20000000000005</v>
      </c>
      <c r="H254" s="790">
        <v>560.6</v>
      </c>
      <c r="I254" s="791">
        <v>593.4</v>
      </c>
      <c r="J254" s="792" t="s">
        <v>483</v>
      </c>
      <c r="K254" s="793" t="s">
        <v>367</v>
      </c>
      <c r="L254" s="781" t="s">
        <v>2929</v>
      </c>
      <c r="M254" s="782" t="s">
        <v>104</v>
      </c>
      <c r="N254" s="1009" t="s">
        <v>1856</v>
      </c>
      <c r="O254" s="794"/>
      <c r="P254" s="784" t="s">
        <v>53</v>
      </c>
      <c r="Q254" s="100">
        <f t="shared" si="55"/>
        <v>0</v>
      </c>
      <c r="R254" s="1095" t="str">
        <f t="shared" si="56"/>
        <v>Фото &gt;&gt;</v>
      </c>
      <c r="S254" s="14" t="s">
        <v>484</v>
      </c>
      <c r="U254" s="4"/>
      <c r="V254" s="4"/>
      <c r="AG254" s="84"/>
      <c r="AH254" s="84"/>
      <c r="AK254">
        <v>0.15</v>
      </c>
      <c r="AL254">
        <f t="shared" si="57"/>
        <v>0</v>
      </c>
      <c r="AM254">
        <f t="shared" si="58"/>
        <v>0</v>
      </c>
      <c r="AN254">
        <f t="shared" si="59"/>
        <v>0</v>
      </c>
      <c r="AO254" t="s">
        <v>4542</v>
      </c>
      <c r="AV254" t="str">
        <f>IF(F254&gt;0,(COUNT($AV$1:AV253)+1),"")</f>
        <v/>
      </c>
    </row>
    <row r="255" spans="1:48" ht="15" customHeight="1" x14ac:dyDescent="0.25">
      <c r="A255" s="1"/>
      <c r="B255" s="31">
        <v>18172</v>
      </c>
      <c r="C255" s="16">
        <v>4630049332945</v>
      </c>
      <c r="D255" s="226" t="s">
        <v>1854</v>
      </c>
      <c r="E255" s="69">
        <v>5</v>
      </c>
      <c r="F255" s="222"/>
      <c r="G255" s="108">
        <v>356.6</v>
      </c>
      <c r="H255" s="17">
        <v>370.1</v>
      </c>
      <c r="I255" s="18">
        <v>391.8</v>
      </c>
      <c r="J255" s="113" t="s">
        <v>483</v>
      </c>
      <c r="K255" s="44" t="s">
        <v>367</v>
      </c>
      <c r="L255" s="442" t="s">
        <v>2929</v>
      </c>
      <c r="M255" s="480" t="s">
        <v>104</v>
      </c>
      <c r="N255" s="1015" t="s">
        <v>1856</v>
      </c>
      <c r="O255" s="217"/>
      <c r="P255" s="68" t="s">
        <v>53</v>
      </c>
      <c r="Q255" s="100">
        <f t="shared" si="55"/>
        <v>0</v>
      </c>
      <c r="R255" s="1095" t="str">
        <f t="shared" si="56"/>
        <v>Фото &gt;&gt;</v>
      </c>
      <c r="S255" s="14" t="s">
        <v>485</v>
      </c>
      <c r="U255" s="4"/>
      <c r="V255" s="4"/>
      <c r="AG255" s="84"/>
      <c r="AH255" s="84"/>
      <c r="AK255">
        <v>0.13</v>
      </c>
      <c r="AL255">
        <f t="shared" si="57"/>
        <v>0</v>
      </c>
      <c r="AM255">
        <f t="shared" si="58"/>
        <v>0</v>
      </c>
      <c r="AN255">
        <f t="shared" si="59"/>
        <v>0</v>
      </c>
      <c r="AO255" t="s">
        <v>2573</v>
      </c>
      <c r="AV255" t="str">
        <f>IF(F255&gt;0,(COUNT($AV$1:AV254)+1),"")</f>
        <v/>
      </c>
    </row>
    <row r="256" spans="1:48" ht="15" customHeight="1" x14ac:dyDescent="0.25">
      <c r="A256" s="1"/>
      <c r="B256" s="30">
        <v>16711</v>
      </c>
      <c r="C256" s="20">
        <v>4680013879136</v>
      </c>
      <c r="D256" s="225" t="s">
        <v>4545</v>
      </c>
      <c r="E256" s="67">
        <v>5</v>
      </c>
      <c r="F256" s="222"/>
      <c r="G256" s="107">
        <v>765.4</v>
      </c>
      <c r="H256" s="21">
        <v>794.4</v>
      </c>
      <c r="I256" s="22">
        <v>840.8</v>
      </c>
      <c r="J256" s="112" t="s">
        <v>483</v>
      </c>
      <c r="K256" s="45" t="s">
        <v>367</v>
      </c>
      <c r="L256" s="437" t="s">
        <v>2929</v>
      </c>
      <c r="M256" s="474" t="s">
        <v>104</v>
      </c>
      <c r="N256" s="1013" t="s">
        <v>1856</v>
      </c>
      <c r="O256" s="209"/>
      <c r="P256" s="66" t="s">
        <v>53</v>
      </c>
      <c r="Q256" s="100">
        <f t="shared" si="55"/>
        <v>0</v>
      </c>
      <c r="R256" s="1095" t="str">
        <f t="shared" si="56"/>
        <v>Фото &gt;&gt;</v>
      </c>
      <c r="S256" s="14" t="s">
        <v>485</v>
      </c>
      <c r="U256" s="4"/>
      <c r="V256" s="4"/>
      <c r="AG256" s="84"/>
      <c r="AH256" s="84"/>
      <c r="AK256">
        <v>0.23</v>
      </c>
      <c r="AL256">
        <f t="shared" si="57"/>
        <v>0</v>
      </c>
      <c r="AM256">
        <f t="shared" si="58"/>
        <v>0</v>
      </c>
      <c r="AN256">
        <f t="shared" si="59"/>
        <v>0</v>
      </c>
      <c r="AO256" t="s">
        <v>4543</v>
      </c>
      <c r="AV256" t="str">
        <f>IF(F256&gt;0,(COUNT($AV$1:AV255)+1),"")</f>
        <v/>
      </c>
    </row>
    <row r="257" spans="1:48" ht="15" customHeight="1" x14ac:dyDescent="0.25">
      <c r="A257" s="1"/>
      <c r="B257" s="31">
        <v>19578</v>
      </c>
      <c r="C257" s="16">
        <v>2463004933744</v>
      </c>
      <c r="D257" s="226" t="s">
        <v>3273</v>
      </c>
      <c r="E257" s="69">
        <v>2</v>
      </c>
      <c r="F257" s="222"/>
      <c r="G257" s="108">
        <v>2247.1999999999998</v>
      </c>
      <c r="H257" s="17">
        <v>2332.4</v>
      </c>
      <c r="I257" s="18">
        <v>2468.6</v>
      </c>
      <c r="J257" s="113" t="s">
        <v>483</v>
      </c>
      <c r="K257" s="44" t="s">
        <v>367</v>
      </c>
      <c r="L257" s="442" t="s">
        <v>2929</v>
      </c>
      <c r="M257" s="480" t="s">
        <v>104</v>
      </c>
      <c r="N257" s="1015" t="s">
        <v>1856</v>
      </c>
      <c r="O257" s="217"/>
      <c r="P257" s="68" t="s">
        <v>53</v>
      </c>
      <c r="Q257" s="100">
        <f t="shared" si="55"/>
        <v>0</v>
      </c>
      <c r="R257" s="1095" t="str">
        <f t="shared" si="56"/>
        <v>Фото &gt;&gt;</v>
      </c>
      <c r="S257" s="14" t="s">
        <v>2184</v>
      </c>
      <c r="U257" s="4"/>
      <c r="V257" s="4"/>
      <c r="AG257" s="84"/>
      <c r="AH257" s="84"/>
      <c r="AK257">
        <v>0.75</v>
      </c>
      <c r="AL257">
        <f t="shared" si="57"/>
        <v>0</v>
      </c>
      <c r="AM257">
        <f t="shared" si="58"/>
        <v>0</v>
      </c>
      <c r="AN257">
        <f t="shared" si="59"/>
        <v>0</v>
      </c>
      <c r="AO257" t="s">
        <v>2574</v>
      </c>
      <c r="AV257" t="str">
        <f>IF(F257&gt;0,(COUNT($AV$1:AV256)+1),"")</f>
        <v/>
      </c>
    </row>
    <row r="258" spans="1:48" ht="15" customHeight="1" x14ac:dyDescent="0.25">
      <c r="A258" s="1"/>
      <c r="B258" s="37">
        <v>19569</v>
      </c>
      <c r="C258" s="23">
        <v>4630049337452</v>
      </c>
      <c r="D258" s="237" t="s">
        <v>1885</v>
      </c>
      <c r="E258" s="75">
        <v>2</v>
      </c>
      <c r="F258" s="223"/>
      <c r="G258" s="111">
        <v>2157.6</v>
      </c>
      <c r="H258" s="5">
        <v>2239.3000000000002</v>
      </c>
      <c r="I258" s="24">
        <v>2370</v>
      </c>
      <c r="J258" s="115" t="s">
        <v>483</v>
      </c>
      <c r="K258" s="46" t="s">
        <v>367</v>
      </c>
      <c r="L258" s="440" t="s">
        <v>2929</v>
      </c>
      <c r="M258" s="482" t="s">
        <v>104</v>
      </c>
      <c r="N258" s="1002" t="s">
        <v>1856</v>
      </c>
      <c r="O258" s="214"/>
      <c r="P258" s="74" t="s">
        <v>53</v>
      </c>
      <c r="Q258" s="100">
        <f t="shared" si="55"/>
        <v>0</v>
      </c>
      <c r="R258" s="1095" t="str">
        <f t="shared" si="56"/>
        <v>Фото &gt;&gt;</v>
      </c>
      <c r="S258" s="14" t="s">
        <v>484</v>
      </c>
      <c r="U258" s="4"/>
      <c r="V258" s="4"/>
      <c r="AG258" s="84"/>
      <c r="AH258" s="84"/>
      <c r="AK258">
        <v>0.75</v>
      </c>
      <c r="AL258">
        <f t="shared" si="57"/>
        <v>0</v>
      </c>
      <c r="AM258">
        <f t="shared" si="58"/>
        <v>0</v>
      </c>
      <c r="AN258">
        <f t="shared" si="59"/>
        <v>0</v>
      </c>
      <c r="AO258" t="s">
        <v>2575</v>
      </c>
      <c r="AV258" t="str">
        <f>IF(F258&gt;0,(COUNT($AV$1:AV257)+1),"")</f>
        <v/>
      </c>
    </row>
    <row r="259" spans="1:48" ht="15" customHeight="1" x14ac:dyDescent="0.25">
      <c r="A259" s="1"/>
      <c r="B259" s="795">
        <v>15878</v>
      </c>
      <c r="C259" s="796">
        <v>4680013873851</v>
      </c>
      <c r="D259" s="797" t="s">
        <v>486</v>
      </c>
      <c r="E259" s="798">
        <v>5</v>
      </c>
      <c r="F259" s="789"/>
      <c r="G259" s="810">
        <v>578.79999999999995</v>
      </c>
      <c r="H259" s="799">
        <v>600.70000000000005</v>
      </c>
      <c r="I259" s="800">
        <v>635.79999999999995</v>
      </c>
      <c r="J259" s="801" t="s">
        <v>483</v>
      </c>
      <c r="K259" s="802" t="s">
        <v>367</v>
      </c>
      <c r="L259" s="803" t="s">
        <v>2929</v>
      </c>
      <c r="M259" s="804" t="s">
        <v>104</v>
      </c>
      <c r="N259" s="1006" t="s">
        <v>1856</v>
      </c>
      <c r="O259" s="887"/>
      <c r="P259" s="806" t="s">
        <v>53</v>
      </c>
      <c r="Q259" s="100">
        <f t="shared" si="55"/>
        <v>0</v>
      </c>
      <c r="R259" s="1095" t="str">
        <f t="shared" si="56"/>
        <v>Фото &gt;&gt;</v>
      </c>
      <c r="S259" s="14" t="s">
        <v>487</v>
      </c>
      <c r="U259" s="4"/>
      <c r="V259" s="4"/>
      <c r="AG259" s="84"/>
      <c r="AH259" s="84"/>
      <c r="AK259">
        <v>0.14000000000000001</v>
      </c>
      <c r="AL259">
        <f t="shared" si="57"/>
        <v>0</v>
      </c>
      <c r="AM259">
        <f t="shared" si="58"/>
        <v>0</v>
      </c>
      <c r="AN259">
        <f t="shared" si="59"/>
        <v>0</v>
      </c>
      <c r="AO259" t="s">
        <v>5362</v>
      </c>
      <c r="AV259" t="str">
        <f>IF(F259&gt;0,(COUNT($AV$1:AV258)+1),"")</f>
        <v/>
      </c>
    </row>
    <row r="260" spans="1:48" ht="15" customHeight="1" x14ac:dyDescent="0.25">
      <c r="A260" s="1"/>
      <c r="B260" s="30">
        <v>17023</v>
      </c>
      <c r="C260" s="20">
        <v>4680013879921</v>
      </c>
      <c r="D260" s="421" t="s">
        <v>488</v>
      </c>
      <c r="E260" s="67">
        <v>4</v>
      </c>
      <c r="F260" s="222"/>
      <c r="G260" s="419">
        <v>558.5</v>
      </c>
      <c r="H260" s="417">
        <v>579.6</v>
      </c>
      <c r="I260" s="418">
        <v>613.4</v>
      </c>
      <c r="J260" s="112" t="s">
        <v>483</v>
      </c>
      <c r="K260" s="45" t="s">
        <v>367</v>
      </c>
      <c r="L260" s="437" t="s">
        <v>2929</v>
      </c>
      <c r="M260" s="474" t="s">
        <v>104</v>
      </c>
      <c r="N260" s="1013" t="s">
        <v>1856</v>
      </c>
      <c r="O260" s="209" t="s">
        <v>6856</v>
      </c>
      <c r="P260" s="66" t="s">
        <v>53</v>
      </c>
      <c r="Q260" s="100">
        <f t="shared" si="55"/>
        <v>0</v>
      </c>
      <c r="R260" s="1095" t="str">
        <f t="shared" si="56"/>
        <v>Фото &gt;&gt;</v>
      </c>
      <c r="S260" s="14" t="s">
        <v>489</v>
      </c>
      <c r="U260" s="4"/>
      <c r="V260" s="4"/>
      <c r="AG260" s="84"/>
      <c r="AH260" s="84"/>
      <c r="AK260">
        <v>0.14000000000000001</v>
      </c>
      <c r="AL260">
        <f t="shared" si="57"/>
        <v>0</v>
      </c>
      <c r="AM260">
        <f t="shared" si="58"/>
        <v>0</v>
      </c>
      <c r="AN260">
        <f t="shared" si="59"/>
        <v>0</v>
      </c>
      <c r="AO260" t="s">
        <v>5363</v>
      </c>
      <c r="AV260" t="str">
        <f>IF(F260&gt;0,(COUNT($AV$1:AV259)+1),"")</f>
        <v/>
      </c>
    </row>
    <row r="261" spans="1:48" ht="15" customHeight="1" x14ac:dyDescent="0.25">
      <c r="A261" s="1"/>
      <c r="B261" s="31">
        <v>19347</v>
      </c>
      <c r="C261" s="16">
        <v>4630049335663</v>
      </c>
      <c r="D261" s="226" t="s">
        <v>1828</v>
      </c>
      <c r="E261" s="69">
        <v>5</v>
      </c>
      <c r="F261" s="222"/>
      <c r="G261" s="108">
        <v>465.1</v>
      </c>
      <c r="H261" s="17">
        <v>482.7</v>
      </c>
      <c r="I261" s="18">
        <v>510.9</v>
      </c>
      <c r="J261" s="113" t="s">
        <v>483</v>
      </c>
      <c r="K261" s="44" t="s">
        <v>367</v>
      </c>
      <c r="L261" s="442" t="s">
        <v>2929</v>
      </c>
      <c r="M261" s="480" t="s">
        <v>104</v>
      </c>
      <c r="N261" s="1015"/>
      <c r="O261" s="217"/>
      <c r="P261" s="68" t="s">
        <v>53</v>
      </c>
      <c r="Q261" s="100">
        <f t="shared" si="55"/>
        <v>0</v>
      </c>
      <c r="R261" s="1095" t="str">
        <f t="shared" si="56"/>
        <v>Фото &gt;&gt;</v>
      </c>
      <c r="S261" s="14" t="s">
        <v>3325</v>
      </c>
      <c r="U261" s="4"/>
      <c r="V261" s="4"/>
      <c r="AG261" s="84"/>
      <c r="AH261" s="84"/>
      <c r="AK261">
        <v>0.14000000000000001</v>
      </c>
      <c r="AL261">
        <f t="shared" si="57"/>
        <v>0</v>
      </c>
      <c r="AM261">
        <f t="shared" si="58"/>
        <v>0</v>
      </c>
      <c r="AN261">
        <f t="shared" si="59"/>
        <v>0</v>
      </c>
      <c r="AO261" t="s">
        <v>2582</v>
      </c>
      <c r="AV261" t="str">
        <f>IF(F261&gt;0,(COUNT($AV$1:AV260)+1),"")</f>
        <v/>
      </c>
    </row>
    <row r="262" spans="1:48" ht="15" customHeight="1" x14ac:dyDescent="0.25">
      <c r="A262" s="1"/>
      <c r="B262" s="30">
        <v>17022</v>
      </c>
      <c r="C262" s="20">
        <v>4680013879914</v>
      </c>
      <c r="D262" s="421" t="s">
        <v>490</v>
      </c>
      <c r="E262" s="67">
        <v>4</v>
      </c>
      <c r="F262" s="222"/>
      <c r="G262" s="419">
        <v>186.2</v>
      </c>
      <c r="H262" s="417">
        <v>193.2</v>
      </c>
      <c r="I262" s="418">
        <v>204.5</v>
      </c>
      <c r="J262" s="112" t="s">
        <v>483</v>
      </c>
      <c r="K262" s="45" t="s">
        <v>367</v>
      </c>
      <c r="L262" s="437" t="s">
        <v>2929</v>
      </c>
      <c r="M262" s="474" t="s">
        <v>104</v>
      </c>
      <c r="N262" s="1013" t="s">
        <v>1856</v>
      </c>
      <c r="O262" s="209" t="s">
        <v>7434</v>
      </c>
      <c r="P262" s="66" t="s">
        <v>53</v>
      </c>
      <c r="Q262" s="100">
        <f t="shared" si="55"/>
        <v>0</v>
      </c>
      <c r="R262" s="1095" t="str">
        <f t="shared" si="56"/>
        <v>Фото &gt;&gt;</v>
      </c>
      <c r="S262" s="14" t="s">
        <v>3327</v>
      </c>
      <c r="U262" s="4"/>
      <c r="V262" s="4"/>
      <c r="AG262" s="84"/>
      <c r="AH262" s="84"/>
      <c r="AK262">
        <v>0.14000000000000001</v>
      </c>
      <c r="AL262">
        <f t="shared" si="57"/>
        <v>0</v>
      </c>
      <c r="AM262">
        <f t="shared" si="58"/>
        <v>0</v>
      </c>
      <c r="AN262">
        <f t="shared" si="59"/>
        <v>0</v>
      </c>
      <c r="AO262" t="s">
        <v>2583</v>
      </c>
      <c r="AV262" t="str">
        <f>IF(F262&gt;0,(COUNT($AV$1:AV261)+1),"")</f>
        <v/>
      </c>
    </row>
    <row r="263" spans="1:48" ht="15" customHeight="1" x14ac:dyDescent="0.25">
      <c r="A263" s="1"/>
      <c r="B263" s="31">
        <v>15054</v>
      </c>
      <c r="C263" s="16">
        <v>4680013875008</v>
      </c>
      <c r="D263" s="226" t="s">
        <v>499</v>
      </c>
      <c r="E263" s="69">
        <v>5</v>
      </c>
      <c r="F263" s="222"/>
      <c r="G263" s="108">
        <v>416.1</v>
      </c>
      <c r="H263" s="17">
        <v>431.8</v>
      </c>
      <c r="I263" s="18">
        <v>457.1</v>
      </c>
      <c r="J263" s="113" t="s">
        <v>483</v>
      </c>
      <c r="K263" s="44" t="s">
        <v>367</v>
      </c>
      <c r="L263" s="442" t="s">
        <v>2929</v>
      </c>
      <c r="M263" s="480" t="s">
        <v>104</v>
      </c>
      <c r="N263" s="1015" t="s">
        <v>1856</v>
      </c>
      <c r="O263" s="217"/>
      <c r="P263" s="68" t="s">
        <v>53</v>
      </c>
      <c r="Q263" s="100">
        <f t="shared" si="55"/>
        <v>0</v>
      </c>
      <c r="R263" s="1095" t="str">
        <f t="shared" si="56"/>
        <v>Фото &gt;&gt;</v>
      </c>
      <c r="S263" s="14" t="s">
        <v>500</v>
      </c>
      <c r="U263" s="4"/>
      <c r="V263" s="4"/>
      <c r="AG263" s="84"/>
      <c r="AH263" s="84"/>
      <c r="AK263">
        <v>0.23</v>
      </c>
      <c r="AL263">
        <f t="shared" si="57"/>
        <v>0</v>
      </c>
      <c r="AM263">
        <f t="shared" si="58"/>
        <v>0</v>
      </c>
      <c r="AN263">
        <f t="shared" si="59"/>
        <v>0</v>
      </c>
      <c r="AO263" t="s">
        <v>3331</v>
      </c>
      <c r="AV263" t="str">
        <f>IF(F263&gt;0,(COUNT($AV$1:AV262)+1),"")</f>
        <v/>
      </c>
    </row>
    <row r="264" spans="1:48" ht="15" customHeight="1" x14ac:dyDescent="0.25">
      <c r="A264" s="1"/>
      <c r="B264" s="37">
        <v>14982</v>
      </c>
      <c r="C264" s="23">
        <v>4680013874995</v>
      </c>
      <c r="D264" s="237" t="s">
        <v>492</v>
      </c>
      <c r="E264" s="75">
        <v>5</v>
      </c>
      <c r="F264" s="223"/>
      <c r="G264" s="1177">
        <v>368.1</v>
      </c>
      <c r="H264" s="1178">
        <v>382.1</v>
      </c>
      <c r="I264" s="1179">
        <v>404.4</v>
      </c>
      <c r="J264" s="115" t="s">
        <v>483</v>
      </c>
      <c r="K264" s="46" t="s">
        <v>367</v>
      </c>
      <c r="L264" s="440" t="s">
        <v>2929</v>
      </c>
      <c r="M264" s="482" t="s">
        <v>104</v>
      </c>
      <c r="N264" s="1002" t="s">
        <v>1856</v>
      </c>
      <c r="O264" s="211"/>
      <c r="P264" s="74" t="s">
        <v>53</v>
      </c>
      <c r="Q264" s="100">
        <f t="shared" si="55"/>
        <v>0</v>
      </c>
      <c r="R264" s="1095" t="str">
        <f t="shared" si="56"/>
        <v>Фото &gt;&gt;</v>
      </c>
      <c r="S264" s="14" t="s">
        <v>493</v>
      </c>
      <c r="U264" s="4"/>
      <c r="V264" s="4"/>
      <c r="AG264" s="84"/>
      <c r="AH264" s="84"/>
      <c r="AK264">
        <v>0.15</v>
      </c>
      <c r="AL264">
        <f t="shared" si="57"/>
        <v>0</v>
      </c>
      <c r="AM264">
        <f t="shared" si="58"/>
        <v>0</v>
      </c>
      <c r="AN264">
        <f t="shared" si="59"/>
        <v>0</v>
      </c>
      <c r="AO264" t="s">
        <v>5364</v>
      </c>
      <c r="AV264" t="str">
        <f>IF(F264&gt;0,(COUNT($AV$1:AV263)+1),"")</f>
        <v/>
      </c>
    </row>
    <row r="265" spans="1:48" ht="15" customHeight="1" x14ac:dyDescent="0.25">
      <c r="A265" s="1"/>
      <c r="B265" s="31">
        <v>20959</v>
      </c>
      <c r="C265" s="16">
        <v>4640201203921</v>
      </c>
      <c r="D265" s="226" t="s">
        <v>5631</v>
      </c>
      <c r="E265" s="69">
        <v>5</v>
      </c>
      <c r="F265" s="222"/>
      <c r="G265" s="108">
        <v>342</v>
      </c>
      <c r="H265" s="17">
        <v>355</v>
      </c>
      <c r="I265" s="18">
        <v>375.7</v>
      </c>
      <c r="J265" s="113" t="s">
        <v>483</v>
      </c>
      <c r="K265" s="44" t="s">
        <v>4016</v>
      </c>
      <c r="L265" s="442" t="s">
        <v>2924</v>
      </c>
      <c r="M265" s="480" t="s">
        <v>1856</v>
      </c>
      <c r="N265" s="1015"/>
      <c r="O265" s="210"/>
      <c r="P265" s="68" t="s">
        <v>53</v>
      </c>
      <c r="Q265" s="100">
        <f t="shared" si="55"/>
        <v>0</v>
      </c>
      <c r="R265" s="1095" t="str">
        <f t="shared" si="56"/>
        <v>Фото &gt;&gt;</v>
      </c>
      <c r="S265" s="14" t="s">
        <v>5632</v>
      </c>
      <c r="U265" s="4"/>
      <c r="V265" s="4"/>
      <c r="AG265" s="84"/>
      <c r="AH265" s="84"/>
      <c r="AK265">
        <v>0.11</v>
      </c>
      <c r="AL265">
        <f t="shared" ref="AL265:AL269" si="63">F265*G265</f>
        <v>0</v>
      </c>
      <c r="AM265">
        <f t="shared" ref="AM265:AM269" si="64">F265*H265</f>
        <v>0</v>
      </c>
      <c r="AN265">
        <f t="shared" ref="AN265:AN269" si="65">AK265*F265+IF(E265&gt;1.01,F265/E265*0.2,0)</f>
        <v>0</v>
      </c>
      <c r="AO265" t="s">
        <v>5633</v>
      </c>
      <c r="AV265" t="str">
        <f>IF(F265&gt;0,(COUNT($AV$1:AV264)+1),"")</f>
        <v/>
      </c>
    </row>
    <row r="266" spans="1:48" ht="15" customHeight="1" x14ac:dyDescent="0.25">
      <c r="A266" s="1"/>
      <c r="B266" s="37">
        <v>20943</v>
      </c>
      <c r="C266" s="23">
        <v>4640201203563</v>
      </c>
      <c r="D266" s="237" t="s">
        <v>5569</v>
      </c>
      <c r="E266" s="75">
        <v>10</v>
      </c>
      <c r="F266" s="223"/>
      <c r="G266" s="111">
        <v>229.4</v>
      </c>
      <c r="H266" s="5">
        <v>238.1</v>
      </c>
      <c r="I266" s="24">
        <v>252</v>
      </c>
      <c r="J266" s="115" t="s">
        <v>483</v>
      </c>
      <c r="K266" s="46" t="s">
        <v>367</v>
      </c>
      <c r="L266" s="440" t="s">
        <v>2924</v>
      </c>
      <c r="M266" s="482" t="s">
        <v>1856</v>
      </c>
      <c r="N266" s="1002" t="s">
        <v>1856</v>
      </c>
      <c r="O266" s="214"/>
      <c r="P266" s="74" t="s">
        <v>53</v>
      </c>
      <c r="Q266" s="100">
        <f t="shared" si="55"/>
        <v>0</v>
      </c>
      <c r="R266" s="1095" t="str">
        <f t="shared" si="56"/>
        <v>Фото &gt;&gt;</v>
      </c>
      <c r="S266" s="14" t="s">
        <v>5570</v>
      </c>
      <c r="U266" s="4"/>
      <c r="V266" s="4"/>
      <c r="AG266" s="84"/>
      <c r="AH266" s="84"/>
      <c r="AK266">
        <v>0.11</v>
      </c>
      <c r="AL266">
        <f t="shared" si="63"/>
        <v>0</v>
      </c>
      <c r="AM266">
        <f t="shared" si="64"/>
        <v>0</v>
      </c>
      <c r="AN266">
        <f t="shared" si="65"/>
        <v>0</v>
      </c>
      <c r="AO266" t="s">
        <v>5571</v>
      </c>
      <c r="AV266" t="str">
        <f>IF(F266&gt;0,(COUNT($AV$1:AV265)+1),"")</f>
        <v/>
      </c>
    </row>
    <row r="267" spans="1:48" ht="15" customHeight="1" x14ac:dyDescent="0.25">
      <c r="A267" s="1"/>
      <c r="B267" s="31">
        <v>21448</v>
      </c>
      <c r="C267" s="16">
        <v>4640201202115</v>
      </c>
      <c r="D267" s="422" t="s">
        <v>6884</v>
      </c>
      <c r="E267" s="69">
        <v>1</v>
      </c>
      <c r="F267" s="222"/>
      <c r="G267" s="108">
        <v>424.4</v>
      </c>
      <c r="H267" s="17">
        <v>440.5</v>
      </c>
      <c r="I267" s="18">
        <v>466.2</v>
      </c>
      <c r="J267" s="113" t="s">
        <v>483</v>
      </c>
      <c r="K267" s="44" t="s">
        <v>367</v>
      </c>
      <c r="L267" s="442" t="s">
        <v>2924</v>
      </c>
      <c r="M267" s="480" t="s">
        <v>1856</v>
      </c>
      <c r="N267" s="1015" t="s">
        <v>1856</v>
      </c>
      <c r="O267" s="210" t="s">
        <v>1637</v>
      </c>
      <c r="P267" s="68" t="s">
        <v>53</v>
      </c>
      <c r="Q267" s="100">
        <f t="shared" si="55"/>
        <v>0</v>
      </c>
      <c r="R267" s="1112" t="str">
        <f t="shared" si="56"/>
        <v>Фото &gt;&gt;</v>
      </c>
      <c r="S267" s="14" t="s">
        <v>6885</v>
      </c>
      <c r="U267" s="4"/>
      <c r="V267" s="4"/>
      <c r="AG267" s="84"/>
      <c r="AH267" s="84"/>
      <c r="AK267">
        <v>0.47</v>
      </c>
      <c r="AL267">
        <f t="shared" si="63"/>
        <v>0</v>
      </c>
      <c r="AM267">
        <f t="shared" si="64"/>
        <v>0</v>
      </c>
      <c r="AN267">
        <f t="shared" si="65"/>
        <v>0</v>
      </c>
      <c r="AO267" t="s">
        <v>6886</v>
      </c>
      <c r="AV267" t="str">
        <f>IF(F267&gt;0,(COUNT($AV$1:AV266)+1),"")</f>
        <v/>
      </c>
    </row>
    <row r="268" spans="1:48" ht="15" customHeight="1" x14ac:dyDescent="0.25">
      <c r="A268" s="1"/>
      <c r="B268" s="37">
        <v>21206</v>
      </c>
      <c r="C268" s="23">
        <v>4630049337551</v>
      </c>
      <c r="D268" s="237" t="s">
        <v>7270</v>
      </c>
      <c r="E268" s="75">
        <v>5</v>
      </c>
      <c r="F268" s="223"/>
      <c r="G268" s="111">
        <v>217.9</v>
      </c>
      <c r="H268" s="5">
        <v>226.2</v>
      </c>
      <c r="I268" s="24">
        <v>239.4</v>
      </c>
      <c r="J268" s="115" t="s">
        <v>483</v>
      </c>
      <c r="K268" s="46" t="s">
        <v>367</v>
      </c>
      <c r="L268" s="440" t="s">
        <v>2924</v>
      </c>
      <c r="M268" s="482" t="s">
        <v>1856</v>
      </c>
      <c r="N268" s="1002" t="s">
        <v>1856</v>
      </c>
      <c r="O268" s="211"/>
      <c r="P268" s="74" t="s">
        <v>53</v>
      </c>
      <c r="Q268" s="100">
        <f t="shared" ref="Q268:Q299" si="66">IF(AND($AO$234=1,MOD(F268,E268)=0),F268*G268,IF($AO$234&lt;=2,F268*H268,F268*I268))</f>
        <v>0</v>
      </c>
      <c r="R268" s="1095" t="str">
        <f t="shared" si="56"/>
        <v>Фото &gt;&gt;</v>
      </c>
      <c r="S268" s="14" t="s">
        <v>6346</v>
      </c>
      <c r="U268" s="4"/>
      <c r="V268" s="4"/>
      <c r="AG268" s="84"/>
      <c r="AH268" s="84"/>
      <c r="AK268">
        <v>0.16</v>
      </c>
      <c r="AL268">
        <f t="shared" si="63"/>
        <v>0</v>
      </c>
      <c r="AM268">
        <f t="shared" si="64"/>
        <v>0</v>
      </c>
      <c r="AN268">
        <f t="shared" si="65"/>
        <v>0</v>
      </c>
      <c r="AO268" t="s">
        <v>6349</v>
      </c>
      <c r="AV268" t="str">
        <f>IF(F268&gt;0,(COUNT($AV$1:AV267)+1),"")</f>
        <v/>
      </c>
    </row>
    <row r="269" spans="1:48" ht="15" customHeight="1" x14ac:dyDescent="0.25">
      <c r="A269" s="1"/>
      <c r="B269" s="31">
        <v>21207</v>
      </c>
      <c r="C269" s="16">
        <v>4630049337438</v>
      </c>
      <c r="D269" s="226" t="s">
        <v>7271</v>
      </c>
      <c r="E269" s="69">
        <v>5</v>
      </c>
      <c r="F269" s="222"/>
      <c r="G269" s="108">
        <v>201.3</v>
      </c>
      <c r="H269" s="17">
        <v>208.9</v>
      </c>
      <c r="I269" s="18">
        <v>221.1</v>
      </c>
      <c r="J269" s="113" t="s">
        <v>483</v>
      </c>
      <c r="K269" s="44" t="s">
        <v>367</v>
      </c>
      <c r="L269" s="442" t="s">
        <v>2924</v>
      </c>
      <c r="M269" s="480" t="s">
        <v>1856</v>
      </c>
      <c r="N269" s="1015" t="s">
        <v>1856</v>
      </c>
      <c r="O269" s="210"/>
      <c r="P269" s="68" t="s">
        <v>53</v>
      </c>
      <c r="Q269" s="100">
        <f t="shared" si="66"/>
        <v>0</v>
      </c>
      <c r="R269" s="1095" t="str">
        <f t="shared" si="56"/>
        <v>Фото &gt;&gt;</v>
      </c>
      <c r="S269" s="14" t="s">
        <v>6347</v>
      </c>
      <c r="U269" s="4"/>
      <c r="V269" s="4"/>
      <c r="AG269" s="84"/>
      <c r="AH269" s="84"/>
      <c r="AK269">
        <v>0.16</v>
      </c>
      <c r="AL269">
        <f t="shared" si="63"/>
        <v>0</v>
      </c>
      <c r="AM269">
        <f t="shared" si="64"/>
        <v>0</v>
      </c>
      <c r="AN269">
        <f t="shared" si="65"/>
        <v>0</v>
      </c>
      <c r="AO269" t="s">
        <v>6350</v>
      </c>
      <c r="AV269" t="str">
        <f>IF(F269&gt;0,(COUNT($AV$1:AV268)+1),"")</f>
        <v/>
      </c>
    </row>
    <row r="270" spans="1:48" ht="15" customHeight="1" x14ac:dyDescent="0.25">
      <c r="A270" s="1"/>
      <c r="B270" s="37">
        <v>21208</v>
      </c>
      <c r="C270" s="23">
        <v>4640201202825</v>
      </c>
      <c r="D270" s="237" t="s">
        <v>7272</v>
      </c>
      <c r="E270" s="75">
        <v>5</v>
      </c>
      <c r="F270" s="223"/>
      <c r="G270" s="111">
        <v>201.3</v>
      </c>
      <c r="H270" s="5">
        <v>208.9</v>
      </c>
      <c r="I270" s="24">
        <v>221.1</v>
      </c>
      <c r="J270" s="115" t="s">
        <v>483</v>
      </c>
      <c r="K270" s="46" t="s">
        <v>367</v>
      </c>
      <c r="L270" s="440" t="s">
        <v>2924</v>
      </c>
      <c r="M270" s="482" t="s">
        <v>1856</v>
      </c>
      <c r="N270" s="1002" t="s">
        <v>1856</v>
      </c>
      <c r="O270" s="211"/>
      <c r="P270" s="74" t="s">
        <v>53</v>
      </c>
      <c r="Q270" s="100">
        <f t="shared" si="66"/>
        <v>0</v>
      </c>
      <c r="R270" s="1095" t="str">
        <f t="shared" si="56"/>
        <v>Фото &gt;&gt;</v>
      </c>
      <c r="S270" s="14" t="s">
        <v>6348</v>
      </c>
      <c r="U270" s="4"/>
      <c r="V270" s="4"/>
      <c r="AG270" s="84"/>
      <c r="AH270" s="84"/>
      <c r="AK270">
        <v>0.16</v>
      </c>
      <c r="AL270">
        <f t="shared" si="57"/>
        <v>0</v>
      </c>
      <c r="AM270">
        <f t="shared" si="58"/>
        <v>0</v>
      </c>
      <c r="AN270">
        <f t="shared" si="59"/>
        <v>0</v>
      </c>
      <c r="AO270" t="s">
        <v>6351</v>
      </c>
      <c r="AV270" t="str">
        <f>IF(F270&gt;0,(COUNT($AV$1:AV269)+1),"")</f>
        <v/>
      </c>
    </row>
    <row r="271" spans="1:48" ht="15" customHeight="1" x14ac:dyDescent="0.25">
      <c r="A271" s="1"/>
      <c r="B271" s="795">
        <v>20060</v>
      </c>
      <c r="C271" s="796">
        <v>4640201200463</v>
      </c>
      <c r="D271" s="797" t="s">
        <v>6253</v>
      </c>
      <c r="E271" s="798">
        <v>4</v>
      </c>
      <c r="F271" s="789"/>
      <c r="G271" s="810">
        <v>546.4</v>
      </c>
      <c r="H271" s="799">
        <v>567.1</v>
      </c>
      <c r="I271" s="800">
        <v>600.20000000000005</v>
      </c>
      <c r="J271" s="801" t="s">
        <v>483</v>
      </c>
      <c r="K271" s="802" t="s">
        <v>367</v>
      </c>
      <c r="L271" s="803" t="s">
        <v>2929</v>
      </c>
      <c r="M271" s="804" t="s">
        <v>104</v>
      </c>
      <c r="N271" s="1006" t="s">
        <v>1856</v>
      </c>
      <c r="O271" s="887"/>
      <c r="P271" s="806" t="s">
        <v>53</v>
      </c>
      <c r="Q271" s="100">
        <f t="shared" si="66"/>
        <v>0</v>
      </c>
      <c r="R271" s="1095" t="str">
        <f t="shared" si="56"/>
        <v>Фото &gt;&gt;</v>
      </c>
      <c r="S271" s="14" t="s">
        <v>2269</v>
      </c>
      <c r="U271" s="4"/>
      <c r="V271" s="4"/>
      <c r="AG271" s="84"/>
      <c r="AH271" s="84"/>
      <c r="AK271">
        <v>0.11</v>
      </c>
      <c r="AL271">
        <f t="shared" si="57"/>
        <v>0</v>
      </c>
      <c r="AM271">
        <f t="shared" si="58"/>
        <v>0</v>
      </c>
      <c r="AN271">
        <f t="shared" si="59"/>
        <v>0</v>
      </c>
      <c r="AO271" t="s">
        <v>6254</v>
      </c>
      <c r="AV271" t="str">
        <f>IF(F271&gt;0,(COUNT($AV$1:AV270)+1),"")</f>
        <v/>
      </c>
    </row>
    <row r="272" spans="1:48" ht="15" customHeight="1" x14ac:dyDescent="0.25">
      <c r="A272" s="1"/>
      <c r="B272" s="37">
        <v>21186</v>
      </c>
      <c r="C272" s="23">
        <v>4640201204324</v>
      </c>
      <c r="D272" s="237" t="s">
        <v>6989</v>
      </c>
      <c r="E272" s="75">
        <v>4</v>
      </c>
      <c r="F272" s="223"/>
      <c r="G272" s="1177">
        <v>546.4</v>
      </c>
      <c r="H272" s="1178">
        <v>567.1</v>
      </c>
      <c r="I272" s="1179">
        <v>600.20000000000005</v>
      </c>
      <c r="J272" s="115" t="s">
        <v>483</v>
      </c>
      <c r="K272" s="46" t="s">
        <v>367</v>
      </c>
      <c r="L272" s="440" t="s">
        <v>2929</v>
      </c>
      <c r="M272" s="482"/>
      <c r="N272" s="1002" t="s">
        <v>1856</v>
      </c>
      <c r="O272" s="211"/>
      <c r="P272" s="74" t="s">
        <v>53</v>
      </c>
      <c r="Q272" s="100">
        <f t="shared" si="66"/>
        <v>0</v>
      </c>
      <c r="R272" s="1095" t="str">
        <f t="shared" si="56"/>
        <v>Фото &gt;&gt;</v>
      </c>
      <c r="S272" s="14" t="s">
        <v>6125</v>
      </c>
      <c r="U272" s="4"/>
      <c r="V272" s="4"/>
      <c r="AG272" s="84"/>
      <c r="AH272" s="84"/>
      <c r="AK272">
        <v>0.11</v>
      </c>
      <c r="AL272">
        <f t="shared" si="57"/>
        <v>0</v>
      </c>
      <c r="AM272">
        <f t="shared" si="58"/>
        <v>0</v>
      </c>
      <c r="AN272">
        <f t="shared" si="59"/>
        <v>0</v>
      </c>
      <c r="AO272" t="s">
        <v>6255</v>
      </c>
      <c r="AV272" t="str">
        <f>IF(F272&gt;0,(COUNT($AV$1:AV271)+1),"")</f>
        <v/>
      </c>
    </row>
    <row r="273" spans="1:48" ht="15" customHeight="1" x14ac:dyDescent="0.25">
      <c r="A273" s="1"/>
      <c r="B273" s="31">
        <v>21140</v>
      </c>
      <c r="C273" s="16">
        <v>4640201202931</v>
      </c>
      <c r="D273" s="422" t="s">
        <v>7435</v>
      </c>
      <c r="E273" s="69">
        <v>4</v>
      </c>
      <c r="F273" s="222"/>
      <c r="G273" s="108">
        <v>393.5</v>
      </c>
      <c r="H273" s="17">
        <v>408.4</v>
      </c>
      <c r="I273" s="18">
        <v>432.2</v>
      </c>
      <c r="J273" s="113" t="s">
        <v>483</v>
      </c>
      <c r="K273" s="44" t="s">
        <v>367</v>
      </c>
      <c r="L273" s="442" t="s">
        <v>2929</v>
      </c>
      <c r="M273" s="480"/>
      <c r="N273" s="1015" t="s">
        <v>1856</v>
      </c>
      <c r="O273" s="210" t="s">
        <v>7261</v>
      </c>
      <c r="P273" s="68" t="s">
        <v>53</v>
      </c>
      <c r="Q273" s="100">
        <f t="shared" si="66"/>
        <v>0</v>
      </c>
      <c r="R273" s="1095" t="str">
        <f t="shared" si="56"/>
        <v>Фото &gt;&gt;</v>
      </c>
      <c r="S273" s="14" t="s">
        <v>6124</v>
      </c>
      <c r="U273" s="4"/>
      <c r="V273" s="4"/>
      <c r="AG273" s="84"/>
      <c r="AH273" s="84"/>
      <c r="AK273">
        <v>0.11</v>
      </c>
      <c r="AL273">
        <f t="shared" si="57"/>
        <v>0</v>
      </c>
      <c r="AM273">
        <f t="shared" si="58"/>
        <v>0</v>
      </c>
      <c r="AN273">
        <f t="shared" si="59"/>
        <v>0</v>
      </c>
      <c r="AO273" t="s">
        <v>6128</v>
      </c>
      <c r="AV273" t="str">
        <f>IF(F273&gt;0,(COUNT($AV$1:AV272)+1),"")</f>
        <v/>
      </c>
    </row>
    <row r="274" spans="1:48" ht="15" customHeight="1" x14ac:dyDescent="0.25">
      <c r="A274" s="1"/>
      <c r="B274" s="37">
        <v>21136</v>
      </c>
      <c r="C274" s="23">
        <v>4640201201507</v>
      </c>
      <c r="D274" s="237" t="s">
        <v>6990</v>
      </c>
      <c r="E274" s="75">
        <v>18</v>
      </c>
      <c r="F274" s="223"/>
      <c r="G274" s="1177">
        <v>152.5</v>
      </c>
      <c r="H274" s="1178">
        <v>158</v>
      </c>
      <c r="I274" s="1179">
        <v>167.2</v>
      </c>
      <c r="J274" s="115" t="s">
        <v>483</v>
      </c>
      <c r="K274" s="46" t="s">
        <v>367</v>
      </c>
      <c r="L274" s="440" t="s">
        <v>2929</v>
      </c>
      <c r="M274" s="482"/>
      <c r="N274" s="1002" t="s">
        <v>1856</v>
      </c>
      <c r="O274" s="214" t="s">
        <v>4779</v>
      </c>
      <c r="P274" s="74" t="s">
        <v>53</v>
      </c>
      <c r="Q274" s="100">
        <f t="shared" si="66"/>
        <v>0</v>
      </c>
      <c r="R274" s="1095" t="str">
        <f t="shared" si="56"/>
        <v>Фото &gt;&gt;</v>
      </c>
      <c r="S274" s="14" t="s">
        <v>2269</v>
      </c>
      <c r="U274" s="4"/>
      <c r="V274" s="4"/>
      <c r="AG274" s="84"/>
      <c r="AH274" s="84"/>
      <c r="AK274">
        <v>0.04</v>
      </c>
      <c r="AL274">
        <f t="shared" si="57"/>
        <v>0</v>
      </c>
      <c r="AM274">
        <f t="shared" si="58"/>
        <v>0</v>
      </c>
      <c r="AN274">
        <f t="shared" si="59"/>
        <v>0</v>
      </c>
      <c r="AO274" t="s">
        <v>6129</v>
      </c>
      <c r="AV274" t="str">
        <f>IF(F274&gt;0,(COUNT($AV$1:AV273)+1),"")</f>
        <v/>
      </c>
    </row>
    <row r="275" spans="1:48" ht="15" customHeight="1" x14ac:dyDescent="0.25">
      <c r="A275" s="1"/>
      <c r="B275" s="31">
        <v>21137</v>
      </c>
      <c r="C275" s="16">
        <v>4640201204973</v>
      </c>
      <c r="D275" s="226" t="s">
        <v>6991</v>
      </c>
      <c r="E275" s="69">
        <v>18</v>
      </c>
      <c r="F275" s="222"/>
      <c r="G275" s="108">
        <v>152.19999999999999</v>
      </c>
      <c r="H275" s="17">
        <v>158</v>
      </c>
      <c r="I275" s="18">
        <v>167.2</v>
      </c>
      <c r="J275" s="113" t="s">
        <v>483</v>
      </c>
      <c r="K275" s="44" t="s">
        <v>367</v>
      </c>
      <c r="L275" s="442" t="s">
        <v>2929</v>
      </c>
      <c r="M275" s="480"/>
      <c r="N275" s="1015" t="s">
        <v>1856</v>
      </c>
      <c r="O275" s="217" t="s">
        <v>4779</v>
      </c>
      <c r="P275" s="68" t="s">
        <v>53</v>
      </c>
      <c r="Q275" s="100">
        <f t="shared" si="66"/>
        <v>0</v>
      </c>
      <c r="R275" s="1095" t="str">
        <f t="shared" si="56"/>
        <v>Фото &gt;&gt;</v>
      </c>
      <c r="S275" s="14" t="s">
        <v>6125</v>
      </c>
      <c r="U275" s="4"/>
      <c r="V275" s="4"/>
      <c r="AG275" s="84"/>
      <c r="AH275" s="84"/>
      <c r="AK275">
        <v>0.04</v>
      </c>
      <c r="AL275">
        <f t="shared" si="57"/>
        <v>0</v>
      </c>
      <c r="AM275">
        <f t="shared" si="58"/>
        <v>0</v>
      </c>
      <c r="AN275">
        <f t="shared" si="59"/>
        <v>0</v>
      </c>
      <c r="AO275" t="s">
        <v>6130</v>
      </c>
      <c r="AV275" t="str">
        <f>IF(F275&gt;0,(COUNT($AV$1:AV274)+1),"")</f>
        <v/>
      </c>
    </row>
    <row r="276" spans="1:48" ht="15" customHeight="1" x14ac:dyDescent="0.25">
      <c r="A276" s="1"/>
      <c r="B276" s="37">
        <v>21138</v>
      </c>
      <c r="C276" s="23">
        <v>4640201204980</v>
      </c>
      <c r="D276" s="237" t="s">
        <v>6992</v>
      </c>
      <c r="E276" s="75">
        <v>18</v>
      </c>
      <c r="F276" s="223"/>
      <c r="G276" s="1177">
        <v>152.19999999999999</v>
      </c>
      <c r="H276" s="1178">
        <v>158</v>
      </c>
      <c r="I276" s="1179">
        <v>167.2</v>
      </c>
      <c r="J276" s="115" t="s">
        <v>483</v>
      </c>
      <c r="K276" s="46" t="s">
        <v>367</v>
      </c>
      <c r="L276" s="440" t="s">
        <v>2929</v>
      </c>
      <c r="M276" s="482"/>
      <c r="N276" s="1002" t="s">
        <v>1856</v>
      </c>
      <c r="O276" s="214" t="s">
        <v>4779</v>
      </c>
      <c r="P276" s="74" t="s">
        <v>53</v>
      </c>
      <c r="Q276" s="100">
        <f t="shared" si="66"/>
        <v>0</v>
      </c>
      <c r="R276" s="1095" t="str">
        <f t="shared" si="56"/>
        <v>Фото &gt;&gt;</v>
      </c>
      <c r="S276" s="14" t="s">
        <v>6126</v>
      </c>
      <c r="U276" s="4"/>
      <c r="V276" s="4"/>
      <c r="AG276" s="84"/>
      <c r="AH276" s="84"/>
      <c r="AK276">
        <v>0.04</v>
      </c>
      <c r="AL276">
        <f t="shared" ref="AL276:AL277" si="67">F276*G276</f>
        <v>0</v>
      </c>
      <c r="AM276">
        <f t="shared" ref="AM276:AM277" si="68">F276*H276</f>
        <v>0</v>
      </c>
      <c r="AN276">
        <f t="shared" ref="AN276:AN277" si="69">AK276*F276+IF(E276&gt;1.01,F276/E276*0.2,0)</f>
        <v>0</v>
      </c>
      <c r="AO276" t="s">
        <v>6131</v>
      </c>
      <c r="AV276" t="str">
        <f>IF(F276&gt;0,(COUNT($AV$1:AV275)+1),"")</f>
        <v/>
      </c>
    </row>
    <row r="277" spans="1:48" ht="15" customHeight="1" x14ac:dyDescent="0.25">
      <c r="A277" s="1"/>
      <c r="B277" s="31">
        <v>21139</v>
      </c>
      <c r="C277" s="16">
        <v>4640201205321</v>
      </c>
      <c r="D277" s="226" t="s">
        <v>6993</v>
      </c>
      <c r="E277" s="69">
        <v>1</v>
      </c>
      <c r="F277" s="222"/>
      <c r="G277" s="108">
        <v>2747.8</v>
      </c>
      <c r="H277" s="17">
        <v>2851.9</v>
      </c>
      <c r="I277" s="18">
        <v>3018.4</v>
      </c>
      <c r="J277" s="113" t="s">
        <v>483</v>
      </c>
      <c r="K277" s="44" t="s">
        <v>367</v>
      </c>
      <c r="L277" s="442" t="s">
        <v>2924</v>
      </c>
      <c r="M277" s="480"/>
      <c r="N277" s="1015"/>
      <c r="O277" s="210"/>
      <c r="P277" s="68" t="s">
        <v>53</v>
      </c>
      <c r="Q277" s="100">
        <f t="shared" si="66"/>
        <v>0</v>
      </c>
      <c r="R277" s="1095" t="str">
        <f t="shared" si="56"/>
        <v>Фото &gt;&gt;</v>
      </c>
      <c r="S277" s="14" t="s">
        <v>6127</v>
      </c>
      <c r="U277" s="4"/>
      <c r="V277" s="4"/>
      <c r="AG277" s="84"/>
      <c r="AH277" s="84"/>
      <c r="AK277">
        <v>0.7</v>
      </c>
      <c r="AL277">
        <f t="shared" si="67"/>
        <v>0</v>
      </c>
      <c r="AM277">
        <f t="shared" si="68"/>
        <v>0</v>
      </c>
      <c r="AN277">
        <f t="shared" si="69"/>
        <v>0</v>
      </c>
      <c r="AO277" t="s">
        <v>6132</v>
      </c>
      <c r="AV277" t="str">
        <f>IF(F277&gt;0,(COUNT($AV$1:AV276)+1),"")</f>
        <v/>
      </c>
    </row>
    <row r="278" spans="1:48" ht="15" customHeight="1" x14ac:dyDescent="0.25">
      <c r="A278" s="1"/>
      <c r="B278" s="785">
        <v>18049</v>
      </c>
      <c r="C278" s="786">
        <v>4630049330132</v>
      </c>
      <c r="D278" s="787" t="s">
        <v>3276</v>
      </c>
      <c r="E278" s="788">
        <v>5</v>
      </c>
      <c r="F278" s="789"/>
      <c r="G278" s="811">
        <v>381.7</v>
      </c>
      <c r="H278" s="790">
        <v>396.1</v>
      </c>
      <c r="I278" s="791">
        <v>419.3</v>
      </c>
      <c r="J278" s="792" t="s">
        <v>483</v>
      </c>
      <c r="K278" s="793" t="s">
        <v>367</v>
      </c>
      <c r="L278" s="781" t="s">
        <v>2929</v>
      </c>
      <c r="M278" s="782" t="s">
        <v>104</v>
      </c>
      <c r="N278" s="1009" t="s">
        <v>1856</v>
      </c>
      <c r="O278" s="783"/>
      <c r="P278" s="784" t="s">
        <v>53</v>
      </c>
      <c r="Q278" s="100">
        <f t="shared" si="66"/>
        <v>0</v>
      </c>
      <c r="R278" s="1095" t="str">
        <f t="shared" si="56"/>
        <v>Фото &gt;&gt;</v>
      </c>
      <c r="S278" s="14" t="s">
        <v>3280</v>
      </c>
      <c r="U278" s="4"/>
      <c r="V278" s="4"/>
      <c r="AG278" s="84"/>
      <c r="AH278" s="84"/>
      <c r="AK278">
        <v>0.15</v>
      </c>
      <c r="AL278">
        <f t="shared" ref="AL278:AL286" si="70">F278*G278</f>
        <v>0</v>
      </c>
      <c r="AM278">
        <f t="shared" ref="AM278:AM286" si="71">F278*H278</f>
        <v>0</v>
      </c>
      <c r="AN278">
        <f t="shared" ref="AN278:AN286" si="72">AK278*F278+IF(E278&gt;1.01,F278/E278*0.2,0)</f>
        <v>0</v>
      </c>
      <c r="AO278" t="s">
        <v>5366</v>
      </c>
      <c r="AV278" t="str">
        <f>IF(F278&gt;0,(COUNT($AV$1:AV277)+1),"")</f>
        <v/>
      </c>
    </row>
    <row r="279" spans="1:48" ht="15" customHeight="1" x14ac:dyDescent="0.25">
      <c r="A279" s="1"/>
      <c r="B279" s="31">
        <v>17572</v>
      </c>
      <c r="C279" s="16">
        <v>4630049330163</v>
      </c>
      <c r="D279" s="226" t="s">
        <v>3275</v>
      </c>
      <c r="E279" s="69">
        <v>5</v>
      </c>
      <c r="F279" s="222"/>
      <c r="G279" s="108">
        <v>381.7</v>
      </c>
      <c r="H279" s="17">
        <v>396.1</v>
      </c>
      <c r="I279" s="18">
        <v>419.3</v>
      </c>
      <c r="J279" s="113" t="s">
        <v>483</v>
      </c>
      <c r="K279" s="44" t="s">
        <v>367</v>
      </c>
      <c r="L279" s="442" t="s">
        <v>2929</v>
      </c>
      <c r="M279" s="480" t="s">
        <v>104</v>
      </c>
      <c r="N279" s="1015" t="s">
        <v>1856</v>
      </c>
      <c r="O279" s="217"/>
      <c r="P279" s="68" t="s">
        <v>53</v>
      </c>
      <c r="Q279" s="100">
        <f t="shared" si="66"/>
        <v>0</v>
      </c>
      <c r="R279" s="1095" t="str">
        <f t="shared" si="56"/>
        <v>Фото &gt;&gt;</v>
      </c>
      <c r="S279" s="14" t="s">
        <v>3279</v>
      </c>
      <c r="U279" s="4"/>
      <c r="V279" s="4"/>
      <c r="AG279" s="84"/>
      <c r="AH279" s="84"/>
      <c r="AK279">
        <v>0.15</v>
      </c>
      <c r="AL279">
        <f t="shared" si="70"/>
        <v>0</v>
      </c>
      <c r="AM279">
        <f t="shared" si="71"/>
        <v>0</v>
      </c>
      <c r="AN279">
        <f t="shared" si="72"/>
        <v>0</v>
      </c>
      <c r="AO279" t="s">
        <v>2572</v>
      </c>
      <c r="AV279" t="str">
        <f>IF(F279&gt;0,(COUNT($AV$1:AV278)+1),"")</f>
        <v/>
      </c>
    </row>
    <row r="280" spans="1:48" ht="15" customHeight="1" x14ac:dyDescent="0.25">
      <c r="A280" s="1"/>
      <c r="B280" s="30">
        <v>21465</v>
      </c>
      <c r="C280" s="20"/>
      <c r="D280" s="421" t="s">
        <v>6869</v>
      </c>
      <c r="E280" s="324">
        <v>18</v>
      </c>
      <c r="F280" s="222"/>
      <c r="G280" s="107">
        <v>68.8</v>
      </c>
      <c r="H280" s="21">
        <v>71.400000000000006</v>
      </c>
      <c r="I280" s="22">
        <v>75.599999999999994</v>
      </c>
      <c r="J280" s="112" t="s">
        <v>483</v>
      </c>
      <c r="K280" s="45" t="s">
        <v>367</v>
      </c>
      <c r="L280" s="437"/>
      <c r="M280" s="474" t="s">
        <v>1856</v>
      </c>
      <c r="N280" s="1013"/>
      <c r="O280" s="209" t="s">
        <v>6179</v>
      </c>
      <c r="P280" s="66" t="s">
        <v>53</v>
      </c>
      <c r="Q280" s="100">
        <f t="shared" si="66"/>
        <v>0</v>
      </c>
      <c r="R280" s="1112" t="str">
        <f t="shared" si="56"/>
        <v>Фото &gt;&gt;</v>
      </c>
      <c r="S280" s="14" t="s">
        <v>6877</v>
      </c>
      <c r="U280" s="4"/>
      <c r="V280" s="4"/>
      <c r="AG280" s="84"/>
      <c r="AH280" s="84"/>
      <c r="AK280">
        <v>7.0000000000000007E-2</v>
      </c>
      <c r="AL280">
        <f t="shared" si="70"/>
        <v>0</v>
      </c>
      <c r="AM280">
        <f t="shared" si="71"/>
        <v>0</v>
      </c>
      <c r="AN280">
        <f t="shared" si="72"/>
        <v>0</v>
      </c>
      <c r="AO280" t="s">
        <v>6873</v>
      </c>
      <c r="AV280" t="str">
        <f>IF(F280&gt;0,(COUNT($AV$1:AV279)+1),"")</f>
        <v/>
      </c>
    </row>
    <row r="281" spans="1:48" ht="15" customHeight="1" x14ac:dyDescent="0.25">
      <c r="A281" s="1"/>
      <c r="B281" s="31">
        <v>21466</v>
      </c>
      <c r="C281" s="16"/>
      <c r="D281" s="422" t="s">
        <v>6870</v>
      </c>
      <c r="E281" s="323">
        <v>18</v>
      </c>
      <c r="F281" s="222"/>
      <c r="G281" s="108">
        <v>75.099999999999994</v>
      </c>
      <c r="H281" s="17">
        <v>77.900000000000006</v>
      </c>
      <c r="I281" s="18">
        <v>82.5</v>
      </c>
      <c r="J281" s="113" t="s">
        <v>483</v>
      </c>
      <c r="K281" s="44" t="s">
        <v>367</v>
      </c>
      <c r="L281" s="442"/>
      <c r="M281" s="480" t="s">
        <v>1856</v>
      </c>
      <c r="N281" s="1015"/>
      <c r="O281" s="210" t="s">
        <v>6179</v>
      </c>
      <c r="P281" s="68" t="s">
        <v>53</v>
      </c>
      <c r="Q281" s="100">
        <f t="shared" si="66"/>
        <v>0</v>
      </c>
      <c r="R281" s="1112" t="str">
        <f t="shared" si="56"/>
        <v>Фото &gt;&gt;</v>
      </c>
      <c r="S281" s="14" t="s">
        <v>6876</v>
      </c>
      <c r="U281" s="4"/>
      <c r="V281" s="4"/>
      <c r="AG281" s="84"/>
      <c r="AH281" s="84"/>
      <c r="AK281">
        <v>7.0000000000000007E-2</v>
      </c>
      <c r="AL281">
        <f t="shared" si="70"/>
        <v>0</v>
      </c>
      <c r="AM281">
        <f t="shared" si="71"/>
        <v>0</v>
      </c>
      <c r="AN281">
        <f t="shared" si="72"/>
        <v>0</v>
      </c>
      <c r="AO281" t="s">
        <v>6874</v>
      </c>
      <c r="AV281" t="str">
        <f>IF(F281&gt;0,(COUNT($AV$1:AV280)+1),"")</f>
        <v/>
      </c>
    </row>
    <row r="282" spans="1:48" ht="15" customHeight="1" x14ac:dyDescent="0.25">
      <c r="A282" s="1"/>
      <c r="B282" s="37">
        <v>21467</v>
      </c>
      <c r="C282" s="23"/>
      <c r="D282" s="616" t="s">
        <v>6871</v>
      </c>
      <c r="E282" s="75">
        <v>18</v>
      </c>
      <c r="F282" s="223"/>
      <c r="G282" s="1177">
        <v>73</v>
      </c>
      <c r="H282" s="1178">
        <v>75.8</v>
      </c>
      <c r="I282" s="1179">
        <v>80.2</v>
      </c>
      <c r="J282" s="115" t="s">
        <v>483</v>
      </c>
      <c r="K282" s="46" t="s">
        <v>367</v>
      </c>
      <c r="L282" s="440"/>
      <c r="M282" s="482" t="s">
        <v>1856</v>
      </c>
      <c r="N282" s="1002"/>
      <c r="O282" s="211" t="s">
        <v>6179</v>
      </c>
      <c r="P282" s="74" t="s">
        <v>53</v>
      </c>
      <c r="Q282" s="100">
        <f t="shared" si="66"/>
        <v>0</v>
      </c>
      <c r="R282" s="1095" t="str">
        <f t="shared" si="56"/>
        <v>Фото &gt;&gt;</v>
      </c>
      <c r="S282" s="14" t="s">
        <v>6872</v>
      </c>
      <c r="U282" s="4"/>
      <c r="V282" s="4"/>
      <c r="AG282" s="84"/>
      <c r="AH282" s="84"/>
      <c r="AK282">
        <v>7.0000000000000007E-2</v>
      </c>
      <c r="AL282">
        <f t="shared" si="70"/>
        <v>0</v>
      </c>
      <c r="AM282">
        <f t="shared" si="71"/>
        <v>0</v>
      </c>
      <c r="AN282">
        <f t="shared" si="72"/>
        <v>0</v>
      </c>
      <c r="AO282" t="s">
        <v>6875</v>
      </c>
      <c r="AV282" t="str">
        <f>IF(F282&gt;0,(COUNT($AV$1:AV281)+1),"")</f>
        <v/>
      </c>
    </row>
    <row r="283" spans="1:48" ht="15" customHeight="1" x14ac:dyDescent="0.25">
      <c r="A283" s="1"/>
      <c r="B283" s="31">
        <v>18053</v>
      </c>
      <c r="C283" s="16">
        <v>4630049332167</v>
      </c>
      <c r="D283" s="226" t="s">
        <v>3850</v>
      </c>
      <c r="E283" s="69">
        <v>5</v>
      </c>
      <c r="F283" s="222"/>
      <c r="G283" s="108">
        <v>378.5</v>
      </c>
      <c r="H283" s="17">
        <v>392.9</v>
      </c>
      <c r="I283" s="18">
        <v>415.8</v>
      </c>
      <c r="J283" s="113" t="s">
        <v>483</v>
      </c>
      <c r="K283" s="44" t="s">
        <v>367</v>
      </c>
      <c r="L283" s="442" t="s">
        <v>2929</v>
      </c>
      <c r="M283" s="480" t="s">
        <v>104</v>
      </c>
      <c r="N283" s="1015"/>
      <c r="O283" s="210"/>
      <c r="P283" s="68" t="s">
        <v>53</v>
      </c>
      <c r="Q283" s="100">
        <f t="shared" si="66"/>
        <v>0</v>
      </c>
      <c r="R283" s="1095" t="str">
        <f t="shared" si="56"/>
        <v>Фото &gt;&gt;</v>
      </c>
      <c r="S283" s="14" t="s">
        <v>3848</v>
      </c>
      <c r="U283" s="4"/>
      <c r="V283" s="4"/>
      <c r="AG283" s="84"/>
      <c r="AH283" s="84"/>
      <c r="AK283">
        <v>0.15</v>
      </c>
      <c r="AL283">
        <f t="shared" si="70"/>
        <v>0</v>
      </c>
      <c r="AM283">
        <f t="shared" si="71"/>
        <v>0</v>
      </c>
      <c r="AN283">
        <f t="shared" si="72"/>
        <v>0</v>
      </c>
      <c r="AO283" t="s">
        <v>3849</v>
      </c>
      <c r="AV283" t="str">
        <f>IF(F283&gt;0,(COUNT($AV$1:AV282)+1),"")</f>
        <v/>
      </c>
    </row>
    <row r="284" spans="1:48" ht="15" customHeight="1" x14ac:dyDescent="0.25">
      <c r="A284" s="1"/>
      <c r="B284" s="37">
        <v>21468</v>
      </c>
      <c r="C284" s="23"/>
      <c r="D284" s="616" t="s">
        <v>6882</v>
      </c>
      <c r="E284" s="75">
        <v>18</v>
      </c>
      <c r="F284" s="223"/>
      <c r="G284" s="1177">
        <v>61.5</v>
      </c>
      <c r="H284" s="1178">
        <v>63.9</v>
      </c>
      <c r="I284" s="1179">
        <v>67.599999999999994</v>
      </c>
      <c r="J284" s="115" t="s">
        <v>483</v>
      </c>
      <c r="K284" s="46" t="s">
        <v>367</v>
      </c>
      <c r="L284" s="440"/>
      <c r="M284" s="482"/>
      <c r="N284" s="1002"/>
      <c r="O284" s="211" t="s">
        <v>6179</v>
      </c>
      <c r="P284" s="74" t="s">
        <v>53</v>
      </c>
      <c r="Q284" s="100">
        <f t="shared" si="66"/>
        <v>0</v>
      </c>
      <c r="R284" s="1095" t="str">
        <f t="shared" si="56"/>
        <v>Фото &gt;&gt;</v>
      </c>
      <c r="S284" s="14" t="s">
        <v>6878</v>
      </c>
      <c r="U284" s="4"/>
      <c r="V284" s="4"/>
      <c r="AG284" s="84"/>
      <c r="AH284" s="84"/>
      <c r="AK284">
        <v>7.0000000000000007E-2</v>
      </c>
      <c r="AL284">
        <f t="shared" ref="AL284:AL285" si="73">F284*G284</f>
        <v>0</v>
      </c>
      <c r="AM284">
        <f t="shared" ref="AM284:AM285" si="74">F284*H284</f>
        <v>0</v>
      </c>
      <c r="AN284">
        <f t="shared" ref="AN284:AN285" si="75">AK284*F284+IF(E284&gt;1.01,F284/E284*0.2,0)</f>
        <v>0</v>
      </c>
      <c r="AO284" t="s">
        <v>6880</v>
      </c>
      <c r="AV284" t="str">
        <f>IF(F284&gt;0,(COUNT($AV$1:AV283)+1),"")</f>
        <v/>
      </c>
    </row>
    <row r="285" spans="1:48" ht="15" customHeight="1" x14ac:dyDescent="0.25">
      <c r="A285" s="1"/>
      <c r="B285" s="31">
        <v>21469</v>
      </c>
      <c r="C285" s="16"/>
      <c r="D285" s="422" t="s">
        <v>6883</v>
      </c>
      <c r="E285" s="69">
        <v>18</v>
      </c>
      <c r="F285" s="222"/>
      <c r="G285" s="108">
        <v>68.8</v>
      </c>
      <c r="H285" s="17">
        <v>71.400000000000006</v>
      </c>
      <c r="I285" s="18">
        <v>75.599999999999994</v>
      </c>
      <c r="J285" s="113" t="s">
        <v>483</v>
      </c>
      <c r="K285" s="44" t="s">
        <v>367</v>
      </c>
      <c r="L285" s="442"/>
      <c r="M285" s="480"/>
      <c r="N285" s="1015"/>
      <c r="O285" s="210" t="s">
        <v>6179</v>
      </c>
      <c r="P285" s="68" t="s">
        <v>53</v>
      </c>
      <c r="Q285" s="100">
        <f t="shared" si="66"/>
        <v>0</v>
      </c>
      <c r="R285" s="1095" t="str">
        <f t="shared" si="56"/>
        <v>Фото &gt;&gt;</v>
      </c>
      <c r="S285" s="14" t="s">
        <v>6879</v>
      </c>
      <c r="U285" s="4"/>
      <c r="V285" s="4"/>
      <c r="AG285" s="84"/>
      <c r="AH285" s="84"/>
      <c r="AK285">
        <v>7.0000000000000007E-2</v>
      </c>
      <c r="AL285">
        <f t="shared" si="73"/>
        <v>0</v>
      </c>
      <c r="AM285">
        <f t="shared" si="74"/>
        <v>0</v>
      </c>
      <c r="AN285">
        <f t="shared" si="75"/>
        <v>0</v>
      </c>
      <c r="AO285" t="s">
        <v>6881</v>
      </c>
      <c r="AV285" t="str">
        <f>IF(F285&gt;0,(COUNT($AV$1:AV284)+1),"")</f>
        <v/>
      </c>
    </row>
    <row r="286" spans="1:48" ht="15" customHeight="1" x14ac:dyDescent="0.25">
      <c r="A286" s="1"/>
      <c r="B286" s="795">
        <v>20972</v>
      </c>
      <c r="C286" s="796">
        <v>4640201201620</v>
      </c>
      <c r="D286" s="797" t="s">
        <v>6151</v>
      </c>
      <c r="E286" s="798">
        <v>5</v>
      </c>
      <c r="F286" s="789"/>
      <c r="G286" s="810">
        <v>666</v>
      </c>
      <c r="H286" s="799">
        <v>699</v>
      </c>
      <c r="I286" s="800">
        <v>734</v>
      </c>
      <c r="J286" s="801" t="s">
        <v>483</v>
      </c>
      <c r="K286" s="802" t="s">
        <v>367</v>
      </c>
      <c r="L286" s="803" t="s">
        <v>2929</v>
      </c>
      <c r="M286" s="804"/>
      <c r="N286" s="1006"/>
      <c r="O286" s="805"/>
      <c r="P286" s="806" t="s">
        <v>53</v>
      </c>
      <c r="Q286" s="100">
        <f t="shared" si="66"/>
        <v>0</v>
      </c>
      <c r="R286" s="1095" t="str">
        <f t="shared" si="56"/>
        <v>Фото &gt;&gt;</v>
      </c>
      <c r="S286" s="14" t="s">
        <v>5753</v>
      </c>
      <c r="U286" s="4"/>
      <c r="V286" s="4"/>
      <c r="AG286" s="84"/>
      <c r="AH286" s="84"/>
      <c r="AK286">
        <v>0.23</v>
      </c>
      <c r="AL286">
        <f t="shared" si="70"/>
        <v>0</v>
      </c>
      <c r="AM286">
        <f t="shared" si="71"/>
        <v>0</v>
      </c>
      <c r="AN286">
        <f t="shared" si="72"/>
        <v>0</v>
      </c>
      <c r="AO286" t="s">
        <v>5752</v>
      </c>
      <c r="AV286" t="str">
        <f>IF(F286&gt;0,(COUNT($AV$1:AV285)+1),"")</f>
        <v/>
      </c>
    </row>
    <row r="287" spans="1:48" ht="15" customHeight="1" x14ac:dyDescent="0.25">
      <c r="A287" s="1"/>
      <c r="B287" s="30">
        <v>15685</v>
      </c>
      <c r="C287" s="20">
        <v>4680013877934</v>
      </c>
      <c r="D287" s="225" t="s">
        <v>3274</v>
      </c>
      <c r="E287" s="67">
        <v>5</v>
      </c>
      <c r="F287" s="222"/>
      <c r="G287" s="107">
        <v>648.6</v>
      </c>
      <c r="H287" s="21">
        <v>673.2</v>
      </c>
      <c r="I287" s="22">
        <v>712.5</v>
      </c>
      <c r="J287" s="112" t="s">
        <v>483</v>
      </c>
      <c r="K287" s="45" t="s">
        <v>367</v>
      </c>
      <c r="L287" s="437" t="s">
        <v>2929</v>
      </c>
      <c r="M287" s="474" t="s">
        <v>104</v>
      </c>
      <c r="N287" s="1013"/>
      <c r="O287" s="212"/>
      <c r="P287" s="66" t="s">
        <v>53</v>
      </c>
      <c r="Q287" s="100">
        <f t="shared" si="66"/>
        <v>0</v>
      </c>
      <c r="R287" s="1095" t="str">
        <f t="shared" si="56"/>
        <v>Фото &gt;&gt;</v>
      </c>
      <c r="S287" s="14" t="s">
        <v>3332</v>
      </c>
      <c r="U287" s="4"/>
      <c r="V287" s="4"/>
      <c r="AG287" s="84"/>
      <c r="AH287" s="84"/>
      <c r="AK287">
        <v>0.25</v>
      </c>
      <c r="AL287">
        <f t="shared" si="57"/>
        <v>0</v>
      </c>
      <c r="AM287">
        <f t="shared" si="58"/>
        <v>0</v>
      </c>
      <c r="AN287">
        <f t="shared" si="59"/>
        <v>0</v>
      </c>
      <c r="AO287" t="s">
        <v>5367</v>
      </c>
      <c r="AV287" t="str">
        <f>IF(F287&gt;0,(COUNT($AV$1:AV286)+1),"")</f>
        <v/>
      </c>
    </row>
    <row r="288" spans="1:48" ht="15" customHeight="1" x14ac:dyDescent="0.25">
      <c r="A288" s="1"/>
      <c r="B288" s="31">
        <v>14862</v>
      </c>
      <c r="C288" s="16">
        <v>4680013874841</v>
      </c>
      <c r="D288" s="226" t="s">
        <v>3333</v>
      </c>
      <c r="E288" s="69">
        <v>5</v>
      </c>
      <c r="F288" s="222"/>
      <c r="G288" s="108">
        <v>648.6</v>
      </c>
      <c r="H288" s="17">
        <v>673.2</v>
      </c>
      <c r="I288" s="18">
        <v>712.5</v>
      </c>
      <c r="J288" s="113" t="s">
        <v>483</v>
      </c>
      <c r="K288" s="44" t="s">
        <v>367</v>
      </c>
      <c r="L288" s="442" t="s">
        <v>2929</v>
      </c>
      <c r="M288" s="480" t="s">
        <v>104</v>
      </c>
      <c r="N288" s="1015"/>
      <c r="O288" s="217"/>
      <c r="P288" s="68" t="s">
        <v>53</v>
      </c>
      <c r="Q288" s="100">
        <f t="shared" si="66"/>
        <v>0</v>
      </c>
      <c r="R288" s="1095" t="str">
        <f t="shared" si="56"/>
        <v>Фото &gt;&gt;</v>
      </c>
      <c r="S288" s="14" t="s">
        <v>491</v>
      </c>
      <c r="U288" s="4"/>
      <c r="V288" s="4"/>
      <c r="AG288" s="84"/>
      <c r="AH288" s="84"/>
      <c r="AK288">
        <v>0.23</v>
      </c>
      <c r="AL288">
        <f t="shared" si="57"/>
        <v>0</v>
      </c>
      <c r="AM288">
        <f t="shared" si="58"/>
        <v>0</v>
      </c>
      <c r="AN288">
        <f t="shared" si="59"/>
        <v>0</v>
      </c>
      <c r="AO288" t="s">
        <v>4811</v>
      </c>
      <c r="AV288" t="str">
        <f>IF(F288&gt;0,(COUNT($AV$1:AV287)+1),"")</f>
        <v/>
      </c>
    </row>
    <row r="289" spans="1:48" ht="15" customHeight="1" x14ac:dyDescent="0.25">
      <c r="A289" s="1"/>
      <c r="B289" s="30">
        <v>20947</v>
      </c>
      <c r="C289" s="20">
        <v>4680013879235</v>
      </c>
      <c r="D289" s="225" t="s">
        <v>5566</v>
      </c>
      <c r="E289" s="67">
        <v>7</v>
      </c>
      <c r="F289" s="222"/>
      <c r="G289" s="107">
        <v>182.5</v>
      </c>
      <c r="H289" s="21">
        <v>190.5</v>
      </c>
      <c r="I289" s="22">
        <v>201.6</v>
      </c>
      <c r="J289" s="112" t="s">
        <v>483</v>
      </c>
      <c r="K289" s="45" t="s">
        <v>367</v>
      </c>
      <c r="L289" s="437" t="s">
        <v>2929</v>
      </c>
      <c r="M289" s="474"/>
      <c r="N289" s="1013"/>
      <c r="O289" s="212"/>
      <c r="P289" s="66" t="s">
        <v>53</v>
      </c>
      <c r="Q289" s="100">
        <f t="shared" si="66"/>
        <v>0</v>
      </c>
      <c r="R289" s="1095" t="str">
        <f t="shared" si="56"/>
        <v>Фото &gt;&gt;</v>
      </c>
      <c r="S289" s="14" t="s">
        <v>5567</v>
      </c>
      <c r="U289" s="4"/>
      <c r="V289" s="4"/>
      <c r="AG289" s="84"/>
      <c r="AH289" s="84"/>
      <c r="AK289">
        <v>0.11</v>
      </c>
      <c r="AL289">
        <f t="shared" si="57"/>
        <v>0</v>
      </c>
      <c r="AM289">
        <f t="shared" si="58"/>
        <v>0</v>
      </c>
      <c r="AN289">
        <f t="shared" si="59"/>
        <v>0</v>
      </c>
      <c r="AO289" t="s">
        <v>5565</v>
      </c>
      <c r="AV289" t="str">
        <f>IF(F289&gt;0,(COUNT($AV$1:AV288)+1),"")</f>
        <v/>
      </c>
    </row>
    <row r="290" spans="1:48" ht="15" customHeight="1" x14ac:dyDescent="0.25">
      <c r="A290" s="1"/>
      <c r="B290" s="31">
        <v>20321</v>
      </c>
      <c r="C290" s="16">
        <v>4630049336714</v>
      </c>
      <c r="D290" s="226" t="s">
        <v>5564</v>
      </c>
      <c r="E290" s="69">
        <v>2</v>
      </c>
      <c r="F290" s="222"/>
      <c r="G290" s="108">
        <v>1243</v>
      </c>
      <c r="H290" s="17">
        <v>1290</v>
      </c>
      <c r="I290" s="18">
        <v>1365</v>
      </c>
      <c r="J290" s="113" t="s">
        <v>483</v>
      </c>
      <c r="K290" s="44" t="s">
        <v>367</v>
      </c>
      <c r="L290" s="442" t="s">
        <v>2929</v>
      </c>
      <c r="M290" s="480" t="s">
        <v>104</v>
      </c>
      <c r="N290" s="1015"/>
      <c r="O290" s="217"/>
      <c r="P290" s="68" t="s">
        <v>53</v>
      </c>
      <c r="Q290" s="100">
        <f t="shared" si="66"/>
        <v>0</v>
      </c>
      <c r="R290" s="1095" t="str">
        <f t="shared" si="56"/>
        <v>Фото &gt;&gt;</v>
      </c>
      <c r="S290" s="14" t="s">
        <v>3278</v>
      </c>
      <c r="U290" s="4"/>
      <c r="V290" s="4"/>
      <c r="AG290" s="84"/>
      <c r="AH290" s="84"/>
      <c r="AK290">
        <v>0.7</v>
      </c>
      <c r="AL290">
        <f t="shared" si="57"/>
        <v>0</v>
      </c>
      <c r="AM290">
        <f t="shared" si="58"/>
        <v>0</v>
      </c>
      <c r="AN290">
        <f t="shared" si="59"/>
        <v>0</v>
      </c>
      <c r="AO290" t="s">
        <v>3277</v>
      </c>
      <c r="AV290" t="str">
        <f>IF(F290&gt;0,(COUNT($AV$1:AV289)+1),"")</f>
        <v/>
      </c>
    </row>
    <row r="291" spans="1:48" ht="15" customHeight="1" x14ac:dyDescent="0.25">
      <c r="A291" s="1"/>
      <c r="B291" s="30">
        <v>21237</v>
      </c>
      <c r="C291" s="20">
        <v>4640201200944</v>
      </c>
      <c r="D291" s="225" t="s">
        <v>7273</v>
      </c>
      <c r="E291" s="67">
        <v>2</v>
      </c>
      <c r="F291" s="222"/>
      <c r="G291" s="107">
        <v>1424.5</v>
      </c>
      <c r="H291" s="21">
        <v>1478.4</v>
      </c>
      <c r="I291" s="22">
        <v>1565</v>
      </c>
      <c r="J291" s="112" t="s">
        <v>483</v>
      </c>
      <c r="K291" s="45" t="s">
        <v>367</v>
      </c>
      <c r="L291" s="437" t="s">
        <v>2929</v>
      </c>
      <c r="M291" s="474" t="s">
        <v>104</v>
      </c>
      <c r="N291" s="1013"/>
      <c r="O291" s="212"/>
      <c r="P291" s="66" t="s">
        <v>53</v>
      </c>
      <c r="Q291" s="100">
        <f t="shared" si="66"/>
        <v>0</v>
      </c>
      <c r="R291" s="1095" t="str">
        <f t="shared" ref="R291:R317" si="76">IF(AO291&gt;0,HYPERLINK(AO291,"Фото &gt;&gt;"),"")</f>
        <v>Фото &gt;&gt;</v>
      </c>
      <c r="S291" s="14" t="s">
        <v>6343</v>
      </c>
      <c r="U291" s="4"/>
      <c r="V291" s="4"/>
      <c r="AG291" s="84"/>
      <c r="AH291" s="84"/>
      <c r="AK291">
        <v>0.7</v>
      </c>
      <c r="AL291">
        <f t="shared" si="57"/>
        <v>0</v>
      </c>
      <c r="AM291">
        <f t="shared" si="58"/>
        <v>0</v>
      </c>
      <c r="AN291">
        <f t="shared" si="59"/>
        <v>0</v>
      </c>
      <c r="AO291" t="s">
        <v>6344</v>
      </c>
      <c r="AV291" t="str">
        <f>IF(F291&gt;0,(COUNT($AV$1:AV290)+1),"")</f>
        <v/>
      </c>
    </row>
    <row r="292" spans="1:48" ht="15" customHeight="1" x14ac:dyDescent="0.25">
      <c r="A292" s="1"/>
      <c r="B292" s="31">
        <v>21541</v>
      </c>
      <c r="C292" s="16">
        <v>4640201205635</v>
      </c>
      <c r="D292" s="226" t="s">
        <v>7448</v>
      </c>
      <c r="E292" s="69">
        <v>5</v>
      </c>
      <c r="F292" s="222"/>
      <c r="G292" s="108">
        <v>524</v>
      </c>
      <c r="H292" s="17">
        <v>550</v>
      </c>
      <c r="I292" s="18">
        <v>580</v>
      </c>
      <c r="J292" s="113" t="s">
        <v>483</v>
      </c>
      <c r="K292" s="44" t="s">
        <v>367</v>
      </c>
      <c r="L292" s="442" t="s">
        <v>2929</v>
      </c>
      <c r="M292" s="480" t="s">
        <v>104</v>
      </c>
      <c r="N292" s="1015"/>
      <c r="O292" s="210"/>
      <c r="P292" s="68" t="s">
        <v>53</v>
      </c>
      <c r="Q292" s="100">
        <f t="shared" si="66"/>
        <v>0</v>
      </c>
      <c r="R292" s="1095" t="str">
        <f t="shared" si="76"/>
        <v>Фото &gt;&gt;</v>
      </c>
      <c r="S292" s="14" t="s">
        <v>7310</v>
      </c>
      <c r="U292" s="4"/>
      <c r="V292" s="4"/>
      <c r="AG292" s="84"/>
      <c r="AH292" s="84"/>
      <c r="AK292">
        <v>0.18</v>
      </c>
      <c r="AL292">
        <f t="shared" si="57"/>
        <v>0</v>
      </c>
      <c r="AM292">
        <f t="shared" si="58"/>
        <v>0</v>
      </c>
      <c r="AN292">
        <f t="shared" si="59"/>
        <v>0</v>
      </c>
      <c r="AO292" t="s">
        <v>7311</v>
      </c>
      <c r="AV292" t="str">
        <f>IF(F292&gt;0,(COUNT($AV$1:AV291)+1),"")</f>
        <v/>
      </c>
    </row>
    <row r="293" spans="1:48" ht="15" customHeight="1" x14ac:dyDescent="0.25">
      <c r="A293" s="1"/>
      <c r="B293" s="30">
        <v>21190</v>
      </c>
      <c r="C293" s="20">
        <v>4640201205277</v>
      </c>
      <c r="D293" s="225" t="s">
        <v>7274</v>
      </c>
      <c r="E293" s="67">
        <v>2</v>
      </c>
      <c r="F293" s="222"/>
      <c r="G293" s="107">
        <v>579.79999999999995</v>
      </c>
      <c r="H293" s="21">
        <v>601.79999999999995</v>
      </c>
      <c r="I293" s="22">
        <v>637</v>
      </c>
      <c r="J293" s="112" t="s">
        <v>483</v>
      </c>
      <c r="K293" s="45" t="s">
        <v>367</v>
      </c>
      <c r="L293" s="437" t="s">
        <v>2929</v>
      </c>
      <c r="M293" s="474" t="s">
        <v>1856</v>
      </c>
      <c r="N293" s="1013"/>
      <c r="O293" s="212"/>
      <c r="P293" s="66" t="s">
        <v>53</v>
      </c>
      <c r="Q293" s="100">
        <f t="shared" si="66"/>
        <v>0</v>
      </c>
      <c r="R293" s="1095" t="str">
        <f t="shared" si="76"/>
        <v>Фото &gt;&gt;</v>
      </c>
      <c r="S293" s="14" t="s">
        <v>6256</v>
      </c>
      <c r="U293" s="4"/>
      <c r="V293" s="4"/>
      <c r="AG293" s="84"/>
      <c r="AH293" s="84"/>
      <c r="AK293">
        <v>0.1</v>
      </c>
      <c r="AL293">
        <f t="shared" ref="AL293:AL297" si="77">F293*G293</f>
        <v>0</v>
      </c>
      <c r="AM293">
        <f t="shared" ref="AM293:AM297" si="78">F293*H293</f>
        <v>0</v>
      </c>
      <c r="AN293">
        <f t="shared" ref="AN293:AN297" si="79">AK293*F293+IF(E293&gt;1.01,F293/E293*0.2,0)</f>
        <v>0</v>
      </c>
      <c r="AO293" t="s">
        <v>6257</v>
      </c>
      <c r="AV293" t="str">
        <f>IF(F293&gt;0,(COUNT($AV$1:AV292)+1),"")</f>
        <v/>
      </c>
    </row>
    <row r="294" spans="1:48" ht="15" customHeight="1" x14ac:dyDescent="0.25">
      <c r="A294" s="1"/>
      <c r="B294" s="31">
        <v>21470</v>
      </c>
      <c r="C294" s="16">
        <v>4640201206403</v>
      </c>
      <c r="D294" s="422" t="s">
        <v>6887</v>
      </c>
      <c r="E294" s="69">
        <v>3</v>
      </c>
      <c r="F294" s="222"/>
      <c r="G294" s="108">
        <v>453.6</v>
      </c>
      <c r="H294" s="17">
        <v>474.6</v>
      </c>
      <c r="I294" s="18">
        <v>515.79999999999995</v>
      </c>
      <c r="J294" s="113" t="s">
        <v>483</v>
      </c>
      <c r="K294" s="44" t="s">
        <v>367</v>
      </c>
      <c r="L294" s="442"/>
      <c r="M294" s="480"/>
      <c r="N294" s="1015"/>
      <c r="O294" s="210" t="s">
        <v>1637</v>
      </c>
      <c r="P294" s="68" t="s">
        <v>53</v>
      </c>
      <c r="Q294" s="100">
        <f t="shared" si="66"/>
        <v>0</v>
      </c>
      <c r="R294" s="1095" t="str">
        <f t="shared" si="76"/>
        <v>Фото &gt;&gt;</v>
      </c>
      <c r="S294" s="14" t="s">
        <v>6892</v>
      </c>
      <c r="U294" s="4"/>
      <c r="V294" s="4"/>
      <c r="AG294" s="84"/>
      <c r="AH294" s="84"/>
      <c r="AK294">
        <v>0.24</v>
      </c>
      <c r="AL294">
        <f t="shared" si="77"/>
        <v>0</v>
      </c>
      <c r="AM294">
        <f t="shared" si="78"/>
        <v>0</v>
      </c>
      <c r="AN294">
        <f t="shared" si="79"/>
        <v>0</v>
      </c>
      <c r="AO294" t="s">
        <v>6893</v>
      </c>
      <c r="AV294" t="str">
        <f>IF(F294&gt;0,(COUNT($AV$1:AV293)+1),"")</f>
        <v/>
      </c>
    </row>
    <row r="295" spans="1:48" ht="15" customHeight="1" x14ac:dyDescent="0.25">
      <c r="A295" s="1"/>
      <c r="B295" s="30">
        <v>21471</v>
      </c>
      <c r="C295" s="20">
        <v>4640201206397</v>
      </c>
      <c r="D295" s="421" t="s">
        <v>6888</v>
      </c>
      <c r="E295" s="67">
        <v>3</v>
      </c>
      <c r="F295" s="222"/>
      <c r="G295" s="107">
        <v>453.6</v>
      </c>
      <c r="H295" s="21">
        <v>474.6</v>
      </c>
      <c r="I295" s="22">
        <v>515.79999999999995</v>
      </c>
      <c r="J295" s="112" t="s">
        <v>483</v>
      </c>
      <c r="K295" s="45" t="s">
        <v>367</v>
      </c>
      <c r="L295" s="437"/>
      <c r="M295" s="474"/>
      <c r="N295" s="1013"/>
      <c r="O295" s="209" t="s">
        <v>1637</v>
      </c>
      <c r="P295" s="66" t="s">
        <v>53</v>
      </c>
      <c r="Q295" s="100">
        <f t="shared" si="66"/>
        <v>0</v>
      </c>
      <c r="R295" s="1095" t="str">
        <f t="shared" si="76"/>
        <v>Фото &gt;&gt;</v>
      </c>
      <c r="S295" s="14" t="s">
        <v>6891</v>
      </c>
      <c r="U295" s="4"/>
      <c r="V295" s="4"/>
      <c r="AG295" s="84"/>
      <c r="AH295" s="84"/>
      <c r="AK295">
        <v>0.24</v>
      </c>
      <c r="AL295">
        <f t="shared" si="77"/>
        <v>0</v>
      </c>
      <c r="AM295">
        <f t="shared" si="78"/>
        <v>0</v>
      </c>
      <c r="AN295">
        <f t="shared" si="79"/>
        <v>0</v>
      </c>
      <c r="AO295" t="s">
        <v>6894</v>
      </c>
      <c r="AV295" t="str">
        <f>IF(F295&gt;0,(COUNT($AV$1:AV294)+1),"")</f>
        <v/>
      </c>
    </row>
    <row r="296" spans="1:48" ht="15" customHeight="1" x14ac:dyDescent="0.25">
      <c r="A296" s="1"/>
      <c r="B296" s="31">
        <v>21472</v>
      </c>
      <c r="C296" s="16">
        <v>4640201206380</v>
      </c>
      <c r="D296" s="422" t="s">
        <v>6889</v>
      </c>
      <c r="E296" s="69">
        <v>3</v>
      </c>
      <c r="F296" s="222"/>
      <c r="G296" s="108">
        <v>453.6</v>
      </c>
      <c r="H296" s="17">
        <v>474.6</v>
      </c>
      <c r="I296" s="18">
        <v>515.79999999999995</v>
      </c>
      <c r="J296" s="113" t="s">
        <v>483</v>
      </c>
      <c r="K296" s="44" t="s">
        <v>367</v>
      </c>
      <c r="L296" s="442"/>
      <c r="M296" s="480"/>
      <c r="N296" s="1015"/>
      <c r="O296" s="210" t="s">
        <v>1637</v>
      </c>
      <c r="P296" s="68" t="s">
        <v>53</v>
      </c>
      <c r="Q296" s="100">
        <f t="shared" si="66"/>
        <v>0</v>
      </c>
      <c r="R296" s="1095" t="str">
        <f t="shared" si="76"/>
        <v>Фото &gt;&gt;</v>
      </c>
      <c r="S296" s="14" t="s">
        <v>6890</v>
      </c>
      <c r="U296" s="4"/>
      <c r="V296" s="4"/>
      <c r="AG296" s="84"/>
      <c r="AH296" s="84"/>
      <c r="AK296">
        <v>0.24</v>
      </c>
      <c r="AL296">
        <f t="shared" si="77"/>
        <v>0</v>
      </c>
      <c r="AM296">
        <f t="shared" si="78"/>
        <v>0</v>
      </c>
      <c r="AN296">
        <f t="shared" si="79"/>
        <v>0</v>
      </c>
      <c r="AO296" t="s">
        <v>6895</v>
      </c>
      <c r="AV296" t="str">
        <f>IF(F296&gt;0,(COUNT($AV$1:AV295)+1),"")</f>
        <v/>
      </c>
    </row>
    <row r="297" spans="1:48" ht="15" customHeight="1" x14ac:dyDescent="0.25">
      <c r="A297" s="1"/>
      <c r="B297" s="795">
        <v>14879</v>
      </c>
      <c r="C297" s="796">
        <v>4680013873721</v>
      </c>
      <c r="D297" s="797" t="s">
        <v>4017</v>
      </c>
      <c r="E297" s="798">
        <v>5</v>
      </c>
      <c r="F297" s="789"/>
      <c r="G297" s="810">
        <v>435.9</v>
      </c>
      <c r="H297" s="799">
        <v>452.4</v>
      </c>
      <c r="I297" s="800">
        <v>478.8</v>
      </c>
      <c r="J297" s="801" t="s">
        <v>483</v>
      </c>
      <c r="K297" s="802" t="s">
        <v>4016</v>
      </c>
      <c r="L297" s="803" t="s">
        <v>2929</v>
      </c>
      <c r="M297" s="804" t="s">
        <v>104</v>
      </c>
      <c r="N297" s="1006" t="s">
        <v>1856</v>
      </c>
      <c r="O297" s="805"/>
      <c r="P297" s="806" t="s">
        <v>53</v>
      </c>
      <c r="Q297" s="100">
        <f t="shared" si="66"/>
        <v>0</v>
      </c>
      <c r="R297" s="1095" t="str">
        <f t="shared" si="76"/>
        <v>Фото &gt;&gt;</v>
      </c>
      <c r="S297" s="14" t="s">
        <v>4468</v>
      </c>
      <c r="U297" s="4"/>
      <c r="V297" s="4"/>
      <c r="AG297" s="84"/>
      <c r="AH297" s="84"/>
      <c r="AK297">
        <v>0.12</v>
      </c>
      <c r="AL297">
        <f t="shared" si="77"/>
        <v>0</v>
      </c>
      <c r="AM297">
        <f t="shared" si="78"/>
        <v>0</v>
      </c>
      <c r="AN297">
        <f t="shared" si="79"/>
        <v>0</v>
      </c>
      <c r="AO297" t="s">
        <v>5365</v>
      </c>
      <c r="AV297" t="str">
        <f>IF(F297&gt;0,(COUNT($AV$1:AV296)+1),"")</f>
        <v/>
      </c>
    </row>
    <row r="298" spans="1:48" ht="15" customHeight="1" x14ac:dyDescent="0.25">
      <c r="A298" s="1"/>
      <c r="B298" s="30">
        <v>21205</v>
      </c>
      <c r="C298" s="20">
        <v>4640201205420</v>
      </c>
      <c r="D298" s="225" t="s">
        <v>6279</v>
      </c>
      <c r="E298" s="67">
        <v>8</v>
      </c>
      <c r="F298" s="222"/>
      <c r="G298" s="107">
        <v>443.2</v>
      </c>
      <c r="H298" s="21">
        <v>460</v>
      </c>
      <c r="I298" s="22">
        <v>486.8</v>
      </c>
      <c r="J298" s="112" t="s">
        <v>483</v>
      </c>
      <c r="K298" s="45" t="s">
        <v>4016</v>
      </c>
      <c r="L298" s="437" t="s">
        <v>2924</v>
      </c>
      <c r="M298" s="474" t="s">
        <v>1856</v>
      </c>
      <c r="N298" s="1013"/>
      <c r="O298" s="209"/>
      <c r="P298" s="66" t="s">
        <v>53</v>
      </c>
      <c r="Q298" s="100">
        <f t="shared" si="66"/>
        <v>0</v>
      </c>
      <c r="R298" s="13" t="str">
        <f t="shared" si="76"/>
        <v>Фото &gt;&gt;</v>
      </c>
      <c r="S298" s="14" t="s">
        <v>6280</v>
      </c>
      <c r="U298" s="4"/>
      <c r="V298" s="4"/>
      <c r="AG298" s="84"/>
      <c r="AH298" s="84"/>
      <c r="AK298">
        <v>0.12</v>
      </c>
      <c r="AL298">
        <f t="shared" si="57"/>
        <v>0</v>
      </c>
      <c r="AM298">
        <f t="shared" si="58"/>
        <v>0</v>
      </c>
      <c r="AN298">
        <f t="shared" si="59"/>
        <v>0</v>
      </c>
      <c r="AO298" t="s">
        <v>6281</v>
      </c>
      <c r="AV298" t="str">
        <f>IF(F298&gt;0,(COUNT($AV$1:AV297)+1),"")</f>
        <v/>
      </c>
    </row>
    <row r="299" spans="1:48" ht="15" customHeight="1" x14ac:dyDescent="0.25">
      <c r="A299" s="1"/>
      <c r="B299" s="31">
        <v>20754</v>
      </c>
      <c r="C299" s="16">
        <v>4640201201552</v>
      </c>
      <c r="D299" s="226" t="s">
        <v>4466</v>
      </c>
      <c r="E299" s="69">
        <v>10</v>
      </c>
      <c r="F299" s="222"/>
      <c r="G299" s="108">
        <v>292</v>
      </c>
      <c r="H299" s="17">
        <v>303</v>
      </c>
      <c r="I299" s="18">
        <v>320.7</v>
      </c>
      <c r="J299" s="113" t="s">
        <v>483</v>
      </c>
      <c r="K299" s="44" t="s">
        <v>4016</v>
      </c>
      <c r="L299" s="442" t="s">
        <v>2924</v>
      </c>
      <c r="M299" s="480" t="s">
        <v>1856</v>
      </c>
      <c r="N299" s="1015"/>
      <c r="O299" s="210"/>
      <c r="P299" s="68" t="s">
        <v>53</v>
      </c>
      <c r="Q299" s="100">
        <f t="shared" si="66"/>
        <v>0</v>
      </c>
      <c r="R299" s="1095" t="str">
        <f t="shared" si="76"/>
        <v>Фото &gt;&gt;</v>
      </c>
      <c r="S299" s="14" t="s">
        <v>4467</v>
      </c>
      <c r="U299" s="4"/>
      <c r="V299" s="4"/>
      <c r="AG299" s="84"/>
      <c r="AH299" s="84"/>
      <c r="AK299">
        <v>7.4999999999999997E-2</v>
      </c>
      <c r="AL299">
        <f t="shared" si="57"/>
        <v>0</v>
      </c>
      <c r="AM299">
        <f t="shared" si="58"/>
        <v>0</v>
      </c>
      <c r="AN299">
        <f t="shared" si="59"/>
        <v>0</v>
      </c>
      <c r="AO299" t="s">
        <v>4469</v>
      </c>
      <c r="AV299" t="str">
        <f>IF(F299&gt;0,(COUNT($AV$1:AV298)+1),"")</f>
        <v/>
      </c>
    </row>
    <row r="300" spans="1:48" ht="15" customHeight="1" x14ac:dyDescent="0.25">
      <c r="A300" s="1"/>
      <c r="B300" s="30">
        <v>20546</v>
      </c>
      <c r="C300" s="20">
        <v>4640201202405</v>
      </c>
      <c r="D300" s="225" t="s">
        <v>4010</v>
      </c>
      <c r="E300" s="67">
        <v>10</v>
      </c>
      <c r="F300" s="222"/>
      <c r="G300" s="107">
        <v>286.8</v>
      </c>
      <c r="H300" s="21">
        <v>297.60000000000002</v>
      </c>
      <c r="I300" s="22">
        <v>315</v>
      </c>
      <c r="J300" s="112" t="s">
        <v>483</v>
      </c>
      <c r="K300" s="45" t="s">
        <v>4016</v>
      </c>
      <c r="L300" s="437" t="s">
        <v>2929</v>
      </c>
      <c r="M300" s="474" t="s">
        <v>104</v>
      </c>
      <c r="N300" s="1013"/>
      <c r="O300" s="310"/>
      <c r="P300" s="66" t="s">
        <v>53</v>
      </c>
      <c r="Q300" s="100">
        <f t="shared" ref="Q300:Q309" si="80">IF(AND($AO$234=1,MOD(F300,E300)=0),F300*G300,IF($AO$234&lt;=2,F300*H300,F300*I300))</f>
        <v>0</v>
      </c>
      <c r="R300" s="1095" t="str">
        <f t="shared" si="76"/>
        <v>Фото &gt;&gt;</v>
      </c>
      <c r="S300" s="14" t="s">
        <v>4011</v>
      </c>
      <c r="U300" s="4"/>
      <c r="V300" s="4"/>
      <c r="AG300" s="84"/>
      <c r="AH300" s="84"/>
      <c r="AK300">
        <v>7.0000000000000007E-2</v>
      </c>
      <c r="AL300">
        <f t="shared" si="57"/>
        <v>0</v>
      </c>
      <c r="AM300">
        <f t="shared" si="58"/>
        <v>0</v>
      </c>
      <c r="AN300">
        <f t="shared" si="59"/>
        <v>0</v>
      </c>
      <c r="AO300" t="s">
        <v>4012</v>
      </c>
      <c r="AV300" t="str">
        <f>IF(F300&gt;0,(COUNT($AV$1:AV299)+1),"")</f>
        <v/>
      </c>
    </row>
    <row r="301" spans="1:48" ht="15" customHeight="1" x14ac:dyDescent="0.25">
      <c r="A301" s="1"/>
      <c r="B301" s="31">
        <v>20547</v>
      </c>
      <c r="C301" s="16">
        <v>4640201202412</v>
      </c>
      <c r="D301" s="226" t="s">
        <v>4013</v>
      </c>
      <c r="E301" s="69">
        <v>10</v>
      </c>
      <c r="F301" s="222"/>
      <c r="G301" s="108">
        <v>286.8</v>
      </c>
      <c r="H301" s="17">
        <v>297.60000000000002</v>
      </c>
      <c r="I301" s="18">
        <v>315</v>
      </c>
      <c r="J301" s="113" t="s">
        <v>483</v>
      </c>
      <c r="K301" s="44" t="s">
        <v>4016</v>
      </c>
      <c r="L301" s="442" t="s">
        <v>2929</v>
      </c>
      <c r="M301" s="480" t="s">
        <v>104</v>
      </c>
      <c r="N301" s="1015" t="s">
        <v>1856</v>
      </c>
      <c r="O301" s="574"/>
      <c r="P301" s="68" t="s">
        <v>53</v>
      </c>
      <c r="Q301" s="100">
        <f t="shared" si="80"/>
        <v>0</v>
      </c>
      <c r="R301" s="1095" t="str">
        <f t="shared" si="76"/>
        <v>Фото &gt;&gt;</v>
      </c>
      <c r="S301" s="14" t="s">
        <v>4015</v>
      </c>
      <c r="U301" s="4"/>
      <c r="V301" s="4"/>
      <c r="AG301" s="84"/>
      <c r="AH301" s="84"/>
      <c r="AK301">
        <v>7.0000000000000007E-2</v>
      </c>
      <c r="AL301">
        <f t="shared" si="57"/>
        <v>0</v>
      </c>
      <c r="AM301">
        <f t="shared" si="58"/>
        <v>0</v>
      </c>
      <c r="AN301">
        <f t="shared" si="59"/>
        <v>0</v>
      </c>
      <c r="AO301" t="s">
        <v>4014</v>
      </c>
      <c r="AV301" t="str">
        <f>IF(F301&gt;0,(COUNT($AV$1:AV300)+1),"")</f>
        <v/>
      </c>
    </row>
    <row r="302" spans="1:48" ht="15" customHeight="1" x14ac:dyDescent="0.25">
      <c r="A302" s="1"/>
      <c r="B302" s="30">
        <v>20542</v>
      </c>
      <c r="C302" s="20">
        <v>4640201201514</v>
      </c>
      <c r="D302" s="421" t="s">
        <v>4004</v>
      </c>
      <c r="E302" s="67">
        <v>10</v>
      </c>
      <c r="F302" s="222"/>
      <c r="G302" s="419">
        <v>76.7</v>
      </c>
      <c r="H302" s="417">
        <v>79.599999999999994</v>
      </c>
      <c r="I302" s="418">
        <v>84.2</v>
      </c>
      <c r="J302" s="112" t="s">
        <v>483</v>
      </c>
      <c r="K302" s="45" t="s">
        <v>4016</v>
      </c>
      <c r="L302" s="437" t="s">
        <v>2929</v>
      </c>
      <c r="M302" s="474" t="s">
        <v>104</v>
      </c>
      <c r="N302" s="1013" t="s">
        <v>1856</v>
      </c>
      <c r="O302" s="209" t="s">
        <v>7434</v>
      </c>
      <c r="P302" s="66" t="s">
        <v>53</v>
      </c>
      <c r="Q302" s="100">
        <f t="shared" si="80"/>
        <v>0</v>
      </c>
      <c r="R302" s="1095" t="str">
        <f t="shared" si="76"/>
        <v>Фото &gt;&gt;</v>
      </c>
      <c r="S302" s="14" t="s">
        <v>4007</v>
      </c>
      <c r="U302" s="4"/>
      <c r="V302" s="4"/>
      <c r="AG302" s="84"/>
      <c r="AH302" s="84"/>
      <c r="AK302">
        <v>7.4999999999999997E-2</v>
      </c>
      <c r="AL302">
        <f t="shared" si="57"/>
        <v>0</v>
      </c>
      <c r="AM302">
        <f t="shared" si="58"/>
        <v>0</v>
      </c>
      <c r="AN302">
        <f t="shared" si="59"/>
        <v>0</v>
      </c>
      <c r="AO302" t="s">
        <v>4005</v>
      </c>
      <c r="AV302" t="str">
        <f>IF(F302&gt;0,(COUNT($AV$1:AV301)+1),"")</f>
        <v/>
      </c>
    </row>
    <row r="303" spans="1:48" ht="15" customHeight="1" x14ac:dyDescent="0.25">
      <c r="A303" s="1"/>
      <c r="B303" s="31">
        <v>20753</v>
      </c>
      <c r="C303" s="16">
        <v>4640201201354</v>
      </c>
      <c r="D303" s="226" t="s">
        <v>4463</v>
      </c>
      <c r="E303" s="69">
        <v>10</v>
      </c>
      <c r="F303" s="222"/>
      <c r="G303" s="108">
        <v>271.10000000000002</v>
      </c>
      <c r="H303" s="17">
        <v>281.39999999999998</v>
      </c>
      <c r="I303" s="18">
        <v>297.8</v>
      </c>
      <c r="J303" s="113" t="s">
        <v>483</v>
      </c>
      <c r="K303" s="44" t="s">
        <v>4016</v>
      </c>
      <c r="L303" s="442" t="s">
        <v>2924</v>
      </c>
      <c r="M303" s="480" t="s">
        <v>1856</v>
      </c>
      <c r="N303" s="1015"/>
      <c r="O303" s="210"/>
      <c r="P303" s="68" t="s">
        <v>53</v>
      </c>
      <c r="Q303" s="100">
        <f t="shared" si="80"/>
        <v>0</v>
      </c>
      <c r="R303" s="1095" t="str">
        <f t="shared" si="76"/>
        <v>Фото &gt;&gt;</v>
      </c>
      <c r="S303" s="14" t="s">
        <v>4464</v>
      </c>
      <c r="U303" s="4"/>
      <c r="V303" s="4"/>
      <c r="AG303" s="84"/>
      <c r="AH303" s="84"/>
      <c r="AK303">
        <v>7.4999999999999997E-2</v>
      </c>
      <c r="AL303">
        <f t="shared" si="57"/>
        <v>0</v>
      </c>
      <c r="AM303">
        <f t="shared" si="58"/>
        <v>0</v>
      </c>
      <c r="AN303">
        <f t="shared" si="59"/>
        <v>0</v>
      </c>
      <c r="AO303" t="s">
        <v>4465</v>
      </c>
      <c r="AV303" t="str">
        <f>IF(F303&gt;0,(COUNT($AV$1:AV302)+1),"")</f>
        <v/>
      </c>
    </row>
    <row r="304" spans="1:48" ht="15" customHeight="1" x14ac:dyDescent="0.25">
      <c r="A304" s="1"/>
      <c r="B304" s="578">
        <v>20470</v>
      </c>
      <c r="C304" s="579">
        <v>4640201201347</v>
      </c>
      <c r="D304" s="595" t="s">
        <v>7331</v>
      </c>
      <c r="E304" s="580">
        <v>10</v>
      </c>
      <c r="F304" s="1094"/>
      <c r="G304" s="582">
        <v>271.10000000000002</v>
      </c>
      <c r="H304" s="583">
        <v>281.39999999999998</v>
      </c>
      <c r="I304" s="584">
        <v>297.8</v>
      </c>
      <c r="J304" s="585" t="s">
        <v>483</v>
      </c>
      <c r="K304" s="586" t="s">
        <v>4016</v>
      </c>
      <c r="L304" s="437" t="s">
        <v>2924</v>
      </c>
      <c r="M304" s="474" t="s">
        <v>1856</v>
      </c>
      <c r="N304" s="1013"/>
      <c r="O304" s="212" t="s">
        <v>1690</v>
      </c>
      <c r="P304" s="66" t="s">
        <v>53</v>
      </c>
      <c r="Q304" s="100">
        <f t="shared" si="80"/>
        <v>0</v>
      </c>
      <c r="R304" s="1095" t="str">
        <f t="shared" si="76"/>
        <v>Фото &gt;&gt;</v>
      </c>
      <c r="S304" s="14" t="s">
        <v>3932</v>
      </c>
      <c r="U304" s="4"/>
      <c r="V304" s="4"/>
      <c r="AG304" s="84"/>
      <c r="AH304" s="84"/>
      <c r="AK304">
        <v>7.4999999999999997E-2</v>
      </c>
      <c r="AL304">
        <f t="shared" si="57"/>
        <v>0</v>
      </c>
      <c r="AM304">
        <f t="shared" si="58"/>
        <v>0</v>
      </c>
      <c r="AN304">
        <f t="shared" si="59"/>
        <v>0</v>
      </c>
      <c r="AO304" t="s">
        <v>3933</v>
      </c>
      <c r="AV304" t="str">
        <f>IF(F304&gt;0,(COUNT($AV$1:AV303)+1),"")</f>
        <v/>
      </c>
    </row>
    <row r="305" spans="1:48" ht="15" customHeight="1" x14ac:dyDescent="0.25">
      <c r="A305" s="1"/>
      <c r="B305" s="31">
        <v>19881</v>
      </c>
      <c r="C305" s="16">
        <v>4630049334628</v>
      </c>
      <c r="D305" s="226" t="s">
        <v>4018</v>
      </c>
      <c r="E305" s="69">
        <v>10</v>
      </c>
      <c r="F305" s="222"/>
      <c r="G305" s="108">
        <v>239.8</v>
      </c>
      <c r="H305" s="17">
        <v>248.9</v>
      </c>
      <c r="I305" s="18">
        <v>263.5</v>
      </c>
      <c r="J305" s="113" t="s">
        <v>483</v>
      </c>
      <c r="K305" s="44" t="s">
        <v>4016</v>
      </c>
      <c r="L305" s="442" t="s">
        <v>2924</v>
      </c>
      <c r="M305" s="480" t="s">
        <v>104</v>
      </c>
      <c r="N305" s="1015"/>
      <c r="O305" s="217"/>
      <c r="P305" s="68" t="s">
        <v>53</v>
      </c>
      <c r="Q305" s="100">
        <f t="shared" si="80"/>
        <v>0</v>
      </c>
      <c r="R305" s="1095" t="str">
        <f t="shared" si="76"/>
        <v>Фото &gt;&gt;</v>
      </c>
      <c r="S305" s="14" t="s">
        <v>3328</v>
      </c>
      <c r="U305" s="4"/>
      <c r="V305" s="4"/>
      <c r="AG305" s="84"/>
      <c r="AH305" s="84"/>
      <c r="AK305">
        <v>7.0000000000000007E-2</v>
      </c>
      <c r="AL305">
        <f t="shared" si="57"/>
        <v>0</v>
      </c>
      <c r="AM305">
        <f t="shared" si="58"/>
        <v>0</v>
      </c>
      <c r="AN305">
        <f t="shared" si="59"/>
        <v>0</v>
      </c>
      <c r="AO305" t="s">
        <v>2584</v>
      </c>
      <c r="AV305" t="str">
        <f>IF(F305&gt;0,(COUNT($AV$1:AV304)+1),"")</f>
        <v/>
      </c>
    </row>
    <row r="306" spans="1:48" ht="15" customHeight="1" x14ac:dyDescent="0.25">
      <c r="A306" s="1"/>
      <c r="B306" s="30">
        <v>19763</v>
      </c>
      <c r="C306" s="20">
        <v>4630049334604</v>
      </c>
      <c r="D306" s="225" t="s">
        <v>4019</v>
      </c>
      <c r="E306" s="67">
        <v>10</v>
      </c>
      <c r="F306" s="222"/>
      <c r="G306" s="107">
        <v>239.8</v>
      </c>
      <c r="H306" s="21">
        <v>248.9</v>
      </c>
      <c r="I306" s="22">
        <v>263.5</v>
      </c>
      <c r="J306" s="112" t="s">
        <v>483</v>
      </c>
      <c r="K306" s="45" t="s">
        <v>4016</v>
      </c>
      <c r="L306" s="437" t="s">
        <v>2924</v>
      </c>
      <c r="M306" s="474" t="s">
        <v>104</v>
      </c>
      <c r="N306" s="1013" t="s">
        <v>1856</v>
      </c>
      <c r="O306" s="212"/>
      <c r="P306" s="66" t="s">
        <v>53</v>
      </c>
      <c r="Q306" s="100">
        <f t="shared" si="80"/>
        <v>0</v>
      </c>
      <c r="R306" s="1095" t="str">
        <f t="shared" si="76"/>
        <v>Фото &gt;&gt;</v>
      </c>
      <c r="S306" s="14" t="s">
        <v>3329</v>
      </c>
      <c r="U306" s="4"/>
      <c r="V306" s="4"/>
      <c r="AG306" s="84"/>
      <c r="AH306" s="84"/>
      <c r="AK306">
        <v>7.0000000000000007E-2</v>
      </c>
      <c r="AL306">
        <f t="shared" si="57"/>
        <v>0</v>
      </c>
      <c r="AM306">
        <f t="shared" si="58"/>
        <v>0</v>
      </c>
      <c r="AN306">
        <f t="shared" si="59"/>
        <v>0</v>
      </c>
      <c r="AO306" t="s">
        <v>2585</v>
      </c>
      <c r="AV306" t="str">
        <f>IF(F306&gt;0,(COUNT($AV$1:AV305)+1),"")</f>
        <v/>
      </c>
    </row>
    <row r="307" spans="1:48" ht="15" customHeight="1" x14ac:dyDescent="0.25">
      <c r="A307" s="1"/>
      <c r="B307" s="31">
        <v>19765</v>
      </c>
      <c r="C307" s="16">
        <v>4630049334611</v>
      </c>
      <c r="D307" s="226" t="s">
        <v>4020</v>
      </c>
      <c r="E307" s="69">
        <v>10</v>
      </c>
      <c r="F307" s="222"/>
      <c r="G307" s="108">
        <v>239.8</v>
      </c>
      <c r="H307" s="17">
        <v>248.9</v>
      </c>
      <c r="I307" s="18">
        <v>263.5</v>
      </c>
      <c r="J307" s="113" t="s">
        <v>483</v>
      </c>
      <c r="K307" s="44" t="s">
        <v>4016</v>
      </c>
      <c r="L307" s="442" t="s">
        <v>2924</v>
      </c>
      <c r="M307" s="480" t="s">
        <v>104</v>
      </c>
      <c r="N307" s="1015" t="s">
        <v>1856</v>
      </c>
      <c r="O307" s="217"/>
      <c r="P307" s="68" t="s">
        <v>53</v>
      </c>
      <c r="Q307" s="100">
        <f t="shared" si="80"/>
        <v>0</v>
      </c>
      <c r="R307" s="1095" t="str">
        <f t="shared" si="76"/>
        <v>Фото &gt;&gt;</v>
      </c>
      <c r="S307" s="14" t="s">
        <v>3330</v>
      </c>
      <c r="U307" s="4"/>
      <c r="V307" s="4"/>
      <c r="AG307" s="84"/>
      <c r="AH307" s="84"/>
      <c r="AK307">
        <v>7.0000000000000007E-2</v>
      </c>
      <c r="AL307">
        <f t="shared" si="57"/>
        <v>0</v>
      </c>
      <c r="AM307">
        <f t="shared" si="58"/>
        <v>0</v>
      </c>
      <c r="AN307">
        <f t="shared" si="59"/>
        <v>0</v>
      </c>
      <c r="AO307" t="s">
        <v>2586</v>
      </c>
      <c r="AV307" t="str">
        <f>IF(F307&gt;0,(COUNT($AV$1:AV306)+1),"")</f>
        <v/>
      </c>
    </row>
    <row r="308" spans="1:48" ht="15" customHeight="1" x14ac:dyDescent="0.25">
      <c r="A308" s="1"/>
      <c r="B308" s="30">
        <v>19824</v>
      </c>
      <c r="C308" s="20">
        <v>4630049334598</v>
      </c>
      <c r="D308" s="225" t="s">
        <v>7564</v>
      </c>
      <c r="E308" s="67">
        <v>10</v>
      </c>
      <c r="F308" s="222"/>
      <c r="G308" s="107">
        <v>292</v>
      </c>
      <c r="H308" s="21">
        <v>303</v>
      </c>
      <c r="I308" s="22">
        <v>320.7</v>
      </c>
      <c r="J308" s="112" t="s">
        <v>483</v>
      </c>
      <c r="K308" s="45" t="s">
        <v>4016</v>
      </c>
      <c r="L308" s="437" t="s">
        <v>2924</v>
      </c>
      <c r="M308" s="474" t="s">
        <v>104</v>
      </c>
      <c r="N308" s="1013"/>
      <c r="O308" s="212"/>
      <c r="P308" s="66" t="s">
        <v>53</v>
      </c>
      <c r="Q308" s="100">
        <f t="shared" si="80"/>
        <v>0</v>
      </c>
      <c r="R308" s="1095" t="str">
        <f t="shared" si="76"/>
        <v>Фото &gt;&gt;</v>
      </c>
      <c r="S308" s="14" t="s">
        <v>3334</v>
      </c>
      <c r="U308" s="4"/>
      <c r="V308" s="4"/>
      <c r="AG308" s="84"/>
      <c r="AH308" s="84"/>
      <c r="AK308">
        <v>0.09</v>
      </c>
      <c r="AL308">
        <f t="shared" si="57"/>
        <v>0</v>
      </c>
      <c r="AM308">
        <f t="shared" si="58"/>
        <v>0</v>
      </c>
      <c r="AN308">
        <f t="shared" si="59"/>
        <v>0</v>
      </c>
      <c r="AO308" t="s">
        <v>2587</v>
      </c>
      <c r="AV308" t="str">
        <f>IF(F308&gt;0,(COUNT($AV$1:AV307)+1),"")</f>
        <v/>
      </c>
    </row>
    <row r="309" spans="1:48" ht="15" customHeight="1" x14ac:dyDescent="0.25">
      <c r="A309" s="1"/>
      <c r="B309" s="31">
        <v>19766</v>
      </c>
      <c r="C309" s="16">
        <v>4630049334581</v>
      </c>
      <c r="D309" s="226" t="s">
        <v>4021</v>
      </c>
      <c r="E309" s="69">
        <v>10</v>
      </c>
      <c r="F309" s="1094"/>
      <c r="G309" s="108">
        <v>292</v>
      </c>
      <c r="H309" s="17">
        <v>303</v>
      </c>
      <c r="I309" s="18">
        <v>320.7</v>
      </c>
      <c r="J309" s="113" t="s">
        <v>483</v>
      </c>
      <c r="K309" s="44" t="s">
        <v>4016</v>
      </c>
      <c r="L309" s="442" t="s">
        <v>2924</v>
      </c>
      <c r="M309" s="480" t="s">
        <v>104</v>
      </c>
      <c r="N309" s="1015" t="s">
        <v>1856</v>
      </c>
      <c r="O309" s="217"/>
      <c r="P309" s="68" t="s">
        <v>53</v>
      </c>
      <c r="Q309" s="100">
        <f t="shared" si="80"/>
        <v>0</v>
      </c>
      <c r="R309" s="1095" t="str">
        <f t="shared" si="76"/>
        <v>Фото &gt;&gt;</v>
      </c>
      <c r="S309" s="14" t="s">
        <v>3335</v>
      </c>
      <c r="U309" s="4"/>
      <c r="V309" s="4"/>
      <c r="AG309" s="84"/>
      <c r="AH309" s="84"/>
      <c r="AK309">
        <v>7.0000000000000007E-2</v>
      </c>
      <c r="AL309">
        <f t="shared" si="57"/>
        <v>0</v>
      </c>
      <c r="AM309">
        <f t="shared" si="58"/>
        <v>0</v>
      </c>
      <c r="AN309">
        <f t="shared" si="59"/>
        <v>0</v>
      </c>
      <c r="AO309" t="s">
        <v>2581</v>
      </c>
      <c r="AV309" t="str">
        <f>IF(F309&gt;0,(COUNT($AV$1:AV308)+1),"")</f>
        <v/>
      </c>
    </row>
    <row r="310" spans="1:48" ht="15" customHeight="1" x14ac:dyDescent="0.25">
      <c r="A310" s="1"/>
      <c r="B310" s="25"/>
      <c r="C310" s="26"/>
      <c r="D310" s="27" t="s">
        <v>1625</v>
      </c>
      <c r="E310" s="80"/>
      <c r="F310" s="96"/>
      <c r="G310" s="28"/>
      <c r="H310" s="29"/>
      <c r="I310" s="29"/>
      <c r="J310" s="51"/>
      <c r="K310" s="47"/>
      <c r="L310" s="447"/>
      <c r="M310" s="489" t="s">
        <v>104</v>
      </c>
      <c r="N310" s="716"/>
      <c r="O310" s="186"/>
      <c r="P310" s="79"/>
      <c r="Q310" s="104"/>
      <c r="R310" s="1095" t="str">
        <f t="shared" si="76"/>
        <v>Фото &gt;&gt;</v>
      </c>
      <c r="S310" s="14"/>
      <c r="AG310" s="84"/>
      <c r="AH310" s="84"/>
      <c r="AL310">
        <f t="shared" si="57"/>
        <v>0</v>
      </c>
      <c r="AM310">
        <f t="shared" si="58"/>
        <v>0</v>
      </c>
      <c r="AN310">
        <f t="shared" si="59"/>
        <v>0</v>
      </c>
      <c r="AO310" t="s">
        <v>104</v>
      </c>
      <c r="AV310" t="str">
        <f>IF(F310&gt;0,(COUNT($AV$1:AV309)+1),"")</f>
        <v/>
      </c>
    </row>
    <row r="311" spans="1:48" ht="15" customHeight="1" x14ac:dyDescent="0.25">
      <c r="A311" s="1"/>
      <c r="B311" s="30">
        <v>19474</v>
      </c>
      <c r="C311" s="20">
        <v>4630049336660</v>
      </c>
      <c r="D311" s="225" t="s">
        <v>1864</v>
      </c>
      <c r="E311" s="85">
        <v>8</v>
      </c>
      <c r="F311" s="222"/>
      <c r="G311" s="107">
        <v>134.5</v>
      </c>
      <c r="H311" s="21">
        <v>139.6</v>
      </c>
      <c r="I311" s="22">
        <v>147.80000000000001</v>
      </c>
      <c r="J311" s="112" t="s">
        <v>483</v>
      </c>
      <c r="K311" s="45" t="s">
        <v>442</v>
      </c>
      <c r="L311" s="437"/>
      <c r="M311" s="474" t="s">
        <v>104</v>
      </c>
      <c r="N311" s="1013" t="s">
        <v>1856</v>
      </c>
      <c r="O311" s="212" t="s">
        <v>1566</v>
      </c>
      <c r="P311" s="66" t="s">
        <v>125</v>
      </c>
      <c r="Q311" s="100">
        <f t="shared" ref="Q311:Q327" si="81">IF(AND($AO$234=1,MOD(F311,E311)=0),F311*G311,IF($AO$234&lt;=2,F311*H311,F311*I311))</f>
        <v>0</v>
      </c>
      <c r="R311" s="1095" t="str">
        <f t="shared" si="76"/>
        <v>Фото &gt;&gt;</v>
      </c>
      <c r="S311" s="14" t="s">
        <v>502</v>
      </c>
      <c r="AG311" s="84"/>
      <c r="AH311" s="84"/>
      <c r="AK311">
        <v>0.14000000000000001</v>
      </c>
      <c r="AL311">
        <f t="shared" si="57"/>
        <v>0</v>
      </c>
      <c r="AM311">
        <f t="shared" si="58"/>
        <v>0</v>
      </c>
      <c r="AN311">
        <f t="shared" si="59"/>
        <v>0</v>
      </c>
      <c r="AO311" t="s">
        <v>3337</v>
      </c>
      <c r="AV311" t="str">
        <f>IF(F311&gt;0,(COUNT($AV$1:AV310)+1),"")</f>
        <v/>
      </c>
    </row>
    <row r="312" spans="1:48" ht="15" customHeight="1" x14ac:dyDescent="0.25">
      <c r="A312" s="1"/>
      <c r="B312" s="31">
        <v>14586</v>
      </c>
      <c r="C312" s="16">
        <v>4680013872588</v>
      </c>
      <c r="D312" s="226" t="s">
        <v>3830</v>
      </c>
      <c r="E312" s="86">
        <v>8</v>
      </c>
      <c r="F312" s="222"/>
      <c r="G312" s="108">
        <v>161.6</v>
      </c>
      <c r="H312" s="17">
        <v>167.8</v>
      </c>
      <c r="I312" s="18">
        <v>177.6</v>
      </c>
      <c r="J312" s="113" t="s">
        <v>483</v>
      </c>
      <c r="K312" s="44" t="s">
        <v>442</v>
      </c>
      <c r="L312" s="442"/>
      <c r="M312" s="480" t="s">
        <v>104</v>
      </c>
      <c r="N312" s="1015" t="s">
        <v>1856</v>
      </c>
      <c r="O312" s="217" t="s">
        <v>1566</v>
      </c>
      <c r="P312" s="68" t="s">
        <v>125</v>
      </c>
      <c r="Q312" s="100">
        <f t="shared" si="81"/>
        <v>0</v>
      </c>
      <c r="R312" s="1095" t="str">
        <f t="shared" si="76"/>
        <v>Фото &gt;&gt;</v>
      </c>
      <c r="S312" s="14" t="s">
        <v>503</v>
      </c>
      <c r="AG312" s="84"/>
      <c r="AH312" s="84"/>
      <c r="AK312">
        <v>0.18</v>
      </c>
      <c r="AL312">
        <f t="shared" si="57"/>
        <v>0</v>
      </c>
      <c r="AM312">
        <f t="shared" si="58"/>
        <v>0</v>
      </c>
      <c r="AN312">
        <f t="shared" si="59"/>
        <v>0</v>
      </c>
      <c r="AO312" t="s">
        <v>4812</v>
      </c>
      <c r="AV312" t="str">
        <f>IF(F312&gt;0,(COUNT($AV$1:AV311)+1),"")</f>
        <v/>
      </c>
    </row>
    <row r="313" spans="1:48" ht="15" customHeight="1" x14ac:dyDescent="0.25">
      <c r="A313" s="1"/>
      <c r="B313" s="30">
        <v>16517</v>
      </c>
      <c r="C313" s="20">
        <v>4680013878627</v>
      </c>
      <c r="D313" s="225" t="s">
        <v>3946</v>
      </c>
      <c r="E313" s="85">
        <v>8</v>
      </c>
      <c r="F313" s="222"/>
      <c r="G313" s="107">
        <v>183.5</v>
      </c>
      <c r="H313" s="21">
        <v>190.5</v>
      </c>
      <c r="I313" s="22">
        <v>201.6</v>
      </c>
      <c r="J313" s="112" t="s">
        <v>483</v>
      </c>
      <c r="K313" s="45" t="s">
        <v>442</v>
      </c>
      <c r="L313" s="437"/>
      <c r="M313" s="474" t="s">
        <v>104</v>
      </c>
      <c r="N313" s="1013" t="s">
        <v>1856</v>
      </c>
      <c r="O313" s="212" t="s">
        <v>1566</v>
      </c>
      <c r="P313" s="66" t="s">
        <v>125</v>
      </c>
      <c r="Q313" s="100">
        <f t="shared" si="81"/>
        <v>0</v>
      </c>
      <c r="R313" s="1095" t="str">
        <f t="shared" si="76"/>
        <v>Фото &gt;&gt;</v>
      </c>
      <c r="S313" s="14" t="s">
        <v>504</v>
      </c>
      <c r="AG313" s="84"/>
      <c r="AH313" s="84"/>
      <c r="AK313">
        <v>0.18</v>
      </c>
      <c r="AL313">
        <f t="shared" si="57"/>
        <v>0</v>
      </c>
      <c r="AM313">
        <f t="shared" si="58"/>
        <v>0</v>
      </c>
      <c r="AN313">
        <f t="shared" si="59"/>
        <v>0</v>
      </c>
      <c r="AO313" t="s">
        <v>4813</v>
      </c>
      <c r="AV313" t="str">
        <f>IF(F313&gt;0,(COUNT($AV$1:AV312)+1),"")</f>
        <v/>
      </c>
    </row>
    <row r="314" spans="1:48" ht="15" customHeight="1" x14ac:dyDescent="0.25">
      <c r="A314" s="1"/>
      <c r="B314" s="31">
        <v>16518</v>
      </c>
      <c r="C314" s="16">
        <v>4680013877866</v>
      </c>
      <c r="D314" s="226" t="s">
        <v>3947</v>
      </c>
      <c r="E314" s="86">
        <v>8</v>
      </c>
      <c r="F314" s="222"/>
      <c r="G314" s="108">
        <v>161.6</v>
      </c>
      <c r="H314" s="17">
        <v>167.8</v>
      </c>
      <c r="I314" s="18">
        <v>177.6</v>
      </c>
      <c r="J314" s="113" t="s">
        <v>483</v>
      </c>
      <c r="K314" s="44" t="s">
        <v>442</v>
      </c>
      <c r="L314" s="442"/>
      <c r="M314" s="480" t="s">
        <v>104</v>
      </c>
      <c r="N314" s="1015" t="s">
        <v>1856</v>
      </c>
      <c r="O314" s="217" t="s">
        <v>1566</v>
      </c>
      <c r="P314" s="68" t="s">
        <v>125</v>
      </c>
      <c r="Q314" s="100">
        <f t="shared" si="81"/>
        <v>0</v>
      </c>
      <c r="R314" s="1095" t="str">
        <f t="shared" si="76"/>
        <v>Фото &gt;&gt;</v>
      </c>
      <c r="S314" s="14" t="s">
        <v>505</v>
      </c>
      <c r="AG314" s="84"/>
      <c r="AH314" s="84"/>
      <c r="AK314">
        <v>0.17</v>
      </c>
      <c r="AL314">
        <f t="shared" si="57"/>
        <v>0</v>
      </c>
      <c r="AM314">
        <f t="shared" si="58"/>
        <v>0</v>
      </c>
      <c r="AN314">
        <f t="shared" si="59"/>
        <v>0</v>
      </c>
      <c r="AO314" t="s">
        <v>3336</v>
      </c>
      <c r="AV314" t="str">
        <f>IF(F314&gt;0,(COUNT($AV$1:AV313)+1),"")</f>
        <v/>
      </c>
    </row>
    <row r="315" spans="1:48" ht="15" customHeight="1" x14ac:dyDescent="0.25">
      <c r="A315" s="1"/>
      <c r="B315" s="30">
        <v>19334</v>
      </c>
      <c r="C315" s="20">
        <v>4630049336257</v>
      </c>
      <c r="D315" s="225" t="s">
        <v>1825</v>
      </c>
      <c r="E315" s="85">
        <v>8</v>
      </c>
      <c r="F315" s="222"/>
      <c r="G315" s="107">
        <v>195</v>
      </c>
      <c r="H315" s="21">
        <v>202.4</v>
      </c>
      <c r="I315" s="22">
        <v>214.2</v>
      </c>
      <c r="J315" s="112" t="s">
        <v>483</v>
      </c>
      <c r="K315" s="45" t="s">
        <v>442</v>
      </c>
      <c r="L315" s="437"/>
      <c r="M315" s="474" t="s">
        <v>104</v>
      </c>
      <c r="N315" s="1013" t="s">
        <v>1856</v>
      </c>
      <c r="O315" s="212" t="s">
        <v>1566</v>
      </c>
      <c r="P315" s="66" t="s">
        <v>125</v>
      </c>
      <c r="Q315" s="100">
        <f t="shared" si="81"/>
        <v>0</v>
      </c>
      <c r="R315" s="1095" t="str">
        <f t="shared" si="76"/>
        <v>Фото &gt;&gt;</v>
      </c>
      <c r="S315" s="14" t="s">
        <v>3281</v>
      </c>
      <c r="AG315" s="84"/>
      <c r="AH315" s="84"/>
      <c r="AK315">
        <v>0.18</v>
      </c>
      <c r="AL315">
        <f t="shared" si="57"/>
        <v>0</v>
      </c>
      <c r="AM315">
        <f t="shared" si="58"/>
        <v>0</v>
      </c>
      <c r="AN315">
        <f t="shared" si="59"/>
        <v>0</v>
      </c>
      <c r="AO315" t="s">
        <v>2588</v>
      </c>
      <c r="AV315" t="str">
        <f>IF(F315&gt;0,(COUNT($AV$1:AV314)+1),"")</f>
        <v/>
      </c>
    </row>
    <row r="316" spans="1:48" ht="15" customHeight="1" x14ac:dyDescent="0.25">
      <c r="A316" s="1"/>
      <c r="B316" s="31">
        <v>16519</v>
      </c>
      <c r="C316" s="16">
        <v>4680013878634</v>
      </c>
      <c r="D316" s="226" t="s">
        <v>1979</v>
      </c>
      <c r="E316" s="86">
        <v>8</v>
      </c>
      <c r="F316" s="222"/>
      <c r="G316" s="108">
        <v>164.8</v>
      </c>
      <c r="H316" s="17">
        <v>171</v>
      </c>
      <c r="I316" s="18">
        <v>181</v>
      </c>
      <c r="J316" s="113" t="s">
        <v>483</v>
      </c>
      <c r="K316" s="44" t="s">
        <v>442</v>
      </c>
      <c r="L316" s="442"/>
      <c r="M316" s="480" t="s">
        <v>104</v>
      </c>
      <c r="N316" s="1015" t="s">
        <v>1856</v>
      </c>
      <c r="O316" s="217" t="s">
        <v>1566</v>
      </c>
      <c r="P316" s="68" t="s">
        <v>125</v>
      </c>
      <c r="Q316" s="100">
        <f t="shared" si="81"/>
        <v>0</v>
      </c>
      <c r="R316" s="1095" t="str">
        <f t="shared" si="76"/>
        <v>Фото &gt;&gt;</v>
      </c>
      <c r="S316" s="14" t="s">
        <v>508</v>
      </c>
      <c r="AG316" s="84"/>
      <c r="AH316" s="84"/>
      <c r="AK316">
        <v>0.2</v>
      </c>
      <c r="AL316">
        <f t="shared" si="57"/>
        <v>0</v>
      </c>
      <c r="AM316">
        <f t="shared" si="58"/>
        <v>0</v>
      </c>
      <c r="AN316">
        <f t="shared" si="59"/>
        <v>0</v>
      </c>
      <c r="AO316" t="s">
        <v>5368</v>
      </c>
      <c r="AV316" t="str">
        <f>IF(F316&gt;0,(COUNT($AV$1:AV315)+1),"")</f>
        <v/>
      </c>
    </row>
    <row r="317" spans="1:48" ht="15" customHeight="1" x14ac:dyDescent="0.25">
      <c r="A317" s="1"/>
      <c r="B317" s="30">
        <v>14849</v>
      </c>
      <c r="C317" s="20">
        <v>4680013874674</v>
      </c>
      <c r="D317" s="225" t="s">
        <v>506</v>
      </c>
      <c r="E317" s="67">
        <v>5</v>
      </c>
      <c r="F317" s="222"/>
      <c r="G317" s="107">
        <v>416.1</v>
      </c>
      <c r="H317" s="21">
        <v>431.8</v>
      </c>
      <c r="I317" s="22">
        <v>457.1</v>
      </c>
      <c r="J317" s="112" t="s">
        <v>483</v>
      </c>
      <c r="K317" s="45" t="s">
        <v>442</v>
      </c>
      <c r="L317" s="437"/>
      <c r="M317" s="474" t="s">
        <v>104</v>
      </c>
      <c r="N317" s="1013" t="s">
        <v>1856</v>
      </c>
      <c r="O317" s="209"/>
      <c r="P317" s="66" t="s">
        <v>53</v>
      </c>
      <c r="Q317" s="100">
        <f t="shared" si="81"/>
        <v>0</v>
      </c>
      <c r="R317" s="1095" t="str">
        <f t="shared" si="76"/>
        <v>Фото &gt;&gt;</v>
      </c>
      <c r="S317" s="14" t="s">
        <v>3339</v>
      </c>
      <c r="AG317" s="84"/>
      <c r="AH317" s="84"/>
      <c r="AK317">
        <v>0.25</v>
      </c>
      <c r="AL317">
        <f t="shared" si="57"/>
        <v>0</v>
      </c>
      <c r="AM317">
        <f t="shared" si="58"/>
        <v>0</v>
      </c>
      <c r="AN317">
        <f t="shared" si="59"/>
        <v>0</v>
      </c>
      <c r="AO317" t="s">
        <v>3338</v>
      </c>
      <c r="AV317" t="str">
        <f>IF(F317&gt;0,(COUNT($AV$1:AV316)+1),"")</f>
        <v/>
      </c>
    </row>
    <row r="318" spans="1:48" ht="15" customHeight="1" x14ac:dyDescent="0.25">
      <c r="A318" s="1"/>
      <c r="B318" s="31">
        <v>14650</v>
      </c>
      <c r="C318" s="16">
        <v>4680013874599</v>
      </c>
      <c r="D318" s="154" t="s">
        <v>507</v>
      </c>
      <c r="E318" s="69">
        <v>5</v>
      </c>
      <c r="F318" s="222"/>
      <c r="G318" s="108">
        <v>227.3</v>
      </c>
      <c r="H318" s="17">
        <v>235.9</v>
      </c>
      <c r="I318" s="18">
        <v>249.7</v>
      </c>
      <c r="J318" s="113" t="s">
        <v>483</v>
      </c>
      <c r="K318" s="44" t="s">
        <v>442</v>
      </c>
      <c r="L318" s="442"/>
      <c r="M318" s="480" t="s">
        <v>104</v>
      </c>
      <c r="N318" s="1015" t="s">
        <v>1856</v>
      </c>
      <c r="O318" s="217"/>
      <c r="P318" s="68" t="s">
        <v>53</v>
      </c>
      <c r="Q318" s="100">
        <f t="shared" si="81"/>
        <v>0</v>
      </c>
      <c r="R318" s="1095" t="str">
        <f t="shared" ref="R318:R327" si="82">IF(AO318&gt;0,HYPERLINK(AO318,"Фото &gt;&gt;"),"")</f>
        <v>Фото &gt;&gt;</v>
      </c>
      <c r="S318" s="14" t="s">
        <v>3340</v>
      </c>
      <c r="AG318" s="84"/>
      <c r="AH318" s="84"/>
      <c r="AK318">
        <v>0.18</v>
      </c>
      <c r="AL318">
        <f t="shared" si="57"/>
        <v>0</v>
      </c>
      <c r="AM318">
        <f t="shared" si="58"/>
        <v>0</v>
      </c>
      <c r="AN318">
        <f t="shared" si="59"/>
        <v>0</v>
      </c>
      <c r="AO318" t="s">
        <v>4814</v>
      </c>
      <c r="AV318" t="str">
        <f>IF(F318&gt;0,(COUNT($AV$1:AV317)+1),"")</f>
        <v/>
      </c>
    </row>
    <row r="319" spans="1:48" ht="15" customHeight="1" x14ac:dyDescent="0.25">
      <c r="A319" s="1"/>
      <c r="B319" s="30">
        <v>20057</v>
      </c>
      <c r="C319" s="20">
        <v>4680013875923</v>
      </c>
      <c r="D319" s="225" t="s">
        <v>5759</v>
      </c>
      <c r="E319" s="67">
        <v>5</v>
      </c>
      <c r="F319" s="222"/>
      <c r="G319" s="107">
        <v>368.1</v>
      </c>
      <c r="H319" s="21">
        <v>382.1</v>
      </c>
      <c r="I319" s="22">
        <v>404.4</v>
      </c>
      <c r="J319" s="112" t="s">
        <v>483</v>
      </c>
      <c r="K319" s="45" t="s">
        <v>442</v>
      </c>
      <c r="L319" s="437"/>
      <c r="M319" s="474"/>
      <c r="N319" s="1013" t="s">
        <v>1856</v>
      </c>
      <c r="O319" s="209"/>
      <c r="P319" s="66" t="s">
        <v>53</v>
      </c>
      <c r="Q319" s="100">
        <f t="shared" si="81"/>
        <v>0</v>
      </c>
      <c r="R319" s="1095" t="str">
        <f t="shared" si="82"/>
        <v>Фото &gt;&gt;</v>
      </c>
      <c r="S319" s="14" t="s">
        <v>5627</v>
      </c>
      <c r="AG319" s="84"/>
      <c r="AH319" s="84"/>
      <c r="AK319">
        <v>0.23</v>
      </c>
      <c r="AL319">
        <f t="shared" si="57"/>
        <v>0</v>
      </c>
      <c r="AM319">
        <f t="shared" si="58"/>
        <v>0</v>
      </c>
      <c r="AN319">
        <f t="shared" si="59"/>
        <v>0</v>
      </c>
      <c r="AO319" t="s">
        <v>5628</v>
      </c>
      <c r="AV319" t="str">
        <f>IF(F319&gt;0,(COUNT($AV$1:AV318)+1),"")</f>
        <v/>
      </c>
    </row>
    <row r="320" spans="1:48" ht="15" customHeight="1" x14ac:dyDescent="0.25">
      <c r="A320" s="1"/>
      <c r="B320" s="32">
        <v>21560</v>
      </c>
      <c r="C320" s="33">
        <v>4640201207042</v>
      </c>
      <c r="D320" s="615" t="s">
        <v>7323</v>
      </c>
      <c r="E320" s="71">
        <v>6</v>
      </c>
      <c r="F320" s="223"/>
      <c r="G320" s="109">
        <v>158.5</v>
      </c>
      <c r="H320" s="34">
        <v>169</v>
      </c>
      <c r="I320" s="35">
        <v>187</v>
      </c>
      <c r="J320" s="114" t="s">
        <v>483</v>
      </c>
      <c r="K320" s="57" t="s">
        <v>442</v>
      </c>
      <c r="L320" s="438"/>
      <c r="M320" s="484"/>
      <c r="N320" s="1008" t="s">
        <v>1856</v>
      </c>
      <c r="O320" s="219" t="s">
        <v>1637</v>
      </c>
      <c r="P320" s="70" t="s">
        <v>53</v>
      </c>
      <c r="Q320" s="100">
        <f t="shared" si="81"/>
        <v>0</v>
      </c>
      <c r="R320" s="1112" t="str">
        <f t="shared" si="82"/>
        <v>Фото &gt;&gt;</v>
      </c>
      <c r="S320" s="14" t="s">
        <v>7325</v>
      </c>
      <c r="AG320" s="84"/>
      <c r="AH320" s="84"/>
      <c r="AK320">
        <v>0.12</v>
      </c>
      <c r="AL320">
        <f t="shared" ref="AL320:AL321" si="83">F320*G320</f>
        <v>0</v>
      </c>
      <c r="AM320">
        <f t="shared" ref="AM320:AM321" si="84">F320*H320</f>
        <v>0</v>
      </c>
      <c r="AN320">
        <f t="shared" ref="AN320:AN321" si="85">AK320*F320+IF(E320&gt;1.01,F320/E320*0.2,0)</f>
        <v>0</v>
      </c>
      <c r="AO320" t="s">
        <v>7324</v>
      </c>
      <c r="AV320" t="str">
        <f>IF(F320&gt;0,(COUNT($AV$1:AV319)+1),"")</f>
        <v/>
      </c>
    </row>
    <row r="321" spans="1:48" ht="15" customHeight="1" x14ac:dyDescent="0.25">
      <c r="A321" s="1"/>
      <c r="B321" s="669">
        <v>14977</v>
      </c>
      <c r="C321" s="670">
        <v>4680013873776</v>
      </c>
      <c r="D321" s="671" t="s">
        <v>509</v>
      </c>
      <c r="E321" s="672">
        <v>8</v>
      </c>
      <c r="F321" s="673"/>
      <c r="G321" s="674">
        <v>346.2</v>
      </c>
      <c r="H321" s="675">
        <v>359.3</v>
      </c>
      <c r="I321" s="676">
        <v>380.3</v>
      </c>
      <c r="J321" s="899" t="s">
        <v>483</v>
      </c>
      <c r="K321" s="678" t="s">
        <v>428</v>
      </c>
      <c r="L321" s="679"/>
      <c r="M321" s="680" t="s">
        <v>1856</v>
      </c>
      <c r="N321" s="1027" t="s">
        <v>1856</v>
      </c>
      <c r="O321" s="681"/>
      <c r="P321" s="682" t="s">
        <v>53</v>
      </c>
      <c r="Q321" s="100">
        <f t="shared" si="81"/>
        <v>0</v>
      </c>
      <c r="R321" s="1095" t="str">
        <f t="shared" si="82"/>
        <v>Фото &gt;&gt;</v>
      </c>
      <c r="S321" s="14" t="s">
        <v>510</v>
      </c>
      <c r="AG321" s="84"/>
      <c r="AH321" s="84"/>
      <c r="AK321">
        <v>0.12</v>
      </c>
      <c r="AL321">
        <f t="shared" si="83"/>
        <v>0</v>
      </c>
      <c r="AM321">
        <f t="shared" si="84"/>
        <v>0</v>
      </c>
      <c r="AN321">
        <f t="shared" si="85"/>
        <v>0</v>
      </c>
      <c r="AO321" t="s">
        <v>3341</v>
      </c>
      <c r="AV321" t="str">
        <f>IF(F321&gt;0,(COUNT($AV$1:AV320)+1),"")</f>
        <v/>
      </c>
    </row>
    <row r="322" spans="1:48" ht="15" customHeight="1" x14ac:dyDescent="0.25">
      <c r="A322" s="1"/>
      <c r="B322" s="31">
        <v>15683</v>
      </c>
      <c r="C322" s="16">
        <v>4680013877941</v>
      </c>
      <c r="D322" s="154" t="s">
        <v>511</v>
      </c>
      <c r="E322" s="69">
        <v>8</v>
      </c>
      <c r="F322" s="222"/>
      <c r="G322" s="108">
        <v>302.39999999999998</v>
      </c>
      <c r="H322" s="17">
        <v>313.89999999999998</v>
      </c>
      <c r="I322" s="18">
        <v>332.2</v>
      </c>
      <c r="J322" s="113" t="s">
        <v>483</v>
      </c>
      <c r="K322" s="44" t="s">
        <v>428</v>
      </c>
      <c r="L322" s="442"/>
      <c r="M322" s="480" t="s">
        <v>1856</v>
      </c>
      <c r="N322" s="1015" t="s">
        <v>1856</v>
      </c>
      <c r="O322" s="217"/>
      <c r="P322" s="68" t="s">
        <v>53</v>
      </c>
      <c r="Q322" s="100">
        <f t="shared" si="81"/>
        <v>0</v>
      </c>
      <c r="R322" s="1095" t="str">
        <f t="shared" si="82"/>
        <v>Фото &gt;&gt;</v>
      </c>
      <c r="S322" s="14" t="s">
        <v>512</v>
      </c>
      <c r="AG322" s="84"/>
      <c r="AH322" s="84"/>
      <c r="AK322">
        <v>0.12</v>
      </c>
      <c r="AL322">
        <f t="shared" si="57"/>
        <v>0</v>
      </c>
      <c r="AM322">
        <f t="shared" si="58"/>
        <v>0</v>
      </c>
      <c r="AN322">
        <f t="shared" si="59"/>
        <v>0</v>
      </c>
      <c r="AO322" t="s">
        <v>3342</v>
      </c>
      <c r="AV322" t="str">
        <f>IF(F322&gt;0,(COUNT($AV$1:AV321)+1),"")</f>
        <v/>
      </c>
    </row>
    <row r="323" spans="1:48" ht="15" customHeight="1" x14ac:dyDescent="0.25">
      <c r="A323" s="1"/>
      <c r="B323" s="30">
        <v>15684</v>
      </c>
      <c r="C323" s="20">
        <v>4680013877958</v>
      </c>
      <c r="D323" s="225" t="s">
        <v>513</v>
      </c>
      <c r="E323" s="67">
        <v>8</v>
      </c>
      <c r="F323" s="222"/>
      <c r="G323" s="107">
        <v>302.39999999999998</v>
      </c>
      <c r="H323" s="21">
        <v>313.89999999999998</v>
      </c>
      <c r="I323" s="22">
        <v>332.2</v>
      </c>
      <c r="J323" s="112" t="s">
        <v>483</v>
      </c>
      <c r="K323" s="45" t="s">
        <v>428</v>
      </c>
      <c r="L323" s="437"/>
      <c r="M323" s="474" t="s">
        <v>1856</v>
      </c>
      <c r="N323" s="1013" t="s">
        <v>1856</v>
      </c>
      <c r="O323" s="209"/>
      <c r="P323" s="66" t="s">
        <v>53</v>
      </c>
      <c r="Q323" s="100">
        <f t="shared" si="81"/>
        <v>0</v>
      </c>
      <c r="R323" s="1095" t="str">
        <f t="shared" si="82"/>
        <v>Фото &gt;&gt;</v>
      </c>
      <c r="S323" s="14" t="s">
        <v>514</v>
      </c>
      <c r="AG323" s="84"/>
      <c r="AH323" s="84"/>
      <c r="AK323">
        <v>0.12</v>
      </c>
      <c r="AL323">
        <f t="shared" si="57"/>
        <v>0</v>
      </c>
      <c r="AM323">
        <f t="shared" si="58"/>
        <v>0</v>
      </c>
      <c r="AN323">
        <f t="shared" si="59"/>
        <v>0</v>
      </c>
      <c r="AO323" t="s">
        <v>3343</v>
      </c>
      <c r="AV323" t="str">
        <f>IF(F323&gt;0,(COUNT($AV$1:AV322)+1),"")</f>
        <v/>
      </c>
    </row>
    <row r="324" spans="1:48" ht="15" customHeight="1" x14ac:dyDescent="0.25">
      <c r="A324" s="1"/>
      <c r="B324" s="31">
        <v>14978</v>
      </c>
      <c r="C324" s="16">
        <v>4680013873769</v>
      </c>
      <c r="D324" s="154" t="s">
        <v>515</v>
      </c>
      <c r="E324" s="69">
        <v>8</v>
      </c>
      <c r="F324" s="222"/>
      <c r="G324" s="108">
        <v>358.7</v>
      </c>
      <c r="H324" s="17">
        <v>372.3</v>
      </c>
      <c r="I324" s="18">
        <v>394.1</v>
      </c>
      <c r="J324" s="113" t="s">
        <v>483</v>
      </c>
      <c r="K324" s="44" t="s">
        <v>428</v>
      </c>
      <c r="L324" s="442"/>
      <c r="M324" s="480" t="s">
        <v>1856</v>
      </c>
      <c r="N324" s="1015" t="s">
        <v>1856</v>
      </c>
      <c r="O324" s="217"/>
      <c r="P324" s="68" t="s">
        <v>53</v>
      </c>
      <c r="Q324" s="100">
        <f t="shared" si="81"/>
        <v>0</v>
      </c>
      <c r="R324" s="1095" t="str">
        <f t="shared" si="82"/>
        <v>Фото &gt;&gt;</v>
      </c>
      <c r="S324" s="14" t="s">
        <v>516</v>
      </c>
      <c r="AG324" s="84"/>
      <c r="AH324" s="84"/>
      <c r="AK324">
        <v>0.12</v>
      </c>
      <c r="AL324">
        <f t="shared" si="57"/>
        <v>0</v>
      </c>
      <c r="AM324">
        <f t="shared" si="58"/>
        <v>0</v>
      </c>
      <c r="AN324">
        <f t="shared" si="59"/>
        <v>0</v>
      </c>
      <c r="AO324" t="s">
        <v>3344</v>
      </c>
      <c r="AV324" t="str">
        <f>IF(F324&gt;0,(COUNT($AV$1:AV323)+1),"")</f>
        <v/>
      </c>
    </row>
    <row r="325" spans="1:48" ht="15" customHeight="1" x14ac:dyDescent="0.25">
      <c r="A325" s="1"/>
      <c r="B325" s="30">
        <v>15228</v>
      </c>
      <c r="C325" s="20">
        <v>4680013875855</v>
      </c>
      <c r="D325" s="225" t="s">
        <v>517</v>
      </c>
      <c r="E325" s="67">
        <v>8</v>
      </c>
      <c r="F325" s="222"/>
      <c r="G325" s="107">
        <v>358.7</v>
      </c>
      <c r="H325" s="21">
        <v>372.3</v>
      </c>
      <c r="I325" s="22">
        <v>394.1</v>
      </c>
      <c r="J325" s="112" t="s">
        <v>483</v>
      </c>
      <c r="K325" s="45" t="s">
        <v>428</v>
      </c>
      <c r="L325" s="437"/>
      <c r="M325" s="474" t="s">
        <v>1856</v>
      </c>
      <c r="N325" s="1013" t="s">
        <v>1856</v>
      </c>
      <c r="O325" s="209"/>
      <c r="P325" s="66" t="s">
        <v>53</v>
      </c>
      <c r="Q325" s="100">
        <f t="shared" si="81"/>
        <v>0</v>
      </c>
      <c r="R325" s="1095" t="str">
        <f t="shared" si="82"/>
        <v>Фото &gt;&gt;</v>
      </c>
      <c r="S325" s="14" t="s">
        <v>518</v>
      </c>
      <c r="AG325" s="84"/>
      <c r="AH325" s="84"/>
      <c r="AK325">
        <v>0.12</v>
      </c>
      <c r="AL325">
        <f t="shared" si="57"/>
        <v>0</v>
      </c>
      <c r="AM325">
        <f t="shared" si="58"/>
        <v>0</v>
      </c>
      <c r="AN325">
        <f t="shared" si="59"/>
        <v>0</v>
      </c>
      <c r="AO325" t="s">
        <v>3345</v>
      </c>
      <c r="AV325" t="str">
        <f>IF(F325&gt;0,(COUNT($AV$1:AV324)+1),"")</f>
        <v/>
      </c>
    </row>
    <row r="326" spans="1:48" ht="15" customHeight="1" x14ac:dyDescent="0.25">
      <c r="A326" s="1"/>
      <c r="B326" s="31">
        <v>14980</v>
      </c>
      <c r="C326" s="16">
        <v>4680013873752</v>
      </c>
      <c r="D326" s="154" t="s">
        <v>519</v>
      </c>
      <c r="E326" s="69">
        <v>8</v>
      </c>
      <c r="F326" s="222"/>
      <c r="G326" s="108">
        <v>346.2</v>
      </c>
      <c r="H326" s="17">
        <v>359.3</v>
      </c>
      <c r="I326" s="18">
        <v>380.3</v>
      </c>
      <c r="J326" s="113" t="s">
        <v>483</v>
      </c>
      <c r="K326" s="44" t="s">
        <v>428</v>
      </c>
      <c r="L326" s="442"/>
      <c r="M326" s="480" t="s">
        <v>1856</v>
      </c>
      <c r="N326" s="1015" t="s">
        <v>1856</v>
      </c>
      <c r="O326" s="217"/>
      <c r="P326" s="68" t="s">
        <v>53</v>
      </c>
      <c r="Q326" s="100">
        <f t="shared" si="81"/>
        <v>0</v>
      </c>
      <c r="R326" s="1095" t="str">
        <f t="shared" si="82"/>
        <v>Фото &gt;&gt;</v>
      </c>
      <c r="S326" s="14" t="s">
        <v>520</v>
      </c>
      <c r="AG326" s="84"/>
      <c r="AH326" s="84"/>
      <c r="AK326">
        <v>0.12</v>
      </c>
      <c r="AL326">
        <f t="shared" si="57"/>
        <v>0</v>
      </c>
      <c r="AM326">
        <f t="shared" si="58"/>
        <v>0</v>
      </c>
      <c r="AN326">
        <f t="shared" si="59"/>
        <v>0</v>
      </c>
      <c r="AO326" t="s">
        <v>3346</v>
      </c>
      <c r="AV326" t="str">
        <f>IF(F326&gt;0,(COUNT($AV$1:AV325)+1),"")</f>
        <v/>
      </c>
    </row>
    <row r="327" spans="1:48" ht="15" customHeight="1" x14ac:dyDescent="0.25">
      <c r="A327" s="1"/>
      <c r="B327" s="30">
        <v>14979</v>
      </c>
      <c r="C327" s="20">
        <v>4680013873745</v>
      </c>
      <c r="D327" s="225" t="s">
        <v>521</v>
      </c>
      <c r="E327" s="67">
        <v>8</v>
      </c>
      <c r="F327" s="222"/>
      <c r="G327" s="107">
        <v>358.7</v>
      </c>
      <c r="H327" s="21">
        <v>372.3</v>
      </c>
      <c r="I327" s="22">
        <v>394.1</v>
      </c>
      <c r="J327" s="112" t="s">
        <v>483</v>
      </c>
      <c r="K327" s="45" t="s">
        <v>428</v>
      </c>
      <c r="L327" s="437"/>
      <c r="M327" s="474" t="s">
        <v>1856</v>
      </c>
      <c r="N327" s="1013" t="s">
        <v>1856</v>
      </c>
      <c r="O327" s="209"/>
      <c r="P327" s="66" t="s">
        <v>53</v>
      </c>
      <c r="Q327" s="100">
        <f t="shared" si="81"/>
        <v>0</v>
      </c>
      <c r="R327" s="1095" t="str">
        <f t="shared" si="82"/>
        <v>Фото &gt;&gt;</v>
      </c>
      <c r="S327" s="14" t="s">
        <v>522</v>
      </c>
      <c r="AG327" s="84"/>
      <c r="AH327" s="84"/>
      <c r="AK327">
        <v>0.12</v>
      </c>
      <c r="AL327">
        <f t="shared" ref="AL327:AL351" si="86">F327*G327</f>
        <v>0</v>
      </c>
      <c r="AM327">
        <f t="shared" ref="AM327:AM351" si="87">F327*H327</f>
        <v>0</v>
      </c>
      <c r="AN327">
        <f t="shared" ref="AN327:AN337" si="88">AK327*F327+IF(E327&gt;1.01,F327/E327*0.2,0)</f>
        <v>0</v>
      </c>
      <c r="AO327" t="s">
        <v>3347</v>
      </c>
      <c r="AV327" t="str">
        <f>IF(F327&gt;0,(COUNT($AV$1:AV326)+1),"")</f>
        <v/>
      </c>
    </row>
    <row r="328" spans="1:48" ht="15" customHeight="1" x14ac:dyDescent="0.25">
      <c r="A328" s="1"/>
      <c r="B328" s="25"/>
      <c r="C328" s="26"/>
      <c r="D328" s="27" t="s">
        <v>5568</v>
      </c>
      <c r="E328" s="80"/>
      <c r="F328" s="96"/>
      <c r="G328" s="28"/>
      <c r="H328" s="29"/>
      <c r="I328" s="29"/>
      <c r="J328" s="51"/>
      <c r="K328" s="47"/>
      <c r="L328" s="447"/>
      <c r="M328" s="489" t="s">
        <v>104</v>
      </c>
      <c r="N328" s="716"/>
      <c r="O328" s="186"/>
      <c r="P328" s="79"/>
      <c r="Q328" s="104"/>
      <c r="R328" s="13"/>
      <c r="S328" s="14"/>
      <c r="AG328" s="84"/>
      <c r="AH328" s="84"/>
      <c r="AL328">
        <f t="shared" si="86"/>
        <v>0</v>
      </c>
      <c r="AM328">
        <f t="shared" si="87"/>
        <v>0</v>
      </c>
      <c r="AN328">
        <f t="shared" si="88"/>
        <v>0</v>
      </c>
      <c r="AO328" t="s">
        <v>104</v>
      </c>
      <c r="AV328" t="str">
        <f>IF(F328&gt;0,(COUNT($AV$1:AV327)+1),"")</f>
        <v/>
      </c>
    </row>
    <row r="329" spans="1:48" ht="15" customHeight="1" x14ac:dyDescent="0.25">
      <c r="A329" s="1"/>
      <c r="B329" s="30">
        <v>14578</v>
      </c>
      <c r="C329" s="20">
        <v>4680013872830</v>
      </c>
      <c r="D329" s="225" t="s">
        <v>526</v>
      </c>
      <c r="E329" s="67">
        <v>8</v>
      </c>
      <c r="F329" s="222"/>
      <c r="G329" s="107">
        <v>459.9</v>
      </c>
      <c r="H329" s="21">
        <v>477.3</v>
      </c>
      <c r="I329" s="22">
        <v>505.2</v>
      </c>
      <c r="J329" s="112" t="s">
        <v>483</v>
      </c>
      <c r="K329" s="45" t="s">
        <v>126</v>
      </c>
      <c r="L329" s="437"/>
      <c r="M329" s="474" t="s">
        <v>104</v>
      </c>
      <c r="N329" s="1013" t="s">
        <v>1856</v>
      </c>
      <c r="O329" s="212"/>
      <c r="P329" s="66" t="s">
        <v>53</v>
      </c>
      <c r="Q329" s="100">
        <f>IF(AND($AO$234=1,MOD(F329,E329)=0),F329*G329,IF($AO$234&lt;=2,F329*H329,F329*I329))</f>
        <v>0</v>
      </c>
      <c r="R329" s="1095" t="str">
        <f t="shared" ref="R329:R346" si="89">IF(AO329&gt;0,HYPERLINK(AO329,"Фото &gt;&gt;"),"")</f>
        <v>Фото &gt;&gt;</v>
      </c>
      <c r="S329" s="14" t="s">
        <v>527</v>
      </c>
      <c r="AG329" s="84"/>
      <c r="AH329" s="84"/>
      <c r="AK329">
        <v>0.23</v>
      </c>
      <c r="AL329">
        <f t="shared" si="86"/>
        <v>0</v>
      </c>
      <c r="AM329">
        <f t="shared" si="87"/>
        <v>0</v>
      </c>
      <c r="AN329">
        <f t="shared" si="88"/>
        <v>0</v>
      </c>
      <c r="AO329" t="s">
        <v>3348</v>
      </c>
      <c r="AV329" t="str">
        <f>IF(F329&gt;0,(COUNT($AV$1:AV328)+1),"")</f>
        <v/>
      </c>
    </row>
    <row r="330" spans="1:48" ht="15" customHeight="1" x14ac:dyDescent="0.25">
      <c r="A330" s="1"/>
      <c r="B330" s="31">
        <v>17845</v>
      </c>
      <c r="C330" s="16">
        <v>4680013877880</v>
      </c>
      <c r="D330" s="226" t="s">
        <v>7433</v>
      </c>
      <c r="E330" s="69">
        <v>10</v>
      </c>
      <c r="F330" s="223"/>
      <c r="G330" s="108">
        <v>427</v>
      </c>
      <c r="H330" s="17">
        <v>449</v>
      </c>
      <c r="I330" s="18">
        <v>480</v>
      </c>
      <c r="J330" s="113" t="s">
        <v>483</v>
      </c>
      <c r="K330" s="44" t="s">
        <v>373</v>
      </c>
      <c r="L330" s="442"/>
      <c r="M330" s="480" t="s">
        <v>1856</v>
      </c>
      <c r="N330" s="1015" t="s">
        <v>1856</v>
      </c>
      <c r="O330" s="217"/>
      <c r="P330" s="68" t="s">
        <v>72</v>
      </c>
      <c r="Q330" s="100">
        <f>IF(AND($AO$234=1,MOD(F330,E330)=0),F330*G330,IF($AO$234&lt;=2,F330*H330,F330*I330))</f>
        <v>0</v>
      </c>
      <c r="R330" s="1095" t="str">
        <f t="shared" si="89"/>
        <v>Фото &gt;&gt;</v>
      </c>
      <c r="S330" s="14" t="s">
        <v>2021</v>
      </c>
      <c r="AG330" s="84"/>
      <c r="AH330" s="84"/>
      <c r="AK330">
        <v>0.11</v>
      </c>
      <c r="AL330">
        <f t="shared" si="86"/>
        <v>0</v>
      </c>
      <c r="AM330">
        <f t="shared" si="87"/>
        <v>0</v>
      </c>
      <c r="AN330">
        <f t="shared" si="88"/>
        <v>0</v>
      </c>
      <c r="AO330" t="s">
        <v>2589</v>
      </c>
      <c r="AV330" t="str">
        <f>IF(F330&gt;0,(COUNT($AV$1:AV329)+1),"")</f>
        <v/>
      </c>
    </row>
    <row r="331" spans="1:48" ht="15" customHeight="1" x14ac:dyDescent="0.25">
      <c r="A331" s="1"/>
      <c r="B331" s="25"/>
      <c r="C331" s="26"/>
      <c r="D331" s="27" t="s">
        <v>374</v>
      </c>
      <c r="E331" s="80"/>
      <c r="F331" s="96"/>
      <c r="G331" s="28"/>
      <c r="H331" s="29"/>
      <c r="I331" s="29"/>
      <c r="J331" s="51"/>
      <c r="K331" s="47"/>
      <c r="L331" s="447"/>
      <c r="M331" s="489" t="s">
        <v>104</v>
      </c>
      <c r="N331" s="716"/>
      <c r="O331" s="186"/>
      <c r="P331" s="79"/>
      <c r="Q331" s="104"/>
      <c r="R331" s="1095" t="str">
        <f t="shared" si="89"/>
        <v>Фото &gt;&gt;</v>
      </c>
      <c r="S331" s="14"/>
      <c r="AG331" s="84"/>
      <c r="AH331" s="84"/>
      <c r="AL331">
        <f t="shared" si="86"/>
        <v>0</v>
      </c>
      <c r="AM331">
        <f t="shared" si="87"/>
        <v>0</v>
      </c>
      <c r="AN331">
        <f t="shared" si="88"/>
        <v>0</v>
      </c>
      <c r="AO331" t="s">
        <v>104</v>
      </c>
      <c r="AV331" t="str">
        <f>IF(F331&gt;0,(COUNT($AV$1:AV330)+1),"")</f>
        <v/>
      </c>
    </row>
    <row r="332" spans="1:48" ht="15" customHeight="1" x14ac:dyDescent="0.25">
      <c r="A332" s="1"/>
      <c r="B332" s="30">
        <v>20034</v>
      </c>
      <c r="C332" s="20">
        <v>4630049337018</v>
      </c>
      <c r="D332" s="225" t="s">
        <v>2183</v>
      </c>
      <c r="E332" s="67">
        <v>25</v>
      </c>
      <c r="F332" s="222"/>
      <c r="G332" s="107">
        <v>114.7</v>
      </c>
      <c r="H332" s="21">
        <v>119.1</v>
      </c>
      <c r="I332" s="22">
        <v>126</v>
      </c>
      <c r="J332" s="112" t="s">
        <v>483</v>
      </c>
      <c r="K332" s="45" t="s">
        <v>374</v>
      </c>
      <c r="L332" s="437"/>
      <c r="M332" s="474" t="s">
        <v>1856</v>
      </c>
      <c r="N332" s="1013" t="s">
        <v>1856</v>
      </c>
      <c r="O332" s="212"/>
      <c r="P332" s="66" t="s">
        <v>53</v>
      </c>
      <c r="Q332" s="100">
        <f t="shared" ref="Q332:Q337" si="90">IF(AND($AO$234=1,MOD(F332,E332)=0),F332*G332,IF($AO$234&lt;=2,F332*H332,F332*I332))</f>
        <v>0</v>
      </c>
      <c r="R332" s="1095" t="str">
        <f t="shared" si="89"/>
        <v>Фото &gt;&gt;</v>
      </c>
      <c r="S332" s="14" t="s">
        <v>2156</v>
      </c>
      <c r="AG332" s="84"/>
      <c r="AH332" s="84"/>
      <c r="AK332">
        <v>0.03</v>
      </c>
      <c r="AL332">
        <f t="shared" si="86"/>
        <v>0</v>
      </c>
      <c r="AM332">
        <f t="shared" si="87"/>
        <v>0</v>
      </c>
      <c r="AN332">
        <f t="shared" si="88"/>
        <v>0</v>
      </c>
      <c r="AO332" t="s">
        <v>2590</v>
      </c>
      <c r="AV332" t="str">
        <f>IF(F332&gt;0,(COUNT($AV$1:AV331)+1),"")</f>
        <v/>
      </c>
    </row>
    <row r="333" spans="1:48" ht="15" customHeight="1" x14ac:dyDescent="0.25">
      <c r="A333" s="1"/>
      <c r="B333" s="31">
        <v>19614</v>
      </c>
      <c r="C333" s="16">
        <v>4630049336998</v>
      </c>
      <c r="D333" s="226" t="s">
        <v>2023</v>
      </c>
      <c r="E333" s="69">
        <v>25</v>
      </c>
      <c r="F333" s="223"/>
      <c r="G333" s="108">
        <v>114.7</v>
      </c>
      <c r="H333" s="17">
        <v>119.1</v>
      </c>
      <c r="I333" s="18">
        <v>126</v>
      </c>
      <c r="J333" s="113" t="s">
        <v>483</v>
      </c>
      <c r="K333" s="44" t="s">
        <v>374</v>
      </c>
      <c r="L333" s="442"/>
      <c r="M333" s="480" t="s">
        <v>1856</v>
      </c>
      <c r="N333" s="1015" t="s">
        <v>1856</v>
      </c>
      <c r="O333" s="217"/>
      <c r="P333" s="68" t="s">
        <v>53</v>
      </c>
      <c r="Q333" s="100">
        <f t="shared" si="90"/>
        <v>0</v>
      </c>
      <c r="R333" s="1095" t="str">
        <f t="shared" si="89"/>
        <v>Фото &gt;&gt;</v>
      </c>
      <c r="S333" s="14" t="s">
        <v>2155</v>
      </c>
      <c r="AG333" s="84"/>
      <c r="AH333" s="84"/>
      <c r="AK333">
        <v>0.03</v>
      </c>
      <c r="AL333">
        <f t="shared" si="86"/>
        <v>0</v>
      </c>
      <c r="AM333">
        <f t="shared" si="87"/>
        <v>0</v>
      </c>
      <c r="AN333">
        <f t="shared" si="88"/>
        <v>0</v>
      </c>
      <c r="AO333" t="s">
        <v>2591</v>
      </c>
      <c r="AV333" t="str">
        <f>IF(F333&gt;0,(COUNT($AV$1:AV332)+1),"")</f>
        <v/>
      </c>
    </row>
    <row r="334" spans="1:48" ht="15" customHeight="1" x14ac:dyDescent="0.25">
      <c r="A334" s="1"/>
      <c r="B334" s="30">
        <v>20167</v>
      </c>
      <c r="C334" s="20">
        <v>4630049336974</v>
      </c>
      <c r="D334" s="225" t="s">
        <v>2380</v>
      </c>
      <c r="E334" s="67">
        <v>25</v>
      </c>
      <c r="F334" s="222"/>
      <c r="G334" s="107">
        <v>114.7</v>
      </c>
      <c r="H334" s="21">
        <v>119.1</v>
      </c>
      <c r="I334" s="22">
        <v>126</v>
      </c>
      <c r="J334" s="112" t="s">
        <v>483</v>
      </c>
      <c r="K334" s="45" t="s">
        <v>374</v>
      </c>
      <c r="L334" s="437"/>
      <c r="M334" s="474" t="s">
        <v>1856</v>
      </c>
      <c r="N334" s="1013" t="s">
        <v>1856</v>
      </c>
      <c r="O334" s="212"/>
      <c r="P334" s="66" t="s">
        <v>53</v>
      </c>
      <c r="Q334" s="100">
        <f t="shared" si="90"/>
        <v>0</v>
      </c>
      <c r="R334" s="1095" t="str">
        <f t="shared" si="89"/>
        <v>Фото &gt;&gt;</v>
      </c>
      <c r="S334" s="14" t="s">
        <v>3349</v>
      </c>
      <c r="AG334" s="84"/>
      <c r="AH334" s="84"/>
      <c r="AK334">
        <v>0.03</v>
      </c>
      <c r="AL334">
        <f t="shared" si="86"/>
        <v>0</v>
      </c>
      <c r="AM334">
        <f t="shared" si="87"/>
        <v>0</v>
      </c>
      <c r="AN334">
        <f t="shared" si="88"/>
        <v>0</v>
      </c>
      <c r="AO334" t="s">
        <v>2592</v>
      </c>
      <c r="AV334" t="str">
        <f>IF(F334&gt;0,(COUNT($AV$1:AV333)+1),"")</f>
        <v/>
      </c>
    </row>
    <row r="335" spans="1:48" ht="15" customHeight="1" x14ac:dyDescent="0.25">
      <c r="A335" s="1"/>
      <c r="B335" s="31">
        <v>19570</v>
      </c>
      <c r="C335" s="16">
        <v>4630049337001</v>
      </c>
      <c r="D335" s="226" t="s">
        <v>2001</v>
      </c>
      <c r="E335" s="69">
        <v>25</v>
      </c>
      <c r="F335" s="223"/>
      <c r="G335" s="108">
        <v>114.7</v>
      </c>
      <c r="H335" s="17">
        <v>119.1</v>
      </c>
      <c r="I335" s="18">
        <v>126</v>
      </c>
      <c r="J335" s="113" t="s">
        <v>483</v>
      </c>
      <c r="K335" s="44" t="s">
        <v>374</v>
      </c>
      <c r="L335" s="442"/>
      <c r="M335" s="480" t="s">
        <v>1856</v>
      </c>
      <c r="N335" s="1015" t="s">
        <v>1856</v>
      </c>
      <c r="O335" s="217"/>
      <c r="P335" s="68" t="s">
        <v>53</v>
      </c>
      <c r="Q335" s="100">
        <f t="shared" si="90"/>
        <v>0</v>
      </c>
      <c r="R335" s="1095" t="str">
        <f t="shared" si="89"/>
        <v>Фото &gt;&gt;</v>
      </c>
      <c r="S335" s="14" t="s">
        <v>2157</v>
      </c>
      <c r="AG335" s="84"/>
      <c r="AH335" s="84"/>
      <c r="AK335">
        <v>0.03</v>
      </c>
      <c r="AL335">
        <f t="shared" si="86"/>
        <v>0</v>
      </c>
      <c r="AM335">
        <f t="shared" si="87"/>
        <v>0</v>
      </c>
      <c r="AN335">
        <f t="shared" si="88"/>
        <v>0</v>
      </c>
      <c r="AO335" t="s">
        <v>2593</v>
      </c>
      <c r="AV335" t="str">
        <f>IF(F335&gt;0,(COUNT($AV$1:AV334)+1),"")</f>
        <v/>
      </c>
    </row>
    <row r="336" spans="1:48" ht="15" customHeight="1" x14ac:dyDescent="0.25">
      <c r="A336" s="1"/>
      <c r="B336" s="30">
        <v>20245</v>
      </c>
      <c r="C336" s="20">
        <v>4630049336981</v>
      </c>
      <c r="D336" s="225" t="s">
        <v>3900</v>
      </c>
      <c r="E336" s="67">
        <v>25</v>
      </c>
      <c r="F336" s="222"/>
      <c r="G336" s="107">
        <v>114.7</v>
      </c>
      <c r="H336" s="21">
        <v>119.1</v>
      </c>
      <c r="I336" s="22">
        <v>126</v>
      </c>
      <c r="J336" s="112" t="s">
        <v>483</v>
      </c>
      <c r="K336" s="45" t="s">
        <v>374</v>
      </c>
      <c r="L336" s="437"/>
      <c r="M336" s="474"/>
      <c r="N336" s="1013" t="s">
        <v>1856</v>
      </c>
      <c r="O336" s="212"/>
      <c r="P336" s="66" t="s">
        <v>53</v>
      </c>
      <c r="Q336" s="100">
        <f t="shared" si="90"/>
        <v>0</v>
      </c>
      <c r="R336" s="1095" t="str">
        <f t="shared" si="89"/>
        <v>Фото &gt;&gt;</v>
      </c>
      <c r="S336" s="14" t="s">
        <v>3899</v>
      </c>
      <c r="AG336" s="84"/>
      <c r="AH336" s="84"/>
      <c r="AK336">
        <v>0.03</v>
      </c>
      <c r="AL336">
        <f t="shared" si="86"/>
        <v>0</v>
      </c>
      <c r="AM336">
        <f t="shared" si="87"/>
        <v>0</v>
      </c>
      <c r="AN336">
        <f t="shared" si="88"/>
        <v>0</v>
      </c>
      <c r="AO336" t="s">
        <v>3901</v>
      </c>
      <c r="AV336" t="str">
        <f>IF(F336&gt;0,(COUNT($AV$1:AV335)+1),"")</f>
        <v/>
      </c>
    </row>
    <row r="337" spans="1:48" ht="15" customHeight="1" x14ac:dyDescent="0.25">
      <c r="A337" s="1"/>
      <c r="B337" s="32">
        <v>19771</v>
      </c>
      <c r="C337" s="33">
        <v>4630049332112</v>
      </c>
      <c r="D337" s="227" t="s">
        <v>5677</v>
      </c>
      <c r="E337" s="71">
        <v>25</v>
      </c>
      <c r="F337" s="223"/>
      <c r="G337" s="109">
        <v>114.7</v>
      </c>
      <c r="H337" s="34">
        <v>119.1</v>
      </c>
      <c r="I337" s="35">
        <v>126</v>
      </c>
      <c r="J337" s="114" t="s">
        <v>483</v>
      </c>
      <c r="K337" s="57" t="s">
        <v>374</v>
      </c>
      <c r="L337" s="438"/>
      <c r="M337" s="484" t="s">
        <v>1856</v>
      </c>
      <c r="N337" s="1008" t="s">
        <v>1856</v>
      </c>
      <c r="O337" s="218"/>
      <c r="P337" s="70" t="s">
        <v>53</v>
      </c>
      <c r="Q337" s="100">
        <f t="shared" si="90"/>
        <v>0</v>
      </c>
      <c r="R337" s="1095" t="str">
        <f t="shared" si="89"/>
        <v>Фото &gt;&gt;</v>
      </c>
      <c r="S337" s="14" t="s">
        <v>5675</v>
      </c>
      <c r="AF337" t="s">
        <v>104</v>
      </c>
      <c r="AG337" s="84"/>
      <c r="AH337" s="84"/>
      <c r="AK337">
        <v>0.03</v>
      </c>
      <c r="AL337">
        <f t="shared" si="86"/>
        <v>0</v>
      </c>
      <c r="AM337">
        <f t="shared" si="87"/>
        <v>0</v>
      </c>
      <c r="AN337">
        <f t="shared" si="88"/>
        <v>0</v>
      </c>
      <c r="AO337" t="s">
        <v>5676</v>
      </c>
      <c r="AV337" t="str">
        <f>IF(F337&gt;0,(COUNT($AV$1:AV336)+1),"")</f>
        <v/>
      </c>
    </row>
    <row r="338" spans="1:48" ht="15" customHeight="1" x14ac:dyDescent="0.25">
      <c r="A338" s="1"/>
      <c r="B338" s="25"/>
      <c r="C338" s="26"/>
      <c r="D338" s="27" t="s">
        <v>1434</v>
      </c>
      <c r="E338" s="80"/>
      <c r="F338" s="96"/>
      <c r="G338" s="28"/>
      <c r="H338" s="29"/>
      <c r="I338" s="29"/>
      <c r="J338" s="51"/>
      <c r="K338" s="47"/>
      <c r="L338" s="447"/>
      <c r="M338" s="489"/>
      <c r="N338" s="716"/>
      <c r="O338" s="186"/>
      <c r="P338" s="79"/>
      <c r="Q338" s="104"/>
      <c r="R338" s="1095" t="str">
        <f t="shared" si="89"/>
        <v>Фото &gt;&gt;</v>
      </c>
      <c r="S338" s="14"/>
      <c r="AG338"/>
      <c r="AH338"/>
      <c r="AL338">
        <f t="shared" si="86"/>
        <v>0</v>
      </c>
      <c r="AM338">
        <f t="shared" si="87"/>
        <v>0</v>
      </c>
      <c r="AN338">
        <f t="shared" ref="AN338:AN351" si="91">AK338*F338+IF(E338&gt;1.01,F338/E338*0.2,0)</f>
        <v>0</v>
      </c>
      <c r="AO338" t="s">
        <v>104</v>
      </c>
      <c r="AV338" t="str">
        <f>IF(F338&gt;0,(COUNT($AV$1:AV337)+1),"")</f>
        <v/>
      </c>
    </row>
    <row r="339" spans="1:48" ht="15" customHeight="1" x14ac:dyDescent="0.25">
      <c r="A339" s="1"/>
      <c r="B339" s="30">
        <v>16704</v>
      </c>
      <c r="C339" s="20">
        <v>4680013875480</v>
      </c>
      <c r="D339" s="225" t="s">
        <v>528</v>
      </c>
      <c r="E339" s="67">
        <v>6</v>
      </c>
      <c r="F339" s="222"/>
      <c r="G339" s="107">
        <v>335.8</v>
      </c>
      <c r="H339" s="21">
        <v>348.5</v>
      </c>
      <c r="I339" s="22">
        <v>369</v>
      </c>
      <c r="J339" s="112" t="s">
        <v>483</v>
      </c>
      <c r="K339" s="45" t="s">
        <v>204</v>
      </c>
      <c r="L339" s="437"/>
      <c r="M339" s="474" t="s">
        <v>104</v>
      </c>
      <c r="N339" s="1013" t="s">
        <v>1856</v>
      </c>
      <c r="O339" s="209"/>
      <c r="P339" s="66" t="s">
        <v>72</v>
      </c>
      <c r="Q339" s="100">
        <f>IF(AND($AO$234=1,MOD(F339,E339)=0),F339*G339,IF($AO$234&lt;=2,F339*H339,F339*I339))</f>
        <v>0</v>
      </c>
      <c r="R339" s="1095" t="str">
        <f t="shared" si="89"/>
        <v>Фото &gt;&gt;</v>
      </c>
      <c r="S339" s="14" t="s">
        <v>529</v>
      </c>
      <c r="AG339"/>
      <c r="AH339"/>
      <c r="AK339">
        <v>0.35</v>
      </c>
      <c r="AL339">
        <f t="shared" si="86"/>
        <v>0</v>
      </c>
      <c r="AM339">
        <f t="shared" si="87"/>
        <v>0</v>
      </c>
      <c r="AN339">
        <f t="shared" si="91"/>
        <v>0</v>
      </c>
      <c r="AO339" t="s">
        <v>2594</v>
      </c>
      <c r="AV339" t="str">
        <f>IF(F339&gt;0,(COUNT($AV$1:AV338)+1),"")</f>
        <v/>
      </c>
    </row>
    <row r="340" spans="1:48" ht="15" customHeight="1" x14ac:dyDescent="0.25">
      <c r="A340" s="1"/>
      <c r="B340" s="31">
        <v>19815</v>
      </c>
      <c r="C340" s="16">
        <v>4630049337391</v>
      </c>
      <c r="D340" s="226" t="s">
        <v>2006</v>
      </c>
      <c r="E340" s="69">
        <v>6</v>
      </c>
      <c r="F340" s="222"/>
      <c r="G340" s="108">
        <v>227.3</v>
      </c>
      <c r="H340" s="17">
        <v>235.9</v>
      </c>
      <c r="I340" s="18">
        <v>249.7</v>
      </c>
      <c r="J340" s="113" t="s">
        <v>483</v>
      </c>
      <c r="K340" s="44" t="s">
        <v>204</v>
      </c>
      <c r="L340" s="442"/>
      <c r="M340" s="480" t="s">
        <v>104</v>
      </c>
      <c r="N340" s="1015" t="s">
        <v>1856</v>
      </c>
      <c r="O340" s="210"/>
      <c r="P340" s="68" t="s">
        <v>72</v>
      </c>
      <c r="Q340" s="100">
        <f>IF(AND($AO$234=1,MOD(F340,E340)=0),F340*G340,IF($AO$234&lt;=2,F340*H340,F340*I340))</f>
        <v>0</v>
      </c>
      <c r="R340" s="1095" t="str">
        <f t="shared" si="89"/>
        <v>Фото &gt;&gt;</v>
      </c>
      <c r="S340" s="14" t="s">
        <v>2005</v>
      </c>
      <c r="AG340"/>
      <c r="AH340"/>
      <c r="AK340">
        <v>0.3</v>
      </c>
      <c r="AL340">
        <f t="shared" si="86"/>
        <v>0</v>
      </c>
      <c r="AM340">
        <f t="shared" si="87"/>
        <v>0</v>
      </c>
      <c r="AN340">
        <f t="shared" si="91"/>
        <v>0</v>
      </c>
      <c r="AO340" t="s">
        <v>2595</v>
      </c>
      <c r="AV340" t="str">
        <f>IF(F340&gt;0,(COUNT($AV$1:AV339)+1),"")</f>
        <v/>
      </c>
    </row>
    <row r="341" spans="1:48" ht="15" customHeight="1" x14ac:dyDescent="0.25">
      <c r="A341" s="1"/>
      <c r="B341" s="30">
        <v>19814</v>
      </c>
      <c r="C341" s="20">
        <v>4630049338138</v>
      </c>
      <c r="D341" s="225" t="s">
        <v>2007</v>
      </c>
      <c r="E341" s="67">
        <v>6</v>
      </c>
      <c r="F341" s="222"/>
      <c r="G341" s="107">
        <v>335.8</v>
      </c>
      <c r="H341" s="21">
        <v>348.5</v>
      </c>
      <c r="I341" s="22">
        <v>368.9</v>
      </c>
      <c r="J341" s="112" t="s">
        <v>483</v>
      </c>
      <c r="K341" s="45" t="s">
        <v>204</v>
      </c>
      <c r="L341" s="437"/>
      <c r="M341" s="474" t="s">
        <v>104</v>
      </c>
      <c r="N341" s="1013" t="s">
        <v>1856</v>
      </c>
      <c r="O341" s="209"/>
      <c r="P341" s="66" t="s">
        <v>72</v>
      </c>
      <c r="Q341" s="100">
        <f>IF(AND($AO$234=1,MOD(F341,E341)=0),F341*G341,IF($AO$234&lt;=2,F341*H341,F341*I341))</f>
        <v>0</v>
      </c>
      <c r="R341" s="1095" t="str">
        <f t="shared" si="89"/>
        <v>Фото &gt;&gt;</v>
      </c>
      <c r="S341" s="14" t="s">
        <v>2005</v>
      </c>
      <c r="AG341"/>
      <c r="AH341"/>
      <c r="AK341">
        <v>0.5</v>
      </c>
      <c r="AL341">
        <f t="shared" si="86"/>
        <v>0</v>
      </c>
      <c r="AM341">
        <f t="shared" si="87"/>
        <v>0</v>
      </c>
      <c r="AN341">
        <f t="shared" si="91"/>
        <v>0</v>
      </c>
      <c r="AO341" t="s">
        <v>2596</v>
      </c>
      <c r="AV341" t="str">
        <f>IF(F341&gt;0,(COUNT($AV$1:AV340)+1),"")</f>
        <v/>
      </c>
    </row>
    <row r="342" spans="1:48" ht="15" customHeight="1" x14ac:dyDescent="0.25">
      <c r="A342" s="1"/>
      <c r="B342" s="31">
        <v>20147</v>
      </c>
      <c r="C342" s="16">
        <v>4630049337247</v>
      </c>
      <c r="D342" s="226" t="s">
        <v>2949</v>
      </c>
      <c r="E342" s="69">
        <v>6</v>
      </c>
      <c r="F342" s="222"/>
      <c r="G342" s="108">
        <v>336.8</v>
      </c>
      <c r="H342" s="17">
        <v>349.6</v>
      </c>
      <c r="I342" s="18">
        <v>370</v>
      </c>
      <c r="J342" s="113" t="s">
        <v>483</v>
      </c>
      <c r="K342" s="44" t="s">
        <v>204</v>
      </c>
      <c r="L342" s="442"/>
      <c r="M342" s="480" t="s">
        <v>104</v>
      </c>
      <c r="N342" s="1015" t="s">
        <v>1856</v>
      </c>
      <c r="O342" s="210"/>
      <c r="P342" s="68" t="s">
        <v>72</v>
      </c>
      <c r="Q342" s="100">
        <f>IF(AND($AO$234=1,MOD(F342,E342)=0),F342*G342,IF($AO$234&lt;=2,F342*H342,F342*I342))</f>
        <v>0</v>
      </c>
      <c r="R342" s="1095" t="str">
        <f t="shared" si="89"/>
        <v>Фото &gt;&gt;</v>
      </c>
      <c r="S342" s="14" t="s">
        <v>3081</v>
      </c>
      <c r="AG342"/>
      <c r="AH342"/>
      <c r="AK342">
        <v>0.2</v>
      </c>
      <c r="AL342">
        <f t="shared" si="86"/>
        <v>0</v>
      </c>
      <c r="AM342">
        <f t="shared" si="87"/>
        <v>0</v>
      </c>
      <c r="AN342">
        <f t="shared" si="91"/>
        <v>0</v>
      </c>
      <c r="AO342" t="s">
        <v>3080</v>
      </c>
      <c r="AV342" t="str">
        <f>IF(F342&gt;0,(COUNT($AV$1:AV341)+1),"")</f>
        <v/>
      </c>
    </row>
    <row r="343" spans="1:48" ht="15" customHeight="1" x14ac:dyDescent="0.25">
      <c r="A343" s="1"/>
      <c r="B343" s="25"/>
      <c r="C343" s="26"/>
      <c r="D343" s="27" t="s">
        <v>116</v>
      </c>
      <c r="E343" s="80"/>
      <c r="F343" s="96"/>
      <c r="G343" s="28"/>
      <c r="H343" s="29"/>
      <c r="I343" s="29"/>
      <c r="J343" s="51"/>
      <c r="K343" s="47"/>
      <c r="L343" s="447"/>
      <c r="M343" s="489"/>
      <c r="N343" s="716"/>
      <c r="O343" s="186"/>
      <c r="P343" s="79"/>
      <c r="Q343" s="104"/>
      <c r="R343" s="1095" t="str">
        <f t="shared" si="89"/>
        <v>Фото &gt;&gt;</v>
      </c>
      <c r="S343" s="14"/>
      <c r="AG343"/>
      <c r="AH343"/>
      <c r="AL343">
        <f t="shared" si="86"/>
        <v>0</v>
      </c>
      <c r="AM343">
        <f t="shared" si="87"/>
        <v>0</v>
      </c>
      <c r="AN343">
        <f t="shared" si="91"/>
        <v>0</v>
      </c>
      <c r="AO343" t="s">
        <v>104</v>
      </c>
      <c r="AV343" t="str">
        <f>IF(F343&gt;0,(COUNT($AV$1:AV342)+1),"")</f>
        <v/>
      </c>
    </row>
    <row r="344" spans="1:48" ht="15" customHeight="1" x14ac:dyDescent="0.25">
      <c r="A344" s="1"/>
      <c r="B344" s="30">
        <v>21005</v>
      </c>
      <c r="C344" s="20">
        <v>4607078879468</v>
      </c>
      <c r="D344" s="225" t="s">
        <v>6243</v>
      </c>
      <c r="E344" s="67">
        <v>10</v>
      </c>
      <c r="F344" s="222"/>
      <c r="G344" s="107">
        <v>304.5</v>
      </c>
      <c r="H344" s="21">
        <v>316</v>
      </c>
      <c r="I344" s="22">
        <v>334.5</v>
      </c>
      <c r="J344" s="112" t="s">
        <v>483</v>
      </c>
      <c r="K344" s="45" t="s">
        <v>117</v>
      </c>
      <c r="L344" s="437"/>
      <c r="M344" s="474" t="s">
        <v>1856</v>
      </c>
      <c r="N344" s="1013" t="s">
        <v>1856</v>
      </c>
      <c r="O344" s="209"/>
      <c r="P344" s="66" t="s">
        <v>40</v>
      </c>
      <c r="Q344" s="100">
        <f t="shared" ref="Q344:Q351" si="92">IF(AND($AO$234=1,MOD(F344,E344)=0),F344*G344,IF($AO$234&lt;=2,F344*H344,F344*I344))</f>
        <v>0</v>
      </c>
      <c r="R344" s="1095" t="str">
        <f t="shared" si="89"/>
        <v>Фото &gt;&gt;</v>
      </c>
      <c r="S344" s="14" t="s">
        <v>3350</v>
      </c>
      <c r="AG344"/>
      <c r="AH344"/>
      <c r="AK344">
        <v>7.0000000000000007E-2</v>
      </c>
      <c r="AL344">
        <f t="shared" si="86"/>
        <v>0</v>
      </c>
      <c r="AM344">
        <f t="shared" si="87"/>
        <v>0</v>
      </c>
      <c r="AN344">
        <f t="shared" si="91"/>
        <v>0</v>
      </c>
      <c r="AO344" t="s">
        <v>3352</v>
      </c>
      <c r="AV344" t="str">
        <f>IF(F344&gt;0,(COUNT($AV$1:AV343)+1),"")</f>
        <v/>
      </c>
    </row>
    <row r="345" spans="1:48" ht="15" customHeight="1" x14ac:dyDescent="0.25">
      <c r="A345" s="1"/>
      <c r="B345" s="31">
        <v>21055</v>
      </c>
      <c r="C345" s="16">
        <v>4607078875453</v>
      </c>
      <c r="D345" s="226" t="s">
        <v>6247</v>
      </c>
      <c r="E345" s="69">
        <v>10</v>
      </c>
      <c r="F345" s="222"/>
      <c r="G345" s="108">
        <v>236.7</v>
      </c>
      <c r="H345" s="17">
        <v>248.5</v>
      </c>
      <c r="I345" s="18">
        <v>261</v>
      </c>
      <c r="J345" s="113" t="s">
        <v>483</v>
      </c>
      <c r="K345" s="44" t="s">
        <v>117</v>
      </c>
      <c r="L345" s="442"/>
      <c r="M345" s="480" t="s">
        <v>1856</v>
      </c>
      <c r="N345" s="1015" t="s">
        <v>1856</v>
      </c>
      <c r="O345" s="210"/>
      <c r="P345" s="68" t="s">
        <v>40</v>
      </c>
      <c r="Q345" s="100">
        <f t="shared" si="92"/>
        <v>0</v>
      </c>
      <c r="R345" s="1095" t="str">
        <f t="shared" si="89"/>
        <v>Фото &gt;&gt;</v>
      </c>
      <c r="S345" s="14" t="s">
        <v>3351</v>
      </c>
      <c r="AG345"/>
      <c r="AH345"/>
      <c r="AK345">
        <v>7.0000000000000007E-2</v>
      </c>
      <c r="AL345">
        <f t="shared" si="86"/>
        <v>0</v>
      </c>
      <c r="AM345">
        <f t="shared" si="87"/>
        <v>0</v>
      </c>
      <c r="AN345">
        <f t="shared" si="91"/>
        <v>0</v>
      </c>
      <c r="AO345" t="s">
        <v>3353</v>
      </c>
      <c r="AV345" t="str">
        <f>IF(F345&gt;0,(COUNT($AV$1:AV344)+1),"")</f>
        <v/>
      </c>
    </row>
    <row r="346" spans="1:48" ht="15" customHeight="1" x14ac:dyDescent="0.25">
      <c r="A346" s="1"/>
      <c r="B346" s="30">
        <v>14854</v>
      </c>
      <c r="C346" s="20">
        <v>4680013873462</v>
      </c>
      <c r="D346" s="225" t="s">
        <v>6248</v>
      </c>
      <c r="E346" s="67">
        <v>6</v>
      </c>
      <c r="F346" s="222"/>
      <c r="G346" s="107">
        <v>293</v>
      </c>
      <c r="H346" s="21">
        <v>304.10000000000002</v>
      </c>
      <c r="I346" s="22">
        <v>322</v>
      </c>
      <c r="J346" s="112" t="s">
        <v>483</v>
      </c>
      <c r="K346" s="45" t="s">
        <v>117</v>
      </c>
      <c r="L346" s="437"/>
      <c r="M346" s="474" t="s">
        <v>1856</v>
      </c>
      <c r="N346" s="1013" t="s">
        <v>1856</v>
      </c>
      <c r="O346" s="209"/>
      <c r="P346" s="66" t="s">
        <v>40</v>
      </c>
      <c r="Q346" s="100">
        <f t="shared" si="92"/>
        <v>0</v>
      </c>
      <c r="R346" s="1095" t="str">
        <f t="shared" si="89"/>
        <v>Фото &gt;&gt;</v>
      </c>
      <c r="S346" s="14" t="s">
        <v>533</v>
      </c>
      <c r="AG346"/>
      <c r="AH346"/>
      <c r="AK346">
        <v>7.0000000000000007E-2</v>
      </c>
      <c r="AL346">
        <f t="shared" si="86"/>
        <v>0</v>
      </c>
      <c r="AM346">
        <f t="shared" si="87"/>
        <v>0</v>
      </c>
      <c r="AN346">
        <f t="shared" si="91"/>
        <v>0</v>
      </c>
      <c r="AO346" t="s">
        <v>3354</v>
      </c>
      <c r="AV346" t="str">
        <f>IF(F346&gt;0,(COUNT($AV$1:AV345)+1),"")</f>
        <v/>
      </c>
    </row>
    <row r="347" spans="1:48" ht="15" customHeight="1" x14ac:dyDescent="0.25">
      <c r="A347" s="1"/>
      <c r="B347" s="31">
        <v>21188</v>
      </c>
      <c r="C347" s="16">
        <v>4607078874845</v>
      </c>
      <c r="D347" s="226" t="s">
        <v>7228</v>
      </c>
      <c r="E347" s="69">
        <v>6</v>
      </c>
      <c r="F347" s="222"/>
      <c r="G347" s="108">
        <v>276.3</v>
      </c>
      <c r="H347" s="17">
        <v>286.8</v>
      </c>
      <c r="I347" s="18">
        <v>303.60000000000002</v>
      </c>
      <c r="J347" s="113" t="s">
        <v>483</v>
      </c>
      <c r="K347" s="44" t="s">
        <v>117</v>
      </c>
      <c r="L347" s="442"/>
      <c r="M347" s="480" t="s">
        <v>1856</v>
      </c>
      <c r="N347" s="1015" t="s">
        <v>1856</v>
      </c>
      <c r="O347" s="210"/>
      <c r="P347" s="68" t="s">
        <v>40</v>
      </c>
      <c r="Q347" s="100">
        <f t="shared" si="92"/>
        <v>0</v>
      </c>
      <c r="R347" s="1095" t="str">
        <f t="shared" ref="R347:R351" si="93">IF(AO347&gt;0,HYPERLINK(AO347,"Фото &gt;&gt;"),"")</f>
        <v>Фото &gt;&gt;</v>
      </c>
      <c r="S347" s="14" t="s">
        <v>6249</v>
      </c>
      <c r="AG347"/>
      <c r="AH347"/>
      <c r="AK347">
        <v>7.0000000000000007E-2</v>
      </c>
      <c r="AL347">
        <f t="shared" si="86"/>
        <v>0</v>
      </c>
      <c r="AM347">
        <f t="shared" si="87"/>
        <v>0</v>
      </c>
      <c r="AN347">
        <f t="shared" si="91"/>
        <v>0</v>
      </c>
      <c r="AO347" t="s">
        <v>6251</v>
      </c>
      <c r="AV347" t="str">
        <f>IF(F347&gt;0,(COUNT($AV$1:AV346)+1),"")</f>
        <v/>
      </c>
    </row>
    <row r="348" spans="1:48" ht="15" customHeight="1" x14ac:dyDescent="0.25">
      <c r="A348" s="1"/>
      <c r="B348" s="37">
        <v>21189</v>
      </c>
      <c r="C348" s="23" t="s">
        <v>104</v>
      </c>
      <c r="D348" s="237" t="s">
        <v>7229</v>
      </c>
      <c r="E348" s="75">
        <v>6</v>
      </c>
      <c r="F348" s="223"/>
      <c r="G348" s="111">
        <v>226.3</v>
      </c>
      <c r="H348" s="5">
        <v>234.9</v>
      </c>
      <c r="I348" s="24">
        <v>248.6</v>
      </c>
      <c r="J348" s="115" t="s">
        <v>483</v>
      </c>
      <c r="K348" s="46" t="s">
        <v>117</v>
      </c>
      <c r="L348" s="440"/>
      <c r="M348" s="482" t="s">
        <v>1856</v>
      </c>
      <c r="N348" s="1002" t="s">
        <v>1856</v>
      </c>
      <c r="O348" s="211"/>
      <c r="P348" s="74" t="s">
        <v>40</v>
      </c>
      <c r="Q348" s="100">
        <f t="shared" si="92"/>
        <v>0</v>
      </c>
      <c r="R348" s="1095" t="str">
        <f t="shared" si="93"/>
        <v>Фото &gt;&gt;</v>
      </c>
      <c r="S348" s="14" t="s">
        <v>6250</v>
      </c>
      <c r="AG348"/>
      <c r="AH348"/>
      <c r="AK348">
        <v>7.0000000000000007E-2</v>
      </c>
      <c r="AL348">
        <f t="shared" si="86"/>
        <v>0</v>
      </c>
      <c r="AM348">
        <f t="shared" si="87"/>
        <v>0</v>
      </c>
      <c r="AN348">
        <f t="shared" si="91"/>
        <v>0</v>
      </c>
      <c r="AO348" t="s">
        <v>6252</v>
      </c>
      <c r="AV348" t="str">
        <f>IF(F348&gt;0,(COUNT($AV$1:AV347)+1),"")</f>
        <v/>
      </c>
    </row>
    <row r="349" spans="1:48" ht="15" customHeight="1" x14ac:dyDescent="0.25">
      <c r="A349" s="1"/>
      <c r="B349" s="1120">
        <v>14648</v>
      </c>
      <c r="C349" s="1121">
        <v>4640201200364</v>
      </c>
      <c r="D349" s="1122" t="s">
        <v>6244</v>
      </c>
      <c r="E349" s="1123">
        <v>6</v>
      </c>
      <c r="F349" s="673"/>
      <c r="G349" s="1124">
        <v>363.9</v>
      </c>
      <c r="H349" s="1125">
        <v>377.7</v>
      </c>
      <c r="I349" s="1126">
        <v>400</v>
      </c>
      <c r="J349" s="1127" t="s">
        <v>483</v>
      </c>
      <c r="K349" s="1128" t="s">
        <v>117</v>
      </c>
      <c r="L349" s="1141"/>
      <c r="M349" s="1142" t="s">
        <v>1856</v>
      </c>
      <c r="N349" s="1143" t="s">
        <v>1856</v>
      </c>
      <c r="O349" s="1157"/>
      <c r="P349" s="1133" t="s">
        <v>40</v>
      </c>
      <c r="Q349" s="100">
        <f t="shared" si="92"/>
        <v>0</v>
      </c>
      <c r="R349" s="1095" t="str">
        <f t="shared" si="93"/>
        <v>Фото &gt;&gt;</v>
      </c>
      <c r="S349" s="14" t="s">
        <v>531</v>
      </c>
      <c r="AG349"/>
      <c r="AH349"/>
      <c r="AK349">
        <v>0.15</v>
      </c>
      <c r="AL349">
        <f t="shared" si="86"/>
        <v>0</v>
      </c>
      <c r="AM349">
        <f t="shared" si="87"/>
        <v>0</v>
      </c>
      <c r="AN349">
        <f t="shared" si="91"/>
        <v>0</v>
      </c>
      <c r="AO349" t="s">
        <v>3355</v>
      </c>
      <c r="AV349" t="str">
        <f>IF(F349&gt;0,(COUNT($AV$1:AV348)+1),"")</f>
        <v/>
      </c>
    </row>
    <row r="350" spans="1:48" ht="15" customHeight="1" x14ac:dyDescent="0.25">
      <c r="A350" s="1"/>
      <c r="B350" s="30">
        <v>14643</v>
      </c>
      <c r="C350" s="20">
        <v>4640201200388</v>
      </c>
      <c r="D350" s="225" t="s">
        <v>6245</v>
      </c>
      <c r="E350" s="67">
        <v>6</v>
      </c>
      <c r="F350" s="222"/>
      <c r="G350" s="107">
        <v>422.3</v>
      </c>
      <c r="H350" s="21">
        <v>438.3</v>
      </c>
      <c r="I350" s="22">
        <v>463.9</v>
      </c>
      <c r="J350" s="112" t="s">
        <v>483</v>
      </c>
      <c r="K350" s="45" t="s">
        <v>117</v>
      </c>
      <c r="L350" s="437"/>
      <c r="M350" s="474" t="s">
        <v>1856</v>
      </c>
      <c r="N350" s="1013" t="s">
        <v>1856</v>
      </c>
      <c r="O350" s="209"/>
      <c r="P350" s="66" t="s">
        <v>40</v>
      </c>
      <c r="Q350" s="100">
        <f t="shared" si="92"/>
        <v>0</v>
      </c>
      <c r="R350" s="1095" t="str">
        <f t="shared" si="93"/>
        <v>Фото &gt;&gt;</v>
      </c>
      <c r="S350" s="14" t="s">
        <v>532</v>
      </c>
      <c r="AG350"/>
      <c r="AH350"/>
      <c r="AK350">
        <v>0.15</v>
      </c>
      <c r="AL350">
        <f t="shared" si="86"/>
        <v>0</v>
      </c>
      <c r="AM350">
        <f t="shared" si="87"/>
        <v>0</v>
      </c>
      <c r="AN350">
        <f t="shared" si="91"/>
        <v>0</v>
      </c>
      <c r="AO350" t="s">
        <v>3356</v>
      </c>
      <c r="AV350" t="str">
        <f>IF(F350&gt;0,(COUNT($AV$1:AV349)+1),"")</f>
        <v/>
      </c>
    </row>
    <row r="351" spans="1:48" ht="15" customHeight="1" x14ac:dyDescent="0.25">
      <c r="A351" s="1"/>
      <c r="B351" s="31">
        <v>20376</v>
      </c>
      <c r="C351" s="16">
        <v>4640201200395</v>
      </c>
      <c r="D351" s="226" t="s">
        <v>6246</v>
      </c>
      <c r="E351" s="69">
        <v>6</v>
      </c>
      <c r="F351" s="222"/>
      <c r="G351" s="108">
        <v>405.6</v>
      </c>
      <c r="H351" s="17">
        <v>421</v>
      </c>
      <c r="I351" s="18">
        <v>445.6</v>
      </c>
      <c r="J351" s="113" t="s">
        <v>483</v>
      </c>
      <c r="K351" s="44" t="s">
        <v>117</v>
      </c>
      <c r="L351" s="442"/>
      <c r="M351" s="480" t="s">
        <v>1856</v>
      </c>
      <c r="N351" s="1015" t="s">
        <v>1856</v>
      </c>
      <c r="O351" s="210"/>
      <c r="P351" s="68" t="s">
        <v>40</v>
      </c>
      <c r="Q351" s="100">
        <f t="shared" si="92"/>
        <v>0</v>
      </c>
      <c r="R351" s="1095" t="str">
        <f t="shared" si="93"/>
        <v>Фото &gt;&gt;</v>
      </c>
      <c r="S351" s="14" t="s">
        <v>3423</v>
      </c>
      <c r="AG351"/>
      <c r="AH351"/>
      <c r="AK351">
        <v>0.15</v>
      </c>
      <c r="AL351">
        <f t="shared" si="86"/>
        <v>0</v>
      </c>
      <c r="AM351">
        <f t="shared" si="87"/>
        <v>0</v>
      </c>
      <c r="AN351">
        <f t="shared" si="91"/>
        <v>0</v>
      </c>
      <c r="AO351" t="s">
        <v>3422</v>
      </c>
      <c r="AV351" t="str">
        <f>IF(F351&gt;0,(COUNT($AV$1:AV350)+1),"")</f>
        <v/>
      </c>
    </row>
    <row r="352" spans="1:48" ht="15" customHeight="1" x14ac:dyDescent="0.25">
      <c r="A352" s="1"/>
      <c r="B352" s="125"/>
      <c r="C352" s="126"/>
      <c r="D352" s="127"/>
      <c r="E352" s="134"/>
      <c r="F352" s="189"/>
      <c r="G352" s="130"/>
      <c r="H352" s="131"/>
      <c r="I352" s="132"/>
      <c r="J352" s="128"/>
      <c r="K352" s="129"/>
      <c r="L352" s="433"/>
      <c r="M352" s="481"/>
      <c r="N352" s="471"/>
      <c r="O352" s="181"/>
      <c r="P352" s="133"/>
      <c r="Q352" s="135"/>
      <c r="R352" s="13"/>
      <c r="S352" s="14"/>
      <c r="AV352" t="str">
        <f>IF(F352&gt;0,(COUNT($AV$1:AV351)+1),"")</f>
        <v/>
      </c>
    </row>
    <row r="353" spans="1:48" ht="15" customHeight="1" thickBot="1" x14ac:dyDescent="0.3">
      <c r="A353" s="1"/>
      <c r="B353" s="158"/>
      <c r="C353" s="159"/>
      <c r="D353" s="160"/>
      <c r="E353" s="167"/>
      <c r="F353" s="191"/>
      <c r="G353" s="163"/>
      <c r="H353" s="164"/>
      <c r="I353" s="165"/>
      <c r="J353" s="161"/>
      <c r="K353" s="162"/>
      <c r="L353" s="439"/>
      <c r="M353" s="475"/>
      <c r="N353" s="467"/>
      <c r="O353" s="183"/>
      <c r="P353" s="166"/>
      <c r="Q353" s="168"/>
      <c r="R353" s="13"/>
      <c r="S353" s="14"/>
      <c r="AV353" t="str">
        <f>IF(F353&gt;0,(COUNT($AV$1:AV352)+1),"")</f>
        <v/>
      </c>
    </row>
    <row r="354" spans="1:48" ht="24.95" customHeight="1" thickBot="1" x14ac:dyDescent="0.3">
      <c r="A354" s="1"/>
      <c r="B354" s="169"/>
      <c r="C354" s="170"/>
      <c r="D354" s="171" t="str">
        <f>CONCATENATE("Берестов А.С.","     |     Сумма заказа: ",AK354," руб.")</f>
        <v>Берестов А.С.     |     Сумма заказа: 0 руб.</v>
      </c>
      <c r="E354" s="176"/>
      <c r="F354" s="177"/>
      <c r="G354" s="180" t="str">
        <f>CONCATENATE("Ценовая колонка: ",AO354,"   |   До следующей скидки: ",AJ354," руб.")</f>
        <v>Ценовая колонка: 3   |   До следующей скидки: 5000 руб.</v>
      </c>
      <c r="H354" s="174"/>
      <c r="I354" s="174"/>
      <c r="J354" s="172" t="s">
        <v>5516</v>
      </c>
      <c r="K354" s="173"/>
      <c r="L354" s="444"/>
      <c r="M354" s="486" t="s">
        <v>104</v>
      </c>
      <c r="N354" s="717"/>
      <c r="O354" s="184"/>
      <c r="P354" s="175"/>
      <c r="Q354" s="178"/>
      <c r="R354" s="179" t="s">
        <v>1558</v>
      </c>
      <c r="S354" s="14"/>
      <c r="AG354"/>
      <c r="AH354"/>
      <c r="AJ354">
        <f>ROUND(IF(AL354&gt;30000,"0", IF(AND(AL354&lt;30000,AM354&gt;5000),30000-AL354,5000-AM354)),2)</f>
        <v>5000</v>
      </c>
      <c r="AK354">
        <f>SUM(Q356:Q414)</f>
        <v>0</v>
      </c>
      <c r="AL354">
        <f>SUM(AL356:AL414)</f>
        <v>0</v>
      </c>
      <c r="AM354">
        <f>SUM(AM356:AM414)</f>
        <v>0</v>
      </c>
      <c r="AO354">
        <f>IF(AM354&gt;5000,IF(AL354&gt;30000,1,2),3)</f>
        <v>3</v>
      </c>
      <c r="AV354" t="str">
        <f>IF(F354&gt;0,(COUNT($AV$1:AV353)+1),"")</f>
        <v/>
      </c>
    </row>
    <row r="355" spans="1:48" ht="27.95" customHeight="1" x14ac:dyDescent="0.25">
      <c r="A355" s="1"/>
      <c r="B355" s="296"/>
      <c r="C355" s="38"/>
      <c r="D355" s="39" t="s">
        <v>367</v>
      </c>
      <c r="E355" s="82"/>
      <c r="F355" s="97"/>
      <c r="G355" s="1227" t="s">
        <v>7584</v>
      </c>
      <c r="H355" s="41" t="s">
        <v>3294</v>
      </c>
      <c r="I355" s="41"/>
      <c r="J355" s="52"/>
      <c r="K355" s="48"/>
      <c r="L355" s="448"/>
      <c r="M355" s="491" t="s">
        <v>104</v>
      </c>
      <c r="N355" s="715"/>
      <c r="O355" s="187"/>
      <c r="P355" s="81"/>
      <c r="Q355" s="105"/>
      <c r="R355" s="13"/>
      <c r="S355" s="14"/>
      <c r="AG355"/>
      <c r="AH355"/>
      <c r="AV355" t="str">
        <f>IF(F355&gt;0,(COUNT($AV$1:AV354)+1),"")</f>
        <v/>
      </c>
    </row>
    <row r="356" spans="1:48" ht="15" customHeight="1" x14ac:dyDescent="0.25">
      <c r="A356" s="1"/>
      <c r="B356" s="30">
        <v>16270</v>
      </c>
      <c r="C356" s="20">
        <v>4607072776206</v>
      </c>
      <c r="D356" s="225" t="s">
        <v>6788</v>
      </c>
      <c r="E356" s="67">
        <v>6</v>
      </c>
      <c r="F356" s="222"/>
      <c r="G356" s="107">
        <v>557.9</v>
      </c>
      <c r="H356" s="21">
        <v>584.70000000000005</v>
      </c>
      <c r="I356" s="22">
        <v>642.70000000000005</v>
      </c>
      <c r="J356" s="518" t="s">
        <v>5516</v>
      </c>
      <c r="K356" s="45" t="s">
        <v>367</v>
      </c>
      <c r="L356" s="437" t="s">
        <v>2925</v>
      </c>
      <c r="M356" s="474"/>
      <c r="N356" s="1013"/>
      <c r="O356" s="209"/>
      <c r="P356" s="66" t="s">
        <v>418</v>
      </c>
      <c r="Q356" s="100">
        <f t="shared" ref="Q356:Q368" si="94">IF(AND($AO$354=1,MOD(F356,E356)=0),F356*G356,IF($AO$354&lt;=2,F356*H356,F356*I356))</f>
        <v>0</v>
      </c>
      <c r="R356" s="13" t="str">
        <f t="shared" ref="R356:R364" si="95">IF(AO356&gt;0,HYPERLINK(AO356,"Фото &gt;&gt;"),"")</f>
        <v>Фото &gt;&gt;</v>
      </c>
      <c r="S356" s="14" t="s">
        <v>6789</v>
      </c>
      <c r="T356" s="515"/>
      <c r="U356" s="515"/>
      <c r="V356" s="515"/>
      <c r="AK356">
        <v>0.19</v>
      </c>
      <c r="AL356">
        <f t="shared" ref="AL356:AL360" si="96">F356*G356</f>
        <v>0</v>
      </c>
      <c r="AM356">
        <f t="shared" ref="AM356:AM360" si="97">F356*H356</f>
        <v>0</v>
      </c>
      <c r="AN356">
        <f t="shared" ref="AN356:AN360" si="98">AK356*F356+IF(E356&gt;1.01,F356/E356*0.2,0)</f>
        <v>0</v>
      </c>
      <c r="AO356" t="s">
        <v>6790</v>
      </c>
      <c r="AV356" t="str">
        <f>IF(F356&gt;0,(COUNT($AV$1:AV355)+1),"")</f>
        <v/>
      </c>
    </row>
    <row r="357" spans="1:48" ht="15" customHeight="1" x14ac:dyDescent="0.25">
      <c r="A357" s="1"/>
      <c r="B357" s="31">
        <v>21487</v>
      </c>
      <c r="C357" s="16">
        <v>4610117722441</v>
      </c>
      <c r="D357" s="422" t="s">
        <v>6933</v>
      </c>
      <c r="E357" s="69">
        <v>10</v>
      </c>
      <c r="F357" s="222"/>
      <c r="G357" s="108">
        <v>187.5</v>
      </c>
      <c r="H357" s="17">
        <v>197</v>
      </c>
      <c r="I357" s="18">
        <v>207</v>
      </c>
      <c r="J357" s="517" t="s">
        <v>5516</v>
      </c>
      <c r="K357" s="44" t="s">
        <v>367</v>
      </c>
      <c r="L357" s="442" t="s">
        <v>2925</v>
      </c>
      <c r="M357" s="480"/>
      <c r="N357" s="1015"/>
      <c r="O357" s="210" t="s">
        <v>1637</v>
      </c>
      <c r="P357" s="68" t="s">
        <v>195</v>
      </c>
      <c r="Q357" s="100">
        <f t="shared" si="94"/>
        <v>0</v>
      </c>
      <c r="R357" s="94" t="str">
        <f t="shared" si="95"/>
        <v>Фото &gt;&gt;</v>
      </c>
      <c r="S357" s="14" t="s">
        <v>6914</v>
      </c>
      <c r="T357" s="515"/>
      <c r="U357" s="515"/>
      <c r="V357" s="515"/>
      <c r="AK357">
        <v>0.15</v>
      </c>
      <c r="AL357">
        <f t="shared" ref="AL357:AL358" si="99">F357*G357</f>
        <v>0</v>
      </c>
      <c r="AM357">
        <f t="shared" ref="AM357:AM358" si="100">F357*H357</f>
        <v>0</v>
      </c>
      <c r="AN357">
        <f t="shared" ref="AN357:AN358" si="101">AK357*F357+IF(E357&gt;1.01,F357/E357*0.2,0)</f>
        <v>0</v>
      </c>
      <c r="AO357" t="s">
        <v>6913</v>
      </c>
      <c r="AQ357" s="520" t="str">
        <f>CONCATENATE("http://1.c8804.nichost.ru/pics/",B357,".jpg")</f>
        <v>http://1.c8804.nichost.ru/pics/21487.jpg</v>
      </c>
      <c r="AV357" t="str">
        <f>IF(F357&gt;0,(COUNT($AV$1:AV356)+1),"")</f>
        <v/>
      </c>
    </row>
    <row r="358" spans="1:48" ht="15" customHeight="1" x14ac:dyDescent="0.25">
      <c r="A358" s="1"/>
      <c r="B358" s="30">
        <v>15502</v>
      </c>
      <c r="C358" s="20">
        <v>4607072775421</v>
      </c>
      <c r="D358" s="225" t="s">
        <v>6299</v>
      </c>
      <c r="E358" s="67">
        <v>6</v>
      </c>
      <c r="F358" s="222"/>
      <c r="G358" s="107">
        <v>247.8</v>
      </c>
      <c r="H358" s="21">
        <v>259.7</v>
      </c>
      <c r="I358" s="22">
        <v>285.5</v>
      </c>
      <c r="J358" s="518" t="s">
        <v>5516</v>
      </c>
      <c r="K358" s="45" t="s">
        <v>367</v>
      </c>
      <c r="L358" s="437" t="s">
        <v>2925</v>
      </c>
      <c r="M358" s="474"/>
      <c r="N358" s="1013"/>
      <c r="O358" s="209"/>
      <c r="P358" s="66" t="s">
        <v>195</v>
      </c>
      <c r="Q358" s="100">
        <f t="shared" si="94"/>
        <v>0</v>
      </c>
      <c r="R358" s="13" t="str">
        <f t="shared" si="95"/>
        <v>Фото &gt;&gt;</v>
      </c>
      <c r="S358" s="14" t="s">
        <v>535</v>
      </c>
      <c r="T358" s="515"/>
      <c r="U358" s="515"/>
      <c r="V358" s="515"/>
      <c r="AK358">
        <v>0.15</v>
      </c>
      <c r="AL358">
        <f t="shared" si="99"/>
        <v>0</v>
      </c>
      <c r="AM358">
        <f t="shared" si="100"/>
        <v>0</v>
      </c>
      <c r="AN358">
        <f t="shared" si="101"/>
        <v>0</v>
      </c>
      <c r="AO358" t="s">
        <v>3297</v>
      </c>
      <c r="AV358" t="str">
        <f>IF(F358&gt;0,(COUNT($AV$1:AV357)+1),"")</f>
        <v/>
      </c>
    </row>
    <row r="359" spans="1:48" ht="15" customHeight="1" x14ac:dyDescent="0.25">
      <c r="A359" s="1"/>
      <c r="B359" s="31">
        <v>18617</v>
      </c>
      <c r="C359" s="16">
        <v>4607072777357</v>
      </c>
      <c r="D359" s="422" t="s">
        <v>7817</v>
      </c>
      <c r="E359" s="69">
        <v>6</v>
      </c>
      <c r="F359" s="222"/>
      <c r="G359" s="420">
        <f>IF(AND($F359&gt;1,MOD($F359,$E359)=0),U359*0.85,U359)</f>
        <v>247.8</v>
      </c>
      <c r="H359" s="415">
        <f t="shared" ref="H359" si="102">IF(AND($F359&gt;1,MOD($F359,$E359)=0),V359*0.85,V359)</f>
        <v>259.7</v>
      </c>
      <c r="I359" s="416">
        <f t="shared" ref="I359" si="103">IF(AND($F359&gt;1,MOD($F359,$E359)=0),W359*0.85,W359)</f>
        <v>285.5</v>
      </c>
      <c r="J359" s="517" t="s">
        <v>5516</v>
      </c>
      <c r="K359" s="44" t="s">
        <v>367</v>
      </c>
      <c r="L359" s="442" t="s">
        <v>2925</v>
      </c>
      <c r="M359" s="480"/>
      <c r="N359" s="1015" t="s">
        <v>1856</v>
      </c>
      <c r="O359" s="210" t="str">
        <f>IF(AND(F359&gt;1,MOD(F359,E359)=0),"СКИДКА 15% активна",CONCATENATE("СКИДКА 15% на квант ",E359,"шт"))</f>
        <v>СКИДКА 15% на квант 6шт</v>
      </c>
      <c r="P359" s="68" t="s">
        <v>195</v>
      </c>
      <c r="Q359" s="100">
        <f t="shared" si="94"/>
        <v>0</v>
      </c>
      <c r="R359" s="13" t="str">
        <f t="shared" si="95"/>
        <v>Фото &gt;&gt;</v>
      </c>
      <c r="S359" s="14" t="s">
        <v>3237</v>
      </c>
      <c r="T359" s="515"/>
      <c r="U359" s="1262">
        <v>247.8</v>
      </c>
      <c r="V359" s="1262">
        <v>259.7</v>
      </c>
      <c r="W359" s="1262">
        <v>285.5</v>
      </c>
      <c r="AK359">
        <v>0.15</v>
      </c>
      <c r="AL359">
        <f t="shared" si="96"/>
        <v>0</v>
      </c>
      <c r="AM359">
        <f t="shared" si="97"/>
        <v>0</v>
      </c>
      <c r="AN359">
        <f t="shared" si="98"/>
        <v>0</v>
      </c>
      <c r="AO359" t="s">
        <v>3298</v>
      </c>
      <c r="AV359" t="str">
        <f>IF(F359&gt;0,(COUNT($AV$1:AV358)+1),"")</f>
        <v/>
      </c>
    </row>
    <row r="360" spans="1:48" ht="15" customHeight="1" x14ac:dyDescent="0.25">
      <c r="A360" s="1"/>
      <c r="B360" s="30">
        <v>15503</v>
      </c>
      <c r="C360" s="20">
        <v>4607072775438</v>
      </c>
      <c r="D360" s="225" t="s">
        <v>4608</v>
      </c>
      <c r="E360" s="67">
        <v>6</v>
      </c>
      <c r="F360" s="222"/>
      <c r="G360" s="107">
        <v>341.9</v>
      </c>
      <c r="H360" s="21">
        <v>358.3</v>
      </c>
      <c r="I360" s="22">
        <v>393.8</v>
      </c>
      <c r="J360" s="518" t="s">
        <v>5516</v>
      </c>
      <c r="K360" s="45" t="s">
        <v>367</v>
      </c>
      <c r="L360" s="437" t="s">
        <v>2925</v>
      </c>
      <c r="M360" s="474"/>
      <c r="N360" s="1013" t="s">
        <v>1856</v>
      </c>
      <c r="O360" s="209"/>
      <c r="P360" s="66" t="s">
        <v>195</v>
      </c>
      <c r="Q360" s="100">
        <f t="shared" si="94"/>
        <v>0</v>
      </c>
      <c r="R360" s="13" t="str">
        <f t="shared" si="95"/>
        <v>Фото &gt;&gt;</v>
      </c>
      <c r="S360" s="14" t="s">
        <v>3236</v>
      </c>
      <c r="T360" s="515"/>
      <c r="U360" s="1262">
        <v>341.9</v>
      </c>
      <c r="V360" s="1262">
        <v>358.3</v>
      </c>
      <c r="W360" s="1262">
        <v>393.8</v>
      </c>
      <c r="AK360">
        <v>0.15</v>
      </c>
      <c r="AL360">
        <f t="shared" si="96"/>
        <v>0</v>
      </c>
      <c r="AM360">
        <f t="shared" si="97"/>
        <v>0</v>
      </c>
      <c r="AN360">
        <f t="shared" si="98"/>
        <v>0</v>
      </c>
      <c r="AO360" t="s">
        <v>3299</v>
      </c>
      <c r="AV360" t="str">
        <f>IF(F360&gt;0,(COUNT($AV$1:AV359)+1),"")</f>
        <v/>
      </c>
    </row>
    <row r="361" spans="1:48" ht="15" customHeight="1" x14ac:dyDescent="0.25">
      <c r="A361" s="1"/>
      <c r="B361" s="31">
        <v>21456</v>
      </c>
      <c r="C361" s="16"/>
      <c r="D361" s="422" t="s">
        <v>6868</v>
      </c>
      <c r="E361" s="69">
        <v>10</v>
      </c>
      <c r="F361" s="222"/>
      <c r="G361" s="108">
        <v>177.9</v>
      </c>
      <c r="H361" s="17">
        <v>186.5</v>
      </c>
      <c r="I361" s="18">
        <v>205</v>
      </c>
      <c r="J361" s="517" t="s">
        <v>5516</v>
      </c>
      <c r="K361" s="44" t="s">
        <v>367</v>
      </c>
      <c r="L361" s="442" t="s">
        <v>2925</v>
      </c>
      <c r="M361" s="480"/>
      <c r="N361" s="1015"/>
      <c r="O361" s="210" t="s">
        <v>1637</v>
      </c>
      <c r="P361" s="68" t="s">
        <v>53</v>
      </c>
      <c r="Q361" s="100">
        <f t="shared" si="94"/>
        <v>0</v>
      </c>
      <c r="R361" s="94" t="str">
        <f t="shared" si="95"/>
        <v>Фото &gt;&gt;</v>
      </c>
      <c r="S361" s="14" t="s">
        <v>6866</v>
      </c>
      <c r="T361" s="515"/>
      <c r="U361" s="1262">
        <v>177.9</v>
      </c>
      <c r="V361" s="1262">
        <v>186.5</v>
      </c>
      <c r="W361" s="1262">
        <v>205</v>
      </c>
      <c r="AK361">
        <v>0.18</v>
      </c>
      <c r="AL361">
        <f t="shared" ref="AL361" si="104">F361*G361</f>
        <v>0</v>
      </c>
      <c r="AM361">
        <f t="shared" ref="AM361" si="105">F361*H361</f>
        <v>0</v>
      </c>
      <c r="AN361">
        <f t="shared" ref="AN361" si="106">AK361*F361+IF(E361&gt;1.01,F361/E361*0.2,0)</f>
        <v>0</v>
      </c>
      <c r="AO361" t="s">
        <v>6867</v>
      </c>
      <c r="AV361" t="str">
        <f>IF(F361&gt;0,(COUNT($AV$1:AV360)+1),"")</f>
        <v/>
      </c>
    </row>
    <row r="362" spans="1:48" ht="15" customHeight="1" x14ac:dyDescent="0.25">
      <c r="A362" s="1"/>
      <c r="B362" s="30">
        <v>19189</v>
      </c>
      <c r="C362" s="20">
        <v>4607072778842</v>
      </c>
      <c r="D362" s="225" t="s">
        <v>7078</v>
      </c>
      <c r="E362" s="67">
        <v>10</v>
      </c>
      <c r="F362" s="222"/>
      <c r="G362" s="107">
        <v>185.5</v>
      </c>
      <c r="H362" s="21">
        <v>194.8</v>
      </c>
      <c r="I362" s="22">
        <v>215</v>
      </c>
      <c r="J362" s="518" t="s">
        <v>5516</v>
      </c>
      <c r="K362" s="45" t="s">
        <v>367</v>
      </c>
      <c r="L362" s="437" t="s">
        <v>2925</v>
      </c>
      <c r="M362" s="474"/>
      <c r="N362" s="1013"/>
      <c r="O362" s="209"/>
      <c r="P362" s="66" t="s">
        <v>53</v>
      </c>
      <c r="Q362" s="100">
        <f t="shared" si="94"/>
        <v>0</v>
      </c>
      <c r="R362" s="13" t="str">
        <f t="shared" si="95"/>
        <v>Фото &gt;&gt;</v>
      </c>
      <c r="S362" s="14" t="s">
        <v>7079</v>
      </c>
      <c r="T362" s="515"/>
      <c r="U362" s="1262">
        <v>185.5</v>
      </c>
      <c r="V362" s="1262">
        <v>194.8</v>
      </c>
      <c r="W362" s="1262">
        <v>215</v>
      </c>
      <c r="AK362">
        <v>0.17</v>
      </c>
      <c r="AL362">
        <f t="shared" ref="AL362:AL364" si="107">F362*G362</f>
        <v>0</v>
      </c>
      <c r="AM362">
        <f t="shared" ref="AM362:AM364" si="108">F362*H362</f>
        <v>0</v>
      </c>
      <c r="AN362">
        <f t="shared" ref="AN362:AN364" si="109">AK362*F362+IF(E362&gt;1.01,F362/E362*0.2,0)</f>
        <v>0</v>
      </c>
      <c r="AO362" t="s">
        <v>7080</v>
      </c>
      <c r="AV362" t="str">
        <f>IF(F362&gt;0,(COUNT($AV$1:AV361)+1),"")</f>
        <v/>
      </c>
    </row>
    <row r="363" spans="1:48" ht="15" customHeight="1" x14ac:dyDescent="0.25">
      <c r="A363" s="1"/>
      <c r="B363" s="31">
        <v>21493</v>
      </c>
      <c r="C363" s="16">
        <v>4610117722427</v>
      </c>
      <c r="D363" s="422" t="s">
        <v>7420</v>
      </c>
      <c r="E363" s="69">
        <v>10</v>
      </c>
      <c r="F363" s="222"/>
      <c r="G363" s="108">
        <v>165.2</v>
      </c>
      <c r="H363" s="17">
        <v>173.4</v>
      </c>
      <c r="I363" s="18">
        <v>190</v>
      </c>
      <c r="J363" s="517" t="s">
        <v>5516</v>
      </c>
      <c r="K363" s="44" t="s">
        <v>367</v>
      </c>
      <c r="L363" s="442" t="s">
        <v>2925</v>
      </c>
      <c r="M363" s="480"/>
      <c r="N363" s="1015"/>
      <c r="O363" s="210" t="s">
        <v>1637</v>
      </c>
      <c r="P363" s="68" t="s">
        <v>53</v>
      </c>
      <c r="Q363" s="100">
        <f t="shared" si="94"/>
        <v>0</v>
      </c>
      <c r="R363" s="94" t="str">
        <f t="shared" si="95"/>
        <v>Фото &gt;&gt;</v>
      </c>
      <c r="S363" s="14" t="s">
        <v>7422</v>
      </c>
      <c r="T363" s="515"/>
      <c r="U363" s="1262">
        <v>165.2</v>
      </c>
      <c r="V363" s="1262">
        <v>173.4</v>
      </c>
      <c r="W363" s="1262">
        <v>190</v>
      </c>
      <c r="AK363">
        <v>0.17</v>
      </c>
      <c r="AL363">
        <f t="shared" ref="AL363" si="110">F363*G363</f>
        <v>0</v>
      </c>
      <c r="AM363">
        <f t="shared" ref="AM363" si="111">F363*H363</f>
        <v>0</v>
      </c>
      <c r="AN363">
        <f t="shared" ref="AN363" si="112">AK363*F363+IF(E363&gt;1.01,F363/E363*0.2,0)</f>
        <v>0</v>
      </c>
      <c r="AO363" t="s">
        <v>7421</v>
      </c>
      <c r="AV363" t="str">
        <f>IF(F363&gt;0,(COUNT($AV$1:AV362)+1),"")</f>
        <v/>
      </c>
    </row>
    <row r="364" spans="1:48" ht="15" customHeight="1" x14ac:dyDescent="0.25">
      <c r="A364" s="1"/>
      <c r="B364" s="30">
        <v>19837</v>
      </c>
      <c r="C364" s="20">
        <v>4610117720249</v>
      </c>
      <c r="D364" s="225" t="s">
        <v>5876</v>
      </c>
      <c r="E364" s="67">
        <v>6</v>
      </c>
      <c r="F364" s="222"/>
      <c r="G364" s="107">
        <v>199.5</v>
      </c>
      <c r="H364" s="21">
        <v>209.1</v>
      </c>
      <c r="I364" s="22">
        <v>229.9</v>
      </c>
      <c r="J364" s="518" t="s">
        <v>5516</v>
      </c>
      <c r="K364" s="45" t="s">
        <v>367</v>
      </c>
      <c r="L364" s="437" t="s">
        <v>2925</v>
      </c>
      <c r="M364" s="474"/>
      <c r="N364" s="1013"/>
      <c r="O364" s="209"/>
      <c r="P364" s="66" t="s">
        <v>53</v>
      </c>
      <c r="Q364" s="100">
        <f t="shared" si="94"/>
        <v>0</v>
      </c>
      <c r="R364" s="13" t="str">
        <f t="shared" si="95"/>
        <v>Фото &gt;&gt;</v>
      </c>
      <c r="S364" s="14" t="s">
        <v>3228</v>
      </c>
      <c r="T364" s="515"/>
      <c r="U364" s="1262">
        <v>199.5</v>
      </c>
      <c r="V364" s="1262">
        <v>209.1</v>
      </c>
      <c r="W364" s="1262">
        <v>229.9</v>
      </c>
      <c r="AK364">
        <v>0.18</v>
      </c>
      <c r="AL364">
        <f t="shared" si="107"/>
        <v>0</v>
      </c>
      <c r="AM364">
        <f t="shared" si="108"/>
        <v>0</v>
      </c>
      <c r="AN364">
        <f t="shared" si="109"/>
        <v>0</v>
      </c>
      <c r="AO364" t="s">
        <v>2597</v>
      </c>
      <c r="AV364" t="str">
        <f>IF(F364&gt;0,(COUNT($AV$1:AV363)+1),"")</f>
        <v/>
      </c>
    </row>
    <row r="365" spans="1:48" ht="15" customHeight="1" x14ac:dyDescent="0.25">
      <c r="A365" s="1"/>
      <c r="B365" s="31">
        <v>19859</v>
      </c>
      <c r="C365" s="16">
        <v>4610117720119</v>
      </c>
      <c r="D365" s="422" t="s">
        <v>7818</v>
      </c>
      <c r="E365" s="69">
        <v>6</v>
      </c>
      <c r="F365" s="222"/>
      <c r="G365" s="420">
        <f>IF(AND($F365&gt;1,MOD($F365,$E365)=0),U365*0.85,U365)</f>
        <v>214.8</v>
      </c>
      <c r="H365" s="415">
        <f t="shared" ref="H365" si="113">IF(AND($F365&gt;1,MOD($F365,$E365)=0),V365*0.85,V365)</f>
        <v>225.1</v>
      </c>
      <c r="I365" s="416">
        <f t="shared" ref="I365" si="114">IF(AND($F365&gt;1,MOD($F365,$E365)=0),W365*0.85,W365)</f>
        <v>247.4</v>
      </c>
      <c r="J365" s="517" t="s">
        <v>5516</v>
      </c>
      <c r="K365" s="44" t="s">
        <v>367</v>
      </c>
      <c r="L365" s="442" t="s">
        <v>2925</v>
      </c>
      <c r="M365" s="480"/>
      <c r="N365" s="1015"/>
      <c r="O365" s="210" t="str">
        <f>IF(AND(F365&gt;1,MOD(F365,E365)=0),"СКИДКА 15% активна",CONCATENATE("СКИДКА 15% на квант ",E365,"шт"))</f>
        <v>СКИДКА 15% на квант 6шт</v>
      </c>
      <c r="P365" s="68" t="s">
        <v>53</v>
      </c>
      <c r="Q365" s="100">
        <f t="shared" si="94"/>
        <v>0</v>
      </c>
      <c r="R365" s="94" t="str">
        <f t="shared" ref="R365:R367" si="115">IF(AO365&gt;0,HYPERLINK(AO365,"Фото &gt;&gt;"),"")</f>
        <v>Фото &gt;&gt;</v>
      </c>
      <c r="S365" s="14" t="s">
        <v>3229</v>
      </c>
      <c r="T365" s="515"/>
      <c r="U365" s="1262">
        <v>214.8</v>
      </c>
      <c r="V365" s="1262">
        <v>225.1</v>
      </c>
      <c r="W365" s="1262">
        <v>247.4</v>
      </c>
      <c r="AK365">
        <v>0.18</v>
      </c>
      <c r="AL365">
        <f t="shared" ref="AL365:AL414" si="116">F365*G365</f>
        <v>0</v>
      </c>
      <c r="AM365">
        <f t="shared" ref="AM365:AM414" si="117">F365*H365</f>
        <v>0</v>
      </c>
      <c r="AN365">
        <f t="shared" ref="AN365:AN414" si="118">AK365*F365+IF(E365&gt;1.01,F365/E365*0.2,0)</f>
        <v>0</v>
      </c>
      <c r="AO365" t="s">
        <v>6023</v>
      </c>
      <c r="AV365" t="str">
        <f>IF(F365&gt;0,(COUNT($AV$1:AV364)+1),"")</f>
        <v/>
      </c>
    </row>
    <row r="366" spans="1:48" ht="15" customHeight="1" x14ac:dyDescent="0.25">
      <c r="A366" s="1"/>
      <c r="B366" s="30">
        <v>16266</v>
      </c>
      <c r="C366" s="20">
        <v>4607072776169</v>
      </c>
      <c r="D366" s="225" t="s">
        <v>7327</v>
      </c>
      <c r="E366" s="67">
        <v>12</v>
      </c>
      <c r="F366" s="222"/>
      <c r="G366" s="107">
        <v>305</v>
      </c>
      <c r="H366" s="21">
        <v>319.60000000000002</v>
      </c>
      <c r="I366" s="22">
        <v>351.4</v>
      </c>
      <c r="J366" s="518" t="s">
        <v>5516</v>
      </c>
      <c r="K366" s="45" t="s">
        <v>367</v>
      </c>
      <c r="L366" s="437" t="s">
        <v>2925</v>
      </c>
      <c r="M366" s="474"/>
      <c r="N366" s="1013" t="s">
        <v>1856</v>
      </c>
      <c r="O366" s="209"/>
      <c r="P366" s="66" t="s">
        <v>53</v>
      </c>
      <c r="Q366" s="100">
        <f t="shared" si="94"/>
        <v>0</v>
      </c>
      <c r="R366" s="13" t="str">
        <f t="shared" si="115"/>
        <v>Фото &gt;&gt;</v>
      </c>
      <c r="S366" s="14" t="s">
        <v>3238</v>
      </c>
      <c r="T366" s="515"/>
      <c r="U366" s="1262">
        <v>305</v>
      </c>
      <c r="V366" s="1262">
        <v>319.60000000000002</v>
      </c>
      <c r="W366" s="1262">
        <v>351.4</v>
      </c>
      <c r="AK366">
        <v>0.2</v>
      </c>
      <c r="AL366">
        <f t="shared" si="116"/>
        <v>0</v>
      </c>
      <c r="AM366">
        <f t="shared" si="117"/>
        <v>0</v>
      </c>
      <c r="AN366">
        <f t="shared" si="118"/>
        <v>0</v>
      </c>
      <c r="AO366" t="s">
        <v>6107</v>
      </c>
      <c r="AV366" t="str">
        <f>IF(F366&gt;0,(COUNT($AV$1:AV365)+1),"")</f>
        <v/>
      </c>
    </row>
    <row r="367" spans="1:48" ht="15" customHeight="1" x14ac:dyDescent="0.25">
      <c r="A367" s="1"/>
      <c r="B367" s="31">
        <v>19836</v>
      </c>
      <c r="C367" s="16">
        <v>4610117720287</v>
      </c>
      <c r="D367" s="422" t="s">
        <v>7819</v>
      </c>
      <c r="E367" s="69">
        <v>6</v>
      </c>
      <c r="F367" s="222"/>
      <c r="G367" s="420">
        <f>IF(AND($F367&gt;1,MOD($F367,$E367)=0),U367*0.85,U367)</f>
        <v>326.60000000000002</v>
      </c>
      <c r="H367" s="415">
        <f t="shared" ref="H367" si="119">IF(AND($F367&gt;1,MOD($F367,$E367)=0),V367*0.85,V367)</f>
        <v>342.3</v>
      </c>
      <c r="I367" s="416">
        <f t="shared" ref="I367" si="120">IF(AND($F367&gt;1,MOD($F367,$E367)=0),W367*0.85,W367)</f>
        <v>376.2</v>
      </c>
      <c r="J367" s="517" t="s">
        <v>5516</v>
      </c>
      <c r="K367" s="44" t="s">
        <v>367</v>
      </c>
      <c r="L367" s="442" t="s">
        <v>2925</v>
      </c>
      <c r="M367" s="480"/>
      <c r="N367" s="1015" t="s">
        <v>1856</v>
      </c>
      <c r="O367" s="210" t="str">
        <f>IF(AND(F367&gt;1,MOD(F367,E367)=0),"СКИДКА 15% активна",CONCATENATE("СКИДКА 15% на квант ",E367,"шт"))</f>
        <v>СКИДКА 15% на квант 6шт</v>
      </c>
      <c r="P367" s="68" t="s">
        <v>53</v>
      </c>
      <c r="Q367" s="100">
        <f t="shared" si="94"/>
        <v>0</v>
      </c>
      <c r="R367" s="94" t="str">
        <f t="shared" si="115"/>
        <v>Фото &gt;&gt;</v>
      </c>
      <c r="S367" s="14" t="s">
        <v>3230</v>
      </c>
      <c r="T367" s="515"/>
      <c r="U367" s="1262">
        <v>326.60000000000002</v>
      </c>
      <c r="V367" s="1262">
        <v>342.3</v>
      </c>
      <c r="W367" s="1262">
        <v>376.2</v>
      </c>
      <c r="AK367">
        <v>0.2</v>
      </c>
      <c r="AL367">
        <f t="shared" si="116"/>
        <v>0</v>
      </c>
      <c r="AM367">
        <f t="shared" si="117"/>
        <v>0</v>
      </c>
      <c r="AN367">
        <f t="shared" si="118"/>
        <v>0</v>
      </c>
      <c r="AO367" t="s">
        <v>3300</v>
      </c>
      <c r="AV367" t="str">
        <f>IF(F367&gt;0,(COUNT($AV$1:AV366)+1),"")</f>
        <v/>
      </c>
    </row>
    <row r="368" spans="1:48" ht="15" customHeight="1" x14ac:dyDescent="0.25">
      <c r="A368" s="1"/>
      <c r="B368" s="30">
        <v>16267</v>
      </c>
      <c r="C368" s="20">
        <v>4607072776176</v>
      </c>
      <c r="D368" s="225" t="s">
        <v>7328</v>
      </c>
      <c r="E368" s="67">
        <v>12</v>
      </c>
      <c r="F368" s="222"/>
      <c r="G368" s="107">
        <v>305</v>
      </c>
      <c r="H368" s="21">
        <v>319.60000000000002</v>
      </c>
      <c r="I368" s="22">
        <v>351.4</v>
      </c>
      <c r="J368" s="518" t="s">
        <v>5516</v>
      </c>
      <c r="K368" s="45" t="s">
        <v>367</v>
      </c>
      <c r="L368" s="437" t="s">
        <v>2925</v>
      </c>
      <c r="M368" s="474"/>
      <c r="N368" s="1013" t="s">
        <v>1856</v>
      </c>
      <c r="O368" s="209"/>
      <c r="P368" s="66" t="s">
        <v>53</v>
      </c>
      <c r="Q368" s="100">
        <f t="shared" si="94"/>
        <v>0</v>
      </c>
      <c r="R368" s="13" t="str">
        <f>IF(AO368&gt;0,HYPERLINK(AO368,"Фото &gt;&gt;"),"")</f>
        <v>Фото &gt;&gt;</v>
      </c>
      <c r="S368" s="14" t="s">
        <v>536</v>
      </c>
      <c r="T368" s="515"/>
      <c r="U368" s="1262">
        <v>305</v>
      </c>
      <c r="V368" s="1262">
        <v>319.60000000000002</v>
      </c>
      <c r="W368" s="1262">
        <v>351.4</v>
      </c>
      <c r="AK368">
        <v>0.2</v>
      </c>
      <c r="AL368">
        <f t="shared" si="116"/>
        <v>0</v>
      </c>
      <c r="AM368">
        <f t="shared" si="117"/>
        <v>0</v>
      </c>
      <c r="AN368">
        <f t="shared" si="118"/>
        <v>0</v>
      </c>
      <c r="AO368" t="s">
        <v>6106</v>
      </c>
      <c r="AV368" t="str">
        <f>IF(F368&gt;0,(COUNT($AV$1:AV367)+1),"")</f>
        <v/>
      </c>
    </row>
    <row r="369" spans="1:48" ht="15" customHeight="1" x14ac:dyDescent="0.25">
      <c r="A369" s="1"/>
      <c r="B369" s="26"/>
      <c r="C369" s="26"/>
      <c r="D369" s="228" t="s">
        <v>1691</v>
      </c>
      <c r="E369" s="80"/>
      <c r="F369" s="28"/>
      <c r="G369" s="28"/>
      <c r="H369" s="29"/>
      <c r="I369" s="29"/>
      <c r="J369" s="1096"/>
      <c r="K369" s="47"/>
      <c r="L369" s="447"/>
      <c r="M369" s="489" t="s">
        <v>104</v>
      </c>
      <c r="N369" s="716"/>
      <c r="O369" s="186"/>
      <c r="P369" s="79"/>
      <c r="Q369" s="104"/>
      <c r="R369" s="13"/>
      <c r="S369" s="14"/>
      <c r="T369" s="515"/>
      <c r="U369" s="1262">
        <v>0</v>
      </c>
      <c r="V369" s="1262">
        <v>0</v>
      </c>
      <c r="W369" s="1262">
        <v>0</v>
      </c>
      <c r="AL369">
        <f t="shared" si="116"/>
        <v>0</v>
      </c>
      <c r="AM369">
        <f t="shared" si="117"/>
        <v>0</v>
      </c>
      <c r="AN369">
        <f t="shared" si="118"/>
        <v>0</v>
      </c>
      <c r="AO369" t="s">
        <v>104</v>
      </c>
      <c r="AV369" t="str">
        <f>IF(F369&gt;0,(COUNT($AV$1:AV368)+1),"")</f>
        <v/>
      </c>
    </row>
    <row r="370" spans="1:48" ht="15" customHeight="1" x14ac:dyDescent="0.25">
      <c r="A370" s="1"/>
      <c r="B370" s="31">
        <v>20395</v>
      </c>
      <c r="C370" s="16">
        <v>4610117721406</v>
      </c>
      <c r="D370" s="226" t="s">
        <v>5716</v>
      </c>
      <c r="E370" s="69">
        <v>10</v>
      </c>
      <c r="F370" s="222"/>
      <c r="G370" s="108">
        <v>163.9</v>
      </c>
      <c r="H370" s="17">
        <v>171.8</v>
      </c>
      <c r="I370" s="18">
        <v>188.9</v>
      </c>
      <c r="J370" s="517" t="s">
        <v>5516</v>
      </c>
      <c r="K370" s="44" t="s">
        <v>6406</v>
      </c>
      <c r="L370" s="442" t="s">
        <v>2924</v>
      </c>
      <c r="M370" s="480"/>
      <c r="N370" s="1015"/>
      <c r="O370" s="210"/>
      <c r="P370" s="68" t="s">
        <v>125</v>
      </c>
      <c r="Q370" s="100">
        <f t="shared" ref="Q370:Q382" si="121">IF(AND($AO$354=1,MOD(F370,E370)=0),F370*G370,IF($AO$354&lt;=2,F370*H370,F370*I370))</f>
        <v>0</v>
      </c>
      <c r="R370" s="13" t="str">
        <f t="shared" ref="R370:R382" si="122">IF(AO370&gt;0,HYPERLINK(AO370,"Фото &gt;&gt;"),"")</f>
        <v>Фото &gt;&gt;</v>
      </c>
      <c r="S370" s="14" t="s">
        <v>3785</v>
      </c>
      <c r="T370" s="515"/>
      <c r="U370" s="1262">
        <v>163.9</v>
      </c>
      <c r="V370" s="1262">
        <v>171.8</v>
      </c>
      <c r="W370" s="1262">
        <v>188.9</v>
      </c>
      <c r="AK370">
        <v>0.17</v>
      </c>
      <c r="AL370">
        <f t="shared" si="116"/>
        <v>0</v>
      </c>
      <c r="AM370">
        <f t="shared" si="117"/>
        <v>0</v>
      </c>
      <c r="AN370">
        <f t="shared" si="118"/>
        <v>0</v>
      </c>
      <c r="AO370" t="s">
        <v>3784</v>
      </c>
      <c r="AV370" t="str">
        <f>IF(F370&gt;0,(COUNT($AV$1:AV369)+1),"")</f>
        <v/>
      </c>
    </row>
    <row r="371" spans="1:48" ht="15" customHeight="1" x14ac:dyDescent="0.25">
      <c r="A371" s="1"/>
      <c r="B371" s="30">
        <v>19809</v>
      </c>
      <c r="C371" s="20">
        <v>4610117720133</v>
      </c>
      <c r="D371" s="225" t="s">
        <v>5666</v>
      </c>
      <c r="E371" s="67">
        <v>10</v>
      </c>
      <c r="F371" s="222"/>
      <c r="G371" s="107">
        <v>163.9</v>
      </c>
      <c r="H371" s="21">
        <v>171.8</v>
      </c>
      <c r="I371" s="22">
        <v>188.9</v>
      </c>
      <c r="J371" s="518" t="s">
        <v>5516</v>
      </c>
      <c r="K371" s="45" t="s">
        <v>6406</v>
      </c>
      <c r="L371" s="437" t="s">
        <v>2924</v>
      </c>
      <c r="M371" s="474"/>
      <c r="N371" s="1013"/>
      <c r="O371" s="209"/>
      <c r="P371" s="66" t="s">
        <v>125</v>
      </c>
      <c r="Q371" s="100">
        <f t="shared" si="121"/>
        <v>0</v>
      </c>
      <c r="R371" s="13" t="str">
        <f t="shared" si="122"/>
        <v>Фото &gt;&gt;</v>
      </c>
      <c r="S371" s="14" t="s">
        <v>3231</v>
      </c>
      <c r="T371" s="515"/>
      <c r="U371" s="1262">
        <v>163.9</v>
      </c>
      <c r="V371" s="1262">
        <v>171.8</v>
      </c>
      <c r="W371" s="1262">
        <v>188.9</v>
      </c>
      <c r="AK371">
        <v>0.17</v>
      </c>
      <c r="AL371">
        <f t="shared" si="116"/>
        <v>0</v>
      </c>
      <c r="AM371">
        <f t="shared" si="117"/>
        <v>0</v>
      </c>
      <c r="AN371">
        <f t="shared" si="118"/>
        <v>0</v>
      </c>
      <c r="AO371" t="s">
        <v>2598</v>
      </c>
      <c r="AV371" t="str">
        <f>IF(F371&gt;0,(COUNT($AV$1:AV370)+1),"")</f>
        <v/>
      </c>
    </row>
    <row r="372" spans="1:48" ht="15" customHeight="1" x14ac:dyDescent="0.25">
      <c r="A372" s="1"/>
      <c r="B372" s="31">
        <v>16268</v>
      </c>
      <c r="C372" s="16">
        <v>4607072776183</v>
      </c>
      <c r="D372" s="226" t="s">
        <v>6762</v>
      </c>
      <c r="E372" s="69">
        <v>10</v>
      </c>
      <c r="F372" s="222"/>
      <c r="G372" s="108">
        <v>137.30000000000001</v>
      </c>
      <c r="H372" s="17">
        <v>143.80000000000001</v>
      </c>
      <c r="I372" s="18">
        <v>158.1</v>
      </c>
      <c r="J372" s="517" t="s">
        <v>5516</v>
      </c>
      <c r="K372" s="44" t="s">
        <v>6406</v>
      </c>
      <c r="L372" s="442" t="s">
        <v>2924</v>
      </c>
      <c r="M372" s="480"/>
      <c r="N372" s="1015"/>
      <c r="O372" s="210"/>
      <c r="P372" s="68" t="s">
        <v>125</v>
      </c>
      <c r="Q372" s="100">
        <f t="shared" si="121"/>
        <v>0</v>
      </c>
      <c r="R372" s="13" t="str">
        <f t="shared" si="122"/>
        <v>Фото &gt;&gt;</v>
      </c>
      <c r="S372" s="14" t="s">
        <v>537</v>
      </c>
      <c r="T372" s="515"/>
      <c r="U372" s="1262">
        <v>137.30000000000001</v>
      </c>
      <c r="V372" s="1262">
        <v>143.80000000000001</v>
      </c>
      <c r="W372" s="1262">
        <v>158.1</v>
      </c>
      <c r="AK372">
        <v>0.18</v>
      </c>
      <c r="AL372">
        <f t="shared" ref="AL372:AL377" si="123">F372*G372</f>
        <v>0</v>
      </c>
      <c r="AM372">
        <f t="shared" ref="AM372:AM377" si="124">F372*H372</f>
        <v>0</v>
      </c>
      <c r="AN372">
        <f t="shared" ref="AN372:AN377" si="125">AK372*F372+IF(E372&gt;1.01,F372/E372*0.2,0)</f>
        <v>0</v>
      </c>
      <c r="AO372" t="s">
        <v>7155</v>
      </c>
      <c r="AV372" t="str">
        <f>IF(F372&gt;0,(COUNT($AV$1:AV371)+1),"")</f>
        <v/>
      </c>
    </row>
    <row r="373" spans="1:48" ht="15" customHeight="1" x14ac:dyDescent="0.25">
      <c r="A373" s="1"/>
      <c r="B373" s="785">
        <v>15507</v>
      </c>
      <c r="C373" s="786">
        <v>4607072775490</v>
      </c>
      <c r="D373" s="787" t="s">
        <v>6599</v>
      </c>
      <c r="E373" s="788">
        <v>10</v>
      </c>
      <c r="F373" s="789"/>
      <c r="G373" s="811">
        <v>137.30000000000001</v>
      </c>
      <c r="H373" s="790">
        <v>143.80000000000001</v>
      </c>
      <c r="I373" s="791">
        <v>158.1</v>
      </c>
      <c r="J373" s="886" t="s">
        <v>5516</v>
      </c>
      <c r="K373" s="793" t="s">
        <v>428</v>
      </c>
      <c r="L373" s="781" t="s">
        <v>2926</v>
      </c>
      <c r="M373" s="782"/>
      <c r="N373" s="1009"/>
      <c r="O373" s="794"/>
      <c r="P373" s="784" t="s">
        <v>125</v>
      </c>
      <c r="Q373" s="100">
        <f t="shared" si="121"/>
        <v>0</v>
      </c>
      <c r="R373" s="13" t="str">
        <f t="shared" si="122"/>
        <v>Фото &gt;&gt;</v>
      </c>
      <c r="S373" s="14" t="s">
        <v>2004</v>
      </c>
      <c r="T373" s="515"/>
      <c r="U373" s="1262">
        <v>137.30000000000001</v>
      </c>
      <c r="V373" s="1262">
        <v>143.80000000000001</v>
      </c>
      <c r="W373" s="1262">
        <v>158.1</v>
      </c>
      <c r="AK373">
        <v>0.2</v>
      </c>
      <c r="AL373">
        <f t="shared" si="123"/>
        <v>0</v>
      </c>
      <c r="AM373">
        <f t="shared" si="124"/>
        <v>0</v>
      </c>
      <c r="AN373">
        <f t="shared" si="125"/>
        <v>0</v>
      </c>
      <c r="AO373" t="s">
        <v>4815</v>
      </c>
      <c r="AV373" t="str">
        <f>IF(F373&gt;0,(COUNT($AV$1:AV372)+1),"")</f>
        <v/>
      </c>
    </row>
    <row r="374" spans="1:48" ht="15" customHeight="1" x14ac:dyDescent="0.25">
      <c r="A374" s="1"/>
      <c r="B374" s="31">
        <v>21494</v>
      </c>
      <c r="C374" s="16">
        <v>4610117722472</v>
      </c>
      <c r="D374" s="422" t="s">
        <v>7820</v>
      </c>
      <c r="E374" s="69">
        <v>10</v>
      </c>
      <c r="F374" s="222"/>
      <c r="G374" s="420">
        <f>IF(AND($F374&gt;1,MOD($F374,$E374)=0),U374*0.85,U374)</f>
        <v>137.30000000000001</v>
      </c>
      <c r="H374" s="415">
        <f t="shared" ref="H374" si="126">IF(AND($F374&gt;1,MOD($F374,$E374)=0),V374*0.85,V374)</f>
        <v>143.80000000000001</v>
      </c>
      <c r="I374" s="416">
        <f t="shared" ref="I374" si="127">IF(AND($F374&gt;1,MOD($F374,$E374)=0),W374*0.85,W374)</f>
        <v>158.1</v>
      </c>
      <c r="J374" s="517" t="s">
        <v>5516</v>
      </c>
      <c r="K374" s="44" t="s">
        <v>428</v>
      </c>
      <c r="L374" s="442" t="s">
        <v>2926</v>
      </c>
      <c r="M374" s="480"/>
      <c r="N374" s="1015"/>
      <c r="O374" s="210" t="str">
        <f>IF(AND(F374&gt;1,MOD(F374,E374)=0),"СКИДКА 15% активна",CONCATENATE("СКИДКА 15% на квант ",E374,"шт"))</f>
        <v>СКИДКА 15% на квант 10шт</v>
      </c>
      <c r="P374" s="68" t="s">
        <v>125</v>
      </c>
      <c r="Q374" s="100">
        <f t="shared" si="121"/>
        <v>0</v>
      </c>
      <c r="R374" s="94" t="str">
        <f t="shared" si="122"/>
        <v>Фото &gt;&gt;</v>
      </c>
      <c r="S374" s="14" t="s">
        <v>7026</v>
      </c>
      <c r="T374" s="515"/>
      <c r="U374" s="1262">
        <v>137.30000000000001</v>
      </c>
      <c r="V374" s="1262">
        <v>143.80000000000001</v>
      </c>
      <c r="W374" s="1262">
        <v>158.1</v>
      </c>
      <c r="AK374">
        <v>0.2</v>
      </c>
      <c r="AL374">
        <f t="shared" si="123"/>
        <v>0</v>
      </c>
      <c r="AM374">
        <f t="shared" si="124"/>
        <v>0</v>
      </c>
      <c r="AN374">
        <f t="shared" si="125"/>
        <v>0</v>
      </c>
      <c r="AO374" t="s">
        <v>7394</v>
      </c>
      <c r="AV374" t="str">
        <f>IF(F374&gt;0,(COUNT($AV$1:AV373)+1),"")</f>
        <v/>
      </c>
    </row>
    <row r="375" spans="1:48" ht="15" customHeight="1" x14ac:dyDescent="0.25">
      <c r="A375" s="1"/>
      <c r="B375" s="30">
        <v>17215</v>
      </c>
      <c r="C375" s="20">
        <v>4607072776473</v>
      </c>
      <c r="D375" s="225" t="s">
        <v>3293</v>
      </c>
      <c r="E375" s="67">
        <v>10</v>
      </c>
      <c r="F375" s="222"/>
      <c r="G375" s="107">
        <v>137.30000000000001</v>
      </c>
      <c r="H375" s="21">
        <v>143.80000000000001</v>
      </c>
      <c r="I375" s="22">
        <v>158.1</v>
      </c>
      <c r="J375" s="518" t="s">
        <v>5516</v>
      </c>
      <c r="K375" s="45" t="s">
        <v>428</v>
      </c>
      <c r="L375" s="437" t="s">
        <v>2926</v>
      </c>
      <c r="M375" s="474"/>
      <c r="N375" s="1013"/>
      <c r="O375" s="209"/>
      <c r="P375" s="66" t="s">
        <v>125</v>
      </c>
      <c r="Q375" s="100">
        <f t="shared" si="121"/>
        <v>0</v>
      </c>
      <c r="R375" s="13" t="str">
        <f t="shared" si="122"/>
        <v>Фото &gt;&gt;</v>
      </c>
      <c r="S375" s="14" t="s">
        <v>3232</v>
      </c>
      <c r="T375" s="515"/>
      <c r="U375" s="1262">
        <v>137.30000000000001</v>
      </c>
      <c r="V375" s="1262">
        <v>143.80000000000001</v>
      </c>
      <c r="W375" s="1262">
        <v>158.1</v>
      </c>
      <c r="AK375">
        <v>0.2</v>
      </c>
      <c r="AL375">
        <f t="shared" si="123"/>
        <v>0</v>
      </c>
      <c r="AM375">
        <f t="shared" si="124"/>
        <v>0</v>
      </c>
      <c r="AN375">
        <f t="shared" si="125"/>
        <v>0</v>
      </c>
      <c r="AO375" t="s">
        <v>2599</v>
      </c>
      <c r="AV375" t="str">
        <f>IF(F375&gt;0,(COUNT($AV$1:AV374)+1),"")</f>
        <v/>
      </c>
    </row>
    <row r="376" spans="1:48" ht="15" customHeight="1" x14ac:dyDescent="0.25">
      <c r="A376" s="1"/>
      <c r="B376" s="31">
        <v>15506</v>
      </c>
      <c r="C376" s="16">
        <v>4607072775483</v>
      </c>
      <c r="D376" s="226" t="s">
        <v>3170</v>
      </c>
      <c r="E376" s="69">
        <v>10</v>
      </c>
      <c r="F376" s="222"/>
      <c r="G376" s="108">
        <v>137.30000000000001</v>
      </c>
      <c r="H376" s="17">
        <v>143.80000000000001</v>
      </c>
      <c r="I376" s="18">
        <v>158.1</v>
      </c>
      <c r="J376" s="517" t="s">
        <v>5516</v>
      </c>
      <c r="K376" s="44" t="s">
        <v>428</v>
      </c>
      <c r="L376" s="442" t="s">
        <v>2926</v>
      </c>
      <c r="M376" s="480"/>
      <c r="N376" s="1015"/>
      <c r="O376" s="219"/>
      <c r="P376" s="68" t="s">
        <v>125</v>
      </c>
      <c r="Q376" s="100">
        <f t="shared" si="121"/>
        <v>0</v>
      </c>
      <c r="R376" s="13" t="str">
        <f t="shared" si="122"/>
        <v>Фото &gt;&gt;</v>
      </c>
      <c r="S376" s="14" t="s">
        <v>3233</v>
      </c>
      <c r="T376" s="515"/>
      <c r="U376" s="1262">
        <v>137.30000000000001</v>
      </c>
      <c r="V376" s="1262">
        <v>143.80000000000001</v>
      </c>
      <c r="W376" s="1262">
        <v>158.1</v>
      </c>
      <c r="AK376">
        <v>0.2</v>
      </c>
      <c r="AL376">
        <f t="shared" si="123"/>
        <v>0</v>
      </c>
      <c r="AM376">
        <f t="shared" si="124"/>
        <v>0</v>
      </c>
      <c r="AN376">
        <f t="shared" si="125"/>
        <v>0</v>
      </c>
      <c r="AO376" t="s">
        <v>4816</v>
      </c>
      <c r="AV376" t="str">
        <f>IF(F376&gt;0,(COUNT($AV$1:AV375)+1),"")</f>
        <v/>
      </c>
    </row>
    <row r="377" spans="1:48" ht="15" customHeight="1" x14ac:dyDescent="0.25">
      <c r="A377" s="1"/>
      <c r="B377" s="30">
        <v>17214</v>
      </c>
      <c r="C377" s="20">
        <v>4607072776466</v>
      </c>
      <c r="D377" s="421" t="s">
        <v>7821</v>
      </c>
      <c r="E377" s="67">
        <v>10</v>
      </c>
      <c r="F377" s="222"/>
      <c r="G377" s="419">
        <f>IF(AND($F377&gt;1,MOD($F377,$E377)=0),U377*0.85,U377)</f>
        <v>137.30000000000001</v>
      </c>
      <c r="H377" s="417">
        <f t="shared" ref="H377" si="128">IF(AND($F377&gt;1,MOD($F377,$E377)=0),V377*0.85,V377)</f>
        <v>143.80000000000001</v>
      </c>
      <c r="I377" s="418">
        <f t="shared" ref="I377" si="129">IF(AND($F377&gt;1,MOD($F377,$E377)=0),W377*0.85,W377)</f>
        <v>158.1</v>
      </c>
      <c r="J377" s="518" t="s">
        <v>5516</v>
      </c>
      <c r="K377" s="45" t="s">
        <v>428</v>
      </c>
      <c r="L377" s="437" t="s">
        <v>2926</v>
      </c>
      <c r="M377" s="474"/>
      <c r="N377" s="1013"/>
      <c r="O377" s="1263" t="str">
        <f>IF(AND(F377&gt;1,MOD(F377,E377)=0),"СКИДКА 15% активна",CONCATENATE("СКИДКА 15% на квант ",E377,"шт"))</f>
        <v>СКИДКА 15% на квант 10шт</v>
      </c>
      <c r="P377" s="66" t="s">
        <v>125</v>
      </c>
      <c r="Q377" s="100">
        <f t="shared" si="121"/>
        <v>0</v>
      </c>
      <c r="R377" s="13" t="str">
        <f t="shared" si="122"/>
        <v>Фото &gt;&gt;</v>
      </c>
      <c r="S377" s="14" t="s">
        <v>3357</v>
      </c>
      <c r="T377" s="515"/>
      <c r="U377" s="1262">
        <v>137.30000000000001</v>
      </c>
      <c r="V377" s="1262">
        <v>143.80000000000001</v>
      </c>
      <c r="W377" s="1262">
        <v>158.1</v>
      </c>
      <c r="AK377">
        <v>0.2</v>
      </c>
      <c r="AL377">
        <f t="shared" si="123"/>
        <v>0</v>
      </c>
      <c r="AM377">
        <f t="shared" si="124"/>
        <v>0</v>
      </c>
      <c r="AN377">
        <f t="shared" si="125"/>
        <v>0</v>
      </c>
      <c r="AO377" t="s">
        <v>2600</v>
      </c>
      <c r="AV377" t="str">
        <f>IF(F377&gt;0,(COUNT($AV$1:AV376)+1),"")</f>
        <v/>
      </c>
    </row>
    <row r="378" spans="1:48" ht="15" customHeight="1" x14ac:dyDescent="0.25">
      <c r="A378" s="1"/>
      <c r="B378" s="32">
        <v>18279</v>
      </c>
      <c r="C378" s="33">
        <v>4607072777005</v>
      </c>
      <c r="D378" s="227" t="s">
        <v>7326</v>
      </c>
      <c r="E378" s="71">
        <v>10</v>
      </c>
      <c r="F378" s="223"/>
      <c r="G378" s="109">
        <v>73.7</v>
      </c>
      <c r="H378" s="34">
        <v>77.3</v>
      </c>
      <c r="I378" s="35">
        <v>84.9</v>
      </c>
      <c r="J378" s="1260" t="s">
        <v>5516</v>
      </c>
      <c r="K378" s="57" t="s">
        <v>428</v>
      </c>
      <c r="L378" s="438" t="s">
        <v>2926</v>
      </c>
      <c r="M378" s="484"/>
      <c r="N378" s="1008"/>
      <c r="O378" s="219"/>
      <c r="P378" s="70" t="s">
        <v>125</v>
      </c>
      <c r="Q378" s="100">
        <f t="shared" si="121"/>
        <v>0</v>
      </c>
      <c r="R378" s="13" t="str">
        <f t="shared" si="122"/>
        <v>Фото &gt;&gt;</v>
      </c>
      <c r="S378" s="14" t="s">
        <v>3357</v>
      </c>
      <c r="T378" s="515"/>
      <c r="U378" s="1262">
        <v>73.7</v>
      </c>
      <c r="V378" s="1262">
        <v>77.3</v>
      </c>
      <c r="W378" s="1262">
        <v>84.9</v>
      </c>
      <c r="AF378" t="s">
        <v>104</v>
      </c>
      <c r="AK378">
        <v>0.1</v>
      </c>
      <c r="AL378">
        <f t="shared" ref="AL378:AL380" si="130">F378*G378</f>
        <v>0</v>
      </c>
      <c r="AM378">
        <f t="shared" ref="AM378:AM380" si="131">F378*H378</f>
        <v>0</v>
      </c>
      <c r="AN378">
        <f t="shared" ref="AN378:AN380" si="132">AK378*F378+IF(E378&gt;1.01,F378/E378*0.2,0)</f>
        <v>0</v>
      </c>
      <c r="AO378" t="s">
        <v>6345</v>
      </c>
      <c r="AV378" t="str">
        <f>IF(F378&gt;0,(COUNT($AV$1:AV377)+1),"")</f>
        <v/>
      </c>
    </row>
    <row r="379" spans="1:48" ht="15" customHeight="1" x14ac:dyDescent="0.25">
      <c r="A379" s="1"/>
      <c r="B379" s="669">
        <v>21495</v>
      </c>
      <c r="C379" s="670"/>
      <c r="D379" s="1264" t="s">
        <v>7822</v>
      </c>
      <c r="E379" s="672">
        <v>10</v>
      </c>
      <c r="F379" s="673"/>
      <c r="G379" s="1265">
        <f>IF(AND($F379&gt;1,MOD($F379,$E379)=0),U379*0.85,U379)</f>
        <v>86.4</v>
      </c>
      <c r="H379" s="1266">
        <f t="shared" ref="H379" si="133">IF(AND($F379&gt;1,MOD($F379,$E379)=0),V379*0.85,V379)</f>
        <v>90.6</v>
      </c>
      <c r="I379" s="1267">
        <f t="shared" ref="I379" si="134">IF(AND($F379&gt;1,MOD($F379,$E379)=0),W379*0.85,W379)</f>
        <v>99.5</v>
      </c>
      <c r="J379" s="1261" t="s">
        <v>5516</v>
      </c>
      <c r="K379" s="678" t="s">
        <v>428</v>
      </c>
      <c r="L379" s="679" t="s">
        <v>2926</v>
      </c>
      <c r="M379" s="680"/>
      <c r="N379" s="1027"/>
      <c r="O379" s="681" t="str">
        <f>IF(AND(F379&gt;1,MOD(F379,E379)=0),"СКИДКА 15% активна",CONCATENATE("СКИДКА 15% на квант ",E379,"шт"))</f>
        <v>СКИДКА 15% на квант 10шт</v>
      </c>
      <c r="P379" s="682" t="s">
        <v>125</v>
      </c>
      <c r="Q379" s="100">
        <f t="shared" si="121"/>
        <v>0</v>
      </c>
      <c r="R379" s="94" t="str">
        <f t="shared" si="122"/>
        <v>Фото &gt;&gt;</v>
      </c>
      <c r="S379" s="14" t="s">
        <v>7081</v>
      </c>
      <c r="T379" s="515"/>
      <c r="U379" s="1262">
        <v>86.4</v>
      </c>
      <c r="V379" s="1262">
        <v>90.6</v>
      </c>
      <c r="W379" s="1262">
        <v>99.5</v>
      </c>
      <c r="AK379">
        <v>0.11</v>
      </c>
      <c r="AL379">
        <f t="shared" si="130"/>
        <v>0</v>
      </c>
      <c r="AM379">
        <f t="shared" si="131"/>
        <v>0</v>
      </c>
      <c r="AN379">
        <f t="shared" si="132"/>
        <v>0</v>
      </c>
      <c r="AO379" t="s">
        <v>7395</v>
      </c>
      <c r="AV379" t="str">
        <f>IF(F379&gt;0,(COUNT($AV$1:AV378)+1),"")</f>
        <v/>
      </c>
    </row>
    <row r="380" spans="1:48" ht="15" customHeight="1" x14ac:dyDescent="0.25">
      <c r="A380" s="1"/>
      <c r="B380" s="31">
        <v>19985</v>
      </c>
      <c r="C380" s="16">
        <v>4610117720652</v>
      </c>
      <c r="D380" s="422" t="s">
        <v>7823</v>
      </c>
      <c r="E380" s="69">
        <v>10</v>
      </c>
      <c r="F380" s="222"/>
      <c r="G380" s="420">
        <f>IF(AND($F380&gt;1,MOD($F380,$E380)=0),U380*0.85,U380)</f>
        <v>86.4</v>
      </c>
      <c r="H380" s="415">
        <f t="shared" ref="H380" si="135">IF(AND($F380&gt;1,MOD($F380,$E380)=0),V380*0.85,V380)</f>
        <v>90.6</v>
      </c>
      <c r="I380" s="416">
        <f t="shared" ref="I380" si="136">IF(AND($F380&gt;1,MOD($F380,$E380)=0),W380*0.85,W380)</f>
        <v>99.5</v>
      </c>
      <c r="J380" s="517" t="s">
        <v>5516</v>
      </c>
      <c r="K380" s="44" t="s">
        <v>428</v>
      </c>
      <c r="L380" s="442" t="s">
        <v>2926</v>
      </c>
      <c r="M380" s="480"/>
      <c r="N380" s="1015"/>
      <c r="O380" s="210" t="str">
        <f>IF(AND(F380&gt;1,MOD(F380,E380)=0),"СКИДКА 15% активна",CONCATENATE("СКИДКА 15% на квант ",E380,"шт"))</f>
        <v>СКИДКА 15% на квант 10шт</v>
      </c>
      <c r="P380" s="68" t="s">
        <v>125</v>
      </c>
      <c r="Q380" s="100">
        <f t="shared" si="121"/>
        <v>0</v>
      </c>
      <c r="R380" s="13" t="str">
        <f t="shared" si="122"/>
        <v>Фото &gt;&gt;</v>
      </c>
      <c r="S380" s="14" t="s">
        <v>3296</v>
      </c>
      <c r="T380" s="515"/>
      <c r="U380" s="1262">
        <v>86.4</v>
      </c>
      <c r="V380" s="1262">
        <v>90.6</v>
      </c>
      <c r="W380" s="1262">
        <v>99.5</v>
      </c>
      <c r="AK380">
        <v>0.11</v>
      </c>
      <c r="AL380">
        <f t="shared" si="130"/>
        <v>0</v>
      </c>
      <c r="AM380">
        <f t="shared" si="131"/>
        <v>0</v>
      </c>
      <c r="AN380">
        <f t="shared" si="132"/>
        <v>0</v>
      </c>
      <c r="AO380" t="s">
        <v>2601</v>
      </c>
      <c r="AV380" t="str">
        <f>IF(F380&gt;0,(COUNT($AV$1:AV379)+1),"")</f>
        <v/>
      </c>
    </row>
    <row r="381" spans="1:48" ht="15" customHeight="1" x14ac:dyDescent="0.25">
      <c r="A381" s="1"/>
      <c r="B381" s="30">
        <v>19986</v>
      </c>
      <c r="C381" s="20">
        <v>4610117720645</v>
      </c>
      <c r="D381" s="225" t="s">
        <v>5877</v>
      </c>
      <c r="E381" s="67">
        <v>10</v>
      </c>
      <c r="F381" s="222"/>
      <c r="G381" s="107">
        <v>86.4</v>
      </c>
      <c r="H381" s="21">
        <v>90.6</v>
      </c>
      <c r="I381" s="22">
        <v>99.5</v>
      </c>
      <c r="J381" s="518" t="s">
        <v>5516</v>
      </c>
      <c r="K381" s="45" t="s">
        <v>428</v>
      </c>
      <c r="L381" s="437" t="s">
        <v>2926</v>
      </c>
      <c r="M381" s="474"/>
      <c r="N381" s="1013"/>
      <c r="O381" s="209"/>
      <c r="P381" s="66" t="s">
        <v>125</v>
      </c>
      <c r="Q381" s="100">
        <f t="shared" si="121"/>
        <v>0</v>
      </c>
      <c r="R381" s="13" t="str">
        <f t="shared" si="122"/>
        <v>Фото &gt;&gt;</v>
      </c>
      <c r="S381" s="14" t="s">
        <v>3295</v>
      </c>
      <c r="T381" s="515"/>
      <c r="U381" s="1262">
        <v>86.4</v>
      </c>
      <c r="V381" s="1262">
        <v>90.6</v>
      </c>
      <c r="W381" s="1262">
        <v>99.5</v>
      </c>
      <c r="AK381">
        <v>0.11</v>
      </c>
      <c r="AL381">
        <f t="shared" si="116"/>
        <v>0</v>
      </c>
      <c r="AM381">
        <f t="shared" si="117"/>
        <v>0</v>
      </c>
      <c r="AN381">
        <f t="shared" si="118"/>
        <v>0</v>
      </c>
      <c r="AO381" t="s">
        <v>2602</v>
      </c>
      <c r="AV381" t="str">
        <f>IF(F381&gt;0,(COUNT($AV$1:AV380)+1),"")</f>
        <v/>
      </c>
    </row>
    <row r="382" spans="1:48" ht="15" customHeight="1" x14ac:dyDescent="0.25">
      <c r="A382" s="1"/>
      <c r="B382" s="31">
        <v>19987</v>
      </c>
      <c r="C382" s="16">
        <v>4610117720638</v>
      </c>
      <c r="D382" s="226" t="s">
        <v>3829</v>
      </c>
      <c r="E382" s="69">
        <v>10</v>
      </c>
      <c r="F382" s="222"/>
      <c r="G382" s="108">
        <v>86.4</v>
      </c>
      <c r="H382" s="17">
        <v>90.6</v>
      </c>
      <c r="I382" s="18">
        <v>99.5</v>
      </c>
      <c r="J382" s="517" t="s">
        <v>5516</v>
      </c>
      <c r="K382" s="44" t="s">
        <v>428</v>
      </c>
      <c r="L382" s="442" t="s">
        <v>2926</v>
      </c>
      <c r="M382" s="480"/>
      <c r="N382" s="1015"/>
      <c r="O382" s="210"/>
      <c r="P382" s="68" t="s">
        <v>125</v>
      </c>
      <c r="Q382" s="100">
        <f t="shared" si="121"/>
        <v>0</v>
      </c>
      <c r="R382" s="13" t="str">
        <f t="shared" si="122"/>
        <v>Фото &gt;&gt;</v>
      </c>
      <c r="S382" s="14" t="s">
        <v>3217</v>
      </c>
      <c r="T382" s="515"/>
      <c r="U382" s="1262">
        <v>86.4</v>
      </c>
      <c r="V382" s="1262">
        <v>90.6</v>
      </c>
      <c r="W382" s="1262">
        <v>99.5</v>
      </c>
      <c r="AK382">
        <v>0.11</v>
      </c>
      <c r="AL382">
        <f t="shared" si="116"/>
        <v>0</v>
      </c>
      <c r="AM382">
        <f t="shared" si="117"/>
        <v>0</v>
      </c>
      <c r="AN382">
        <f t="shared" si="118"/>
        <v>0</v>
      </c>
      <c r="AO382" t="s">
        <v>2603</v>
      </c>
      <c r="AV382" t="str">
        <f>IF(F382&gt;0,(COUNT($AV$1:AV381)+1),"")</f>
        <v/>
      </c>
    </row>
    <row r="383" spans="1:48" ht="15" customHeight="1" x14ac:dyDescent="0.25">
      <c r="A383" s="1"/>
      <c r="B383" s="25"/>
      <c r="C383" s="26"/>
      <c r="D383" s="27" t="s">
        <v>3426</v>
      </c>
      <c r="E383" s="80"/>
      <c r="F383" s="28"/>
      <c r="G383" s="28"/>
      <c r="H383" s="29"/>
      <c r="I383" s="29"/>
      <c r="J383" s="1096"/>
      <c r="K383" s="47"/>
      <c r="L383" s="447"/>
      <c r="M383" s="489" t="s">
        <v>104</v>
      </c>
      <c r="N383" s="716"/>
      <c r="O383" s="186"/>
      <c r="P383" s="79"/>
      <c r="Q383" s="104"/>
      <c r="R383" s="13"/>
      <c r="S383" s="14"/>
      <c r="T383" s="515"/>
      <c r="U383" s="1262">
        <v>0</v>
      </c>
      <c r="V383" s="1262">
        <v>0</v>
      </c>
      <c r="W383" s="1262">
        <v>0</v>
      </c>
      <c r="AL383">
        <f t="shared" si="116"/>
        <v>0</v>
      </c>
      <c r="AM383">
        <f t="shared" si="117"/>
        <v>0</v>
      </c>
      <c r="AN383">
        <f t="shared" si="118"/>
        <v>0</v>
      </c>
      <c r="AO383" t="s">
        <v>104</v>
      </c>
      <c r="AV383" t="str">
        <f>IF(F383&gt;0,(COUNT($AV$1:AV382)+1),"")</f>
        <v/>
      </c>
    </row>
    <row r="384" spans="1:48" ht="15" customHeight="1" x14ac:dyDescent="0.25">
      <c r="A384" s="1"/>
      <c r="B384" s="30">
        <v>20223</v>
      </c>
      <c r="C384" s="20">
        <v>4610117721024</v>
      </c>
      <c r="D384" s="225" t="s">
        <v>4536</v>
      </c>
      <c r="E384" s="67">
        <v>6</v>
      </c>
      <c r="F384" s="222"/>
      <c r="G384" s="107">
        <v>382.5</v>
      </c>
      <c r="H384" s="21">
        <v>401.6</v>
      </c>
      <c r="I384" s="22">
        <v>422</v>
      </c>
      <c r="J384" s="518" t="s">
        <v>5516</v>
      </c>
      <c r="K384" s="45" t="s">
        <v>530</v>
      </c>
      <c r="L384" s="437"/>
      <c r="M384" s="474" t="s">
        <v>1856</v>
      </c>
      <c r="N384" s="1013" t="s">
        <v>1856</v>
      </c>
      <c r="O384" s="209"/>
      <c r="P384" s="66" t="s">
        <v>50</v>
      </c>
      <c r="Q384" s="100">
        <f>IF(AND($AO$354=1,MOD(F384,E384)=0),F384*G384,IF($AO$354&lt;=2,F384*H384,F384*I384))</f>
        <v>0</v>
      </c>
      <c r="R384" s="13" t="str">
        <f t="shared" ref="R384:R387" si="137">IF(AO384&gt;0,HYPERLINK(AO384,"Фото &gt;&gt;"),"")</f>
        <v>Фото &gt;&gt;</v>
      </c>
      <c r="S384" s="14" t="s">
        <v>2922</v>
      </c>
      <c r="T384" s="515"/>
      <c r="U384" s="1262">
        <v>382.5</v>
      </c>
      <c r="V384" s="1262">
        <v>401.6</v>
      </c>
      <c r="W384" s="1262">
        <v>422</v>
      </c>
      <c r="AK384">
        <v>0.75</v>
      </c>
      <c r="AL384">
        <f t="shared" si="116"/>
        <v>0</v>
      </c>
      <c r="AM384">
        <f t="shared" si="117"/>
        <v>0</v>
      </c>
      <c r="AN384">
        <f t="shared" si="118"/>
        <v>0</v>
      </c>
      <c r="AO384" t="s">
        <v>2920</v>
      </c>
      <c r="AV384" t="str">
        <f>IF(F384&gt;0,(COUNT($AV$1:AV383)+1),"")</f>
        <v/>
      </c>
    </row>
    <row r="385" spans="1:48" ht="15" customHeight="1" x14ac:dyDescent="0.25">
      <c r="A385" s="1"/>
      <c r="B385" s="31">
        <v>20229</v>
      </c>
      <c r="C385" s="16">
        <v>4610117721079</v>
      </c>
      <c r="D385" s="226" t="s">
        <v>4537</v>
      </c>
      <c r="E385" s="69">
        <v>6</v>
      </c>
      <c r="F385" s="222"/>
      <c r="G385" s="108">
        <v>408.7</v>
      </c>
      <c r="H385" s="17">
        <v>429</v>
      </c>
      <c r="I385" s="18">
        <v>451</v>
      </c>
      <c r="J385" s="517" t="s">
        <v>5516</v>
      </c>
      <c r="K385" s="44" t="s">
        <v>530</v>
      </c>
      <c r="L385" s="442"/>
      <c r="M385" s="480" t="s">
        <v>1856</v>
      </c>
      <c r="N385" s="1015" t="s">
        <v>1856</v>
      </c>
      <c r="O385" s="210"/>
      <c r="P385" s="68" t="s">
        <v>50</v>
      </c>
      <c r="Q385" s="100">
        <f>IF(AND($AO$354=1,MOD(F385,E385)=0),F385*G385,IF($AO$354&lt;=2,F385*H385,F385*I385))</f>
        <v>0</v>
      </c>
      <c r="R385" s="13" t="str">
        <f t="shared" si="137"/>
        <v>Фото &gt;&gt;</v>
      </c>
      <c r="S385" s="14" t="s">
        <v>2944</v>
      </c>
      <c r="T385" s="515"/>
      <c r="U385" s="1262">
        <v>408.7</v>
      </c>
      <c r="V385" s="1262">
        <v>429</v>
      </c>
      <c r="W385" s="1262">
        <v>451</v>
      </c>
      <c r="AK385">
        <v>0.75</v>
      </c>
      <c r="AL385">
        <f t="shared" si="116"/>
        <v>0</v>
      </c>
      <c r="AM385">
        <f t="shared" si="117"/>
        <v>0</v>
      </c>
      <c r="AN385">
        <f t="shared" si="118"/>
        <v>0</v>
      </c>
      <c r="AO385" t="s">
        <v>2946</v>
      </c>
      <c r="AV385" t="str">
        <f>IF(F385&gt;0,(COUNT($AV$1:AV384)+1),"")</f>
        <v/>
      </c>
    </row>
    <row r="386" spans="1:48" ht="15" customHeight="1" x14ac:dyDescent="0.25">
      <c r="A386" s="1"/>
      <c r="B386" s="30">
        <v>20228</v>
      </c>
      <c r="C386" s="20">
        <v>4610117721048</v>
      </c>
      <c r="D386" s="225" t="s">
        <v>4538</v>
      </c>
      <c r="E386" s="67">
        <v>6</v>
      </c>
      <c r="F386" s="222"/>
      <c r="G386" s="107">
        <v>433.8</v>
      </c>
      <c r="H386" s="21">
        <v>451</v>
      </c>
      <c r="I386" s="22">
        <v>468.5</v>
      </c>
      <c r="J386" s="518" t="s">
        <v>5516</v>
      </c>
      <c r="K386" s="45" t="s">
        <v>530</v>
      </c>
      <c r="L386" s="437"/>
      <c r="M386" s="474" t="s">
        <v>1856</v>
      </c>
      <c r="N386" s="1013" t="s">
        <v>1856</v>
      </c>
      <c r="O386" s="209"/>
      <c r="P386" s="66" t="s">
        <v>50</v>
      </c>
      <c r="Q386" s="100">
        <f>IF(AND($AO$354=1,MOD(F386,E386)=0),F386*G386,IF($AO$354&lt;=2,F386*H386,F386*I386))</f>
        <v>0</v>
      </c>
      <c r="R386" s="13" t="str">
        <f t="shared" si="137"/>
        <v>Фото &gt;&gt;</v>
      </c>
      <c r="S386" s="14" t="s">
        <v>2945</v>
      </c>
      <c r="T386" s="515"/>
      <c r="U386" s="1262">
        <v>433.8</v>
      </c>
      <c r="V386" s="1262">
        <v>451</v>
      </c>
      <c r="W386" s="1262">
        <v>468.5</v>
      </c>
      <c r="AK386">
        <v>0.75</v>
      </c>
      <c r="AL386">
        <f t="shared" si="116"/>
        <v>0</v>
      </c>
      <c r="AM386">
        <f t="shared" si="117"/>
        <v>0</v>
      </c>
      <c r="AN386">
        <f t="shared" si="118"/>
        <v>0</v>
      </c>
      <c r="AO386" t="s">
        <v>2947</v>
      </c>
      <c r="AV386" t="str">
        <f>IF(F386&gt;0,(COUNT($AV$1:AV385)+1),"")</f>
        <v/>
      </c>
    </row>
    <row r="387" spans="1:48" ht="15" customHeight="1" x14ac:dyDescent="0.25">
      <c r="A387" s="1"/>
      <c r="B387" s="31">
        <v>20222</v>
      </c>
      <c r="C387" s="16">
        <v>4610117720997</v>
      </c>
      <c r="D387" s="226" t="s">
        <v>7428</v>
      </c>
      <c r="E387" s="69">
        <v>6</v>
      </c>
      <c r="F387" s="222"/>
      <c r="G387" s="108">
        <v>376.3</v>
      </c>
      <c r="H387" s="17">
        <v>391.3</v>
      </c>
      <c r="I387" s="18">
        <v>406.4</v>
      </c>
      <c r="J387" s="517" t="s">
        <v>5516</v>
      </c>
      <c r="K387" s="44" t="s">
        <v>530</v>
      </c>
      <c r="L387" s="442"/>
      <c r="M387" s="480" t="s">
        <v>1856</v>
      </c>
      <c r="N387" s="1015" t="s">
        <v>1856</v>
      </c>
      <c r="O387" s="210"/>
      <c r="P387" s="68" t="s">
        <v>50</v>
      </c>
      <c r="Q387" s="100">
        <f>IF(AND($AO$354=1,MOD(F387,E387)=0),F387*G387,IF($AO$354&lt;=2,F387*H387,F387*I387))</f>
        <v>0</v>
      </c>
      <c r="R387" s="13" t="str">
        <f t="shared" si="137"/>
        <v>Фото &gt;&gt;</v>
      </c>
      <c r="S387" s="14" t="s">
        <v>2923</v>
      </c>
      <c r="T387" s="515"/>
      <c r="U387" s="1262">
        <v>376.3</v>
      </c>
      <c r="V387" s="1262">
        <v>391.3</v>
      </c>
      <c r="W387" s="1262">
        <v>406.4</v>
      </c>
      <c r="AK387">
        <v>0.75</v>
      </c>
      <c r="AL387">
        <f t="shared" si="116"/>
        <v>0</v>
      </c>
      <c r="AM387">
        <f t="shared" si="117"/>
        <v>0</v>
      </c>
      <c r="AN387">
        <f t="shared" si="118"/>
        <v>0</v>
      </c>
      <c r="AO387" t="s">
        <v>2921</v>
      </c>
      <c r="AV387" t="str">
        <f>IF(F387&gt;0,(COUNT($AV$1:AV386)+1),"")</f>
        <v/>
      </c>
    </row>
    <row r="388" spans="1:48" ht="15" customHeight="1" x14ac:dyDescent="0.25">
      <c r="A388" s="1"/>
      <c r="B388" s="25"/>
      <c r="C388" s="26"/>
      <c r="D388" s="27" t="s">
        <v>530</v>
      </c>
      <c r="E388" s="80"/>
      <c r="F388" s="28"/>
      <c r="G388" s="28"/>
      <c r="H388" s="29"/>
      <c r="I388" s="29"/>
      <c r="J388" s="1096"/>
      <c r="K388" s="47"/>
      <c r="L388" s="447"/>
      <c r="M388" s="489" t="s">
        <v>104</v>
      </c>
      <c r="N388" s="716"/>
      <c r="O388" s="186"/>
      <c r="P388" s="79"/>
      <c r="Q388" s="104"/>
      <c r="R388" s="13"/>
      <c r="S388" s="14"/>
      <c r="T388" s="515"/>
      <c r="U388" s="1262">
        <v>0</v>
      </c>
      <c r="V388" s="1262">
        <v>0</v>
      </c>
      <c r="W388" s="1262">
        <v>0</v>
      </c>
      <c r="AL388">
        <f t="shared" si="116"/>
        <v>0</v>
      </c>
      <c r="AM388">
        <f t="shared" si="117"/>
        <v>0</v>
      </c>
      <c r="AN388">
        <f t="shared" si="118"/>
        <v>0</v>
      </c>
      <c r="AO388" t="s">
        <v>104</v>
      </c>
      <c r="AV388" t="str">
        <f>IF(F388&gt;0,(COUNT($AV$1:AV387)+1),"")</f>
        <v/>
      </c>
    </row>
    <row r="389" spans="1:48" ht="15" customHeight="1" x14ac:dyDescent="0.25">
      <c r="A389" s="1"/>
      <c r="B389" s="32">
        <v>18457</v>
      </c>
      <c r="C389" s="33">
        <v>4607072777173</v>
      </c>
      <c r="D389" s="227" t="s">
        <v>6716</v>
      </c>
      <c r="E389" s="71">
        <v>6</v>
      </c>
      <c r="F389" s="222"/>
      <c r="G389" s="109">
        <v>1230</v>
      </c>
      <c r="H389" s="34">
        <v>1289</v>
      </c>
      <c r="I389" s="35">
        <v>1417</v>
      </c>
      <c r="J389" s="114" t="s">
        <v>5516</v>
      </c>
      <c r="K389" s="57" t="s">
        <v>530</v>
      </c>
      <c r="L389" s="438"/>
      <c r="M389" s="484" t="s">
        <v>1856</v>
      </c>
      <c r="N389" s="1008" t="s">
        <v>1856</v>
      </c>
      <c r="O389" s="219"/>
      <c r="P389" s="70" t="s">
        <v>50</v>
      </c>
      <c r="Q389" s="100">
        <f t="shared" ref="Q389:Q400" si="138">IF(AND($AO$354=1,MOD(F389,E389)=0),F389*G389,IF($AO$354&lt;=2,F389*H389,F389*I389))</f>
        <v>0</v>
      </c>
      <c r="R389" s="13" t="str">
        <f t="shared" ref="R389" si="139">IF(AO389&gt;0,HYPERLINK(AO389,"Фото &gt;&gt;"),"")</f>
        <v>Фото &gt;&gt;</v>
      </c>
      <c r="S389" s="14" t="s">
        <v>544</v>
      </c>
      <c r="T389" s="515"/>
      <c r="U389" s="1262">
        <v>1230</v>
      </c>
      <c r="V389" s="1262">
        <v>1289</v>
      </c>
      <c r="W389" s="1262">
        <v>1417</v>
      </c>
      <c r="AK389">
        <v>0.75</v>
      </c>
      <c r="AL389">
        <f t="shared" si="116"/>
        <v>0</v>
      </c>
      <c r="AM389">
        <f t="shared" si="117"/>
        <v>0</v>
      </c>
      <c r="AN389">
        <f t="shared" si="118"/>
        <v>0</v>
      </c>
      <c r="AO389" t="s">
        <v>2604</v>
      </c>
      <c r="AV389" t="str">
        <f>IF(F389&gt;0,(COUNT($AV$1:AV388)+1),"")</f>
        <v/>
      </c>
    </row>
    <row r="390" spans="1:48" ht="15" customHeight="1" x14ac:dyDescent="0.25">
      <c r="A390" s="1"/>
      <c r="B390" s="30">
        <v>19706</v>
      </c>
      <c r="C390" s="20">
        <v>4607072777661</v>
      </c>
      <c r="D390" s="225" t="s">
        <v>7423</v>
      </c>
      <c r="E390" s="327">
        <v>6</v>
      </c>
      <c r="F390" s="222"/>
      <c r="G390" s="107">
        <v>642.5</v>
      </c>
      <c r="H390" s="21">
        <v>668.2</v>
      </c>
      <c r="I390" s="22">
        <v>693.9</v>
      </c>
      <c r="J390" s="112" t="s">
        <v>5516</v>
      </c>
      <c r="K390" s="45" t="s">
        <v>530</v>
      </c>
      <c r="L390" s="437"/>
      <c r="M390" s="474" t="s">
        <v>1856</v>
      </c>
      <c r="N390" s="1013" t="s">
        <v>1856</v>
      </c>
      <c r="O390" s="209"/>
      <c r="P390" s="66" t="s">
        <v>50</v>
      </c>
      <c r="Q390" s="100">
        <f t="shared" si="138"/>
        <v>0</v>
      </c>
      <c r="R390" s="13" t="str">
        <f>IF(AO390&gt;0,HYPERLINK(AO390,"Фото &gt;&gt;"),"")</f>
        <v>Фото &gt;&gt;</v>
      </c>
      <c r="S390" s="14" t="s">
        <v>544</v>
      </c>
      <c r="T390" s="515"/>
      <c r="U390" s="1262">
        <v>642.5</v>
      </c>
      <c r="V390" s="1262">
        <v>668.2</v>
      </c>
      <c r="W390" s="1262">
        <v>693.9</v>
      </c>
      <c r="AK390">
        <v>0.75</v>
      </c>
      <c r="AL390">
        <f t="shared" si="116"/>
        <v>0</v>
      </c>
      <c r="AM390">
        <f t="shared" si="117"/>
        <v>0</v>
      </c>
      <c r="AN390">
        <f t="shared" si="118"/>
        <v>0</v>
      </c>
      <c r="AO390" t="s">
        <v>2605</v>
      </c>
      <c r="AV390" t="str">
        <f>IF(F390&gt;0,(COUNT($AV$1:AV389)+1),"")</f>
        <v/>
      </c>
    </row>
    <row r="391" spans="1:48" ht="15" customHeight="1" x14ac:dyDescent="0.25">
      <c r="A391" s="1"/>
      <c r="B391" s="32">
        <v>15494</v>
      </c>
      <c r="C391" s="33">
        <v>4607072772314</v>
      </c>
      <c r="D391" s="227" t="s">
        <v>7037</v>
      </c>
      <c r="E391" s="71">
        <v>6</v>
      </c>
      <c r="F391" s="222"/>
      <c r="G391" s="109">
        <v>653.79999999999995</v>
      </c>
      <c r="H391" s="34">
        <v>679.9</v>
      </c>
      <c r="I391" s="35">
        <v>706</v>
      </c>
      <c r="J391" s="114" t="s">
        <v>5516</v>
      </c>
      <c r="K391" s="57" t="s">
        <v>530</v>
      </c>
      <c r="L391" s="438"/>
      <c r="M391" s="484" t="s">
        <v>1856</v>
      </c>
      <c r="N391" s="1008" t="s">
        <v>1856</v>
      </c>
      <c r="O391" s="219"/>
      <c r="P391" s="70" t="s">
        <v>50</v>
      </c>
      <c r="Q391" s="100">
        <f t="shared" si="138"/>
        <v>0</v>
      </c>
      <c r="R391" s="13" t="str">
        <f t="shared" ref="R391:R392" si="140">IF(AO391&gt;0,HYPERLINK(AO391,"Фото &gt;&gt;"),"")</f>
        <v>Фото &gt;&gt;</v>
      </c>
      <c r="S391" s="14" t="s">
        <v>538</v>
      </c>
      <c r="T391" s="515"/>
      <c r="U391" s="1262">
        <v>653.79999999999995</v>
      </c>
      <c r="V391" s="1262">
        <v>679.9</v>
      </c>
      <c r="W391" s="1262">
        <v>706</v>
      </c>
      <c r="AK391">
        <v>0.75</v>
      </c>
      <c r="AL391">
        <f t="shared" si="116"/>
        <v>0</v>
      </c>
      <c r="AM391">
        <f t="shared" si="117"/>
        <v>0</v>
      </c>
      <c r="AN391">
        <f t="shared" si="118"/>
        <v>0</v>
      </c>
      <c r="AO391" t="s">
        <v>4817</v>
      </c>
      <c r="AV391" t="str">
        <f>IF(F391&gt;0,(COUNT($AV$1:AV390)+1),"")</f>
        <v/>
      </c>
    </row>
    <row r="392" spans="1:48" ht="15" customHeight="1" x14ac:dyDescent="0.25">
      <c r="A392" s="1"/>
      <c r="B392" s="30">
        <v>15492</v>
      </c>
      <c r="C392" s="20">
        <v>4607072770914</v>
      </c>
      <c r="D392" s="421" t="s">
        <v>7824</v>
      </c>
      <c r="E392" s="327">
        <v>6</v>
      </c>
      <c r="F392" s="222"/>
      <c r="G392" s="419">
        <f>IF(AND($F392&gt;1,MOD($F392,$E392)=0),U392*0.85,U392)</f>
        <v>475</v>
      </c>
      <c r="H392" s="417">
        <f t="shared" ref="H392" si="141">IF(AND($F392&gt;1,MOD($F392,$E392)=0),V392*0.85,V392)</f>
        <v>494</v>
      </c>
      <c r="I392" s="418">
        <f t="shared" ref="I392" si="142">IF(AND($F392&gt;1,MOD($F392,$E392)=0),W392*0.85,W392)</f>
        <v>513</v>
      </c>
      <c r="J392" s="112" t="s">
        <v>5516</v>
      </c>
      <c r="K392" s="45" t="s">
        <v>530</v>
      </c>
      <c r="L392" s="437"/>
      <c r="M392" s="474" t="s">
        <v>1856</v>
      </c>
      <c r="N392" s="1013" t="s">
        <v>1856</v>
      </c>
      <c r="O392" s="1263" t="str">
        <f>IF(AND(F392&gt;1,MOD(F392,E392)=0),"СКИДКА 10% активна",CONCATENATE("СКИДКА 10% на квант ",E392,"шт"))</f>
        <v>СКИДКА 10% на квант 6шт</v>
      </c>
      <c r="P392" s="66" t="s">
        <v>50</v>
      </c>
      <c r="Q392" s="100">
        <f t="shared" si="138"/>
        <v>0</v>
      </c>
      <c r="R392" s="13" t="str">
        <f t="shared" si="140"/>
        <v>Фото &gt;&gt;</v>
      </c>
      <c r="S392" s="14" t="s">
        <v>539</v>
      </c>
      <c r="T392" s="515"/>
      <c r="U392" s="1262">
        <v>475</v>
      </c>
      <c r="V392" s="1262">
        <v>494</v>
      </c>
      <c r="W392" s="1262">
        <v>513</v>
      </c>
      <c r="AK392">
        <v>0.75</v>
      </c>
      <c r="AL392">
        <f t="shared" si="116"/>
        <v>0</v>
      </c>
      <c r="AM392">
        <f t="shared" si="117"/>
        <v>0</v>
      </c>
      <c r="AN392">
        <f t="shared" si="118"/>
        <v>0</v>
      </c>
      <c r="AO392" t="s">
        <v>4818</v>
      </c>
      <c r="AV392" t="str">
        <f>IF(F392&gt;0,(COUNT($AV$1:AV391)+1),"")</f>
        <v/>
      </c>
    </row>
    <row r="393" spans="1:48" ht="15" customHeight="1" x14ac:dyDescent="0.25">
      <c r="A393" s="1"/>
      <c r="B393" s="32">
        <v>15493</v>
      </c>
      <c r="C393" s="33">
        <v>4607072770921</v>
      </c>
      <c r="D393" s="227" t="s">
        <v>5951</v>
      </c>
      <c r="E393" s="71">
        <v>6</v>
      </c>
      <c r="F393" s="222"/>
      <c r="G393" s="109">
        <v>477.5</v>
      </c>
      <c r="H393" s="34">
        <v>496.6</v>
      </c>
      <c r="I393" s="35">
        <v>515.70000000000005</v>
      </c>
      <c r="J393" s="114" t="s">
        <v>5516</v>
      </c>
      <c r="K393" s="57" t="s">
        <v>530</v>
      </c>
      <c r="L393" s="438"/>
      <c r="M393" s="484" t="s">
        <v>1856</v>
      </c>
      <c r="N393" s="1008" t="s">
        <v>1856</v>
      </c>
      <c r="O393" s="219"/>
      <c r="P393" s="70" t="s">
        <v>50</v>
      </c>
      <c r="Q393" s="100">
        <f t="shared" si="138"/>
        <v>0</v>
      </c>
      <c r="R393" s="13" t="str">
        <f>IF(AO393&gt;0,HYPERLINK(AO393,"Фото &gt;&gt;"),"")</f>
        <v>Фото &gt;&gt;</v>
      </c>
      <c r="S393" s="14" t="s">
        <v>540</v>
      </c>
      <c r="T393" s="515"/>
      <c r="U393" s="1262">
        <v>477.5</v>
      </c>
      <c r="V393" s="1262">
        <v>496.6</v>
      </c>
      <c r="W393" s="1262">
        <v>515.70000000000005</v>
      </c>
      <c r="AK393">
        <v>0.75</v>
      </c>
      <c r="AL393">
        <f t="shared" si="116"/>
        <v>0</v>
      </c>
      <c r="AM393">
        <f t="shared" si="117"/>
        <v>0</v>
      </c>
      <c r="AN393">
        <f t="shared" si="118"/>
        <v>0</v>
      </c>
      <c r="AO393" t="s">
        <v>4819</v>
      </c>
      <c r="AV393" t="str">
        <f>IF(F393&gt;0,(COUNT($AV$1:AV392)+1),"")</f>
        <v/>
      </c>
    </row>
    <row r="394" spans="1:48" ht="15" customHeight="1" x14ac:dyDescent="0.25">
      <c r="A394" s="1"/>
      <c r="B394" s="30">
        <v>18338</v>
      </c>
      <c r="C394" s="20">
        <v>4607072777944</v>
      </c>
      <c r="D394" s="421" t="s">
        <v>7825</v>
      </c>
      <c r="E394" s="327">
        <v>6</v>
      </c>
      <c r="F394" s="222"/>
      <c r="G394" s="419">
        <f>IF(AND($F394&gt;1,MOD($F394,$E394)=0),U394*0.85,U394)</f>
        <v>611.29999999999995</v>
      </c>
      <c r="H394" s="417">
        <f t="shared" ref="H394" si="143">IF(AND($F394&gt;1,MOD($F394,$E394)=0),V394*0.85,V394)</f>
        <v>635.70000000000005</v>
      </c>
      <c r="I394" s="418">
        <f t="shared" ref="I394" si="144">IF(AND($F394&gt;1,MOD($F394,$E394)=0),W394*0.85,W394)</f>
        <v>660.2</v>
      </c>
      <c r="J394" s="112" t="s">
        <v>5516</v>
      </c>
      <c r="K394" s="45" t="s">
        <v>530</v>
      </c>
      <c r="L394" s="437"/>
      <c r="M394" s="474" t="s">
        <v>1856</v>
      </c>
      <c r="N394" s="1013" t="s">
        <v>1856</v>
      </c>
      <c r="O394" s="1263" t="str">
        <f>IF(AND(F394&gt;1,MOD(F394,E394)=0),"СКИДКА 15% активна",CONCATENATE("СКИДКА 15% на квант ",E394,"шт"))</f>
        <v>СКИДКА 15% на квант 6шт</v>
      </c>
      <c r="P394" s="66" t="s">
        <v>50</v>
      </c>
      <c r="Q394" s="100">
        <f t="shared" si="138"/>
        <v>0</v>
      </c>
      <c r="R394" s="13" t="str">
        <f t="shared" ref="R394:R400" si="145">IF(AO394&gt;0,HYPERLINK(AO394,"Фото &gt;&gt;"),"")</f>
        <v>Фото &gt;&gt;</v>
      </c>
      <c r="S394" s="14" t="s">
        <v>544</v>
      </c>
      <c r="T394" s="515"/>
      <c r="U394" s="1262">
        <v>611.29999999999995</v>
      </c>
      <c r="V394" s="1262">
        <v>635.70000000000005</v>
      </c>
      <c r="W394" s="1262">
        <v>660.2</v>
      </c>
      <c r="AK394">
        <v>0.75</v>
      </c>
      <c r="AL394">
        <f t="shared" si="116"/>
        <v>0</v>
      </c>
      <c r="AM394">
        <f t="shared" si="117"/>
        <v>0</v>
      </c>
      <c r="AN394">
        <f t="shared" si="118"/>
        <v>0</v>
      </c>
      <c r="AO394" t="s">
        <v>5710</v>
      </c>
      <c r="AV394" t="str">
        <f>IF(F394&gt;0,(COUNT($AV$1:AV393)+1),"")</f>
        <v/>
      </c>
    </row>
    <row r="395" spans="1:48" ht="15" customHeight="1" x14ac:dyDescent="0.25">
      <c r="A395" s="1"/>
      <c r="B395" s="32">
        <v>15491</v>
      </c>
      <c r="C395" s="33">
        <v>4607072770907</v>
      </c>
      <c r="D395" s="227" t="s">
        <v>7038</v>
      </c>
      <c r="E395" s="71">
        <v>6</v>
      </c>
      <c r="F395" s="222"/>
      <c r="G395" s="109">
        <v>462.5</v>
      </c>
      <c r="H395" s="34">
        <v>481</v>
      </c>
      <c r="I395" s="35">
        <v>499.5</v>
      </c>
      <c r="J395" s="114" t="s">
        <v>5516</v>
      </c>
      <c r="K395" s="57" t="s">
        <v>530</v>
      </c>
      <c r="L395" s="438"/>
      <c r="M395" s="484" t="s">
        <v>1856</v>
      </c>
      <c r="N395" s="1008" t="s">
        <v>1856</v>
      </c>
      <c r="O395" s="219"/>
      <c r="P395" s="70" t="s">
        <v>50</v>
      </c>
      <c r="Q395" s="100">
        <f t="shared" si="138"/>
        <v>0</v>
      </c>
      <c r="R395" s="13" t="str">
        <f t="shared" si="145"/>
        <v>Фото &gt;&gt;</v>
      </c>
      <c r="S395" s="14" t="s">
        <v>541</v>
      </c>
      <c r="T395" s="515"/>
      <c r="U395" s="1262">
        <v>462.5</v>
      </c>
      <c r="V395" s="1262">
        <v>481</v>
      </c>
      <c r="W395" s="1262">
        <v>499.5</v>
      </c>
      <c r="AK395">
        <v>0.75</v>
      </c>
      <c r="AL395">
        <f t="shared" si="116"/>
        <v>0</v>
      </c>
      <c r="AM395">
        <f t="shared" si="117"/>
        <v>0</v>
      </c>
      <c r="AN395">
        <f t="shared" si="118"/>
        <v>0</v>
      </c>
      <c r="AO395" t="s">
        <v>4820</v>
      </c>
      <c r="AV395" t="str">
        <f>IF(F395&gt;0,(COUNT($AV$1:AV394)+1),"")</f>
        <v/>
      </c>
    </row>
    <row r="396" spans="1:48" ht="15" customHeight="1" x14ac:dyDescent="0.25">
      <c r="A396" s="1"/>
      <c r="B396" s="30">
        <v>15501</v>
      </c>
      <c r="C396" s="20">
        <v>4607072775094</v>
      </c>
      <c r="D396" s="421" t="s">
        <v>7826</v>
      </c>
      <c r="E396" s="327">
        <v>6</v>
      </c>
      <c r="F396" s="222"/>
      <c r="G396" s="419">
        <f>IF(AND($F396&gt;1,MOD($F396,$E396)=0),U396*0.85,U396)</f>
        <v>705</v>
      </c>
      <c r="H396" s="417">
        <f t="shared" ref="H396" si="146">IF(AND($F396&gt;1,MOD($F396,$E396)=0),V396*0.85,V396)</f>
        <v>733.2</v>
      </c>
      <c r="I396" s="418">
        <f t="shared" ref="I396" si="147">IF(AND($F396&gt;1,MOD($F396,$E396)=0),W396*0.85,W396)</f>
        <v>761.4</v>
      </c>
      <c r="J396" s="112" t="s">
        <v>5516</v>
      </c>
      <c r="K396" s="45" t="s">
        <v>530</v>
      </c>
      <c r="L396" s="437"/>
      <c r="M396" s="474" t="s">
        <v>1856</v>
      </c>
      <c r="N396" s="1013" t="s">
        <v>1856</v>
      </c>
      <c r="O396" s="1263" t="str">
        <f>IF(AND(F396&gt;1,MOD(F396,E396)=0),"СКИДКА 15% активна",CONCATENATE("СКИДКА 15% на квант ",E396,"шт"))</f>
        <v>СКИДКА 15% на квант 6шт</v>
      </c>
      <c r="P396" s="66" t="s">
        <v>72</v>
      </c>
      <c r="Q396" s="100">
        <f t="shared" si="138"/>
        <v>0</v>
      </c>
      <c r="R396" s="13" t="str">
        <f t="shared" si="145"/>
        <v>Фото &gt;&gt;</v>
      </c>
      <c r="S396" s="14" t="s">
        <v>542</v>
      </c>
      <c r="T396" s="515"/>
      <c r="U396" s="1262">
        <v>705</v>
      </c>
      <c r="V396" s="1262">
        <v>733.2</v>
      </c>
      <c r="W396" s="1262">
        <v>761.4</v>
      </c>
      <c r="AK396">
        <v>0.75</v>
      </c>
      <c r="AL396">
        <f t="shared" si="116"/>
        <v>0</v>
      </c>
      <c r="AM396">
        <f t="shared" si="117"/>
        <v>0</v>
      </c>
      <c r="AN396">
        <f t="shared" si="118"/>
        <v>0</v>
      </c>
      <c r="AO396" t="s">
        <v>4821</v>
      </c>
      <c r="AV396" t="str">
        <f>IF(F396&gt;0,(COUNT($AV$1:AV395)+1),"")</f>
        <v/>
      </c>
    </row>
    <row r="397" spans="1:48" ht="15" customHeight="1" x14ac:dyDescent="0.25">
      <c r="A397" s="1"/>
      <c r="B397" s="32">
        <v>15500</v>
      </c>
      <c r="C397" s="33">
        <v>4607072775209</v>
      </c>
      <c r="D397" s="227" t="s">
        <v>7039</v>
      </c>
      <c r="E397" s="71">
        <v>6</v>
      </c>
      <c r="F397" s="223"/>
      <c r="G397" s="109">
        <v>573.79999999999995</v>
      </c>
      <c r="H397" s="34">
        <v>596.70000000000005</v>
      </c>
      <c r="I397" s="35">
        <v>619.70000000000005</v>
      </c>
      <c r="J397" s="114" t="s">
        <v>5516</v>
      </c>
      <c r="K397" s="57" t="s">
        <v>530</v>
      </c>
      <c r="L397" s="438"/>
      <c r="M397" s="484" t="s">
        <v>1856</v>
      </c>
      <c r="N397" s="1008" t="s">
        <v>1856</v>
      </c>
      <c r="O397" s="219"/>
      <c r="P397" s="70" t="s">
        <v>72</v>
      </c>
      <c r="Q397" s="100">
        <f t="shared" si="138"/>
        <v>0</v>
      </c>
      <c r="R397" s="13" t="str">
        <f t="shared" si="145"/>
        <v>Фото &gt;&gt;</v>
      </c>
      <c r="S397" s="14" t="s">
        <v>543</v>
      </c>
      <c r="T397" s="515"/>
      <c r="U397" s="1262">
        <v>573.79999999999995</v>
      </c>
      <c r="V397" s="1262">
        <v>596.70000000000005</v>
      </c>
      <c r="W397" s="1262">
        <v>619.70000000000005</v>
      </c>
      <c r="AK397">
        <v>0.75</v>
      </c>
      <c r="AL397">
        <f t="shared" si="116"/>
        <v>0</v>
      </c>
      <c r="AM397">
        <f t="shared" si="117"/>
        <v>0</v>
      </c>
      <c r="AN397">
        <f t="shared" si="118"/>
        <v>0</v>
      </c>
      <c r="AO397" t="s">
        <v>4822</v>
      </c>
      <c r="AV397" t="str">
        <f>IF(F397&gt;0,(COUNT($AV$1:AV396)+1),"")</f>
        <v/>
      </c>
    </row>
    <row r="398" spans="1:48" ht="15" customHeight="1" x14ac:dyDescent="0.25">
      <c r="A398" s="1"/>
      <c r="B398" s="669">
        <v>17622</v>
      </c>
      <c r="C398" s="670">
        <v>4607072776671</v>
      </c>
      <c r="D398" s="1264" t="s">
        <v>7827</v>
      </c>
      <c r="E398" s="1158">
        <v>12</v>
      </c>
      <c r="F398" s="673"/>
      <c r="G398" s="1265">
        <f>IF(AND($F398&gt;1,MOD($F398,$E398)=0),U398*0.85,U398)</f>
        <v>318.8</v>
      </c>
      <c r="H398" s="1266">
        <f t="shared" ref="H398" si="148">IF(AND($F398&gt;1,MOD($F398,$E398)=0),V398*0.85,V398)</f>
        <v>331.5</v>
      </c>
      <c r="I398" s="1267">
        <f t="shared" ref="I398" si="149">IF(AND($F398&gt;1,MOD($F398,$E398)=0),W398*0.85,W398)</f>
        <v>344.3</v>
      </c>
      <c r="J398" s="899" t="s">
        <v>5516</v>
      </c>
      <c r="K398" s="678" t="s">
        <v>530</v>
      </c>
      <c r="L398" s="679"/>
      <c r="M398" s="680" t="s">
        <v>1856</v>
      </c>
      <c r="N398" s="1027" t="s">
        <v>1856</v>
      </c>
      <c r="O398" s="681" t="str">
        <f>IF(AND(F398&gt;1,MOD(F398,E398)=0),"СКИДКА 15% активна",CONCATENATE("СКИДКА 15% на квант ",E398,"шт"))</f>
        <v>СКИДКА 15% на квант 12шт</v>
      </c>
      <c r="P398" s="682" t="s">
        <v>50</v>
      </c>
      <c r="Q398" s="100">
        <f t="shared" si="138"/>
        <v>0</v>
      </c>
      <c r="R398" s="13" t="str">
        <f t="shared" si="145"/>
        <v>Фото &gt;&gt;</v>
      </c>
      <c r="S398" s="14" t="s">
        <v>544</v>
      </c>
      <c r="T398" s="515"/>
      <c r="U398" s="1262">
        <v>318.8</v>
      </c>
      <c r="V398" s="1262">
        <v>331.5</v>
      </c>
      <c r="W398" s="1262">
        <v>344.3</v>
      </c>
      <c r="AK398">
        <v>0.45</v>
      </c>
      <c r="AL398">
        <f t="shared" si="116"/>
        <v>0</v>
      </c>
      <c r="AM398">
        <f t="shared" si="117"/>
        <v>0</v>
      </c>
      <c r="AN398">
        <f t="shared" si="118"/>
        <v>0</v>
      </c>
      <c r="AO398" t="s">
        <v>2606</v>
      </c>
      <c r="AV398" t="str">
        <f>IF(F398&gt;0,(COUNT($AV$1:AV397)+1),"")</f>
        <v/>
      </c>
    </row>
    <row r="399" spans="1:48" ht="15" customHeight="1" x14ac:dyDescent="0.25">
      <c r="A399" s="1"/>
      <c r="B399" s="32">
        <v>17623</v>
      </c>
      <c r="C399" s="33">
        <v>4607072776688</v>
      </c>
      <c r="D399" s="227" t="s">
        <v>7040</v>
      </c>
      <c r="E399" s="71">
        <v>12</v>
      </c>
      <c r="F399" s="222"/>
      <c r="G399" s="109">
        <v>220</v>
      </c>
      <c r="H399" s="34">
        <v>228.8</v>
      </c>
      <c r="I399" s="35">
        <v>237.6</v>
      </c>
      <c r="J399" s="114" t="s">
        <v>5516</v>
      </c>
      <c r="K399" s="57" t="s">
        <v>530</v>
      </c>
      <c r="L399" s="438"/>
      <c r="M399" s="484" t="s">
        <v>1856</v>
      </c>
      <c r="N399" s="1008" t="s">
        <v>1856</v>
      </c>
      <c r="O399" s="219"/>
      <c r="P399" s="70" t="s">
        <v>50</v>
      </c>
      <c r="Q399" s="100">
        <f t="shared" si="138"/>
        <v>0</v>
      </c>
      <c r="R399" s="13" t="str">
        <f t="shared" si="145"/>
        <v>Фото &gt;&gt;</v>
      </c>
      <c r="S399" s="14" t="s">
        <v>544</v>
      </c>
      <c r="T399" s="515"/>
      <c r="U399" s="1262">
        <v>220</v>
      </c>
      <c r="V399" s="1262">
        <v>228.8</v>
      </c>
      <c r="W399" s="1262">
        <v>237.6</v>
      </c>
      <c r="AK399">
        <v>0.45</v>
      </c>
      <c r="AL399">
        <f t="shared" si="116"/>
        <v>0</v>
      </c>
      <c r="AM399">
        <f t="shared" si="117"/>
        <v>0</v>
      </c>
      <c r="AN399">
        <f t="shared" si="118"/>
        <v>0</v>
      </c>
      <c r="AO399" t="s">
        <v>2607</v>
      </c>
      <c r="AV399" t="str">
        <f>IF(F399&gt;0,(COUNT($AV$1:AV398)+1),"")</f>
        <v/>
      </c>
    </row>
    <row r="400" spans="1:48" ht="15" customHeight="1" x14ac:dyDescent="0.25">
      <c r="A400" s="1"/>
      <c r="B400" s="30">
        <v>17625</v>
      </c>
      <c r="C400" s="20">
        <v>4607072776701</v>
      </c>
      <c r="D400" s="421" t="s">
        <v>7828</v>
      </c>
      <c r="E400" s="327">
        <v>12</v>
      </c>
      <c r="F400" s="222"/>
      <c r="G400" s="419">
        <f>IF(AND($F400&gt;1,MOD($F400,$E400)=0),U400*0.85,U400)</f>
        <v>213.8</v>
      </c>
      <c r="H400" s="417">
        <f t="shared" ref="H400" si="150">IF(AND($F400&gt;1,MOD($F400,$E400)=0),V400*0.85,V400)</f>
        <v>222.2</v>
      </c>
      <c r="I400" s="418">
        <f t="shared" ref="I400" si="151">IF(AND($F400&gt;1,MOD($F400,$E400)=0),W400*0.85,W400)</f>
        <v>230.9</v>
      </c>
      <c r="J400" s="112" t="s">
        <v>5516</v>
      </c>
      <c r="K400" s="45" t="s">
        <v>530</v>
      </c>
      <c r="L400" s="437"/>
      <c r="M400" s="474" t="s">
        <v>1856</v>
      </c>
      <c r="N400" s="1013" t="s">
        <v>1856</v>
      </c>
      <c r="O400" s="1263" t="str">
        <f>IF(AND(F400&gt;1,MOD(F400,E400)=0),"СКИДКА 15% активна",CONCATENATE("СКИДКА 15% на квант ",E400,"шт"))</f>
        <v>СКИДКА 15% на квант 12шт</v>
      </c>
      <c r="P400" s="66" t="s">
        <v>50</v>
      </c>
      <c r="Q400" s="100">
        <f t="shared" si="138"/>
        <v>0</v>
      </c>
      <c r="R400" s="13" t="str">
        <f t="shared" si="145"/>
        <v>Фото &gt;&gt;</v>
      </c>
      <c r="S400" s="14" t="s">
        <v>541</v>
      </c>
      <c r="T400" s="515"/>
      <c r="U400" s="1262">
        <v>213.8</v>
      </c>
      <c r="V400" s="1262">
        <v>222.2</v>
      </c>
      <c r="W400" s="1262">
        <v>230.9</v>
      </c>
      <c r="AK400">
        <v>0.45</v>
      </c>
      <c r="AL400">
        <f t="shared" si="116"/>
        <v>0</v>
      </c>
      <c r="AM400">
        <f t="shared" si="117"/>
        <v>0</v>
      </c>
      <c r="AN400">
        <f t="shared" si="118"/>
        <v>0</v>
      </c>
      <c r="AO400" t="s">
        <v>2608</v>
      </c>
      <c r="AV400" t="str">
        <f>IF(F400&gt;0,(COUNT($AV$1:AV399)+1),"")</f>
        <v/>
      </c>
    </row>
    <row r="401" spans="1:48" ht="15" customHeight="1" x14ac:dyDescent="0.25">
      <c r="A401" s="1"/>
      <c r="B401" s="25"/>
      <c r="C401" s="26"/>
      <c r="D401" s="228" t="s">
        <v>1757</v>
      </c>
      <c r="E401" s="80"/>
      <c r="F401" s="28"/>
      <c r="G401" s="28"/>
      <c r="H401" s="29"/>
      <c r="I401" s="29"/>
      <c r="J401" s="51"/>
      <c r="K401" s="47"/>
      <c r="L401" s="447"/>
      <c r="M401" s="489" t="s">
        <v>104</v>
      </c>
      <c r="N401" s="716"/>
      <c r="O401" s="186"/>
      <c r="P401" s="79"/>
      <c r="Q401" s="104"/>
      <c r="R401" s="13"/>
      <c r="S401" s="14"/>
      <c r="T401" s="515"/>
      <c r="U401" s="515"/>
      <c r="V401" s="515"/>
      <c r="AL401">
        <f t="shared" ref="AL401:AL406" si="152">F401*G401</f>
        <v>0</v>
      </c>
      <c r="AM401">
        <f t="shared" ref="AM401:AM406" si="153">F401*H401</f>
        <v>0</v>
      </c>
      <c r="AN401">
        <f t="shared" ref="AN401:AN406" si="154">AK401*F401+IF(E401&gt;1.01,F401/E401*0.2,0)</f>
        <v>0</v>
      </c>
      <c r="AO401" t="s">
        <v>104</v>
      </c>
      <c r="AV401" t="str">
        <f>IF(F401&gt;0,(COUNT($AV$1:AV400)+1),"")</f>
        <v/>
      </c>
    </row>
    <row r="402" spans="1:48" ht="15" customHeight="1" x14ac:dyDescent="0.25">
      <c r="A402" s="1"/>
      <c r="B402" s="30">
        <v>19089</v>
      </c>
      <c r="C402" s="20">
        <v>4607072778675</v>
      </c>
      <c r="D402" s="225" t="s">
        <v>7424</v>
      </c>
      <c r="E402" s="67">
        <v>6</v>
      </c>
      <c r="F402" s="222"/>
      <c r="G402" s="107">
        <v>621.29999999999995</v>
      </c>
      <c r="H402" s="21">
        <v>646.1</v>
      </c>
      <c r="I402" s="22">
        <v>671</v>
      </c>
      <c r="J402" s="112" t="s">
        <v>5516</v>
      </c>
      <c r="K402" s="45" t="s">
        <v>530</v>
      </c>
      <c r="L402" s="437"/>
      <c r="M402" s="474" t="s">
        <v>1856</v>
      </c>
      <c r="N402" s="1013" t="s">
        <v>1856</v>
      </c>
      <c r="O402" s="209"/>
      <c r="P402" s="66" t="s">
        <v>50</v>
      </c>
      <c r="Q402" s="100">
        <f>IF(AND($AO$354=1,MOD(F402,E402)=0),F402*G402,IF($AO$354&lt;=2,F402*H402,F402*I402))</f>
        <v>0</v>
      </c>
      <c r="R402" s="13" t="str">
        <f>IF(AO402&gt;0,HYPERLINK(AO402,"Фото &gt;&gt;"),"")</f>
        <v>Фото &gt;&gt;</v>
      </c>
      <c r="S402" s="14" t="s">
        <v>544</v>
      </c>
      <c r="T402" s="515"/>
      <c r="U402" s="515"/>
      <c r="V402" s="515"/>
      <c r="AK402">
        <v>0.75</v>
      </c>
      <c r="AL402">
        <f t="shared" si="152"/>
        <v>0</v>
      </c>
      <c r="AM402">
        <f t="shared" si="153"/>
        <v>0</v>
      </c>
      <c r="AN402">
        <f t="shared" si="154"/>
        <v>0</v>
      </c>
      <c r="AO402" t="s">
        <v>2609</v>
      </c>
      <c r="AV402" t="str">
        <f>IF(F402&gt;0,(COUNT($AV$1:AV401)+1),"")</f>
        <v/>
      </c>
    </row>
    <row r="403" spans="1:48" ht="15" customHeight="1" x14ac:dyDescent="0.25">
      <c r="A403" s="1"/>
      <c r="B403" s="32">
        <v>21217</v>
      </c>
      <c r="C403" s="33">
        <v>4607072779061</v>
      </c>
      <c r="D403" s="227" t="s">
        <v>7025</v>
      </c>
      <c r="E403" s="71">
        <v>6</v>
      </c>
      <c r="F403" s="222"/>
      <c r="G403" s="109">
        <v>707.9</v>
      </c>
      <c r="H403" s="34">
        <v>741.8</v>
      </c>
      <c r="I403" s="35">
        <v>815.4</v>
      </c>
      <c r="J403" s="114" t="s">
        <v>5516</v>
      </c>
      <c r="K403" s="57" t="s">
        <v>530</v>
      </c>
      <c r="L403" s="438"/>
      <c r="M403" s="484" t="s">
        <v>1856</v>
      </c>
      <c r="N403" s="1008" t="s">
        <v>1856</v>
      </c>
      <c r="O403" s="219"/>
      <c r="P403" s="70" t="s">
        <v>50</v>
      </c>
      <c r="Q403" s="100">
        <f>IF(AND($AO$354=1,MOD(F403,E403)=0),F403*G403,IF($AO$354&lt;=2,F403*H403,F403*I403))</f>
        <v>0</v>
      </c>
      <c r="R403" s="13" t="str">
        <f>IF(AO403&gt;0,HYPERLINK(AO403,"Фото &gt;&gt;"),"")</f>
        <v>Фото &gt;&gt;</v>
      </c>
      <c r="S403" s="14" t="s">
        <v>544</v>
      </c>
      <c r="T403" s="515"/>
      <c r="U403" s="515"/>
      <c r="V403" s="515"/>
      <c r="AK403">
        <v>0.75</v>
      </c>
      <c r="AL403">
        <f t="shared" si="152"/>
        <v>0</v>
      </c>
      <c r="AM403">
        <f t="shared" si="153"/>
        <v>0</v>
      </c>
      <c r="AN403">
        <f t="shared" si="154"/>
        <v>0</v>
      </c>
      <c r="AO403" t="s">
        <v>7024</v>
      </c>
      <c r="AV403" t="str">
        <f>IF(F403&gt;0,(COUNT($AV$1:AV402)+1),"")</f>
        <v/>
      </c>
    </row>
    <row r="404" spans="1:48" ht="15" customHeight="1" x14ac:dyDescent="0.25">
      <c r="A404" s="1"/>
      <c r="B404" s="25"/>
      <c r="C404" s="26"/>
      <c r="D404" s="27" t="s">
        <v>7017</v>
      </c>
      <c r="E404" s="80"/>
      <c r="F404" s="28"/>
      <c r="G404" s="28"/>
      <c r="H404" s="29"/>
      <c r="I404" s="29"/>
      <c r="J404" s="51"/>
      <c r="K404" s="47"/>
      <c r="L404" s="447"/>
      <c r="M404" s="489" t="s">
        <v>104</v>
      </c>
      <c r="N404" s="716"/>
      <c r="O404" s="186"/>
      <c r="P404" s="79"/>
      <c r="Q404" s="104"/>
      <c r="R404" s="13"/>
      <c r="S404" s="14"/>
      <c r="U404" s="4"/>
      <c r="V404" s="4"/>
      <c r="AL404">
        <f t="shared" si="152"/>
        <v>0</v>
      </c>
      <c r="AM404">
        <f t="shared" si="153"/>
        <v>0</v>
      </c>
      <c r="AN404">
        <f t="shared" si="154"/>
        <v>0</v>
      </c>
      <c r="AO404" t="s">
        <v>104</v>
      </c>
      <c r="AV404" t="str">
        <f>IF(F404&gt;0,(COUNT($AV$1:AV403)+1),"")</f>
        <v/>
      </c>
    </row>
    <row r="405" spans="1:48" ht="15" customHeight="1" x14ac:dyDescent="0.25">
      <c r="A405" s="1"/>
      <c r="B405" s="32">
        <v>19094</v>
      </c>
      <c r="C405" s="33">
        <v>4607072778224</v>
      </c>
      <c r="D405" s="155" t="s">
        <v>7072</v>
      </c>
      <c r="E405" s="71">
        <v>4</v>
      </c>
      <c r="F405" s="222"/>
      <c r="G405" s="109">
        <v>728.8</v>
      </c>
      <c r="H405" s="34">
        <v>757.9</v>
      </c>
      <c r="I405" s="35">
        <v>787</v>
      </c>
      <c r="J405" s="114" t="s">
        <v>5516</v>
      </c>
      <c r="K405" s="57" t="s">
        <v>530</v>
      </c>
      <c r="L405" s="438"/>
      <c r="M405" s="484" t="s">
        <v>1856</v>
      </c>
      <c r="N405" s="1008" t="s">
        <v>1856</v>
      </c>
      <c r="O405" s="219"/>
      <c r="P405" s="70" t="s">
        <v>50</v>
      </c>
      <c r="Q405" s="100">
        <f t="shared" ref="Q405:Q411" si="155">IF(AND($AO$354=1,MOD(F405,E405)=0),F405*G405,IF($AO$354&lt;=2,F405*H405,F405*I405))</f>
        <v>0</v>
      </c>
      <c r="R405" s="13" t="str">
        <f t="shared" ref="R405:R410" si="156">IF(AO405&gt;0,HYPERLINK(AO405,"Фото &gt;&gt;"),"")</f>
        <v>Фото &gt;&gt;</v>
      </c>
      <c r="S405" s="14" t="s">
        <v>544</v>
      </c>
      <c r="T405" s="515"/>
      <c r="U405" s="515"/>
      <c r="V405" s="515"/>
      <c r="AK405">
        <v>1.1000000000000001</v>
      </c>
      <c r="AL405">
        <f t="shared" si="152"/>
        <v>0</v>
      </c>
      <c r="AM405">
        <f t="shared" si="153"/>
        <v>0</v>
      </c>
      <c r="AN405">
        <f t="shared" si="154"/>
        <v>0</v>
      </c>
      <c r="AO405" t="s">
        <v>4060</v>
      </c>
      <c r="AV405" t="str">
        <f>IF(F405&gt;0,(COUNT($AV$1:AV404)+1),"")</f>
        <v/>
      </c>
    </row>
    <row r="406" spans="1:48" ht="15" customHeight="1" x14ac:dyDescent="0.25">
      <c r="A406" s="1"/>
      <c r="B406" s="30">
        <v>19093</v>
      </c>
      <c r="C406" s="20">
        <v>4607072778217</v>
      </c>
      <c r="D406" s="153" t="s">
        <v>7073</v>
      </c>
      <c r="E406" s="327">
        <v>4</v>
      </c>
      <c r="F406" s="222"/>
      <c r="G406" s="107">
        <v>728.8</v>
      </c>
      <c r="H406" s="21">
        <v>757.9</v>
      </c>
      <c r="I406" s="22">
        <v>787</v>
      </c>
      <c r="J406" s="112" t="s">
        <v>5516</v>
      </c>
      <c r="K406" s="45" t="s">
        <v>530</v>
      </c>
      <c r="L406" s="437"/>
      <c r="M406" s="474" t="s">
        <v>1856</v>
      </c>
      <c r="N406" s="1013" t="s">
        <v>1856</v>
      </c>
      <c r="O406" s="209"/>
      <c r="P406" s="66" t="s">
        <v>50</v>
      </c>
      <c r="Q406" s="100">
        <f t="shared" si="155"/>
        <v>0</v>
      </c>
      <c r="R406" s="13" t="str">
        <f t="shared" si="156"/>
        <v>Фото &gt;&gt;</v>
      </c>
      <c r="S406" s="14" t="s">
        <v>544</v>
      </c>
      <c r="T406" s="515"/>
      <c r="U406" s="515"/>
      <c r="V406" s="515"/>
      <c r="AK406">
        <v>1.1000000000000001</v>
      </c>
      <c r="AL406">
        <f t="shared" si="152"/>
        <v>0</v>
      </c>
      <c r="AM406">
        <f t="shared" si="153"/>
        <v>0</v>
      </c>
      <c r="AN406">
        <f t="shared" si="154"/>
        <v>0</v>
      </c>
      <c r="AO406" t="s">
        <v>2610</v>
      </c>
      <c r="AV406" t="str">
        <f>IF(F406&gt;0,(COUNT($AV$1:AV405)+1),"")</f>
        <v/>
      </c>
    </row>
    <row r="407" spans="1:48" ht="15" customHeight="1" x14ac:dyDescent="0.25">
      <c r="A407" s="1"/>
      <c r="B407" s="32">
        <v>20710</v>
      </c>
      <c r="C407" s="33">
        <v>4607072778446</v>
      </c>
      <c r="D407" s="155" t="s">
        <v>7074</v>
      </c>
      <c r="E407" s="71">
        <v>4</v>
      </c>
      <c r="F407" s="222"/>
      <c r="G407" s="109">
        <v>728.8</v>
      </c>
      <c r="H407" s="34">
        <v>757.9</v>
      </c>
      <c r="I407" s="35">
        <v>787</v>
      </c>
      <c r="J407" s="114" t="s">
        <v>5516</v>
      </c>
      <c r="K407" s="57" t="s">
        <v>530</v>
      </c>
      <c r="L407" s="438"/>
      <c r="M407" s="484" t="s">
        <v>1856</v>
      </c>
      <c r="N407" s="1008" t="s">
        <v>1856</v>
      </c>
      <c r="O407" s="219"/>
      <c r="P407" s="70" t="s">
        <v>50</v>
      </c>
      <c r="Q407" s="100">
        <f t="shared" si="155"/>
        <v>0</v>
      </c>
      <c r="R407" s="13" t="str">
        <f t="shared" si="156"/>
        <v>Фото &gt;&gt;</v>
      </c>
      <c r="S407" s="14" t="s">
        <v>544</v>
      </c>
      <c r="T407" s="515"/>
      <c r="U407" s="515"/>
      <c r="V407" s="515"/>
      <c r="AK407">
        <v>1.1000000000000001</v>
      </c>
      <c r="AL407">
        <f t="shared" ref="AL407" si="157">F407*G407</f>
        <v>0</v>
      </c>
      <c r="AM407">
        <f t="shared" ref="AM407" si="158">F407*H407</f>
        <v>0</v>
      </c>
      <c r="AN407">
        <f t="shared" ref="AN407" si="159">AK407*F407+IF(E407&gt;1.01,F407/E407*0.2,0)</f>
        <v>0</v>
      </c>
      <c r="AO407" t="s">
        <v>4377</v>
      </c>
      <c r="AV407" t="str">
        <f>IF(F407&gt;0,(COUNT($AV$1:AV406)+1),"")</f>
        <v/>
      </c>
    </row>
    <row r="408" spans="1:48" ht="15" customHeight="1" x14ac:dyDescent="0.25">
      <c r="A408" s="1"/>
      <c r="B408" s="37">
        <v>19495</v>
      </c>
      <c r="C408" s="23">
        <v>4607072778897</v>
      </c>
      <c r="D408" s="156" t="s">
        <v>7075</v>
      </c>
      <c r="E408" s="1102">
        <v>4</v>
      </c>
      <c r="F408" s="223"/>
      <c r="G408" s="111">
        <v>728.8</v>
      </c>
      <c r="H408" s="5">
        <v>757.9</v>
      </c>
      <c r="I408" s="24">
        <v>787</v>
      </c>
      <c r="J408" s="115" t="s">
        <v>5516</v>
      </c>
      <c r="K408" s="46" t="s">
        <v>530</v>
      </c>
      <c r="L408" s="440"/>
      <c r="M408" s="482" t="s">
        <v>1856</v>
      </c>
      <c r="N408" s="1002" t="s">
        <v>1856</v>
      </c>
      <c r="O408" s="211"/>
      <c r="P408" s="74" t="s">
        <v>50</v>
      </c>
      <c r="Q408" s="100">
        <f t="shared" si="155"/>
        <v>0</v>
      </c>
      <c r="R408" s="13" t="str">
        <f t="shared" si="156"/>
        <v>Фото &gt;&gt;</v>
      </c>
      <c r="S408" s="14" t="s">
        <v>544</v>
      </c>
      <c r="T408" s="515"/>
      <c r="U408" s="515"/>
      <c r="V408" s="515"/>
      <c r="AK408">
        <v>1.1000000000000001</v>
      </c>
      <c r="AL408">
        <f t="shared" ref="AL408:AL410" si="160">F408*G408</f>
        <v>0</v>
      </c>
      <c r="AM408">
        <f t="shared" ref="AM408:AM410" si="161">F408*H408</f>
        <v>0</v>
      </c>
      <c r="AN408">
        <f t="shared" ref="AN408:AN410" si="162">AK408*F408+IF(E408&gt;1.01,F408/E408*0.2,0)</f>
        <v>0</v>
      </c>
      <c r="AO408" t="s">
        <v>4061</v>
      </c>
      <c r="AV408" t="str">
        <f>IF(F408&gt;0,(COUNT($AV$1:AV407)+1),"")</f>
        <v/>
      </c>
    </row>
    <row r="409" spans="1:48" ht="15" customHeight="1" x14ac:dyDescent="0.25">
      <c r="A409" s="1"/>
      <c r="B409" s="846">
        <v>21510</v>
      </c>
      <c r="C409" s="847"/>
      <c r="D409" s="1103" t="s">
        <v>7019</v>
      </c>
      <c r="E409" s="849">
        <v>12</v>
      </c>
      <c r="F409" s="789"/>
      <c r="G409" s="850">
        <v>185</v>
      </c>
      <c r="H409" s="851">
        <v>194.3</v>
      </c>
      <c r="I409" s="852">
        <v>204</v>
      </c>
      <c r="J409" s="853" t="s">
        <v>5516</v>
      </c>
      <c r="K409" s="854" t="s">
        <v>530</v>
      </c>
      <c r="L409" s="855"/>
      <c r="M409" s="856" t="s">
        <v>1856</v>
      </c>
      <c r="N409" s="1010" t="s">
        <v>1856</v>
      </c>
      <c r="O409" s="857" t="s">
        <v>1637</v>
      </c>
      <c r="P409" s="858" t="s">
        <v>50</v>
      </c>
      <c r="Q409" s="100">
        <f t="shared" si="155"/>
        <v>0</v>
      </c>
      <c r="R409" s="94" t="str">
        <f t="shared" si="156"/>
        <v>Фото &gt;&gt;</v>
      </c>
      <c r="S409" s="14" t="s">
        <v>544</v>
      </c>
      <c r="T409" s="515"/>
      <c r="U409" s="515"/>
      <c r="V409" s="515"/>
      <c r="AK409">
        <v>0.26</v>
      </c>
      <c r="AL409">
        <f t="shared" si="160"/>
        <v>0</v>
      </c>
      <c r="AM409">
        <f t="shared" si="161"/>
        <v>0</v>
      </c>
      <c r="AN409">
        <f t="shared" si="162"/>
        <v>0</v>
      </c>
      <c r="AO409" t="s">
        <v>7018</v>
      </c>
      <c r="AV409" t="str">
        <f>IF(F409&gt;0,(COUNT($AV$1:AV408)+1),"")</f>
        <v/>
      </c>
    </row>
    <row r="410" spans="1:48" ht="15" customHeight="1" x14ac:dyDescent="0.25">
      <c r="A410" s="1"/>
      <c r="B410" s="30">
        <v>21509</v>
      </c>
      <c r="C410" s="20"/>
      <c r="D410" s="421" t="s">
        <v>7020</v>
      </c>
      <c r="E410" s="67">
        <v>12</v>
      </c>
      <c r="F410" s="222"/>
      <c r="G410" s="107">
        <v>185</v>
      </c>
      <c r="H410" s="21">
        <v>194.3</v>
      </c>
      <c r="I410" s="22">
        <v>204</v>
      </c>
      <c r="J410" s="112" t="s">
        <v>5516</v>
      </c>
      <c r="K410" s="45" t="s">
        <v>530</v>
      </c>
      <c r="L410" s="437"/>
      <c r="M410" s="474" t="s">
        <v>1856</v>
      </c>
      <c r="N410" s="1013" t="s">
        <v>1856</v>
      </c>
      <c r="O410" s="209" t="s">
        <v>1637</v>
      </c>
      <c r="P410" s="66" t="s">
        <v>50</v>
      </c>
      <c r="Q410" s="100">
        <f t="shared" si="155"/>
        <v>0</v>
      </c>
      <c r="R410" s="94" t="str">
        <f t="shared" si="156"/>
        <v>Фото &gt;&gt;</v>
      </c>
      <c r="S410" s="14" t="s">
        <v>544</v>
      </c>
      <c r="U410" s="4"/>
      <c r="V410" s="4"/>
      <c r="AK410">
        <v>0.26</v>
      </c>
      <c r="AL410">
        <f t="shared" si="160"/>
        <v>0</v>
      </c>
      <c r="AM410">
        <f t="shared" si="161"/>
        <v>0</v>
      </c>
      <c r="AN410">
        <f t="shared" si="162"/>
        <v>0</v>
      </c>
      <c r="AO410" t="s">
        <v>7021</v>
      </c>
      <c r="AV410" t="str">
        <f>IF(F410&gt;0,(COUNT($AV$1:AV409)+1),"")</f>
        <v/>
      </c>
    </row>
    <row r="411" spans="1:48" ht="15" customHeight="1" x14ac:dyDescent="0.25">
      <c r="A411" s="1"/>
      <c r="B411" s="31">
        <v>21496</v>
      </c>
      <c r="C411" s="16"/>
      <c r="D411" s="422" t="s">
        <v>7023</v>
      </c>
      <c r="E411" s="69">
        <v>6</v>
      </c>
      <c r="F411" s="222"/>
      <c r="G411" s="108">
        <v>261.3</v>
      </c>
      <c r="H411" s="17">
        <v>271.7</v>
      </c>
      <c r="I411" s="18">
        <v>282.2</v>
      </c>
      <c r="J411" s="113" t="s">
        <v>5516</v>
      </c>
      <c r="K411" s="44" t="s">
        <v>530</v>
      </c>
      <c r="L411" s="442"/>
      <c r="M411" s="480" t="s">
        <v>1856</v>
      </c>
      <c r="N411" s="1015" t="s">
        <v>1856</v>
      </c>
      <c r="O411" s="210" t="s">
        <v>1637</v>
      </c>
      <c r="P411" s="68" t="s">
        <v>50</v>
      </c>
      <c r="Q411" s="100">
        <f t="shared" si="155"/>
        <v>0</v>
      </c>
      <c r="R411" s="94" t="str">
        <f t="shared" ref="R411" si="163">IF(AO411&gt;0,HYPERLINK(AO411,"Фото &gt;&gt;"),"")</f>
        <v>Фото &gt;&gt;</v>
      </c>
      <c r="S411" s="14" t="s">
        <v>544</v>
      </c>
      <c r="U411" s="4"/>
      <c r="V411" s="4"/>
      <c r="AK411">
        <v>0.38</v>
      </c>
      <c r="AL411">
        <f t="shared" ref="AL411" si="164">F411*G411</f>
        <v>0</v>
      </c>
      <c r="AM411">
        <f t="shared" ref="AM411" si="165">F411*H411</f>
        <v>0</v>
      </c>
      <c r="AN411">
        <f t="shared" ref="AN411" si="166">AK411*F411+IF(E411&gt;1.01,F411/E411*0.2,0)</f>
        <v>0</v>
      </c>
      <c r="AO411" t="s">
        <v>7022</v>
      </c>
      <c r="AQ411" s="520" t="str">
        <f>CONCATENATE("http://1.c8804.nichost.ru/pics/",B411,".jpg")</f>
        <v>http://1.c8804.nichost.ru/pics/21496.jpg</v>
      </c>
      <c r="AV411" t="str">
        <f>IF(F411&gt;0,(COUNT($AV$1:AV410)+1),"")</f>
        <v/>
      </c>
    </row>
    <row r="412" spans="1:48" ht="15" customHeight="1" x14ac:dyDescent="0.25">
      <c r="A412" s="1"/>
      <c r="B412" s="25"/>
      <c r="C412" s="26"/>
      <c r="D412" s="27" t="s">
        <v>5957</v>
      </c>
      <c r="E412" s="80"/>
      <c r="F412" s="28"/>
      <c r="G412" s="28"/>
      <c r="H412" s="29"/>
      <c r="I412" s="29"/>
      <c r="J412" s="51"/>
      <c r="K412" s="47"/>
      <c r="L412" s="447"/>
      <c r="M412" s="489" t="s">
        <v>104</v>
      </c>
      <c r="N412" s="716"/>
      <c r="O412" s="186"/>
      <c r="P412" s="79"/>
      <c r="Q412" s="104"/>
      <c r="R412" s="13" t="str">
        <f t="shared" ref="R412:R414" si="167">IF(AO412&gt;0,HYPERLINK(AO412,"Фото &gt;&gt;"),"")</f>
        <v>Фото &gt;&gt;</v>
      </c>
      <c r="S412" s="14"/>
      <c r="U412" s="4"/>
      <c r="V412" s="4"/>
      <c r="AL412">
        <f t="shared" si="116"/>
        <v>0</v>
      </c>
      <c r="AM412">
        <f t="shared" si="117"/>
        <v>0</v>
      </c>
      <c r="AN412">
        <f t="shared" si="118"/>
        <v>0</v>
      </c>
      <c r="AO412" t="s">
        <v>104</v>
      </c>
      <c r="AV412" t="str">
        <f>IF(F412&gt;0,(COUNT($AV$1:AV411)+1),"")</f>
        <v/>
      </c>
    </row>
    <row r="413" spans="1:48" ht="15" customHeight="1" x14ac:dyDescent="0.25">
      <c r="A413" s="1"/>
      <c r="B413" s="32">
        <v>21099</v>
      </c>
      <c r="C413" s="33">
        <v>4610117721949</v>
      </c>
      <c r="D413" s="227" t="s">
        <v>6934</v>
      </c>
      <c r="E413" s="71">
        <v>6</v>
      </c>
      <c r="F413" s="222"/>
      <c r="G413" s="109">
        <v>841.3</v>
      </c>
      <c r="H413" s="34">
        <v>881.7</v>
      </c>
      <c r="I413" s="35">
        <v>969.2</v>
      </c>
      <c r="J413" s="114" t="s">
        <v>5516</v>
      </c>
      <c r="K413" s="57" t="s">
        <v>367</v>
      </c>
      <c r="L413" s="438"/>
      <c r="M413" s="484"/>
      <c r="N413" s="1008" t="s">
        <v>1856</v>
      </c>
      <c r="O413" s="218"/>
      <c r="P413" s="70" t="s">
        <v>53</v>
      </c>
      <c r="Q413" s="100">
        <f>IF(AND($AO$354=1,MOD(F413,E413)=0),F413*G413,IF($AO$354&lt;=2,F413*H413,F413*I413))</f>
        <v>0</v>
      </c>
      <c r="R413" s="13" t="str">
        <f t="shared" si="167"/>
        <v>Фото &gt;&gt;</v>
      </c>
      <c r="S413" s="14" t="s">
        <v>5959</v>
      </c>
      <c r="T413" s="515"/>
      <c r="U413" s="515"/>
      <c r="V413" s="515"/>
      <c r="AK413">
        <v>0.8</v>
      </c>
      <c r="AL413">
        <f t="shared" si="116"/>
        <v>0</v>
      </c>
      <c r="AM413">
        <f t="shared" si="117"/>
        <v>0</v>
      </c>
      <c r="AN413">
        <f t="shared" si="118"/>
        <v>0</v>
      </c>
      <c r="AO413" t="s">
        <v>5967</v>
      </c>
      <c r="AV413" t="str">
        <f>IF(F413&gt;0,(COUNT($AV$1:AV412)+1),"")</f>
        <v/>
      </c>
    </row>
    <row r="414" spans="1:48" ht="15" customHeight="1" x14ac:dyDescent="0.25">
      <c r="A414" s="1"/>
      <c r="B414" s="30">
        <v>21093</v>
      </c>
      <c r="C414" s="20">
        <v>4610117722007</v>
      </c>
      <c r="D414" s="225" t="s">
        <v>7122</v>
      </c>
      <c r="E414" s="67">
        <v>6</v>
      </c>
      <c r="F414" s="222"/>
      <c r="G414" s="107">
        <v>841.3</v>
      </c>
      <c r="H414" s="21">
        <v>881.7</v>
      </c>
      <c r="I414" s="22">
        <v>969.2</v>
      </c>
      <c r="J414" s="112" t="s">
        <v>5516</v>
      </c>
      <c r="K414" s="45" t="s">
        <v>367</v>
      </c>
      <c r="L414" s="437"/>
      <c r="M414" s="474"/>
      <c r="N414" s="1013"/>
      <c r="O414" s="212"/>
      <c r="P414" s="66" t="s">
        <v>53</v>
      </c>
      <c r="Q414" s="100">
        <f>IF(AND($AO$354=1,MOD(F414,E414)=0),F414*G414,IF($AO$354&lt;=2,F414*H414,F414*I414))</f>
        <v>0</v>
      </c>
      <c r="R414" s="13" t="str">
        <f t="shared" si="167"/>
        <v>Фото &gt;&gt;</v>
      </c>
      <c r="S414" s="14" t="s">
        <v>5958</v>
      </c>
      <c r="U414" s="4"/>
      <c r="V414" s="4"/>
      <c r="AK414">
        <v>1.1000000000000001</v>
      </c>
      <c r="AL414">
        <f t="shared" si="116"/>
        <v>0</v>
      </c>
      <c r="AM414">
        <f t="shared" si="117"/>
        <v>0</v>
      </c>
      <c r="AN414">
        <f t="shared" si="118"/>
        <v>0</v>
      </c>
      <c r="AO414" t="s">
        <v>5968</v>
      </c>
      <c r="AV414" t="str">
        <f>IF(F414&gt;0,(COUNT($AV$1:AV413)+1),"")</f>
        <v/>
      </c>
    </row>
    <row r="415" spans="1:48" ht="15" customHeight="1" x14ac:dyDescent="0.25">
      <c r="A415" s="1"/>
      <c r="B415" s="125"/>
      <c r="C415" s="126"/>
      <c r="D415" s="127"/>
      <c r="E415" s="134"/>
      <c r="F415" s="189"/>
      <c r="G415" s="130"/>
      <c r="H415" s="131"/>
      <c r="I415" s="132"/>
      <c r="J415" s="128"/>
      <c r="K415" s="129"/>
      <c r="L415" s="433"/>
      <c r="M415" s="481"/>
      <c r="N415" s="471"/>
      <c r="O415" s="181"/>
      <c r="P415" s="133"/>
      <c r="Q415" s="135"/>
      <c r="R415" s="13"/>
      <c r="S415" s="14"/>
      <c r="AV415" t="str">
        <f>IF(F415&gt;0,(COUNT($AV$1:AV414)+1),"")</f>
        <v/>
      </c>
    </row>
    <row r="416" spans="1:48" ht="15" customHeight="1" thickBot="1" x14ac:dyDescent="0.3">
      <c r="A416" s="1"/>
      <c r="B416" s="158"/>
      <c r="C416" s="159"/>
      <c r="D416" s="160"/>
      <c r="E416" s="167"/>
      <c r="F416" s="191"/>
      <c r="G416" s="163"/>
      <c r="H416" s="164"/>
      <c r="I416" s="165"/>
      <c r="J416" s="161"/>
      <c r="K416" s="162"/>
      <c r="L416" s="439"/>
      <c r="M416" s="475"/>
      <c r="N416" s="467"/>
      <c r="O416" s="183"/>
      <c r="P416" s="166"/>
      <c r="Q416" s="168"/>
      <c r="R416" s="13"/>
      <c r="S416" s="14"/>
      <c r="AV416" t="str">
        <f>IF(F416&gt;0,(COUNT($AV$1:AV415)+1),"")</f>
        <v/>
      </c>
    </row>
    <row r="417" spans="1:48" ht="24.95" customHeight="1" thickBot="1" x14ac:dyDescent="0.3">
      <c r="A417" s="1"/>
      <c r="B417" s="169"/>
      <c r="C417" s="170"/>
      <c r="D417" s="171" t="str">
        <f>CONCATENATE("Компас Здоровья","     |   Сумма заказа: ",AK417," руб.")</f>
        <v>Компас Здоровья     |   Сумма заказа: 0 руб.</v>
      </c>
      <c r="E417" s="176"/>
      <c r="F417" s="177"/>
      <c r="G417" s="180" t="str">
        <f>CONCATENATE("Ценовая колонка: ",AO417,"   |   До следующей скидки: ",AJ417," руб.")</f>
        <v>Ценовая колонка: 3   |   До следующей скидки: 20000 руб.</v>
      </c>
      <c r="H417" s="174"/>
      <c r="I417" s="174"/>
      <c r="J417" s="172" t="s">
        <v>18</v>
      </c>
      <c r="K417" s="173"/>
      <c r="L417" s="444"/>
      <c r="M417" s="486" t="s">
        <v>104</v>
      </c>
      <c r="N417" s="717"/>
      <c r="O417" s="184"/>
      <c r="P417" s="175"/>
      <c r="Q417" s="178"/>
      <c r="R417" s="179" t="s">
        <v>1558</v>
      </c>
      <c r="S417" s="6"/>
      <c r="AB417" s="575"/>
      <c r="AG417" s="278">
        <v>1</v>
      </c>
      <c r="AH417" s="278" t="str" cm="1">
        <f t="array" ref="AH417">CONCATENATE("#",INDEX(AG418:AH487,AG417,2))</f>
        <v>#_28seeds</v>
      </c>
      <c r="AJ417">
        <f>ROUND(IF(AL417&gt;100000,"0", IF(AND(AL417&lt;100000,AM417&gt;20000),100000-AL417,20000-AM417)),2)</f>
        <v>20000</v>
      </c>
      <c r="AK417">
        <f>SUM(Q419:Q561)</f>
        <v>0</v>
      </c>
      <c r="AL417">
        <f>SUM(AL418:AL561)</f>
        <v>0</v>
      </c>
      <c r="AM417">
        <f>SUM(AM418:AM561)</f>
        <v>0</v>
      </c>
      <c r="AO417">
        <f>IF(AM417&gt;20000,IF(AL417&gt;100000,1,2),3)</f>
        <v>3</v>
      </c>
      <c r="AV417" t="str">
        <f>IF(F417&gt;0,(COUNT($AV$1:AV416)+1),"")</f>
        <v/>
      </c>
    </row>
    <row r="418" spans="1:48" ht="15" customHeight="1" x14ac:dyDescent="0.25">
      <c r="A418" s="1"/>
      <c r="B418" s="7"/>
      <c r="C418" s="8"/>
      <c r="D418" s="9" t="s">
        <v>13</v>
      </c>
      <c r="E418" s="77"/>
      <c r="F418" s="95"/>
      <c r="G418" s="10" t="s">
        <v>14</v>
      </c>
      <c r="H418" s="11" t="s">
        <v>15</v>
      </c>
      <c r="I418" s="11" t="s">
        <v>16</v>
      </c>
      <c r="J418" s="50"/>
      <c r="K418" s="42"/>
      <c r="L418" s="445"/>
      <c r="M418" s="487" t="s">
        <v>104</v>
      </c>
      <c r="N418" s="1017"/>
      <c r="O418" s="185"/>
      <c r="P418" s="76"/>
      <c r="Q418" s="102"/>
      <c r="R418" s="2"/>
      <c r="S418" s="6"/>
      <c r="AG418" s="84" t="s">
        <v>2061</v>
      </c>
      <c r="AH418" s="84" t="s">
        <v>6811</v>
      </c>
      <c r="AV418" t="str">
        <f>IF(F418&gt;0,(COUNT($AV$1:AV417)+1),"")</f>
        <v/>
      </c>
    </row>
    <row r="419" spans="1:48" ht="15" customHeight="1" x14ac:dyDescent="0.25">
      <c r="A419" s="1"/>
      <c r="B419" s="19">
        <v>12773</v>
      </c>
      <c r="C419" s="20">
        <v>4607078975313</v>
      </c>
      <c r="D419" s="225" t="s">
        <v>17</v>
      </c>
      <c r="E419" s="67">
        <v>30</v>
      </c>
      <c r="F419" s="222"/>
      <c r="G419" s="107">
        <v>283.2</v>
      </c>
      <c r="H419" s="21">
        <v>297.39999999999998</v>
      </c>
      <c r="I419" s="22">
        <v>320.5</v>
      </c>
      <c r="J419" s="112" t="s">
        <v>18</v>
      </c>
      <c r="K419" s="45" t="s">
        <v>19</v>
      </c>
      <c r="L419" s="446"/>
      <c r="M419" s="488" t="s">
        <v>1856</v>
      </c>
      <c r="N419" s="1018" t="s">
        <v>1856</v>
      </c>
      <c r="O419" s="299"/>
      <c r="P419" s="66" t="s">
        <v>20</v>
      </c>
      <c r="Q419" s="103">
        <f t="shared" ref="Q419:Q426" si="168">IF($AO$417=2,F419*H419,IF($AO$417=1,F419*G419,F419*I419))</f>
        <v>0</v>
      </c>
      <c r="R419" s="13" t="str">
        <f t="shared" ref="R419:R425" si="169">IF(AO419&gt;0,HYPERLINK(AO419,"Фото &gt;&gt;"),"")</f>
        <v>Фото &gt;&gt;</v>
      </c>
      <c r="S419" s="14" t="s">
        <v>21</v>
      </c>
      <c r="AG419" s="84" t="s">
        <v>857</v>
      </c>
      <c r="AH419" s="84" t="s">
        <v>2134</v>
      </c>
      <c r="AK419">
        <v>0.26</v>
      </c>
      <c r="AL419">
        <f t="shared" ref="AL419:AL426" si="170">F419*G419</f>
        <v>0</v>
      </c>
      <c r="AM419">
        <f t="shared" ref="AM419:AM426" si="171">F419*H419</f>
        <v>0</v>
      </c>
      <c r="AN419">
        <f t="shared" ref="AN419:AN433" si="172">AK419*F419+IF(E419&gt;1.01,F419/E419*0.2,0)</f>
        <v>0</v>
      </c>
      <c r="AO419" t="s">
        <v>3369</v>
      </c>
      <c r="AV419" t="str">
        <f>IF(F419&gt;0,(COUNT($AV$1:AV418)+1),"")</f>
        <v/>
      </c>
    </row>
    <row r="420" spans="1:48" ht="15" customHeight="1" x14ac:dyDescent="0.25">
      <c r="A420" s="1"/>
      <c r="B420" s="15">
        <v>10096</v>
      </c>
      <c r="C420" s="16">
        <v>4607078974804</v>
      </c>
      <c r="D420" s="226" t="s">
        <v>4064</v>
      </c>
      <c r="E420" s="69">
        <v>24</v>
      </c>
      <c r="F420" s="222"/>
      <c r="G420" s="108">
        <v>204.6</v>
      </c>
      <c r="H420" s="17">
        <v>215.4</v>
      </c>
      <c r="I420" s="18">
        <v>222.3</v>
      </c>
      <c r="J420" s="113" t="s">
        <v>18</v>
      </c>
      <c r="K420" s="44" t="s">
        <v>19</v>
      </c>
      <c r="L420" s="442"/>
      <c r="M420" s="480" t="s">
        <v>1856</v>
      </c>
      <c r="N420" s="1015" t="s">
        <v>1856</v>
      </c>
      <c r="O420" s="210"/>
      <c r="P420" s="68" t="s">
        <v>20</v>
      </c>
      <c r="Q420" s="103">
        <f t="shared" si="168"/>
        <v>0</v>
      </c>
      <c r="R420" s="13" t="str">
        <f>IF(AO420&gt;0,HYPERLINK(AO420,"Фото &gt;&gt;"),"")</f>
        <v>Фото &gt;&gt;</v>
      </c>
      <c r="S420" s="14" t="s">
        <v>22</v>
      </c>
      <c r="AG420" s="84" t="s">
        <v>1533</v>
      </c>
      <c r="AH420" s="84" t="s">
        <v>2135</v>
      </c>
      <c r="AK420">
        <v>0.51</v>
      </c>
      <c r="AL420">
        <f t="shared" si="170"/>
        <v>0</v>
      </c>
      <c r="AM420">
        <f t="shared" si="171"/>
        <v>0</v>
      </c>
      <c r="AN420">
        <f t="shared" si="172"/>
        <v>0</v>
      </c>
      <c r="AO420" t="s">
        <v>4793</v>
      </c>
      <c r="AV420" t="str">
        <f>IF(F420&gt;0,(COUNT($AV$1:AV419)+1),"")</f>
        <v/>
      </c>
    </row>
    <row r="421" spans="1:48" ht="15" customHeight="1" x14ac:dyDescent="0.25">
      <c r="A421" s="1"/>
      <c r="B421" s="19">
        <v>11471</v>
      </c>
      <c r="C421" s="20">
        <v>4607078971094</v>
      </c>
      <c r="D421" s="225" t="s">
        <v>1618</v>
      </c>
      <c r="E421" s="67">
        <v>30</v>
      </c>
      <c r="F421" s="222"/>
      <c r="G421" s="107">
        <v>172.1</v>
      </c>
      <c r="H421" s="21">
        <v>182.7</v>
      </c>
      <c r="I421" s="22">
        <v>194</v>
      </c>
      <c r="J421" s="112" t="s">
        <v>18</v>
      </c>
      <c r="K421" s="45" t="s">
        <v>19</v>
      </c>
      <c r="L421" s="446"/>
      <c r="M421" s="488" t="s">
        <v>1856</v>
      </c>
      <c r="N421" s="1018" t="s">
        <v>1856</v>
      </c>
      <c r="O421" s="299"/>
      <c r="P421" s="66" t="s">
        <v>20</v>
      </c>
      <c r="Q421" s="103">
        <f t="shared" si="168"/>
        <v>0</v>
      </c>
      <c r="R421" s="13" t="str">
        <f>IF(AO421&gt;0,HYPERLINK(AO421,"Фото &gt;&gt;"),"")</f>
        <v>Фото &gt;&gt;</v>
      </c>
      <c r="S421" s="14" t="s">
        <v>23</v>
      </c>
      <c r="AG421" s="84" t="s">
        <v>6983</v>
      </c>
      <c r="AH421" s="84" t="s">
        <v>6984</v>
      </c>
      <c r="AK421">
        <v>0.24</v>
      </c>
      <c r="AL421">
        <f t="shared" si="170"/>
        <v>0</v>
      </c>
      <c r="AM421">
        <f t="shared" si="171"/>
        <v>0</v>
      </c>
      <c r="AN421">
        <f t="shared" si="172"/>
        <v>0</v>
      </c>
      <c r="AO421" t="s">
        <v>3370</v>
      </c>
      <c r="AV421" t="str">
        <f>IF(F421&gt;0,(COUNT($AV$1:AV420)+1),"")</f>
        <v/>
      </c>
    </row>
    <row r="422" spans="1:48" ht="15" customHeight="1" x14ac:dyDescent="0.25">
      <c r="A422" s="1"/>
      <c r="B422" s="15">
        <v>9949</v>
      </c>
      <c r="C422" s="16">
        <v>4607078970592</v>
      </c>
      <c r="D422" s="226" t="s">
        <v>1619</v>
      </c>
      <c r="E422" s="69">
        <v>24</v>
      </c>
      <c r="F422" s="222"/>
      <c r="G422" s="108">
        <v>334</v>
      </c>
      <c r="H422" s="17">
        <v>353.2</v>
      </c>
      <c r="I422" s="18">
        <v>375.6</v>
      </c>
      <c r="J422" s="113" t="s">
        <v>18</v>
      </c>
      <c r="K422" s="44" t="s">
        <v>19</v>
      </c>
      <c r="L422" s="442"/>
      <c r="M422" s="480" t="s">
        <v>1856</v>
      </c>
      <c r="N422" s="1015" t="s">
        <v>1856</v>
      </c>
      <c r="O422" s="210"/>
      <c r="P422" s="68" t="s">
        <v>20</v>
      </c>
      <c r="Q422" s="103">
        <f t="shared" si="168"/>
        <v>0</v>
      </c>
      <c r="R422" s="13" t="str">
        <f t="shared" si="169"/>
        <v>Фото &gt;&gt;</v>
      </c>
      <c r="S422" s="14" t="s">
        <v>23</v>
      </c>
      <c r="AG422" s="84" t="s">
        <v>5665</v>
      </c>
      <c r="AH422" s="84" t="s">
        <v>5550</v>
      </c>
      <c r="AK422">
        <v>0.51</v>
      </c>
      <c r="AL422">
        <f t="shared" si="170"/>
        <v>0</v>
      </c>
      <c r="AM422">
        <f t="shared" si="171"/>
        <v>0</v>
      </c>
      <c r="AN422">
        <f t="shared" si="172"/>
        <v>0</v>
      </c>
      <c r="AO422" t="s">
        <v>3371</v>
      </c>
      <c r="AV422" t="str">
        <f>IF(F422&gt;0,(COUNT($AV$1:AV421)+1),"")</f>
        <v/>
      </c>
    </row>
    <row r="423" spans="1:48" ht="15" customHeight="1" x14ac:dyDescent="0.25">
      <c r="A423" s="1"/>
      <c r="B423" s="19">
        <v>14480</v>
      </c>
      <c r="C423" s="20">
        <v>4607078976303</v>
      </c>
      <c r="D423" s="225" t="s">
        <v>2027</v>
      </c>
      <c r="E423" s="67">
        <v>30</v>
      </c>
      <c r="F423" s="222"/>
      <c r="G423" s="107">
        <v>112.7</v>
      </c>
      <c r="H423" s="21">
        <v>118.1</v>
      </c>
      <c r="I423" s="22">
        <v>121.7</v>
      </c>
      <c r="J423" s="112" t="s">
        <v>18</v>
      </c>
      <c r="K423" s="45" t="s">
        <v>19</v>
      </c>
      <c r="L423" s="446"/>
      <c r="M423" s="488" t="s">
        <v>1856</v>
      </c>
      <c r="N423" s="1018" t="s">
        <v>1856</v>
      </c>
      <c r="O423" s="299"/>
      <c r="P423" s="66" t="s">
        <v>20</v>
      </c>
      <c r="Q423" s="103">
        <f t="shared" si="168"/>
        <v>0</v>
      </c>
      <c r="R423" s="13" t="str">
        <f t="shared" si="169"/>
        <v>Фото &gt;&gt;</v>
      </c>
      <c r="S423" s="14" t="s">
        <v>22</v>
      </c>
      <c r="AG423" s="84" t="s">
        <v>1083</v>
      </c>
      <c r="AH423" s="84" t="s">
        <v>1083</v>
      </c>
      <c r="AK423">
        <v>0.23</v>
      </c>
      <c r="AL423">
        <f t="shared" si="170"/>
        <v>0</v>
      </c>
      <c r="AM423">
        <f t="shared" si="171"/>
        <v>0</v>
      </c>
      <c r="AN423">
        <f t="shared" si="172"/>
        <v>0</v>
      </c>
      <c r="AO423" t="s">
        <v>3372</v>
      </c>
      <c r="AV423" t="str">
        <f>IF(F423&gt;0,(COUNT($AV$1:AV422)+1),"")</f>
        <v/>
      </c>
    </row>
    <row r="424" spans="1:48" ht="15" customHeight="1" x14ac:dyDescent="0.25">
      <c r="A424" s="1"/>
      <c r="B424" s="15">
        <v>8875</v>
      </c>
      <c r="C424" s="16">
        <v>4607078970509</v>
      </c>
      <c r="D424" s="226" t="s">
        <v>4065</v>
      </c>
      <c r="E424" s="69">
        <v>24</v>
      </c>
      <c r="F424" s="222"/>
      <c r="G424" s="108">
        <v>209.6</v>
      </c>
      <c r="H424" s="17">
        <v>220.3</v>
      </c>
      <c r="I424" s="18">
        <v>227.5</v>
      </c>
      <c r="J424" s="113" t="s">
        <v>18</v>
      </c>
      <c r="K424" s="44" t="s">
        <v>19</v>
      </c>
      <c r="L424" s="442"/>
      <c r="M424" s="480" t="s">
        <v>1856</v>
      </c>
      <c r="N424" s="1015" t="s">
        <v>1856</v>
      </c>
      <c r="O424" s="210"/>
      <c r="P424" s="68" t="s">
        <v>20</v>
      </c>
      <c r="Q424" s="103">
        <f t="shared" si="168"/>
        <v>0</v>
      </c>
      <c r="R424" s="13" t="str">
        <f>IF(AO424&gt;0,HYPERLINK(AO424,"Фото &gt;&gt;"),"")</f>
        <v>Фото &gt;&gt;</v>
      </c>
      <c r="S424" s="14" t="s">
        <v>22</v>
      </c>
      <c r="AG424" s="84" t="s">
        <v>5517</v>
      </c>
      <c r="AH424" s="84" t="s">
        <v>534</v>
      </c>
      <c r="AK424">
        <v>0.51</v>
      </c>
      <c r="AL424">
        <f t="shared" si="170"/>
        <v>0</v>
      </c>
      <c r="AM424">
        <f t="shared" si="171"/>
        <v>0</v>
      </c>
      <c r="AN424">
        <f t="shared" si="172"/>
        <v>0</v>
      </c>
      <c r="AO424" t="s">
        <v>3373</v>
      </c>
      <c r="AV424" t="str">
        <f>IF(F424&gt;0,(COUNT($AV$1:AV423)+1),"")</f>
        <v/>
      </c>
    </row>
    <row r="425" spans="1:48" ht="15" customHeight="1" x14ac:dyDescent="0.25">
      <c r="A425" s="1"/>
      <c r="B425" s="19">
        <v>9433</v>
      </c>
      <c r="C425" s="20">
        <v>4607078970011</v>
      </c>
      <c r="D425" s="225" t="s">
        <v>2028</v>
      </c>
      <c r="E425" s="67">
        <v>30</v>
      </c>
      <c r="F425" s="222"/>
      <c r="G425" s="107">
        <v>112.7</v>
      </c>
      <c r="H425" s="21">
        <v>118.1</v>
      </c>
      <c r="I425" s="22">
        <v>121.7</v>
      </c>
      <c r="J425" s="112" t="s">
        <v>18</v>
      </c>
      <c r="K425" s="45" t="s">
        <v>19</v>
      </c>
      <c r="L425" s="446"/>
      <c r="M425" s="488" t="s">
        <v>1856</v>
      </c>
      <c r="N425" s="1018" t="s">
        <v>1856</v>
      </c>
      <c r="O425" s="299"/>
      <c r="P425" s="66" t="s">
        <v>20</v>
      </c>
      <c r="Q425" s="103">
        <f t="shared" si="168"/>
        <v>0</v>
      </c>
      <c r="R425" s="13" t="str">
        <f t="shared" si="169"/>
        <v>Фото &gt;&gt;</v>
      </c>
      <c r="S425" s="14" t="s">
        <v>22</v>
      </c>
      <c r="AG425" s="84" t="s">
        <v>1534</v>
      </c>
      <c r="AH425" s="84" t="s">
        <v>780</v>
      </c>
      <c r="AK425">
        <v>0.23</v>
      </c>
      <c r="AL425">
        <f t="shared" si="170"/>
        <v>0</v>
      </c>
      <c r="AM425">
        <f t="shared" si="171"/>
        <v>0</v>
      </c>
      <c r="AN425">
        <f t="shared" si="172"/>
        <v>0</v>
      </c>
      <c r="AO425" t="s">
        <v>3374</v>
      </c>
      <c r="AV425" t="str">
        <f>IF(F425&gt;0,(COUNT($AV$1:AV424)+1),"")</f>
        <v/>
      </c>
    </row>
    <row r="426" spans="1:48" ht="15" customHeight="1" x14ac:dyDescent="0.25">
      <c r="A426" s="1"/>
      <c r="B426" s="15">
        <v>8876</v>
      </c>
      <c r="C426" s="16">
        <v>4607078970028</v>
      </c>
      <c r="D426" s="226" t="s">
        <v>4066</v>
      </c>
      <c r="E426" s="69">
        <v>24</v>
      </c>
      <c r="F426" s="222"/>
      <c r="G426" s="108">
        <v>209.6</v>
      </c>
      <c r="H426" s="17">
        <v>221.1</v>
      </c>
      <c r="I426" s="18">
        <v>228.3</v>
      </c>
      <c r="J426" s="113" t="s">
        <v>18</v>
      </c>
      <c r="K426" s="44" t="s">
        <v>19</v>
      </c>
      <c r="L426" s="442"/>
      <c r="M426" s="480" t="s">
        <v>1856</v>
      </c>
      <c r="N426" s="1015" t="s">
        <v>1856</v>
      </c>
      <c r="O426" s="210"/>
      <c r="P426" s="68" t="s">
        <v>20</v>
      </c>
      <c r="Q426" s="103">
        <f t="shared" si="168"/>
        <v>0</v>
      </c>
      <c r="R426" s="13" t="str">
        <f>IF(AO426&gt;0,HYPERLINK(AO426,"Фото &gt;&gt;"),"")</f>
        <v>Фото &gt;&gt;</v>
      </c>
      <c r="S426" s="14" t="s">
        <v>22</v>
      </c>
      <c r="X426" s="84"/>
      <c r="Y426" s="84"/>
      <c r="AG426" s="84" t="s">
        <v>1535</v>
      </c>
      <c r="AH426" s="84" t="s">
        <v>2288</v>
      </c>
      <c r="AK426">
        <v>0.51</v>
      </c>
      <c r="AL426">
        <f t="shared" si="170"/>
        <v>0</v>
      </c>
      <c r="AM426">
        <f t="shared" si="171"/>
        <v>0</v>
      </c>
      <c r="AN426">
        <f t="shared" si="172"/>
        <v>0</v>
      </c>
      <c r="AO426" t="s">
        <v>3375</v>
      </c>
      <c r="AV426" t="str">
        <f>IF(F426&gt;0,(COUNT($AV$1:AV425)+1),"")</f>
        <v/>
      </c>
    </row>
    <row r="427" spans="1:48" ht="15" customHeight="1" x14ac:dyDescent="0.25">
      <c r="A427" s="1"/>
      <c r="B427" s="25"/>
      <c r="C427" s="26"/>
      <c r="D427" s="27" t="s">
        <v>1483</v>
      </c>
      <c r="E427" s="80"/>
      <c r="F427" s="96"/>
      <c r="G427" s="28"/>
      <c r="H427" s="29"/>
      <c r="I427" s="29"/>
      <c r="J427" s="51"/>
      <c r="K427" s="47"/>
      <c r="L427" s="447"/>
      <c r="M427" s="489" t="s">
        <v>104</v>
      </c>
      <c r="N427" s="716"/>
      <c r="O427" s="186"/>
      <c r="P427" s="79"/>
      <c r="Q427" s="104"/>
      <c r="R427" s="13"/>
      <c r="S427" s="14"/>
      <c r="AG427" s="84" t="s">
        <v>407</v>
      </c>
      <c r="AH427" s="84" t="s">
        <v>407</v>
      </c>
      <c r="AL427">
        <f t="shared" ref="AL427:AL438" si="173">F427*G427</f>
        <v>0</v>
      </c>
      <c r="AM427">
        <f t="shared" ref="AM427:AM438" si="174">F427*H427</f>
        <v>0</v>
      </c>
      <c r="AN427">
        <f t="shared" si="172"/>
        <v>0</v>
      </c>
      <c r="AO427" s="1236" t="s">
        <v>104</v>
      </c>
      <c r="AV427" t="str">
        <f>IF(F427&gt;0,(COUNT($AV$1:AV426)+1),"")</f>
        <v/>
      </c>
    </row>
    <row r="428" spans="1:48" ht="15" customHeight="1" x14ac:dyDescent="0.25">
      <c r="A428" s="1"/>
      <c r="B428" s="30">
        <v>20266</v>
      </c>
      <c r="C428" s="20">
        <v>4630039326046</v>
      </c>
      <c r="D428" s="225" t="s">
        <v>2973</v>
      </c>
      <c r="E428" s="67">
        <v>20</v>
      </c>
      <c r="F428" s="222"/>
      <c r="G428" s="107">
        <v>603.29999999999995</v>
      </c>
      <c r="H428" s="21">
        <v>633.29999999999995</v>
      </c>
      <c r="I428" s="22">
        <v>696.5</v>
      </c>
      <c r="J428" s="112" t="s">
        <v>18</v>
      </c>
      <c r="K428" s="45" t="s">
        <v>5530</v>
      </c>
      <c r="L428" s="437"/>
      <c r="M428" s="474" t="s">
        <v>1856</v>
      </c>
      <c r="N428" s="1013"/>
      <c r="O428" s="209"/>
      <c r="P428" s="66" t="s">
        <v>55</v>
      </c>
      <c r="Q428" s="103">
        <f t="shared" ref="Q428:Q438" si="175">IF($AO$417=2,F428*H428,IF($AO$417=1,F428*G428,F428*I428))</f>
        <v>0</v>
      </c>
      <c r="R428" s="13" t="str">
        <f t="shared" ref="R428:R438" si="176">IF(AO428&gt;0,HYPERLINK(AO428,"Фото &gt;&gt;"),"")</f>
        <v>Фото &gt;&gt;</v>
      </c>
      <c r="S428" s="14" t="s">
        <v>2974</v>
      </c>
      <c r="AG428" s="84" t="s">
        <v>6985</v>
      </c>
      <c r="AH428" s="84" t="s">
        <v>6986</v>
      </c>
      <c r="AK428">
        <v>0.08</v>
      </c>
      <c r="AL428">
        <f t="shared" si="173"/>
        <v>0</v>
      </c>
      <c r="AM428">
        <f t="shared" si="174"/>
        <v>0</v>
      </c>
      <c r="AN428">
        <f t="shared" si="172"/>
        <v>0</v>
      </c>
      <c r="AO428" t="s">
        <v>2975</v>
      </c>
      <c r="AV428" t="str">
        <f>IF(F428&gt;0,(COUNT($AV$1:AV427)+1),"")</f>
        <v/>
      </c>
    </row>
    <row r="429" spans="1:48" ht="15" customHeight="1" x14ac:dyDescent="0.25">
      <c r="A429" s="1"/>
      <c r="B429" s="31">
        <v>20265</v>
      </c>
      <c r="C429" s="16">
        <v>4630039326053</v>
      </c>
      <c r="D429" s="226" t="s">
        <v>2970</v>
      </c>
      <c r="E429" s="69">
        <v>20</v>
      </c>
      <c r="F429" s="222"/>
      <c r="G429" s="108">
        <v>409.3</v>
      </c>
      <c r="H429" s="17">
        <v>429.6</v>
      </c>
      <c r="I429" s="18">
        <v>472.4</v>
      </c>
      <c r="J429" s="113" t="s">
        <v>18</v>
      </c>
      <c r="K429" s="44" t="s">
        <v>5530</v>
      </c>
      <c r="L429" s="442"/>
      <c r="M429" s="480" t="s">
        <v>1856</v>
      </c>
      <c r="N429" s="1015"/>
      <c r="O429" s="210"/>
      <c r="P429" s="68" t="s">
        <v>40</v>
      </c>
      <c r="Q429" s="103">
        <f t="shared" si="175"/>
        <v>0</v>
      </c>
      <c r="R429" s="13" t="str">
        <f t="shared" si="176"/>
        <v>Фото &gt;&gt;</v>
      </c>
      <c r="S429" s="14" t="s">
        <v>2971</v>
      </c>
      <c r="AG429" s="84" t="s">
        <v>3885</v>
      </c>
      <c r="AH429" s="84" t="s">
        <v>4343</v>
      </c>
      <c r="AK429">
        <v>0.08</v>
      </c>
      <c r="AL429">
        <f t="shared" si="173"/>
        <v>0</v>
      </c>
      <c r="AM429">
        <f t="shared" si="174"/>
        <v>0</v>
      </c>
      <c r="AN429">
        <f t="shared" si="172"/>
        <v>0</v>
      </c>
      <c r="AO429" t="s">
        <v>2972</v>
      </c>
      <c r="AV429" t="str">
        <f>IF(F429&gt;0,(COUNT($AV$1:AV428)+1),"")</f>
        <v/>
      </c>
    </row>
    <row r="430" spans="1:48" ht="15" customHeight="1" x14ac:dyDescent="0.25">
      <c r="A430" s="1"/>
      <c r="B430" s="30">
        <v>19803</v>
      </c>
      <c r="C430" s="20">
        <v>4630039324929</v>
      </c>
      <c r="D430" s="225" t="s">
        <v>1985</v>
      </c>
      <c r="E430" s="67">
        <v>20</v>
      </c>
      <c r="F430" s="222"/>
      <c r="G430" s="107">
        <v>215.4</v>
      </c>
      <c r="H430" s="21">
        <v>226.1</v>
      </c>
      <c r="I430" s="22">
        <v>234.1</v>
      </c>
      <c r="J430" s="112" t="s">
        <v>18</v>
      </c>
      <c r="K430" s="45" t="s">
        <v>5530</v>
      </c>
      <c r="L430" s="437"/>
      <c r="M430" s="474" t="s">
        <v>1856</v>
      </c>
      <c r="N430" s="1013"/>
      <c r="O430" s="209"/>
      <c r="P430" s="66" t="s">
        <v>50</v>
      </c>
      <c r="Q430" s="103">
        <f t="shared" si="175"/>
        <v>0</v>
      </c>
      <c r="R430" s="13" t="str">
        <f t="shared" si="176"/>
        <v>Фото &gt;&gt;</v>
      </c>
      <c r="S430" s="14" t="s">
        <v>1986</v>
      </c>
      <c r="AG430" s="84" t="s">
        <v>834</v>
      </c>
      <c r="AH430" s="84" t="s">
        <v>834</v>
      </c>
      <c r="AK430">
        <v>0.05</v>
      </c>
      <c r="AL430">
        <f t="shared" si="173"/>
        <v>0</v>
      </c>
      <c r="AM430">
        <f t="shared" si="174"/>
        <v>0</v>
      </c>
      <c r="AN430">
        <f t="shared" si="172"/>
        <v>0</v>
      </c>
      <c r="AO430" t="s">
        <v>2514</v>
      </c>
      <c r="AV430" t="str">
        <f>IF(F430&gt;0,(COUNT($AV$1:AV429)+1),"")</f>
        <v/>
      </c>
    </row>
    <row r="431" spans="1:48" ht="15" customHeight="1" x14ac:dyDescent="0.25">
      <c r="A431" s="1"/>
      <c r="B431" s="31">
        <v>21109</v>
      </c>
      <c r="C431" s="16">
        <v>4630039326305</v>
      </c>
      <c r="D431" s="226" t="s">
        <v>6015</v>
      </c>
      <c r="E431" s="69">
        <v>20</v>
      </c>
      <c r="F431" s="222"/>
      <c r="G431" s="108">
        <v>364.4</v>
      </c>
      <c r="H431" s="17">
        <v>382.6</v>
      </c>
      <c r="I431" s="18">
        <v>420.9</v>
      </c>
      <c r="J431" s="113" t="s">
        <v>18</v>
      </c>
      <c r="K431" s="44" t="s">
        <v>5530</v>
      </c>
      <c r="L431" s="442"/>
      <c r="M431" s="480" t="s">
        <v>1856</v>
      </c>
      <c r="N431" s="1015" t="s">
        <v>1856</v>
      </c>
      <c r="O431" s="210"/>
      <c r="P431" s="68" t="s">
        <v>55</v>
      </c>
      <c r="Q431" s="103">
        <f t="shared" si="175"/>
        <v>0</v>
      </c>
      <c r="R431" s="13" t="str">
        <f t="shared" si="176"/>
        <v>Фото &gt;&gt;</v>
      </c>
      <c r="S431" s="14" t="s">
        <v>6016</v>
      </c>
      <c r="AG431" s="84" t="s">
        <v>4244</v>
      </c>
      <c r="AH431" s="84" t="s">
        <v>4344</v>
      </c>
      <c r="AK431">
        <v>0.1</v>
      </c>
      <c r="AL431">
        <f t="shared" ref="AL431:AL432" si="177">F431*G431</f>
        <v>0</v>
      </c>
      <c r="AM431">
        <f t="shared" ref="AM431:AM432" si="178">F431*H431</f>
        <v>0</v>
      </c>
      <c r="AN431">
        <f t="shared" ref="AN431:AN432" si="179">AK431*F431+IF(E431&gt;1.01,F431/E431*0.2,0)</f>
        <v>0</v>
      </c>
      <c r="AO431" t="s">
        <v>6017</v>
      </c>
      <c r="AV431" t="str">
        <f>IF(F431&gt;0,(COUNT($AV$1:AV430)+1),"")</f>
        <v/>
      </c>
    </row>
    <row r="432" spans="1:48" ht="15" customHeight="1" x14ac:dyDescent="0.25">
      <c r="A432" s="1"/>
      <c r="B432" s="30">
        <v>19277</v>
      </c>
      <c r="C432" s="20">
        <v>4630039324370</v>
      </c>
      <c r="D432" s="225" t="s">
        <v>7213</v>
      </c>
      <c r="E432" s="67">
        <v>16</v>
      </c>
      <c r="F432" s="222"/>
      <c r="G432" s="107">
        <v>426.9</v>
      </c>
      <c r="H432" s="21">
        <v>454.8</v>
      </c>
      <c r="I432" s="22">
        <v>497.6</v>
      </c>
      <c r="J432" s="112" t="s">
        <v>18</v>
      </c>
      <c r="K432" s="45" t="s">
        <v>5530</v>
      </c>
      <c r="L432" s="437"/>
      <c r="M432" s="474" t="s">
        <v>1856</v>
      </c>
      <c r="N432" s="1013" t="s">
        <v>1856</v>
      </c>
      <c r="O432" s="209"/>
      <c r="P432" s="66" t="s">
        <v>50</v>
      </c>
      <c r="Q432" s="103">
        <f t="shared" si="175"/>
        <v>0</v>
      </c>
      <c r="R432" s="13" t="str">
        <f t="shared" si="176"/>
        <v>Фото &gt;&gt;</v>
      </c>
      <c r="S432" s="14" t="s">
        <v>1818</v>
      </c>
      <c r="AG432" s="84" t="s">
        <v>295</v>
      </c>
      <c r="AH432" s="84" t="s">
        <v>295</v>
      </c>
      <c r="AK432">
        <v>0.2</v>
      </c>
      <c r="AL432">
        <f t="shared" si="177"/>
        <v>0</v>
      </c>
      <c r="AM432">
        <f t="shared" si="178"/>
        <v>0</v>
      </c>
      <c r="AN432">
        <f t="shared" si="179"/>
        <v>0</v>
      </c>
      <c r="AO432" t="s">
        <v>2515</v>
      </c>
      <c r="AV432" t="str">
        <f>IF(F432&gt;0,(COUNT($AV$1:AV431)+1),"")</f>
        <v/>
      </c>
    </row>
    <row r="433" spans="1:48" ht="15" customHeight="1" x14ac:dyDescent="0.25">
      <c r="A433" s="1"/>
      <c r="B433" s="31">
        <v>19278</v>
      </c>
      <c r="C433" s="16">
        <v>4630039324387</v>
      </c>
      <c r="D433" s="226" t="s">
        <v>1817</v>
      </c>
      <c r="E433" s="69">
        <v>20</v>
      </c>
      <c r="F433" s="222"/>
      <c r="G433" s="108">
        <v>670.2</v>
      </c>
      <c r="H433" s="17">
        <v>703.6</v>
      </c>
      <c r="I433" s="18">
        <v>734.4</v>
      </c>
      <c r="J433" s="113" t="s">
        <v>18</v>
      </c>
      <c r="K433" s="44" t="s">
        <v>5530</v>
      </c>
      <c r="L433" s="442"/>
      <c r="M433" s="480" t="s">
        <v>1856</v>
      </c>
      <c r="N433" s="1015"/>
      <c r="O433" s="210"/>
      <c r="P433" s="68" t="s">
        <v>50</v>
      </c>
      <c r="Q433" s="103">
        <f t="shared" si="175"/>
        <v>0</v>
      </c>
      <c r="R433" s="13" t="str">
        <f t="shared" si="176"/>
        <v>Фото &gt;&gt;</v>
      </c>
      <c r="S433" s="14" t="s">
        <v>1819</v>
      </c>
      <c r="AG433" s="84" t="s">
        <v>1119</v>
      </c>
      <c r="AH433" s="84" t="s">
        <v>2289</v>
      </c>
      <c r="AK433">
        <v>0.2</v>
      </c>
      <c r="AL433">
        <f t="shared" si="173"/>
        <v>0</v>
      </c>
      <c r="AM433">
        <f t="shared" si="174"/>
        <v>0</v>
      </c>
      <c r="AN433">
        <f t="shared" si="172"/>
        <v>0</v>
      </c>
      <c r="AO433" t="s">
        <v>2516</v>
      </c>
      <c r="AV433" t="str">
        <f>IF(F433&gt;0,(COUNT($AV$1:AV432)+1),"")</f>
        <v/>
      </c>
    </row>
    <row r="434" spans="1:48" ht="15" customHeight="1" x14ac:dyDescent="0.25">
      <c r="A434" s="1"/>
      <c r="B434" s="30">
        <v>21110</v>
      </c>
      <c r="C434" s="20">
        <v>4630039327333</v>
      </c>
      <c r="D434" s="225" t="s">
        <v>7214</v>
      </c>
      <c r="E434" s="67">
        <v>20</v>
      </c>
      <c r="F434" s="222"/>
      <c r="G434" s="107">
        <v>447</v>
      </c>
      <c r="H434" s="21">
        <v>470</v>
      </c>
      <c r="I434" s="22">
        <v>517</v>
      </c>
      <c r="J434" s="112" t="s">
        <v>18</v>
      </c>
      <c r="K434" s="45" t="s">
        <v>5530</v>
      </c>
      <c r="L434" s="437"/>
      <c r="M434" s="474" t="s">
        <v>1856</v>
      </c>
      <c r="N434" s="1013" t="s">
        <v>1856</v>
      </c>
      <c r="O434" s="209"/>
      <c r="P434" s="66" t="s">
        <v>50</v>
      </c>
      <c r="Q434" s="103">
        <f t="shared" si="175"/>
        <v>0</v>
      </c>
      <c r="R434" s="13" t="str">
        <f t="shared" si="176"/>
        <v>Фото &gt;&gt;</v>
      </c>
      <c r="S434" s="14" t="s">
        <v>6019</v>
      </c>
      <c r="AG434" s="84" t="s">
        <v>3283</v>
      </c>
      <c r="AH434" s="84" t="s">
        <v>3284</v>
      </c>
      <c r="AK434">
        <v>0.1</v>
      </c>
      <c r="AL434">
        <f t="shared" ref="AL434:AL435" si="180">F434*G434</f>
        <v>0</v>
      </c>
      <c r="AM434">
        <f t="shared" ref="AM434:AM435" si="181">F434*H434</f>
        <v>0</v>
      </c>
      <c r="AN434">
        <f t="shared" ref="AN434:AN435" si="182">AK434*F434+IF(E434&gt;1.01,F434/E434*0.2,0)</f>
        <v>0</v>
      </c>
      <c r="AO434" t="s">
        <v>6018</v>
      </c>
      <c r="AV434" t="str">
        <f>IF(F434&gt;0,(COUNT($AV$1:AV433)+1),"")</f>
        <v/>
      </c>
    </row>
    <row r="435" spans="1:48" ht="15" customHeight="1" x14ac:dyDescent="0.25">
      <c r="A435" s="1"/>
      <c r="B435" s="31">
        <v>21043</v>
      </c>
      <c r="C435" s="16">
        <v>4630039321669</v>
      </c>
      <c r="D435" s="226" t="s">
        <v>5869</v>
      </c>
      <c r="E435" s="69">
        <v>24</v>
      </c>
      <c r="F435" s="222"/>
      <c r="G435" s="108">
        <v>177.4</v>
      </c>
      <c r="H435" s="17">
        <v>186.3</v>
      </c>
      <c r="I435" s="18">
        <v>204.9</v>
      </c>
      <c r="J435" s="113" t="s">
        <v>18</v>
      </c>
      <c r="K435" s="44" t="s">
        <v>5530</v>
      </c>
      <c r="L435" s="442"/>
      <c r="M435" s="480" t="s">
        <v>1856</v>
      </c>
      <c r="N435" s="1015"/>
      <c r="O435" s="210"/>
      <c r="P435" s="68" t="s">
        <v>40</v>
      </c>
      <c r="Q435" s="103">
        <f t="shared" si="175"/>
        <v>0</v>
      </c>
      <c r="R435" s="13" t="str">
        <f t="shared" si="176"/>
        <v>Фото &gt;&gt;</v>
      </c>
      <c r="S435" s="14" t="s">
        <v>5871</v>
      </c>
      <c r="AG435" s="84" t="s">
        <v>918</v>
      </c>
      <c r="AH435" s="84" t="s">
        <v>2291</v>
      </c>
      <c r="AK435">
        <v>0.11</v>
      </c>
      <c r="AL435">
        <f t="shared" si="180"/>
        <v>0</v>
      </c>
      <c r="AM435">
        <f t="shared" si="181"/>
        <v>0</v>
      </c>
      <c r="AN435">
        <f t="shared" si="182"/>
        <v>0</v>
      </c>
      <c r="AO435" t="s">
        <v>5870</v>
      </c>
      <c r="AV435" t="str">
        <f>IF(F435&gt;0,(COUNT($AV$1:AV434)+1),"")</f>
        <v/>
      </c>
    </row>
    <row r="436" spans="1:48" ht="15" customHeight="1" x14ac:dyDescent="0.25">
      <c r="A436" s="1"/>
      <c r="B436" s="30">
        <v>17640</v>
      </c>
      <c r="C436" s="20">
        <v>4630039320693</v>
      </c>
      <c r="D436" s="225" t="s">
        <v>7215</v>
      </c>
      <c r="E436" s="67">
        <v>18</v>
      </c>
      <c r="F436" s="222"/>
      <c r="G436" s="107">
        <v>429.2</v>
      </c>
      <c r="H436" s="21">
        <v>452.4</v>
      </c>
      <c r="I436" s="22">
        <v>465.2</v>
      </c>
      <c r="J436" s="112" t="s">
        <v>18</v>
      </c>
      <c r="K436" s="45" t="s">
        <v>5530</v>
      </c>
      <c r="L436" s="437"/>
      <c r="M436" s="474" t="s">
        <v>1856</v>
      </c>
      <c r="N436" s="1013"/>
      <c r="O436" s="209"/>
      <c r="P436" s="66" t="s">
        <v>40</v>
      </c>
      <c r="Q436" s="103">
        <f t="shared" si="175"/>
        <v>0</v>
      </c>
      <c r="R436" s="13" t="str">
        <f t="shared" si="176"/>
        <v>Фото &gt;&gt;</v>
      </c>
      <c r="S436" s="14" t="s">
        <v>1616</v>
      </c>
      <c r="AG436" s="84" t="s">
        <v>1538</v>
      </c>
      <c r="AH436" s="84" t="s">
        <v>2290</v>
      </c>
      <c r="AK436">
        <v>0.06</v>
      </c>
      <c r="AL436">
        <f t="shared" ref="AL436" si="183">F436*G436</f>
        <v>0</v>
      </c>
      <c r="AM436">
        <f t="shared" ref="AM436" si="184">F436*H436</f>
        <v>0</v>
      </c>
      <c r="AN436">
        <f t="shared" ref="AN436" si="185">AK436*F436+IF(E436&gt;1.01,F436/E436*0.2,0)</f>
        <v>0</v>
      </c>
      <c r="AO436" t="s">
        <v>5868</v>
      </c>
      <c r="AV436" t="str">
        <f>IF(F436&gt;0,(COUNT($AV$1:AV435)+1),"")</f>
        <v/>
      </c>
    </row>
    <row r="437" spans="1:48" ht="15" customHeight="1" x14ac:dyDescent="0.25">
      <c r="A437" s="1"/>
      <c r="B437" s="31">
        <v>19318</v>
      </c>
      <c r="C437" s="16">
        <v>4630039323854</v>
      </c>
      <c r="D437" s="226" t="s">
        <v>1824</v>
      </c>
      <c r="E437" s="69">
        <v>20</v>
      </c>
      <c r="F437" s="222"/>
      <c r="G437" s="108">
        <v>723.7</v>
      </c>
      <c r="H437" s="17">
        <v>760</v>
      </c>
      <c r="I437" s="18">
        <v>809.7</v>
      </c>
      <c r="J437" s="113" t="s">
        <v>18</v>
      </c>
      <c r="K437" s="44" t="s">
        <v>5530</v>
      </c>
      <c r="L437" s="442"/>
      <c r="M437" s="480" t="s">
        <v>1856</v>
      </c>
      <c r="N437" s="1015"/>
      <c r="O437" s="210"/>
      <c r="P437" s="68" t="s">
        <v>40</v>
      </c>
      <c r="Q437" s="103">
        <f t="shared" si="175"/>
        <v>0</v>
      </c>
      <c r="R437" s="13" t="str">
        <f t="shared" si="176"/>
        <v>Фото &gt;&gt;</v>
      </c>
      <c r="S437" s="14" t="s">
        <v>2167</v>
      </c>
      <c r="AG437" s="84" t="s">
        <v>620</v>
      </c>
      <c r="AH437" s="84" t="s">
        <v>2292</v>
      </c>
      <c r="AK437">
        <v>0.12</v>
      </c>
      <c r="AL437">
        <f t="shared" si="173"/>
        <v>0</v>
      </c>
      <c r="AM437">
        <f t="shared" si="174"/>
        <v>0</v>
      </c>
      <c r="AN437">
        <f t="shared" ref="AN437:AN438" si="186">AK437*F437+IF(E437&gt;1.01,F437/E437*0.2,0)</f>
        <v>0</v>
      </c>
      <c r="AO437" t="s">
        <v>2517</v>
      </c>
      <c r="AV437" t="str">
        <f>IF(F437&gt;0,(COUNT($AV$1:AV436)+1),"")</f>
        <v/>
      </c>
    </row>
    <row r="438" spans="1:48" ht="15" customHeight="1" x14ac:dyDescent="0.25">
      <c r="A438" s="1"/>
      <c r="B438" s="30">
        <v>19823</v>
      </c>
      <c r="C438" s="20">
        <v>4630039324912</v>
      </c>
      <c r="D438" s="225" t="s">
        <v>2016</v>
      </c>
      <c r="E438" s="67">
        <v>20</v>
      </c>
      <c r="F438" s="222"/>
      <c r="G438" s="107">
        <v>178.8</v>
      </c>
      <c r="H438" s="21">
        <v>185.6</v>
      </c>
      <c r="I438" s="22">
        <v>191</v>
      </c>
      <c r="J438" s="112" t="s">
        <v>18</v>
      </c>
      <c r="K438" s="45" t="s">
        <v>5530</v>
      </c>
      <c r="L438" s="437"/>
      <c r="M438" s="474" t="s">
        <v>1856</v>
      </c>
      <c r="N438" s="1013"/>
      <c r="O438" s="209"/>
      <c r="P438" s="66" t="s">
        <v>50</v>
      </c>
      <c r="Q438" s="103">
        <f t="shared" si="175"/>
        <v>0</v>
      </c>
      <c r="R438" s="13" t="str">
        <f t="shared" si="176"/>
        <v>Фото &gt;&gt;</v>
      </c>
      <c r="S438" s="14" t="s">
        <v>2015</v>
      </c>
      <c r="AG438" s="84" t="s">
        <v>1085</v>
      </c>
      <c r="AH438" s="84" t="s">
        <v>1085</v>
      </c>
      <c r="AK438">
        <v>0.05</v>
      </c>
      <c r="AL438">
        <f t="shared" si="173"/>
        <v>0</v>
      </c>
      <c r="AM438">
        <f t="shared" si="174"/>
        <v>0</v>
      </c>
      <c r="AN438">
        <f t="shared" si="186"/>
        <v>0</v>
      </c>
      <c r="AO438" t="s">
        <v>2518</v>
      </c>
      <c r="AV438" t="str">
        <f>IF(F438&gt;0,(COUNT($AV$1:AV437)+1),"")</f>
        <v/>
      </c>
    </row>
    <row r="439" spans="1:48" ht="15" customHeight="1" x14ac:dyDescent="0.25">
      <c r="A439" s="1"/>
      <c r="B439" s="25"/>
      <c r="C439" s="26"/>
      <c r="D439" s="27" t="s">
        <v>27</v>
      </c>
      <c r="E439" s="80"/>
      <c r="F439" s="96"/>
      <c r="G439" s="28"/>
      <c r="H439" s="29"/>
      <c r="I439" s="29"/>
      <c r="J439" s="51"/>
      <c r="K439" s="47"/>
      <c r="L439" s="447"/>
      <c r="M439" s="489"/>
      <c r="N439" s="716"/>
      <c r="O439" s="186"/>
      <c r="P439" s="79"/>
      <c r="Q439" s="104"/>
      <c r="R439" s="13"/>
      <c r="S439" s="14"/>
      <c r="AG439" s="84" t="s">
        <v>5531</v>
      </c>
      <c r="AH439" s="84" t="s">
        <v>897</v>
      </c>
      <c r="AO439" t="s">
        <v>104</v>
      </c>
      <c r="AV439" t="str">
        <f>IF(F439&gt;0,(COUNT($AV$1:AV438)+1),"")</f>
        <v/>
      </c>
    </row>
    <row r="440" spans="1:48" ht="15" customHeight="1" x14ac:dyDescent="0.25">
      <c r="A440" s="1"/>
      <c r="B440" s="19">
        <v>8887</v>
      </c>
      <c r="C440" s="20">
        <v>4607078970301</v>
      </c>
      <c r="D440" s="225" t="s">
        <v>3425</v>
      </c>
      <c r="E440" s="67">
        <v>30</v>
      </c>
      <c r="F440" s="222"/>
      <c r="G440" s="107">
        <v>226.8</v>
      </c>
      <c r="H440" s="21">
        <v>240.2</v>
      </c>
      <c r="I440" s="22">
        <v>266.8</v>
      </c>
      <c r="J440" s="112" t="s">
        <v>18</v>
      </c>
      <c r="K440" s="45" t="s">
        <v>19</v>
      </c>
      <c r="L440" s="446"/>
      <c r="M440" s="488" t="s">
        <v>1856</v>
      </c>
      <c r="N440" s="1018" t="s">
        <v>1856</v>
      </c>
      <c r="O440" s="299"/>
      <c r="P440" s="66" t="s">
        <v>20</v>
      </c>
      <c r="Q440" s="103">
        <f t="shared" ref="Q440:Q454" si="187">IF($AO$417=2,F440*H440,IF($AO$417=1,F440*G440,F440*I440))</f>
        <v>0</v>
      </c>
      <c r="R440" s="13" t="str">
        <f t="shared" ref="R440:R443" si="188">IF(AO440&gt;0,HYPERLINK(AO440,"Фото &gt;&gt;"),"")</f>
        <v>Фото &gt;&gt;</v>
      </c>
      <c r="S440" s="14" t="s">
        <v>24</v>
      </c>
      <c r="AG440" s="84" t="s">
        <v>2293</v>
      </c>
      <c r="AH440" s="84" t="s">
        <v>2281</v>
      </c>
      <c r="AK440">
        <v>0.23</v>
      </c>
      <c r="AL440">
        <f t="shared" ref="AL440:AL475" si="189">F440*G440</f>
        <v>0</v>
      </c>
      <c r="AM440">
        <f t="shared" ref="AM440:AM475" si="190">F440*H440</f>
        <v>0</v>
      </c>
      <c r="AN440">
        <f t="shared" ref="AN440:AN458" si="191">AK440*F440+IF(E440&gt;1.01,F440/E440*0.2,0)</f>
        <v>0</v>
      </c>
      <c r="AO440" t="s">
        <v>4794</v>
      </c>
      <c r="AV440" t="str">
        <f>IF(F440&gt;0,(COUNT($AV$1:AV439)+1),"")</f>
        <v/>
      </c>
    </row>
    <row r="441" spans="1:48" ht="15" customHeight="1" x14ac:dyDescent="0.25">
      <c r="A441" s="1"/>
      <c r="B441" s="15">
        <v>8884</v>
      </c>
      <c r="C441" s="16">
        <v>4607078970202</v>
      </c>
      <c r="D441" s="226" t="s">
        <v>2977</v>
      </c>
      <c r="E441" s="69">
        <v>30</v>
      </c>
      <c r="F441" s="222"/>
      <c r="G441" s="108">
        <v>157</v>
      </c>
      <c r="H441" s="17">
        <v>168.4</v>
      </c>
      <c r="I441" s="18">
        <v>178.1</v>
      </c>
      <c r="J441" s="113" t="s">
        <v>18</v>
      </c>
      <c r="K441" s="44" t="s">
        <v>19</v>
      </c>
      <c r="L441" s="442"/>
      <c r="M441" s="480" t="s">
        <v>1856</v>
      </c>
      <c r="N441" s="1015" t="s">
        <v>1856</v>
      </c>
      <c r="O441" s="210"/>
      <c r="P441" s="68" t="s">
        <v>20</v>
      </c>
      <c r="Q441" s="103">
        <f t="shared" si="187"/>
        <v>0</v>
      </c>
      <c r="R441" s="13" t="str">
        <f t="shared" si="188"/>
        <v>Фото &gt;&gt;</v>
      </c>
      <c r="S441" s="14" t="s">
        <v>25</v>
      </c>
      <c r="AG441" s="84" t="s">
        <v>1540</v>
      </c>
      <c r="AH441" s="84" t="s">
        <v>2136</v>
      </c>
      <c r="AK441">
        <v>0.24</v>
      </c>
      <c r="AL441">
        <f t="shared" si="189"/>
        <v>0</v>
      </c>
      <c r="AM441">
        <f t="shared" si="190"/>
        <v>0</v>
      </c>
      <c r="AN441">
        <f t="shared" si="191"/>
        <v>0</v>
      </c>
      <c r="AO441" t="s">
        <v>5335</v>
      </c>
      <c r="AV441" t="str">
        <f>IF(F441&gt;0,(COUNT($AV$1:AV440)+1),"")</f>
        <v/>
      </c>
    </row>
    <row r="442" spans="1:48" ht="15" customHeight="1" x14ac:dyDescent="0.25">
      <c r="A442" s="1"/>
      <c r="B442" s="19">
        <v>8885</v>
      </c>
      <c r="C442" s="20">
        <v>4607078970325</v>
      </c>
      <c r="D442" s="225" t="s">
        <v>3164</v>
      </c>
      <c r="E442" s="67">
        <v>30</v>
      </c>
      <c r="F442" s="222"/>
      <c r="G442" s="107">
        <v>157</v>
      </c>
      <c r="H442" s="21">
        <v>168.4</v>
      </c>
      <c r="I442" s="22">
        <v>178.1</v>
      </c>
      <c r="J442" s="112" t="s">
        <v>18</v>
      </c>
      <c r="K442" s="45" t="s">
        <v>19</v>
      </c>
      <c r="L442" s="446"/>
      <c r="M442" s="488" t="s">
        <v>1856</v>
      </c>
      <c r="N442" s="1018" t="s">
        <v>1856</v>
      </c>
      <c r="O442" s="299"/>
      <c r="P442" s="66" t="s">
        <v>20</v>
      </c>
      <c r="Q442" s="103">
        <f t="shared" si="187"/>
        <v>0</v>
      </c>
      <c r="R442" s="13" t="str">
        <f>IF(AO442&gt;0,HYPERLINK(AO442,"Фото &gt;&gt;"),"")</f>
        <v>Фото &gt;&gt;</v>
      </c>
      <c r="S442" s="14" t="s">
        <v>26</v>
      </c>
      <c r="AG442" s="84" t="s">
        <v>1758</v>
      </c>
      <c r="AH442" s="84" t="s">
        <v>4609</v>
      </c>
      <c r="AK442">
        <v>0.24</v>
      </c>
      <c r="AL442">
        <f t="shared" si="189"/>
        <v>0</v>
      </c>
      <c r="AM442">
        <f t="shared" si="190"/>
        <v>0</v>
      </c>
      <c r="AN442">
        <f t="shared" si="191"/>
        <v>0</v>
      </c>
      <c r="AO442" t="s">
        <v>4795</v>
      </c>
      <c r="AV442" t="str">
        <f>IF(F442&gt;0,(COUNT($AV$1:AV441)+1),"")</f>
        <v/>
      </c>
    </row>
    <row r="443" spans="1:48" ht="15" customHeight="1" x14ac:dyDescent="0.25">
      <c r="A443" s="1"/>
      <c r="B443" s="15">
        <v>8877</v>
      </c>
      <c r="C443" s="16">
        <v>4607078970516</v>
      </c>
      <c r="D443" s="226" t="s">
        <v>2916</v>
      </c>
      <c r="E443" s="69">
        <v>30</v>
      </c>
      <c r="F443" s="222"/>
      <c r="G443" s="108">
        <v>157</v>
      </c>
      <c r="H443" s="17">
        <v>168.4</v>
      </c>
      <c r="I443" s="18">
        <v>178.1</v>
      </c>
      <c r="J443" s="113" t="s">
        <v>18</v>
      </c>
      <c r="K443" s="44" t="s">
        <v>19</v>
      </c>
      <c r="L443" s="442"/>
      <c r="M443" s="480" t="s">
        <v>1856</v>
      </c>
      <c r="N443" s="1015" t="s">
        <v>1856</v>
      </c>
      <c r="O443" s="210"/>
      <c r="P443" s="68" t="s">
        <v>20</v>
      </c>
      <c r="Q443" s="103">
        <f t="shared" si="187"/>
        <v>0</v>
      </c>
      <c r="R443" s="13" t="str">
        <f t="shared" si="188"/>
        <v>Фото &gt;&gt;</v>
      </c>
      <c r="S443" s="14" t="s">
        <v>5758</v>
      </c>
      <c r="AG443" s="84" t="s">
        <v>3168</v>
      </c>
      <c r="AH443" s="84" t="s">
        <v>3168</v>
      </c>
      <c r="AK443">
        <v>0.24</v>
      </c>
      <c r="AL443">
        <f t="shared" si="189"/>
        <v>0</v>
      </c>
      <c r="AM443">
        <f t="shared" si="190"/>
        <v>0</v>
      </c>
      <c r="AN443">
        <f t="shared" si="191"/>
        <v>0</v>
      </c>
      <c r="AO443" t="s">
        <v>4796</v>
      </c>
      <c r="AV443" t="str">
        <f>IF(F443&gt;0,(COUNT($AV$1:AV442)+1),"")</f>
        <v/>
      </c>
    </row>
    <row r="444" spans="1:48" ht="15" customHeight="1" x14ac:dyDescent="0.25">
      <c r="A444" s="1"/>
      <c r="B444" s="19">
        <v>13333</v>
      </c>
      <c r="C444" s="20">
        <v>4607078970653</v>
      </c>
      <c r="D444" s="225" t="s">
        <v>1906</v>
      </c>
      <c r="E444" s="67">
        <v>30</v>
      </c>
      <c r="F444" s="222"/>
      <c r="G444" s="107">
        <v>231.9</v>
      </c>
      <c r="H444" s="21">
        <v>244.5</v>
      </c>
      <c r="I444" s="22">
        <v>273.2</v>
      </c>
      <c r="J444" s="112" t="s">
        <v>18</v>
      </c>
      <c r="K444" s="45" t="s">
        <v>28</v>
      </c>
      <c r="L444" s="446"/>
      <c r="M444" s="488" t="s">
        <v>1856</v>
      </c>
      <c r="N444" s="1018" t="s">
        <v>1856</v>
      </c>
      <c r="O444" s="299"/>
      <c r="P444" s="66" t="s">
        <v>20</v>
      </c>
      <c r="Q444" s="103">
        <f t="shared" si="187"/>
        <v>0</v>
      </c>
      <c r="R444" s="13" t="str">
        <f t="shared" ref="R444:R454" si="192">IF(AO444&gt;0,HYPERLINK(AO444,"Фото &gt;&gt;"),"")</f>
        <v>Фото &gt;&gt;</v>
      </c>
      <c r="S444" s="14" t="s">
        <v>29</v>
      </c>
      <c r="AG444" s="84" t="s">
        <v>1296</v>
      </c>
      <c r="AH444" s="84" t="s">
        <v>1296</v>
      </c>
      <c r="AK444">
        <v>0.24</v>
      </c>
      <c r="AL444">
        <f t="shared" si="189"/>
        <v>0</v>
      </c>
      <c r="AM444">
        <f t="shared" si="190"/>
        <v>0</v>
      </c>
      <c r="AN444">
        <f t="shared" si="191"/>
        <v>0</v>
      </c>
      <c r="AO444" t="s">
        <v>5336</v>
      </c>
      <c r="AV444" t="str">
        <f>IF(F444&gt;0,(COUNT($AV$1:AV443)+1),"")</f>
        <v/>
      </c>
    </row>
    <row r="445" spans="1:48" ht="15" customHeight="1" x14ac:dyDescent="0.25">
      <c r="A445" s="1"/>
      <c r="B445" s="15">
        <v>12071</v>
      </c>
      <c r="C445" s="16">
        <v>4607078970240</v>
      </c>
      <c r="D445" s="226" t="s">
        <v>3943</v>
      </c>
      <c r="E445" s="69">
        <v>30</v>
      </c>
      <c r="F445" s="222"/>
      <c r="G445" s="108">
        <v>253.3</v>
      </c>
      <c r="H445" s="17">
        <v>267</v>
      </c>
      <c r="I445" s="18">
        <v>298.60000000000002</v>
      </c>
      <c r="J445" s="113" t="s">
        <v>18</v>
      </c>
      <c r="K445" s="44" t="s">
        <v>28</v>
      </c>
      <c r="L445" s="442"/>
      <c r="M445" s="480" t="s">
        <v>1856</v>
      </c>
      <c r="N445" s="1015" t="s">
        <v>1856</v>
      </c>
      <c r="O445" s="210"/>
      <c r="P445" s="68" t="s">
        <v>20</v>
      </c>
      <c r="Q445" s="103">
        <f t="shared" si="187"/>
        <v>0</v>
      </c>
      <c r="R445" s="13" t="str">
        <f t="shared" si="192"/>
        <v>Фото &gt;&gt;</v>
      </c>
      <c r="S445" s="14" t="s">
        <v>30</v>
      </c>
      <c r="AG445" s="84" t="s">
        <v>5539</v>
      </c>
      <c r="AH445" s="84" t="s">
        <v>4350</v>
      </c>
      <c r="AK445">
        <v>0.23</v>
      </c>
      <c r="AL445">
        <f t="shared" si="189"/>
        <v>0</v>
      </c>
      <c r="AM445">
        <f t="shared" si="190"/>
        <v>0</v>
      </c>
      <c r="AN445">
        <f t="shared" si="191"/>
        <v>0</v>
      </c>
      <c r="AO445" t="s">
        <v>4797</v>
      </c>
      <c r="AV445" t="str">
        <f>IF(F445&gt;0,(COUNT($AV$1:AV444)+1),"")</f>
        <v/>
      </c>
    </row>
    <row r="446" spans="1:48" ht="15" customHeight="1" x14ac:dyDescent="0.25">
      <c r="A446" s="1"/>
      <c r="B446" s="15">
        <v>10448</v>
      </c>
      <c r="C446" s="16">
        <v>4607078970714</v>
      </c>
      <c r="D446" s="226" t="s">
        <v>3975</v>
      </c>
      <c r="E446" s="69">
        <v>30</v>
      </c>
      <c r="F446" s="222"/>
      <c r="G446" s="108">
        <v>231.9</v>
      </c>
      <c r="H446" s="17">
        <v>244.5</v>
      </c>
      <c r="I446" s="18">
        <v>273.2</v>
      </c>
      <c r="J446" s="113" t="s">
        <v>18</v>
      </c>
      <c r="K446" s="44" t="s">
        <v>28</v>
      </c>
      <c r="L446" s="442"/>
      <c r="M446" s="480" t="s">
        <v>1856</v>
      </c>
      <c r="N446" s="1015" t="s">
        <v>1856</v>
      </c>
      <c r="O446" s="210"/>
      <c r="P446" s="68" t="s">
        <v>20</v>
      </c>
      <c r="Q446" s="103">
        <f t="shared" si="187"/>
        <v>0</v>
      </c>
      <c r="R446" s="13" t="str">
        <f>IF(AO446&gt;0,HYPERLINK(AO446,"Фото &gt;&gt;"),"")</f>
        <v>Фото &gt;&gt;</v>
      </c>
      <c r="S446" s="14" t="s">
        <v>31</v>
      </c>
      <c r="AG446" s="84" t="s">
        <v>2187</v>
      </c>
      <c r="AH446" s="84" t="s">
        <v>2087</v>
      </c>
      <c r="AK446">
        <v>0.24</v>
      </c>
      <c r="AL446">
        <f t="shared" si="189"/>
        <v>0</v>
      </c>
      <c r="AM446">
        <f t="shared" si="190"/>
        <v>0</v>
      </c>
      <c r="AN446">
        <f t="shared" si="191"/>
        <v>0</v>
      </c>
      <c r="AO446" t="s">
        <v>5337</v>
      </c>
      <c r="AV446" t="str">
        <f>IF(F446&gt;0,(COUNT($AV$1:AV445)+1),"")</f>
        <v/>
      </c>
    </row>
    <row r="447" spans="1:48" ht="15" customHeight="1" x14ac:dyDescent="0.25">
      <c r="A447" s="1"/>
      <c r="B447" s="19">
        <v>12065</v>
      </c>
      <c r="C447" s="20">
        <v>4607078970363</v>
      </c>
      <c r="D447" s="225" t="s">
        <v>5746</v>
      </c>
      <c r="E447" s="67">
        <v>30</v>
      </c>
      <c r="F447" s="222"/>
      <c r="G447" s="107">
        <v>253.3</v>
      </c>
      <c r="H447" s="21">
        <v>267</v>
      </c>
      <c r="I447" s="22">
        <v>298.60000000000002</v>
      </c>
      <c r="J447" s="112" t="s">
        <v>18</v>
      </c>
      <c r="K447" s="45" t="s">
        <v>28</v>
      </c>
      <c r="L447" s="446"/>
      <c r="M447" s="488" t="s">
        <v>1856</v>
      </c>
      <c r="N447" s="1018" t="s">
        <v>1856</v>
      </c>
      <c r="O447" s="299"/>
      <c r="P447" s="66" t="s">
        <v>20</v>
      </c>
      <c r="Q447" s="103">
        <f t="shared" si="187"/>
        <v>0</v>
      </c>
      <c r="R447" s="13" t="str">
        <f t="shared" si="192"/>
        <v>Фото &gt;&gt;</v>
      </c>
      <c r="S447" s="14" t="s">
        <v>32</v>
      </c>
      <c r="AG447" s="84" t="s">
        <v>18</v>
      </c>
      <c r="AH447" s="84" t="s">
        <v>2137</v>
      </c>
      <c r="AK447">
        <v>0.23</v>
      </c>
      <c r="AL447">
        <f t="shared" si="189"/>
        <v>0</v>
      </c>
      <c r="AM447">
        <f t="shared" si="190"/>
        <v>0</v>
      </c>
      <c r="AN447">
        <f t="shared" si="191"/>
        <v>0</v>
      </c>
      <c r="AO447" t="s">
        <v>5338</v>
      </c>
      <c r="AV447" t="str">
        <f>IF(F447&gt;0,(COUNT($AV$1:AV446)+1),"")</f>
        <v/>
      </c>
    </row>
    <row r="448" spans="1:48" ht="15" customHeight="1" x14ac:dyDescent="0.25">
      <c r="A448" s="1"/>
      <c r="B448" s="15">
        <v>12070</v>
      </c>
      <c r="C448" s="16">
        <v>4607078970349</v>
      </c>
      <c r="D448" s="226" t="s">
        <v>5864</v>
      </c>
      <c r="E448" s="69">
        <v>30</v>
      </c>
      <c r="F448" s="222"/>
      <c r="G448" s="108">
        <v>253.3</v>
      </c>
      <c r="H448" s="17">
        <v>267</v>
      </c>
      <c r="I448" s="18">
        <v>298.60000000000002</v>
      </c>
      <c r="J448" s="113" t="s">
        <v>18</v>
      </c>
      <c r="K448" s="44" t="s">
        <v>28</v>
      </c>
      <c r="L448" s="442"/>
      <c r="M448" s="480" t="s">
        <v>1856</v>
      </c>
      <c r="N448" s="1015" t="s">
        <v>1856</v>
      </c>
      <c r="O448" s="210"/>
      <c r="P448" s="68" t="s">
        <v>20</v>
      </c>
      <c r="Q448" s="103">
        <f t="shared" si="187"/>
        <v>0</v>
      </c>
      <c r="R448" s="13" t="str">
        <f t="shared" si="192"/>
        <v>Фото &gt;&gt;</v>
      </c>
      <c r="S448" s="14" t="s">
        <v>33</v>
      </c>
      <c r="AG448" s="84" t="s">
        <v>2225</v>
      </c>
      <c r="AH448" s="84" t="s">
        <v>2225</v>
      </c>
      <c r="AK448">
        <v>0.23</v>
      </c>
      <c r="AL448">
        <f t="shared" si="189"/>
        <v>0</v>
      </c>
      <c r="AM448">
        <f t="shared" si="190"/>
        <v>0</v>
      </c>
      <c r="AN448">
        <f t="shared" si="191"/>
        <v>0</v>
      </c>
      <c r="AO448" t="s">
        <v>5339</v>
      </c>
      <c r="AV448" t="str">
        <f>IF(F448&gt;0,(COUNT($AV$1:AV447)+1),"")</f>
        <v/>
      </c>
    </row>
    <row r="449" spans="1:48" ht="15" customHeight="1" x14ac:dyDescent="0.25">
      <c r="A449" s="1"/>
      <c r="B449" s="19">
        <v>8878</v>
      </c>
      <c r="C449" s="20">
        <v>4607078970141</v>
      </c>
      <c r="D449" s="225" t="s">
        <v>4460</v>
      </c>
      <c r="E449" s="67">
        <v>30</v>
      </c>
      <c r="F449" s="222"/>
      <c r="G449" s="107">
        <v>157</v>
      </c>
      <c r="H449" s="21">
        <v>168.4</v>
      </c>
      <c r="I449" s="22">
        <v>178.1</v>
      </c>
      <c r="J449" s="112" t="s">
        <v>18</v>
      </c>
      <c r="K449" s="45" t="s">
        <v>28</v>
      </c>
      <c r="L449" s="446"/>
      <c r="M449" s="488" t="s">
        <v>1856</v>
      </c>
      <c r="N449" s="1018" t="s">
        <v>1856</v>
      </c>
      <c r="O449" s="299"/>
      <c r="P449" s="66" t="s">
        <v>20</v>
      </c>
      <c r="Q449" s="103">
        <f t="shared" si="187"/>
        <v>0</v>
      </c>
      <c r="R449" s="13" t="str">
        <f>IF(AO449&gt;0,HYPERLINK(AO449,"Фото &gt;&gt;"),"")</f>
        <v>Фото &gt;&gt;</v>
      </c>
      <c r="S449" s="14" t="s">
        <v>34</v>
      </c>
      <c r="AG449" s="84" t="s">
        <v>6647</v>
      </c>
      <c r="AH449" s="84" t="s">
        <v>6647</v>
      </c>
      <c r="AK449">
        <v>0.24</v>
      </c>
      <c r="AL449">
        <f t="shared" si="189"/>
        <v>0</v>
      </c>
      <c r="AM449">
        <f t="shared" si="190"/>
        <v>0</v>
      </c>
      <c r="AN449">
        <f t="shared" si="191"/>
        <v>0</v>
      </c>
      <c r="AO449" t="s">
        <v>4798</v>
      </c>
      <c r="AV449" t="str">
        <f>IF(F449&gt;0,(COUNT($AV$1:AV448)+1),"")</f>
        <v/>
      </c>
    </row>
    <row r="450" spans="1:48" ht="15" customHeight="1" x14ac:dyDescent="0.25">
      <c r="A450" s="1"/>
      <c r="B450" s="15">
        <v>8879</v>
      </c>
      <c r="C450" s="16">
        <v>4607078970370</v>
      </c>
      <c r="D450" s="226" t="s">
        <v>5935</v>
      </c>
      <c r="E450" s="69">
        <v>30</v>
      </c>
      <c r="F450" s="222"/>
      <c r="G450" s="108">
        <v>253.5</v>
      </c>
      <c r="H450" s="17">
        <v>267.2</v>
      </c>
      <c r="I450" s="18">
        <v>298.8</v>
      </c>
      <c r="J450" s="113" t="s">
        <v>18</v>
      </c>
      <c r="K450" s="44" t="s">
        <v>28</v>
      </c>
      <c r="L450" s="442"/>
      <c r="M450" s="480" t="s">
        <v>1856</v>
      </c>
      <c r="N450" s="1015" t="s">
        <v>1856</v>
      </c>
      <c r="O450" s="210"/>
      <c r="P450" s="68" t="s">
        <v>20</v>
      </c>
      <c r="Q450" s="103">
        <f t="shared" si="187"/>
        <v>0</v>
      </c>
      <c r="R450" s="13" t="str">
        <f t="shared" si="192"/>
        <v>Фото &gt;&gt;</v>
      </c>
      <c r="S450" s="14" t="s">
        <v>35</v>
      </c>
      <c r="AG450" s="84" t="s">
        <v>735</v>
      </c>
      <c r="AH450" s="84" t="s">
        <v>3285</v>
      </c>
      <c r="AK450">
        <v>0.24</v>
      </c>
      <c r="AL450">
        <f t="shared" si="189"/>
        <v>0</v>
      </c>
      <c r="AM450">
        <f t="shared" si="190"/>
        <v>0</v>
      </c>
      <c r="AN450">
        <f t="shared" si="191"/>
        <v>0</v>
      </c>
      <c r="AO450" t="s">
        <v>5340</v>
      </c>
      <c r="AV450" t="str">
        <f>IF(F450&gt;0,(COUNT($AV$1:AV449)+1),"")</f>
        <v/>
      </c>
    </row>
    <row r="451" spans="1:48" ht="15" customHeight="1" x14ac:dyDescent="0.25">
      <c r="A451" s="1"/>
      <c r="B451" s="19">
        <v>13052</v>
      </c>
      <c r="C451" s="20">
        <v>4607078972664</v>
      </c>
      <c r="D451" s="225" t="s">
        <v>4699</v>
      </c>
      <c r="E451" s="67">
        <v>30</v>
      </c>
      <c r="F451" s="222"/>
      <c r="G451" s="107">
        <v>253.5</v>
      </c>
      <c r="H451" s="21">
        <v>267.2</v>
      </c>
      <c r="I451" s="22">
        <v>298.8</v>
      </c>
      <c r="J451" s="112" t="s">
        <v>18</v>
      </c>
      <c r="K451" s="45" t="s">
        <v>28</v>
      </c>
      <c r="L451" s="446"/>
      <c r="M451" s="488" t="s">
        <v>1856</v>
      </c>
      <c r="N451" s="1018" t="s">
        <v>1856</v>
      </c>
      <c r="O451" s="299"/>
      <c r="P451" s="66" t="s">
        <v>20</v>
      </c>
      <c r="Q451" s="103">
        <f t="shared" si="187"/>
        <v>0</v>
      </c>
      <c r="R451" s="13" t="str">
        <f>IF(AO451&gt;0,HYPERLINK(AO451,"Фото &gt;&gt;"),"")</f>
        <v>Фото &gt;&gt;</v>
      </c>
      <c r="S451" s="14" t="s">
        <v>36</v>
      </c>
      <c r="AG451" s="84" t="s">
        <v>4345</v>
      </c>
      <c r="AH451" s="84" t="s">
        <v>4346</v>
      </c>
      <c r="AK451">
        <v>0.24</v>
      </c>
      <c r="AL451">
        <f t="shared" si="189"/>
        <v>0</v>
      </c>
      <c r="AM451">
        <f t="shared" si="190"/>
        <v>0</v>
      </c>
      <c r="AN451">
        <f t="shared" si="191"/>
        <v>0</v>
      </c>
      <c r="AO451" t="s">
        <v>4799</v>
      </c>
      <c r="AV451" t="str">
        <f>IF(F451&gt;0,(COUNT($AV$1:AV450)+1),"")</f>
        <v/>
      </c>
    </row>
    <row r="452" spans="1:48" ht="15" customHeight="1" x14ac:dyDescent="0.25">
      <c r="A452" s="1"/>
      <c r="B452" s="15">
        <v>13232</v>
      </c>
      <c r="C452" s="16">
        <v>4607078972992</v>
      </c>
      <c r="D452" s="226" t="s">
        <v>2147</v>
      </c>
      <c r="E452" s="69">
        <v>30</v>
      </c>
      <c r="F452" s="222"/>
      <c r="G452" s="108">
        <v>253.5</v>
      </c>
      <c r="H452" s="17">
        <v>267.2</v>
      </c>
      <c r="I452" s="18">
        <v>298.8</v>
      </c>
      <c r="J452" s="113" t="s">
        <v>18</v>
      </c>
      <c r="K452" s="44" t="s">
        <v>28</v>
      </c>
      <c r="L452" s="442"/>
      <c r="M452" s="480" t="s">
        <v>1856</v>
      </c>
      <c r="N452" s="1015" t="s">
        <v>1856</v>
      </c>
      <c r="O452" s="210"/>
      <c r="P452" s="68" t="s">
        <v>20</v>
      </c>
      <c r="Q452" s="103">
        <f t="shared" si="187"/>
        <v>0</v>
      </c>
      <c r="R452" s="13" t="str">
        <f t="shared" si="192"/>
        <v>Фото &gt;&gt;</v>
      </c>
      <c r="S452" s="14" t="s">
        <v>37</v>
      </c>
      <c r="AG452" s="84" t="s">
        <v>1543</v>
      </c>
      <c r="AH452" s="84" t="s">
        <v>2186</v>
      </c>
      <c r="AK452">
        <v>0.24</v>
      </c>
      <c r="AL452">
        <f t="shared" si="189"/>
        <v>0</v>
      </c>
      <c r="AM452">
        <f t="shared" si="190"/>
        <v>0</v>
      </c>
      <c r="AN452">
        <f t="shared" si="191"/>
        <v>0</v>
      </c>
      <c r="AO452" t="s">
        <v>5341</v>
      </c>
      <c r="AV452" t="str">
        <f>IF(F452&gt;0,(COUNT($AV$1:AV451)+1),"")</f>
        <v/>
      </c>
    </row>
    <row r="453" spans="1:48" ht="15" customHeight="1" x14ac:dyDescent="0.25">
      <c r="A453" s="1"/>
      <c r="B453" s="19">
        <v>13233</v>
      </c>
      <c r="C453" s="20">
        <v>4607078973005</v>
      </c>
      <c r="D453" s="225" t="s">
        <v>6598</v>
      </c>
      <c r="E453" s="67">
        <v>30</v>
      </c>
      <c r="F453" s="222"/>
      <c r="G453" s="107">
        <v>253.5</v>
      </c>
      <c r="H453" s="21">
        <v>267.2</v>
      </c>
      <c r="I453" s="22">
        <v>298.8</v>
      </c>
      <c r="J453" s="112" t="s">
        <v>18</v>
      </c>
      <c r="K453" s="45" t="s">
        <v>28</v>
      </c>
      <c r="L453" s="446"/>
      <c r="M453" s="488" t="s">
        <v>1856</v>
      </c>
      <c r="N453" s="1018" t="s">
        <v>1856</v>
      </c>
      <c r="O453" s="299"/>
      <c r="P453" s="66" t="s">
        <v>20</v>
      </c>
      <c r="Q453" s="103">
        <f t="shared" si="187"/>
        <v>0</v>
      </c>
      <c r="R453" s="13" t="str">
        <f>IF(AO453&gt;0,HYPERLINK(AO453,"Фото &gt;&gt;"),"")</f>
        <v>Фото &gt;&gt;</v>
      </c>
      <c r="S453" s="14" t="s">
        <v>38</v>
      </c>
      <c r="AG453" s="84" t="s">
        <v>4610</v>
      </c>
      <c r="AH453" s="84" t="s">
        <v>2427</v>
      </c>
      <c r="AK453">
        <v>0.24</v>
      </c>
      <c r="AL453">
        <f t="shared" si="189"/>
        <v>0</v>
      </c>
      <c r="AM453">
        <f t="shared" si="190"/>
        <v>0</v>
      </c>
      <c r="AN453">
        <f t="shared" si="191"/>
        <v>0</v>
      </c>
      <c r="AO453" t="s">
        <v>4800</v>
      </c>
      <c r="AV453" t="str">
        <f>IF(F453&gt;0,(COUNT($AV$1:AV452)+1),"")</f>
        <v/>
      </c>
    </row>
    <row r="454" spans="1:48" ht="15" customHeight="1" x14ac:dyDescent="0.25">
      <c r="A454" s="1"/>
      <c r="B454" s="15">
        <v>12225</v>
      </c>
      <c r="C454" s="16">
        <v>4607078971612</v>
      </c>
      <c r="D454" s="226" t="s">
        <v>4618</v>
      </c>
      <c r="E454" s="69">
        <v>30</v>
      </c>
      <c r="F454" s="222"/>
      <c r="G454" s="108">
        <v>253.5</v>
      </c>
      <c r="H454" s="17">
        <v>267.2</v>
      </c>
      <c r="I454" s="18">
        <v>298.8</v>
      </c>
      <c r="J454" s="113" t="s">
        <v>18</v>
      </c>
      <c r="K454" s="44" t="s">
        <v>28</v>
      </c>
      <c r="L454" s="442"/>
      <c r="M454" s="480" t="s">
        <v>1856</v>
      </c>
      <c r="N454" s="1015" t="s">
        <v>1856</v>
      </c>
      <c r="O454" s="210"/>
      <c r="P454" s="68" t="s">
        <v>20</v>
      </c>
      <c r="Q454" s="103">
        <f t="shared" si="187"/>
        <v>0</v>
      </c>
      <c r="R454" s="13" t="str">
        <f t="shared" si="192"/>
        <v>Фото &gt;&gt;</v>
      </c>
      <c r="S454" s="14" t="s">
        <v>39</v>
      </c>
      <c r="AG454" s="84" t="s">
        <v>1792</v>
      </c>
      <c r="AH454" s="84" t="s">
        <v>4611</v>
      </c>
      <c r="AK454">
        <v>0.24</v>
      </c>
      <c r="AL454">
        <f t="shared" si="189"/>
        <v>0</v>
      </c>
      <c r="AM454">
        <f t="shared" si="190"/>
        <v>0</v>
      </c>
      <c r="AN454">
        <f t="shared" si="191"/>
        <v>0</v>
      </c>
      <c r="AO454" t="s">
        <v>4801</v>
      </c>
      <c r="AV454" t="str">
        <f>IF(F454&gt;0,(COUNT($AV$1:AV453)+1),"")</f>
        <v/>
      </c>
    </row>
    <row r="455" spans="1:48" ht="15" customHeight="1" x14ac:dyDescent="0.25">
      <c r="A455" s="1"/>
      <c r="B455" s="25"/>
      <c r="C455" s="26"/>
      <c r="D455" s="228" t="s">
        <v>6098</v>
      </c>
      <c r="E455" s="80"/>
      <c r="F455" s="96"/>
      <c r="G455" s="28"/>
      <c r="H455" s="29"/>
      <c r="I455" s="29"/>
      <c r="J455" s="51"/>
      <c r="K455" s="47"/>
      <c r="L455" s="447"/>
      <c r="M455" s="489" t="s">
        <v>104</v>
      </c>
      <c r="N455" s="716"/>
      <c r="O455" s="186"/>
      <c r="P455" s="79"/>
      <c r="Q455" s="104"/>
      <c r="R455" s="13"/>
      <c r="S455" s="14"/>
      <c r="AG455" s="84" t="s">
        <v>778</v>
      </c>
      <c r="AH455" s="84" t="s">
        <v>778</v>
      </c>
      <c r="AL455">
        <f t="shared" ref="AL455" si="193">F455*G455</f>
        <v>0</v>
      </c>
      <c r="AM455">
        <f t="shared" ref="AM455" si="194">F455*H455</f>
        <v>0</v>
      </c>
      <c r="AN455">
        <f t="shared" ref="AN455" si="195">AK455*F455+IF(E455&gt;1.01,F455/E455*0.2,0)</f>
        <v>0</v>
      </c>
      <c r="AO455" t="s">
        <v>104</v>
      </c>
      <c r="AV455" t="str">
        <f>IF(F455&gt;0,(COUNT($AV$1:AV454)+1),"")</f>
        <v/>
      </c>
    </row>
    <row r="456" spans="1:48" ht="15" customHeight="1" x14ac:dyDescent="0.25">
      <c r="A456" s="1"/>
      <c r="B456" s="30">
        <v>19980</v>
      </c>
      <c r="C456" s="20">
        <v>4630039323762</v>
      </c>
      <c r="D456" s="225" t="s">
        <v>4700</v>
      </c>
      <c r="E456" s="67">
        <v>20</v>
      </c>
      <c r="F456" s="222"/>
      <c r="G456" s="107">
        <v>403.8</v>
      </c>
      <c r="H456" s="21">
        <v>426.1</v>
      </c>
      <c r="I456" s="22">
        <v>444.9</v>
      </c>
      <c r="J456" s="112" t="s">
        <v>18</v>
      </c>
      <c r="K456" s="45" t="s">
        <v>5530</v>
      </c>
      <c r="L456" s="437"/>
      <c r="M456" s="474" t="s">
        <v>1856</v>
      </c>
      <c r="N456" s="1013" t="s">
        <v>1856</v>
      </c>
      <c r="O456" s="209"/>
      <c r="P456" s="66" t="s">
        <v>50</v>
      </c>
      <c r="Q456" s="103">
        <f t="shared" ref="Q456:Q470" si="196">IF($AO$417=2,F456*H456,IF($AO$417=1,F456*G456,F456*I456))</f>
        <v>0</v>
      </c>
      <c r="R456" s="13" t="str">
        <f t="shared" ref="R456:R457" si="197">IF(AO456&gt;0,HYPERLINK(AO456,"Фото &gt;&gt;"),"")</f>
        <v>Фото &gt;&gt;</v>
      </c>
      <c r="S456" s="14" t="s">
        <v>1721</v>
      </c>
      <c r="AG456" s="84" t="s">
        <v>567</v>
      </c>
      <c r="AH456" s="84" t="s">
        <v>2138</v>
      </c>
      <c r="AK456">
        <v>0.12</v>
      </c>
      <c r="AL456">
        <f t="shared" si="189"/>
        <v>0</v>
      </c>
      <c r="AM456">
        <f t="shared" si="190"/>
        <v>0</v>
      </c>
      <c r="AN456">
        <f t="shared" si="191"/>
        <v>0</v>
      </c>
      <c r="AO456" t="s">
        <v>2500</v>
      </c>
      <c r="AV456" t="str">
        <f>IF(F456&gt;0,(COUNT($AV$1:AV455)+1),"")</f>
        <v/>
      </c>
    </row>
    <row r="457" spans="1:48" ht="15" customHeight="1" x14ac:dyDescent="0.25">
      <c r="A457" s="1"/>
      <c r="B457" s="31">
        <v>15389</v>
      </c>
      <c r="C457" s="16">
        <v>4607078976174</v>
      </c>
      <c r="D457" s="226" t="s">
        <v>3976</v>
      </c>
      <c r="E457" s="69">
        <v>18</v>
      </c>
      <c r="F457" s="222"/>
      <c r="G457" s="108">
        <v>323</v>
      </c>
      <c r="H457" s="17">
        <v>340.6</v>
      </c>
      <c r="I457" s="18">
        <v>384.7</v>
      </c>
      <c r="J457" s="113" t="s">
        <v>18</v>
      </c>
      <c r="K457" s="44" t="s">
        <v>19</v>
      </c>
      <c r="L457" s="442"/>
      <c r="M457" s="480" t="s">
        <v>1856</v>
      </c>
      <c r="N457" s="1015"/>
      <c r="O457" s="210"/>
      <c r="P457" s="68" t="s">
        <v>40</v>
      </c>
      <c r="Q457" s="103">
        <f t="shared" si="196"/>
        <v>0</v>
      </c>
      <c r="R457" s="13" t="str">
        <f t="shared" si="197"/>
        <v>Фото &gt;&gt;</v>
      </c>
      <c r="S457" s="14" t="s">
        <v>41</v>
      </c>
      <c r="AG457" s="84" t="s">
        <v>996</v>
      </c>
      <c r="AH457" s="84" t="s">
        <v>996</v>
      </c>
      <c r="AK457">
        <v>0.08</v>
      </c>
      <c r="AL457">
        <f t="shared" si="189"/>
        <v>0</v>
      </c>
      <c r="AM457">
        <f t="shared" si="190"/>
        <v>0</v>
      </c>
      <c r="AN457">
        <f t="shared" si="191"/>
        <v>0</v>
      </c>
      <c r="AO457" t="s">
        <v>4802</v>
      </c>
      <c r="AV457" t="str">
        <f>IF(F457&gt;0,(COUNT($AV$1:AV456)+1),"")</f>
        <v/>
      </c>
    </row>
    <row r="458" spans="1:48" ht="15" customHeight="1" x14ac:dyDescent="0.25">
      <c r="A458" s="1"/>
      <c r="B458" s="30">
        <v>18302</v>
      </c>
      <c r="C458" s="20">
        <v>4630039322550</v>
      </c>
      <c r="D458" s="225" t="s">
        <v>2272</v>
      </c>
      <c r="E458" s="67">
        <v>24</v>
      </c>
      <c r="F458" s="222"/>
      <c r="G458" s="107">
        <v>272.5</v>
      </c>
      <c r="H458" s="21">
        <v>289.39999999999998</v>
      </c>
      <c r="I458" s="22">
        <v>311.7</v>
      </c>
      <c r="J458" s="112" t="s">
        <v>18</v>
      </c>
      <c r="K458" s="45" t="s">
        <v>19</v>
      </c>
      <c r="L458" s="437"/>
      <c r="M458" s="474" t="s">
        <v>1856</v>
      </c>
      <c r="N458" s="1013"/>
      <c r="O458" s="209"/>
      <c r="P458" s="66" t="s">
        <v>40</v>
      </c>
      <c r="Q458" s="103">
        <f t="shared" si="196"/>
        <v>0</v>
      </c>
      <c r="R458" s="13" t="str">
        <f t="shared" ref="R458:R470" si="198">IF(AO458&gt;0,HYPERLINK(AO458,"Фото &gt;&gt;"),"")</f>
        <v>Фото &gt;&gt;</v>
      </c>
      <c r="S458" s="14" t="s">
        <v>2305</v>
      </c>
      <c r="AG458" s="84" t="s">
        <v>6987</v>
      </c>
      <c r="AH458" s="84" t="s">
        <v>6988</v>
      </c>
      <c r="AK458">
        <v>0.08</v>
      </c>
      <c r="AL458">
        <f t="shared" si="189"/>
        <v>0</v>
      </c>
      <c r="AM458">
        <f t="shared" si="190"/>
        <v>0</v>
      </c>
      <c r="AN458">
        <f t="shared" si="191"/>
        <v>0</v>
      </c>
      <c r="AO458" t="s">
        <v>2501</v>
      </c>
      <c r="AV458" t="str">
        <f>IF(F458&gt;0,(COUNT($AV$1:AV457)+1),"")</f>
        <v/>
      </c>
    </row>
    <row r="459" spans="1:48" ht="15" customHeight="1" x14ac:dyDescent="0.25">
      <c r="A459" s="1"/>
      <c r="B459" s="31">
        <v>16115</v>
      </c>
      <c r="C459" s="16">
        <v>4607078978567</v>
      </c>
      <c r="D459" s="226" t="s">
        <v>4418</v>
      </c>
      <c r="E459" s="69">
        <v>18</v>
      </c>
      <c r="F459" s="222"/>
      <c r="G459" s="108">
        <v>267.60000000000002</v>
      </c>
      <c r="H459" s="17">
        <v>282.3</v>
      </c>
      <c r="I459" s="18">
        <v>318.8</v>
      </c>
      <c r="J459" s="113" t="s">
        <v>18</v>
      </c>
      <c r="K459" s="44" t="s">
        <v>19</v>
      </c>
      <c r="L459" s="442"/>
      <c r="M459" s="480" t="s">
        <v>1856</v>
      </c>
      <c r="N459" s="1015"/>
      <c r="O459" s="210"/>
      <c r="P459" s="68" t="s">
        <v>40</v>
      </c>
      <c r="Q459" s="103">
        <f t="shared" si="196"/>
        <v>0</v>
      </c>
      <c r="R459" s="13" t="str">
        <f t="shared" si="198"/>
        <v>Фото &gt;&gt;</v>
      </c>
      <c r="S459" s="14" t="s">
        <v>42</v>
      </c>
      <c r="AG459" s="84" t="s">
        <v>5546</v>
      </c>
      <c r="AH459" s="84" t="s">
        <v>5547</v>
      </c>
      <c r="AK459">
        <v>0.08</v>
      </c>
      <c r="AL459">
        <f t="shared" si="189"/>
        <v>0</v>
      </c>
      <c r="AM459">
        <f t="shared" si="190"/>
        <v>0</v>
      </c>
      <c r="AN459">
        <f t="shared" ref="AN459:AN485" si="199">AK459*F459+IF(E459&gt;1.01,F459/E459*0.2,0)</f>
        <v>0</v>
      </c>
      <c r="AO459" t="s">
        <v>3377</v>
      </c>
      <c r="AV459" t="str">
        <f>IF(F459&gt;0,(COUNT($AV$1:AV458)+1),"")</f>
        <v/>
      </c>
    </row>
    <row r="460" spans="1:48" ht="15" customHeight="1" x14ac:dyDescent="0.25">
      <c r="A460" s="1"/>
      <c r="B460" s="30">
        <v>18304</v>
      </c>
      <c r="C460" s="20">
        <v>4630039322574</v>
      </c>
      <c r="D460" s="225" t="s">
        <v>5591</v>
      </c>
      <c r="E460" s="67">
        <v>24</v>
      </c>
      <c r="F460" s="222"/>
      <c r="G460" s="107">
        <v>272.5</v>
      </c>
      <c r="H460" s="21">
        <v>289.39999999999998</v>
      </c>
      <c r="I460" s="22">
        <v>311.7</v>
      </c>
      <c r="J460" s="112" t="s">
        <v>18</v>
      </c>
      <c r="K460" s="45" t="s">
        <v>19</v>
      </c>
      <c r="L460" s="437"/>
      <c r="M460" s="474" t="s">
        <v>1856</v>
      </c>
      <c r="N460" s="1013"/>
      <c r="O460" s="209"/>
      <c r="P460" s="66" t="s">
        <v>40</v>
      </c>
      <c r="Q460" s="103">
        <f t="shared" si="196"/>
        <v>0</v>
      </c>
      <c r="R460" s="13" t="str">
        <f>IF(AO460&gt;0,HYPERLINK(AO460,"Фото &gt;&gt;"),"")</f>
        <v>Фото &gt;&gt;</v>
      </c>
      <c r="S460" s="14" t="s">
        <v>2306</v>
      </c>
      <c r="AG460" s="84" t="s">
        <v>1131</v>
      </c>
      <c r="AH460" s="84" t="s">
        <v>2139</v>
      </c>
      <c r="AK460">
        <v>0.08</v>
      </c>
      <c r="AL460">
        <f t="shared" si="189"/>
        <v>0</v>
      </c>
      <c r="AM460">
        <f t="shared" si="190"/>
        <v>0</v>
      </c>
      <c r="AN460">
        <f t="shared" si="199"/>
        <v>0</v>
      </c>
      <c r="AO460" t="s">
        <v>2502</v>
      </c>
      <c r="AV460" t="str">
        <f>IF(F460&gt;0,(COUNT($AV$1:AV459)+1),"")</f>
        <v/>
      </c>
    </row>
    <row r="461" spans="1:48" ht="15" customHeight="1" x14ac:dyDescent="0.25">
      <c r="A461" s="1"/>
      <c r="B461" s="31">
        <v>15800</v>
      </c>
      <c r="C461" s="16">
        <v>4607078978086</v>
      </c>
      <c r="D461" s="226" t="s">
        <v>5747</v>
      </c>
      <c r="E461" s="69">
        <v>18</v>
      </c>
      <c r="F461" s="222"/>
      <c r="G461" s="108">
        <v>267.60000000000002</v>
      </c>
      <c r="H461" s="17">
        <v>282.3</v>
      </c>
      <c r="I461" s="18">
        <v>318.8</v>
      </c>
      <c r="J461" s="113" t="s">
        <v>18</v>
      </c>
      <c r="K461" s="44" t="s">
        <v>19</v>
      </c>
      <c r="L461" s="442"/>
      <c r="M461" s="480" t="s">
        <v>1856</v>
      </c>
      <c r="N461" s="1015"/>
      <c r="O461" s="210"/>
      <c r="P461" s="68" t="s">
        <v>40</v>
      </c>
      <c r="Q461" s="103">
        <f t="shared" si="196"/>
        <v>0</v>
      </c>
      <c r="R461" s="13" t="str">
        <f t="shared" si="198"/>
        <v>Фото &gt;&gt;</v>
      </c>
      <c r="S461" s="14" t="s">
        <v>43</v>
      </c>
      <c r="AG461" s="84" t="s">
        <v>2123</v>
      </c>
      <c r="AH461" s="84" t="s">
        <v>3286</v>
      </c>
      <c r="AK461">
        <v>0.08</v>
      </c>
      <c r="AL461">
        <f t="shared" si="189"/>
        <v>0</v>
      </c>
      <c r="AM461">
        <f t="shared" si="190"/>
        <v>0</v>
      </c>
      <c r="AN461">
        <f t="shared" si="199"/>
        <v>0</v>
      </c>
      <c r="AO461" t="s">
        <v>3376</v>
      </c>
      <c r="AV461" t="str">
        <f>IF(F461&gt;0,(COUNT($AV$1:AV460)+1),"")</f>
        <v/>
      </c>
    </row>
    <row r="462" spans="1:48" ht="15" customHeight="1" x14ac:dyDescent="0.25">
      <c r="A462" s="1"/>
      <c r="B462" s="30">
        <v>15801</v>
      </c>
      <c r="C462" s="20">
        <v>4607078978093</v>
      </c>
      <c r="D462" s="225" t="s">
        <v>5865</v>
      </c>
      <c r="E462" s="67">
        <v>18</v>
      </c>
      <c r="F462" s="222"/>
      <c r="G462" s="107">
        <v>267.5</v>
      </c>
      <c r="H462" s="21">
        <v>282.2</v>
      </c>
      <c r="I462" s="22">
        <v>318.7</v>
      </c>
      <c r="J462" s="112" t="s">
        <v>18</v>
      </c>
      <c r="K462" s="45" t="s">
        <v>19</v>
      </c>
      <c r="L462" s="437"/>
      <c r="M462" s="474" t="s">
        <v>1856</v>
      </c>
      <c r="N462" s="1013"/>
      <c r="O462" s="209"/>
      <c r="P462" s="66" t="s">
        <v>40</v>
      </c>
      <c r="Q462" s="103">
        <f t="shared" si="196"/>
        <v>0</v>
      </c>
      <c r="R462" s="13" t="str">
        <f>IF(AO462&gt;0,HYPERLINK(AO462,"Фото &gt;&gt;"),"")</f>
        <v>Фото &gt;&gt;</v>
      </c>
      <c r="S462" s="14" t="s">
        <v>44</v>
      </c>
      <c r="AG462" s="84" t="s">
        <v>380</v>
      </c>
      <c r="AH462" s="84" t="s">
        <v>380</v>
      </c>
      <c r="AK462">
        <v>0.08</v>
      </c>
      <c r="AL462">
        <f t="shared" si="189"/>
        <v>0</v>
      </c>
      <c r="AM462">
        <f t="shared" si="190"/>
        <v>0</v>
      </c>
      <c r="AN462">
        <f t="shared" si="199"/>
        <v>0</v>
      </c>
      <c r="AO462" t="s">
        <v>3378</v>
      </c>
      <c r="AV462" t="str">
        <f>IF(F462&gt;0,(COUNT($AV$1:AV461)+1),"")</f>
        <v/>
      </c>
    </row>
    <row r="463" spans="1:48" ht="15" customHeight="1" x14ac:dyDescent="0.25">
      <c r="A463" s="1"/>
      <c r="B463" s="31">
        <v>18447</v>
      </c>
      <c r="C463" s="16">
        <v>4630039322598</v>
      </c>
      <c r="D463" s="226" t="s">
        <v>5936</v>
      </c>
      <c r="E463" s="69">
        <v>24</v>
      </c>
      <c r="F463" s="222"/>
      <c r="G463" s="108">
        <v>272.5</v>
      </c>
      <c r="H463" s="17">
        <v>289.39999999999998</v>
      </c>
      <c r="I463" s="18">
        <v>311.7</v>
      </c>
      <c r="J463" s="113" t="s">
        <v>18</v>
      </c>
      <c r="K463" s="44" t="s">
        <v>19</v>
      </c>
      <c r="L463" s="442"/>
      <c r="M463" s="480" t="s">
        <v>1856</v>
      </c>
      <c r="N463" s="1015"/>
      <c r="O463" s="210"/>
      <c r="P463" s="68" t="s">
        <v>40</v>
      </c>
      <c r="Q463" s="103">
        <f t="shared" si="196"/>
        <v>0</v>
      </c>
      <c r="R463" s="13" t="str">
        <f t="shared" si="198"/>
        <v>Фото &gt;&gt;</v>
      </c>
      <c r="S463" s="14" t="s">
        <v>2307</v>
      </c>
      <c r="AG463" s="84" t="s">
        <v>3235</v>
      </c>
      <c r="AH463" s="84" t="s">
        <v>4347</v>
      </c>
      <c r="AK463">
        <v>0.08</v>
      </c>
      <c r="AL463">
        <f t="shared" si="189"/>
        <v>0</v>
      </c>
      <c r="AM463">
        <f t="shared" si="190"/>
        <v>0</v>
      </c>
      <c r="AN463">
        <f t="shared" si="199"/>
        <v>0</v>
      </c>
      <c r="AO463" t="s">
        <v>2503</v>
      </c>
      <c r="AV463" t="str">
        <f>IF(F463&gt;0,(COUNT($AV$1:AV462)+1),"")</f>
        <v/>
      </c>
    </row>
    <row r="464" spans="1:48" ht="15" customHeight="1" x14ac:dyDescent="0.25">
      <c r="A464" s="1"/>
      <c r="B464" s="30">
        <v>15387</v>
      </c>
      <c r="C464" s="20">
        <v>4607078976167</v>
      </c>
      <c r="D464" s="225" t="s">
        <v>4577</v>
      </c>
      <c r="E464" s="67">
        <v>18</v>
      </c>
      <c r="F464" s="222"/>
      <c r="G464" s="107">
        <v>159.5</v>
      </c>
      <c r="H464" s="21">
        <v>168.1</v>
      </c>
      <c r="I464" s="22">
        <v>180.7</v>
      </c>
      <c r="J464" s="112" t="s">
        <v>18</v>
      </c>
      <c r="K464" s="45" t="s">
        <v>19</v>
      </c>
      <c r="L464" s="437"/>
      <c r="M464" s="474" t="s">
        <v>1856</v>
      </c>
      <c r="N464" s="1013"/>
      <c r="O464" s="209"/>
      <c r="P464" s="66" t="s">
        <v>40</v>
      </c>
      <c r="Q464" s="103">
        <f t="shared" si="196"/>
        <v>0</v>
      </c>
      <c r="R464" s="13" t="str">
        <f>IF(AO464&gt;0,HYPERLINK(AO464,"Фото &gt;&gt;"),"")</f>
        <v>Фото &gt;&gt;</v>
      </c>
      <c r="S464" s="14" t="s">
        <v>1857</v>
      </c>
      <c r="AG464" s="84" t="s">
        <v>1106</v>
      </c>
      <c r="AH464" s="84" t="s">
        <v>4348</v>
      </c>
      <c r="AK464">
        <v>0.08</v>
      </c>
      <c r="AL464">
        <f t="shared" ref="AL464:AL471" si="200">F464*G464</f>
        <v>0</v>
      </c>
      <c r="AM464">
        <f t="shared" ref="AM464:AM471" si="201">F464*H464</f>
        <v>0</v>
      </c>
      <c r="AN464">
        <f t="shared" ref="AN464:AN471" si="202">AK464*F464+IF(E464&gt;1.01,F464/E464*0.2,0)</f>
        <v>0</v>
      </c>
      <c r="AO464" t="s">
        <v>4803</v>
      </c>
      <c r="AV464" t="str">
        <f>IF(F464&gt;0,(COUNT($AV$1:AV463)+1),"")</f>
        <v/>
      </c>
    </row>
    <row r="465" spans="1:48" ht="15" customHeight="1" x14ac:dyDescent="0.25">
      <c r="A465" s="1"/>
      <c r="B465" s="31">
        <v>15388</v>
      </c>
      <c r="C465" s="16">
        <v>4607078976181</v>
      </c>
      <c r="D465" s="226" t="s">
        <v>4619</v>
      </c>
      <c r="E465" s="69">
        <v>18</v>
      </c>
      <c r="F465" s="222"/>
      <c r="G465" s="108">
        <v>227.4</v>
      </c>
      <c r="H465" s="17">
        <v>239.8</v>
      </c>
      <c r="I465" s="18">
        <v>257.5</v>
      </c>
      <c r="J465" s="113" t="s">
        <v>18</v>
      </c>
      <c r="K465" s="44" t="s">
        <v>19</v>
      </c>
      <c r="L465" s="442"/>
      <c r="M465" s="480" t="s">
        <v>1856</v>
      </c>
      <c r="N465" s="1015"/>
      <c r="O465" s="210"/>
      <c r="P465" s="68" t="s">
        <v>40</v>
      </c>
      <c r="Q465" s="103">
        <f t="shared" si="196"/>
        <v>0</v>
      </c>
      <c r="R465" s="13" t="str">
        <f t="shared" si="198"/>
        <v>Фото &gt;&gt;</v>
      </c>
      <c r="S465" s="14" t="s">
        <v>1617</v>
      </c>
      <c r="AG465" s="84" t="s">
        <v>1546</v>
      </c>
      <c r="AH465" s="84" t="s">
        <v>369</v>
      </c>
      <c r="AK465">
        <v>0.08</v>
      </c>
      <c r="AL465">
        <f t="shared" si="200"/>
        <v>0</v>
      </c>
      <c r="AM465">
        <f t="shared" si="201"/>
        <v>0</v>
      </c>
      <c r="AN465">
        <f t="shared" si="202"/>
        <v>0</v>
      </c>
      <c r="AO465" t="s">
        <v>4804</v>
      </c>
      <c r="AV465" t="str">
        <f>IF(F465&gt;0,(COUNT($AV$1:AV464)+1),"")</f>
        <v/>
      </c>
    </row>
    <row r="466" spans="1:48" ht="15" customHeight="1" x14ac:dyDescent="0.25">
      <c r="A466" s="1"/>
      <c r="B466" s="30">
        <v>18448</v>
      </c>
      <c r="C466" s="20">
        <v>4630039322604</v>
      </c>
      <c r="D466" s="225" t="s">
        <v>4701</v>
      </c>
      <c r="E466" s="67">
        <v>24</v>
      </c>
      <c r="F466" s="222"/>
      <c r="G466" s="107">
        <v>272.5</v>
      </c>
      <c r="H466" s="21">
        <v>289.39999999999998</v>
      </c>
      <c r="I466" s="22">
        <v>311.7</v>
      </c>
      <c r="J466" s="112" t="s">
        <v>18</v>
      </c>
      <c r="K466" s="45" t="s">
        <v>19</v>
      </c>
      <c r="L466" s="437"/>
      <c r="M466" s="474" t="s">
        <v>1856</v>
      </c>
      <c r="N466" s="1013"/>
      <c r="O466" s="209"/>
      <c r="P466" s="66" t="s">
        <v>40</v>
      </c>
      <c r="Q466" s="103">
        <f t="shared" si="196"/>
        <v>0</v>
      </c>
      <c r="R466" s="13" t="str">
        <f t="shared" ref="R466:R468" si="203">IF(AO466&gt;0,HYPERLINK(AO466,"Фото &gt;&gt;"),"")</f>
        <v>Фото &gt;&gt;</v>
      </c>
      <c r="S466" s="14" t="s">
        <v>2308</v>
      </c>
      <c r="AG466" s="84" t="s">
        <v>6566</v>
      </c>
      <c r="AH466" s="84" t="s">
        <v>6566</v>
      </c>
      <c r="AK466">
        <v>0.08</v>
      </c>
      <c r="AL466">
        <f t="shared" si="200"/>
        <v>0</v>
      </c>
      <c r="AM466">
        <f t="shared" si="201"/>
        <v>0</v>
      </c>
      <c r="AN466">
        <f t="shared" si="202"/>
        <v>0</v>
      </c>
      <c r="AO466" t="s">
        <v>2504</v>
      </c>
      <c r="AV466" t="str">
        <f>IF(F466&gt;0,(COUNT($AV$1:AV465)+1),"")</f>
        <v/>
      </c>
    </row>
    <row r="467" spans="1:48" ht="15" customHeight="1" x14ac:dyDescent="0.25">
      <c r="A467" s="1"/>
      <c r="B467" s="31">
        <v>17547</v>
      </c>
      <c r="C467" s="16">
        <v>4630039320686</v>
      </c>
      <c r="D467" s="226" t="s">
        <v>7029</v>
      </c>
      <c r="E467" s="69">
        <v>18</v>
      </c>
      <c r="F467" s="222"/>
      <c r="G467" s="108">
        <v>292.7</v>
      </c>
      <c r="H467" s="17">
        <v>310.89999999999998</v>
      </c>
      <c r="I467" s="18">
        <v>350.8</v>
      </c>
      <c r="J467" s="113" t="s">
        <v>18</v>
      </c>
      <c r="K467" s="44" t="s">
        <v>19</v>
      </c>
      <c r="L467" s="442"/>
      <c r="M467" s="480" t="s">
        <v>1856</v>
      </c>
      <c r="N467" s="1015"/>
      <c r="O467" s="210"/>
      <c r="P467" s="68" t="s">
        <v>40</v>
      </c>
      <c r="Q467" s="103">
        <f t="shared" si="196"/>
        <v>0</v>
      </c>
      <c r="R467" s="13" t="str">
        <f t="shared" si="203"/>
        <v>Фото &gt;&gt;</v>
      </c>
      <c r="S467" s="14" t="s">
        <v>7027</v>
      </c>
      <c r="AG467" s="84" t="s">
        <v>962</v>
      </c>
      <c r="AH467" s="84" t="s">
        <v>4349</v>
      </c>
      <c r="AK467">
        <v>0.08</v>
      </c>
      <c r="AL467">
        <f t="shared" si="200"/>
        <v>0</v>
      </c>
      <c r="AM467">
        <f t="shared" si="201"/>
        <v>0</v>
      </c>
      <c r="AN467">
        <f t="shared" si="202"/>
        <v>0</v>
      </c>
      <c r="AO467" t="s">
        <v>7028</v>
      </c>
      <c r="AV467" t="str">
        <f>IF(F467&gt;0,(COUNT($AV$1:AV466)+1),"")</f>
        <v/>
      </c>
    </row>
    <row r="468" spans="1:48" ht="15" customHeight="1" x14ac:dyDescent="0.25">
      <c r="A468" s="1"/>
      <c r="B468" s="30">
        <v>16116</v>
      </c>
      <c r="C468" s="20">
        <v>4607078978574</v>
      </c>
      <c r="D468" s="225" t="s">
        <v>4419</v>
      </c>
      <c r="E468" s="67">
        <v>24</v>
      </c>
      <c r="F468" s="222"/>
      <c r="G468" s="107">
        <v>267.60000000000002</v>
      </c>
      <c r="H468" s="21">
        <v>282.3</v>
      </c>
      <c r="I468" s="22">
        <v>318.8</v>
      </c>
      <c r="J468" s="112" t="s">
        <v>18</v>
      </c>
      <c r="K468" s="45" t="s">
        <v>19</v>
      </c>
      <c r="L468" s="437"/>
      <c r="M468" s="474" t="s">
        <v>1856</v>
      </c>
      <c r="N468" s="1013"/>
      <c r="O468" s="209"/>
      <c r="P468" s="66" t="s">
        <v>40</v>
      </c>
      <c r="Q468" s="103">
        <f t="shared" si="196"/>
        <v>0</v>
      </c>
      <c r="R468" s="13" t="str">
        <f t="shared" si="203"/>
        <v>Фото &gt;&gt;</v>
      </c>
      <c r="S468" s="14" t="s">
        <v>45</v>
      </c>
      <c r="AG468" s="84" t="s">
        <v>1547</v>
      </c>
      <c r="AH468" s="84" t="s">
        <v>2140</v>
      </c>
      <c r="AK468">
        <v>0.08</v>
      </c>
      <c r="AL468">
        <f t="shared" si="200"/>
        <v>0</v>
      </c>
      <c r="AM468">
        <f t="shared" si="201"/>
        <v>0</v>
      </c>
      <c r="AN468">
        <f t="shared" si="202"/>
        <v>0</v>
      </c>
      <c r="AO468" t="s">
        <v>3379</v>
      </c>
      <c r="AV468" t="str">
        <f>IF(F468&gt;0,(COUNT($AV$1:AV467)+1),"")</f>
        <v/>
      </c>
    </row>
    <row r="469" spans="1:48" ht="15" customHeight="1" x14ac:dyDescent="0.25">
      <c r="A469" s="1"/>
      <c r="B469" s="31">
        <v>18449</v>
      </c>
      <c r="C469" s="16">
        <v>4630039322543</v>
      </c>
      <c r="D469" s="226" t="s">
        <v>4613</v>
      </c>
      <c r="E469" s="69">
        <v>24</v>
      </c>
      <c r="F469" s="222"/>
      <c r="G469" s="108">
        <v>272.5</v>
      </c>
      <c r="H469" s="17">
        <v>289.39999999999998</v>
      </c>
      <c r="I469" s="18">
        <v>311.7</v>
      </c>
      <c r="J469" s="113" t="s">
        <v>18</v>
      </c>
      <c r="K469" s="44" t="s">
        <v>19</v>
      </c>
      <c r="L469" s="442"/>
      <c r="M469" s="480" t="s">
        <v>1856</v>
      </c>
      <c r="N469" s="1015"/>
      <c r="O469" s="210"/>
      <c r="P469" s="68" t="s">
        <v>40</v>
      </c>
      <c r="Q469" s="103">
        <f t="shared" si="196"/>
        <v>0</v>
      </c>
      <c r="R469" s="13" t="str">
        <f t="shared" si="198"/>
        <v>Фото &gt;&gt;</v>
      </c>
      <c r="S469" s="14" t="s">
        <v>2309</v>
      </c>
      <c r="AG469" s="84" t="s">
        <v>1548</v>
      </c>
      <c r="AH469" s="84" t="s">
        <v>2141</v>
      </c>
      <c r="AK469">
        <v>0.08</v>
      </c>
      <c r="AL469">
        <f t="shared" si="200"/>
        <v>0</v>
      </c>
      <c r="AM469">
        <f t="shared" si="201"/>
        <v>0</v>
      </c>
      <c r="AN469">
        <f t="shared" si="202"/>
        <v>0</v>
      </c>
      <c r="AO469" t="s">
        <v>2505</v>
      </c>
      <c r="AV469" t="str">
        <f>IF(F469&gt;0,(COUNT($AV$1:AV468)+1),"")</f>
        <v/>
      </c>
    </row>
    <row r="470" spans="1:48" ht="15" customHeight="1" x14ac:dyDescent="0.25">
      <c r="A470" s="1"/>
      <c r="B470" s="30">
        <v>16117</v>
      </c>
      <c r="C470" s="20">
        <v>4607078978543</v>
      </c>
      <c r="D470" s="225" t="s">
        <v>2917</v>
      </c>
      <c r="E470" s="67">
        <v>24</v>
      </c>
      <c r="F470" s="222"/>
      <c r="G470" s="107">
        <v>267.60000000000002</v>
      </c>
      <c r="H470" s="21">
        <v>282.3</v>
      </c>
      <c r="I470" s="22">
        <v>318.8</v>
      </c>
      <c r="J470" s="112" t="s">
        <v>18</v>
      </c>
      <c r="K470" s="45" t="s">
        <v>19</v>
      </c>
      <c r="L470" s="437"/>
      <c r="M470" s="474" t="s">
        <v>1856</v>
      </c>
      <c r="N470" s="1013"/>
      <c r="O470" s="209"/>
      <c r="P470" s="66" t="s">
        <v>40</v>
      </c>
      <c r="Q470" s="103">
        <f t="shared" si="196"/>
        <v>0</v>
      </c>
      <c r="R470" s="13" t="str">
        <f t="shared" si="198"/>
        <v>Фото &gt;&gt;</v>
      </c>
      <c r="S470" s="14" t="s">
        <v>46</v>
      </c>
      <c r="AG470" s="84" t="s">
        <v>4458</v>
      </c>
      <c r="AH470" s="84" t="s">
        <v>2192</v>
      </c>
      <c r="AK470">
        <v>0.08</v>
      </c>
      <c r="AL470">
        <f t="shared" si="200"/>
        <v>0</v>
      </c>
      <c r="AM470">
        <f t="shared" si="201"/>
        <v>0</v>
      </c>
      <c r="AN470">
        <f t="shared" si="202"/>
        <v>0</v>
      </c>
      <c r="AO470" t="s">
        <v>3380</v>
      </c>
      <c r="AV470" t="str">
        <f>IF(F470&gt;0,(COUNT($AV$1:AV469)+1),"")</f>
        <v/>
      </c>
    </row>
    <row r="471" spans="1:48" ht="15" customHeight="1" x14ac:dyDescent="0.25">
      <c r="A471" s="1"/>
      <c r="B471" s="25"/>
      <c r="C471" s="26"/>
      <c r="D471" s="27" t="s">
        <v>48</v>
      </c>
      <c r="E471" s="80"/>
      <c r="F471" s="96"/>
      <c r="G471" s="28"/>
      <c r="H471" s="29"/>
      <c r="I471" s="29"/>
      <c r="J471" s="51"/>
      <c r="K471" s="47"/>
      <c r="L471" s="447"/>
      <c r="M471" s="489" t="s">
        <v>104</v>
      </c>
      <c r="N471" s="716"/>
      <c r="O471" s="186"/>
      <c r="P471" s="79"/>
      <c r="Q471" s="104"/>
      <c r="R471" s="13"/>
      <c r="S471" s="14"/>
      <c r="AG471" s="84" t="s">
        <v>1079</v>
      </c>
      <c r="AH471" s="84" t="s">
        <v>1079</v>
      </c>
      <c r="AL471">
        <f t="shared" si="200"/>
        <v>0</v>
      </c>
      <c r="AM471">
        <f t="shared" si="201"/>
        <v>0</v>
      </c>
      <c r="AN471">
        <f t="shared" si="202"/>
        <v>0</v>
      </c>
      <c r="AO471" t="s">
        <v>104</v>
      </c>
      <c r="AV471" t="str">
        <f>IF(F471&gt;0,(COUNT($AV$1:AV470)+1),"")</f>
        <v/>
      </c>
    </row>
    <row r="472" spans="1:48" ht="15" customHeight="1" x14ac:dyDescent="0.25">
      <c r="A472" s="1"/>
      <c r="B472" s="30">
        <v>14665</v>
      </c>
      <c r="C472" s="20">
        <v>4607078976679</v>
      </c>
      <c r="D472" s="225" t="s">
        <v>4318</v>
      </c>
      <c r="E472" s="67">
        <v>21</v>
      </c>
      <c r="F472" s="222"/>
      <c r="G472" s="107">
        <v>127.2</v>
      </c>
      <c r="H472" s="21">
        <v>134</v>
      </c>
      <c r="I472" s="22">
        <v>142.6</v>
      </c>
      <c r="J472" s="112" t="s">
        <v>18</v>
      </c>
      <c r="K472" s="45" t="s">
        <v>49</v>
      </c>
      <c r="L472" s="437"/>
      <c r="M472" s="474" t="s">
        <v>1856</v>
      </c>
      <c r="N472" s="1013" t="s">
        <v>1856</v>
      </c>
      <c r="O472" s="209"/>
      <c r="P472" s="66" t="s">
        <v>50</v>
      </c>
      <c r="Q472" s="103">
        <f t="shared" ref="Q472:Q483" si="204">IF($AO$417=2,F472*H472,IF($AO$417=1,F472*G472,F472*I472))</f>
        <v>0</v>
      </c>
      <c r="R472" s="13" t="str">
        <f t="shared" ref="R472:R483" si="205">IF(AO472&gt;0,HYPERLINK(AO472,"Фото &gt;&gt;"),"")</f>
        <v>Фото &gt;&gt;</v>
      </c>
      <c r="S472" s="14" t="s">
        <v>4319</v>
      </c>
      <c r="AG472" s="84" t="s">
        <v>1037</v>
      </c>
      <c r="AH472" s="84" t="s">
        <v>4351</v>
      </c>
      <c r="AK472">
        <v>0.17</v>
      </c>
      <c r="AL472">
        <f t="shared" ref="AL472:AL474" si="206">F472*G472</f>
        <v>0</v>
      </c>
      <c r="AM472">
        <f t="shared" ref="AM472:AM474" si="207">F472*H472</f>
        <v>0</v>
      </c>
      <c r="AN472">
        <f t="shared" ref="AN472:AN474" si="208">AK472*F472+IF(E472&gt;1.01,F472/E472*0.2,0)</f>
        <v>0</v>
      </c>
      <c r="AO472" t="s">
        <v>4320</v>
      </c>
      <c r="AV472" t="str">
        <f>IF(F472&gt;0,(COUNT($AV$1:AV471)+1),"")</f>
        <v/>
      </c>
    </row>
    <row r="473" spans="1:48" ht="15" customHeight="1" x14ac:dyDescent="0.25">
      <c r="A473" s="1"/>
      <c r="B473" s="31">
        <v>21114</v>
      </c>
      <c r="C473" s="16">
        <v>4630039321188</v>
      </c>
      <c r="D473" s="226" t="s">
        <v>6020</v>
      </c>
      <c r="E473" s="69">
        <v>15</v>
      </c>
      <c r="F473" s="222"/>
      <c r="G473" s="108">
        <v>137.4</v>
      </c>
      <c r="H473" s="17">
        <v>144.19999999999999</v>
      </c>
      <c r="I473" s="18">
        <v>158.69999999999999</v>
      </c>
      <c r="J473" s="113" t="s">
        <v>18</v>
      </c>
      <c r="K473" s="44" t="s">
        <v>49</v>
      </c>
      <c r="L473" s="442"/>
      <c r="M473" s="480" t="s">
        <v>1856</v>
      </c>
      <c r="N473" s="1015" t="s">
        <v>1856</v>
      </c>
      <c r="O473" s="210"/>
      <c r="P473" s="68" t="s">
        <v>72</v>
      </c>
      <c r="Q473" s="103">
        <f t="shared" si="204"/>
        <v>0</v>
      </c>
      <c r="R473" s="13" t="str">
        <f t="shared" si="205"/>
        <v>Фото &gt;&gt;</v>
      </c>
      <c r="S473" s="14" t="s">
        <v>6021</v>
      </c>
      <c r="AG473" s="84" t="s">
        <v>222</v>
      </c>
      <c r="AH473" s="84" t="s">
        <v>222</v>
      </c>
      <c r="AK473">
        <v>0.17</v>
      </c>
      <c r="AL473">
        <f t="shared" ref="AL473" si="209">F473*G473</f>
        <v>0</v>
      </c>
      <c r="AM473">
        <f t="shared" ref="AM473" si="210">F473*H473</f>
        <v>0</v>
      </c>
      <c r="AN473">
        <f t="shared" ref="AN473" si="211">AK473*F473+IF(E473&gt;1.01,F473/E473*0.2,0)</f>
        <v>0</v>
      </c>
      <c r="AO473" t="s">
        <v>6022</v>
      </c>
      <c r="AV473" t="str">
        <f>IF(F473&gt;0,(COUNT($AV$1:AV472)+1),"")</f>
        <v/>
      </c>
    </row>
    <row r="474" spans="1:48" ht="15" customHeight="1" x14ac:dyDescent="0.25">
      <c r="A474" s="1"/>
      <c r="B474" s="30">
        <v>13928</v>
      </c>
      <c r="C474" s="20">
        <v>4607078976105</v>
      </c>
      <c r="D474" s="225" t="s">
        <v>51</v>
      </c>
      <c r="E474" s="67">
        <v>21</v>
      </c>
      <c r="F474" s="222"/>
      <c r="G474" s="107">
        <v>106.5</v>
      </c>
      <c r="H474" s="21">
        <v>112.2</v>
      </c>
      <c r="I474" s="22">
        <v>119.1</v>
      </c>
      <c r="J474" s="112" t="s">
        <v>18</v>
      </c>
      <c r="K474" s="45" t="s">
        <v>49</v>
      </c>
      <c r="L474" s="437"/>
      <c r="M474" s="474" t="s">
        <v>1856</v>
      </c>
      <c r="N474" s="1013" t="s">
        <v>1856</v>
      </c>
      <c r="O474" s="209"/>
      <c r="P474" s="66" t="s">
        <v>20</v>
      </c>
      <c r="Q474" s="103">
        <f t="shared" si="204"/>
        <v>0</v>
      </c>
      <c r="R474" s="13" t="str">
        <f t="shared" si="205"/>
        <v>Фото &gt;&gt;</v>
      </c>
      <c r="S474" s="14" t="s">
        <v>52</v>
      </c>
      <c r="AG474" s="84" t="s">
        <v>1411</v>
      </c>
      <c r="AH474" s="84" t="s">
        <v>1411</v>
      </c>
      <c r="AK474">
        <v>0.19</v>
      </c>
      <c r="AL474">
        <f t="shared" si="206"/>
        <v>0</v>
      </c>
      <c r="AM474">
        <f t="shared" si="207"/>
        <v>0</v>
      </c>
      <c r="AN474">
        <f t="shared" si="208"/>
        <v>0</v>
      </c>
      <c r="AO474" t="s">
        <v>5342</v>
      </c>
      <c r="AV474" t="str">
        <f>IF(F474&gt;0,(COUNT($AV$1:AV473)+1),"")</f>
        <v/>
      </c>
    </row>
    <row r="475" spans="1:48" ht="15" customHeight="1" x14ac:dyDescent="0.25">
      <c r="A475" s="1"/>
      <c r="B475" s="31">
        <v>14666</v>
      </c>
      <c r="C475" s="16">
        <v>4607078976686</v>
      </c>
      <c r="D475" s="226" t="s">
        <v>54</v>
      </c>
      <c r="E475" s="69">
        <v>21</v>
      </c>
      <c r="F475" s="222"/>
      <c r="G475" s="108">
        <v>157.6</v>
      </c>
      <c r="H475" s="17">
        <v>165.4</v>
      </c>
      <c r="I475" s="18">
        <v>175.6</v>
      </c>
      <c r="J475" s="113" t="s">
        <v>18</v>
      </c>
      <c r="K475" s="44" t="s">
        <v>49</v>
      </c>
      <c r="L475" s="442"/>
      <c r="M475" s="480" t="s">
        <v>1856</v>
      </c>
      <c r="N475" s="1015" t="s">
        <v>1856</v>
      </c>
      <c r="O475" s="210"/>
      <c r="P475" s="68" t="s">
        <v>55</v>
      </c>
      <c r="Q475" s="103">
        <f t="shared" si="204"/>
        <v>0</v>
      </c>
      <c r="R475" s="13" t="str">
        <f t="shared" si="205"/>
        <v>Фото &gt;&gt;</v>
      </c>
      <c r="S475" s="14" t="s">
        <v>56</v>
      </c>
      <c r="AG475" s="84" t="s">
        <v>6471</v>
      </c>
      <c r="AH475" s="84" t="s">
        <v>6982</v>
      </c>
      <c r="AK475">
        <v>0.17</v>
      </c>
      <c r="AL475">
        <f t="shared" si="189"/>
        <v>0</v>
      </c>
      <c r="AM475">
        <f t="shared" si="190"/>
        <v>0</v>
      </c>
      <c r="AN475">
        <f t="shared" si="199"/>
        <v>0</v>
      </c>
      <c r="AO475" t="s">
        <v>5343</v>
      </c>
      <c r="AV475" t="str">
        <f>IF(F475&gt;0,(COUNT($AV$1:AV474)+1),"")</f>
        <v/>
      </c>
    </row>
    <row r="476" spans="1:48" ht="15" customHeight="1" x14ac:dyDescent="0.25">
      <c r="A476" s="1"/>
      <c r="B476" s="30">
        <v>14667</v>
      </c>
      <c r="C476" s="20">
        <v>4607078976693</v>
      </c>
      <c r="D476" s="225" t="s">
        <v>57</v>
      </c>
      <c r="E476" s="67">
        <v>21</v>
      </c>
      <c r="F476" s="222"/>
      <c r="G476" s="107">
        <v>191.6</v>
      </c>
      <c r="H476" s="21">
        <v>202.1</v>
      </c>
      <c r="I476" s="22">
        <v>209.5</v>
      </c>
      <c r="J476" s="112" t="s">
        <v>18</v>
      </c>
      <c r="K476" s="45" t="s">
        <v>49</v>
      </c>
      <c r="L476" s="437"/>
      <c r="M476" s="474" t="s">
        <v>1856</v>
      </c>
      <c r="N476" s="1013" t="s">
        <v>1856</v>
      </c>
      <c r="O476" s="209"/>
      <c r="P476" s="66" t="s">
        <v>55</v>
      </c>
      <c r="Q476" s="103">
        <f t="shared" si="204"/>
        <v>0</v>
      </c>
      <c r="R476" s="13" t="str">
        <f t="shared" si="205"/>
        <v>Фото &gt;&gt;</v>
      </c>
      <c r="S476" s="14" t="s">
        <v>58</v>
      </c>
      <c r="AG476" s="84" t="s">
        <v>2143</v>
      </c>
      <c r="AH476" s="84" t="s">
        <v>2144</v>
      </c>
      <c r="AK476">
        <v>0.17</v>
      </c>
      <c r="AL476">
        <f t="shared" ref="AL476:AL479" si="212">F476*G476</f>
        <v>0</v>
      </c>
      <c r="AM476">
        <f t="shared" ref="AM476:AM479" si="213">F476*H476</f>
        <v>0</v>
      </c>
      <c r="AN476">
        <f t="shared" ref="AN476:AN479" si="214">AK476*F476+IF(E476&gt;1.01,F476/E476*0.2,0)</f>
        <v>0</v>
      </c>
      <c r="AO476" t="s">
        <v>4805</v>
      </c>
      <c r="AV476" t="str">
        <f>IF(F476&gt;0,(COUNT($AV$1:AV475)+1),"")</f>
        <v/>
      </c>
    </row>
    <row r="477" spans="1:48" ht="15" customHeight="1" x14ac:dyDescent="0.25">
      <c r="A477" s="1"/>
      <c r="B477" s="31">
        <v>13926</v>
      </c>
      <c r="C477" s="16">
        <v>4607078976068</v>
      </c>
      <c r="D477" s="226" t="s">
        <v>59</v>
      </c>
      <c r="E477" s="69">
        <v>21</v>
      </c>
      <c r="F477" s="222"/>
      <c r="G477" s="108">
        <v>89.4</v>
      </c>
      <c r="H477" s="17">
        <v>94.5</v>
      </c>
      <c r="I477" s="18">
        <v>100.2</v>
      </c>
      <c r="J477" s="113" t="s">
        <v>18</v>
      </c>
      <c r="K477" s="44" t="s">
        <v>49</v>
      </c>
      <c r="L477" s="442"/>
      <c r="M477" s="480" t="s">
        <v>1856</v>
      </c>
      <c r="N477" s="1015" t="s">
        <v>1856</v>
      </c>
      <c r="O477" s="210"/>
      <c r="P477" s="68" t="s">
        <v>55</v>
      </c>
      <c r="Q477" s="103">
        <f t="shared" si="204"/>
        <v>0</v>
      </c>
      <c r="R477" s="13" t="str">
        <f t="shared" si="205"/>
        <v>Фото &gt;&gt;</v>
      </c>
      <c r="S477" s="14" t="s">
        <v>60</v>
      </c>
      <c r="AG477" s="84" t="s">
        <v>1551</v>
      </c>
      <c r="AH477" s="84" t="s">
        <v>2145</v>
      </c>
      <c r="AK477">
        <v>0.19</v>
      </c>
      <c r="AL477">
        <f t="shared" si="212"/>
        <v>0</v>
      </c>
      <c r="AM477">
        <f t="shared" si="213"/>
        <v>0</v>
      </c>
      <c r="AN477">
        <f t="shared" si="214"/>
        <v>0</v>
      </c>
      <c r="AO477" t="s">
        <v>5344</v>
      </c>
      <c r="AV477" t="str">
        <f>IF(F477&gt;0,(COUNT($AV$1:AV476)+1),"")</f>
        <v/>
      </c>
    </row>
    <row r="478" spans="1:48" ht="15" customHeight="1" x14ac:dyDescent="0.25">
      <c r="A478" s="1"/>
      <c r="B478" s="30">
        <v>13925</v>
      </c>
      <c r="C478" s="20">
        <v>4607078976075</v>
      </c>
      <c r="D478" s="225" t="s">
        <v>61</v>
      </c>
      <c r="E478" s="67">
        <v>21</v>
      </c>
      <c r="F478" s="222"/>
      <c r="G478" s="107">
        <v>85.9</v>
      </c>
      <c r="H478" s="21">
        <v>90.4</v>
      </c>
      <c r="I478" s="22">
        <v>93.1</v>
      </c>
      <c r="J478" s="112" t="s">
        <v>18</v>
      </c>
      <c r="K478" s="45" t="s">
        <v>49</v>
      </c>
      <c r="L478" s="437"/>
      <c r="M478" s="474" t="s">
        <v>1856</v>
      </c>
      <c r="N478" s="1013" t="s">
        <v>1856</v>
      </c>
      <c r="O478" s="209"/>
      <c r="P478" s="66" t="s">
        <v>55</v>
      </c>
      <c r="Q478" s="103">
        <f t="shared" si="204"/>
        <v>0</v>
      </c>
      <c r="R478" s="13" t="str">
        <f t="shared" si="205"/>
        <v>Фото &gt;&gt;</v>
      </c>
      <c r="S478" s="14" t="s">
        <v>62</v>
      </c>
      <c r="AG478" s="84" t="s">
        <v>2988</v>
      </c>
      <c r="AH478" s="84" t="s">
        <v>2989</v>
      </c>
      <c r="AK478">
        <v>0.19</v>
      </c>
      <c r="AL478">
        <f t="shared" si="212"/>
        <v>0</v>
      </c>
      <c r="AM478">
        <f t="shared" si="213"/>
        <v>0</v>
      </c>
      <c r="AN478">
        <f t="shared" si="214"/>
        <v>0</v>
      </c>
      <c r="AO478" t="s">
        <v>5345</v>
      </c>
      <c r="AV478" t="str">
        <f>IF(F478&gt;0,(COUNT($AV$1:AV477)+1),"")</f>
        <v/>
      </c>
    </row>
    <row r="479" spans="1:48" ht="15" customHeight="1" x14ac:dyDescent="0.25">
      <c r="A479" s="1"/>
      <c r="B479" s="31">
        <v>8886</v>
      </c>
      <c r="C479" s="16">
        <v>4607078975009</v>
      </c>
      <c r="D479" s="154" t="s">
        <v>63</v>
      </c>
      <c r="E479" s="69">
        <v>40</v>
      </c>
      <c r="F479" s="222"/>
      <c r="G479" s="108">
        <v>82</v>
      </c>
      <c r="H479" s="17">
        <v>86.2</v>
      </c>
      <c r="I479" s="18">
        <v>88.8</v>
      </c>
      <c r="J479" s="113" t="s">
        <v>18</v>
      </c>
      <c r="K479" s="44" t="s">
        <v>49</v>
      </c>
      <c r="L479" s="442"/>
      <c r="M479" s="480" t="s">
        <v>1856</v>
      </c>
      <c r="N479" s="1015" t="s">
        <v>1856</v>
      </c>
      <c r="O479" s="217"/>
      <c r="P479" s="68" t="s">
        <v>55</v>
      </c>
      <c r="Q479" s="103">
        <f t="shared" si="204"/>
        <v>0</v>
      </c>
      <c r="R479" s="13" t="str">
        <f t="shared" si="205"/>
        <v>Фото &gt;&gt;</v>
      </c>
      <c r="S479" s="14" t="s">
        <v>64</v>
      </c>
      <c r="AG479" s="84" t="s">
        <v>1552</v>
      </c>
      <c r="AH479" s="84" t="s">
        <v>172</v>
      </c>
      <c r="AK479">
        <v>0.23</v>
      </c>
      <c r="AL479">
        <f t="shared" si="212"/>
        <v>0</v>
      </c>
      <c r="AM479">
        <f t="shared" si="213"/>
        <v>0</v>
      </c>
      <c r="AN479">
        <f t="shared" si="214"/>
        <v>0</v>
      </c>
      <c r="AO479" t="s">
        <v>5346</v>
      </c>
      <c r="AV479" t="str">
        <f>IF(F479&gt;0,(COUNT($AV$1:AV478)+1),"")</f>
        <v/>
      </c>
    </row>
    <row r="480" spans="1:48" ht="15" customHeight="1" x14ac:dyDescent="0.25">
      <c r="A480" s="1"/>
      <c r="B480" s="30">
        <v>16637</v>
      </c>
      <c r="C480" s="20">
        <v>4607078979496</v>
      </c>
      <c r="D480" s="225" t="s">
        <v>1571</v>
      </c>
      <c r="E480" s="324">
        <v>42</v>
      </c>
      <c r="F480" s="222"/>
      <c r="G480" s="107">
        <v>14.9</v>
      </c>
      <c r="H480" s="21">
        <v>16.3</v>
      </c>
      <c r="I480" s="22">
        <v>16.899999999999999</v>
      </c>
      <c r="J480" s="112" t="s">
        <v>18</v>
      </c>
      <c r="K480" s="45" t="s">
        <v>49</v>
      </c>
      <c r="L480" s="437"/>
      <c r="M480" s="474" t="s">
        <v>1856</v>
      </c>
      <c r="N480" s="1013" t="s">
        <v>1856</v>
      </c>
      <c r="O480" s="212" t="s">
        <v>1559</v>
      </c>
      <c r="P480" s="66" t="s">
        <v>55</v>
      </c>
      <c r="Q480" s="103">
        <f t="shared" si="204"/>
        <v>0</v>
      </c>
      <c r="R480" s="13" t="str">
        <f t="shared" si="205"/>
        <v>Фото &gt;&gt;</v>
      </c>
      <c r="S480" s="14" t="s">
        <v>65</v>
      </c>
      <c r="AG480" s="84" t="s">
        <v>1173</v>
      </c>
      <c r="AH480" s="84" t="s">
        <v>1173</v>
      </c>
      <c r="AK480">
        <v>0.05</v>
      </c>
      <c r="AL480">
        <f t="shared" ref="AL480:AL501" si="215">F480*G480</f>
        <v>0</v>
      </c>
      <c r="AM480">
        <f t="shared" ref="AM480:AM501" si="216">F480*H480</f>
        <v>0</v>
      </c>
      <c r="AN480">
        <f t="shared" si="199"/>
        <v>0</v>
      </c>
      <c r="AO480" t="s">
        <v>5347</v>
      </c>
      <c r="AV480" t="str">
        <f>IF(F480&gt;0,(COUNT($AV$1:AV479)+1),"")</f>
        <v/>
      </c>
    </row>
    <row r="481" spans="1:48" ht="15" customHeight="1" x14ac:dyDescent="0.25">
      <c r="A481" s="1"/>
      <c r="B481" s="31">
        <v>9535</v>
      </c>
      <c r="C481" s="16">
        <v>4607078974750</v>
      </c>
      <c r="D481" s="154" t="s">
        <v>66</v>
      </c>
      <c r="E481" s="69">
        <v>20</v>
      </c>
      <c r="F481" s="222"/>
      <c r="G481" s="108">
        <v>192.8</v>
      </c>
      <c r="H481" s="17">
        <v>202.8</v>
      </c>
      <c r="I481" s="18">
        <v>208.5</v>
      </c>
      <c r="J481" s="113" t="s">
        <v>18</v>
      </c>
      <c r="K481" s="44" t="s">
        <v>49</v>
      </c>
      <c r="L481" s="442"/>
      <c r="M481" s="480" t="s">
        <v>1856</v>
      </c>
      <c r="N481" s="1015" t="s">
        <v>1856</v>
      </c>
      <c r="O481" s="217"/>
      <c r="P481" s="68" t="s">
        <v>55</v>
      </c>
      <c r="Q481" s="103">
        <f t="shared" si="204"/>
        <v>0</v>
      </c>
      <c r="R481" s="13" t="str">
        <f t="shared" si="205"/>
        <v>Фото &gt;&gt;</v>
      </c>
      <c r="S481" s="14" t="s">
        <v>65</v>
      </c>
      <c r="AG481" s="84" t="s">
        <v>1474</v>
      </c>
      <c r="AH481" s="84" t="s">
        <v>2188</v>
      </c>
      <c r="AK481">
        <v>0.51</v>
      </c>
      <c r="AL481">
        <f t="shared" si="215"/>
        <v>0</v>
      </c>
      <c r="AM481">
        <f t="shared" si="216"/>
        <v>0</v>
      </c>
      <c r="AN481">
        <f t="shared" si="199"/>
        <v>0</v>
      </c>
      <c r="AO481" t="s">
        <v>4806</v>
      </c>
      <c r="AV481" t="str">
        <f>IF(F481&gt;0,(COUNT($AV$1:AV480)+1),"")</f>
        <v/>
      </c>
    </row>
    <row r="482" spans="1:48" ht="15" customHeight="1" x14ac:dyDescent="0.25">
      <c r="A482" s="1"/>
      <c r="B482" s="30">
        <v>10131</v>
      </c>
      <c r="C482" s="20">
        <v>4607078970639</v>
      </c>
      <c r="D482" s="225" t="s">
        <v>67</v>
      </c>
      <c r="E482" s="67">
        <v>40</v>
      </c>
      <c r="F482" s="222"/>
      <c r="G482" s="107">
        <v>112.2</v>
      </c>
      <c r="H482" s="21">
        <v>118.1</v>
      </c>
      <c r="I482" s="22">
        <v>122.2</v>
      </c>
      <c r="J482" s="112" t="s">
        <v>18</v>
      </c>
      <c r="K482" s="45" t="s">
        <v>49</v>
      </c>
      <c r="L482" s="437"/>
      <c r="M482" s="474" t="s">
        <v>1856</v>
      </c>
      <c r="N482" s="1013" t="s">
        <v>1856</v>
      </c>
      <c r="O482" s="209"/>
      <c r="P482" s="66" t="s">
        <v>55</v>
      </c>
      <c r="Q482" s="103">
        <f t="shared" si="204"/>
        <v>0</v>
      </c>
      <c r="R482" s="13" t="str">
        <f t="shared" si="205"/>
        <v>Фото &gt;&gt;</v>
      </c>
      <c r="S482" s="14" t="s">
        <v>65</v>
      </c>
      <c r="AG482" s="84" t="s">
        <v>5540</v>
      </c>
      <c r="AH482" s="84" t="s">
        <v>1009</v>
      </c>
      <c r="AK482">
        <v>0.24</v>
      </c>
      <c r="AL482">
        <f t="shared" si="215"/>
        <v>0</v>
      </c>
      <c r="AM482">
        <f t="shared" si="216"/>
        <v>0</v>
      </c>
      <c r="AN482">
        <f t="shared" si="199"/>
        <v>0</v>
      </c>
      <c r="AO482" t="s">
        <v>5348</v>
      </c>
      <c r="AV482" t="str">
        <f>IF(F482&gt;0,(COUNT($AV$1:AV481)+1),"")</f>
        <v/>
      </c>
    </row>
    <row r="483" spans="1:48" ht="15" customHeight="1" x14ac:dyDescent="0.25">
      <c r="A483" s="1"/>
      <c r="B483" s="31">
        <v>16726</v>
      </c>
      <c r="C483" s="16">
        <v>4607078979847</v>
      </c>
      <c r="D483" s="154" t="s">
        <v>69</v>
      </c>
      <c r="E483" s="69">
        <v>21</v>
      </c>
      <c r="F483" s="222"/>
      <c r="G483" s="108">
        <v>123.4</v>
      </c>
      <c r="H483" s="17">
        <v>129.4</v>
      </c>
      <c r="I483" s="18">
        <v>136.4</v>
      </c>
      <c r="J483" s="113" t="s">
        <v>18</v>
      </c>
      <c r="K483" s="44" t="s">
        <v>49</v>
      </c>
      <c r="L483" s="442"/>
      <c r="M483" s="480" t="s">
        <v>1856</v>
      </c>
      <c r="N483" s="1015" t="s">
        <v>1856</v>
      </c>
      <c r="O483" s="217"/>
      <c r="P483" s="68" t="s">
        <v>53</v>
      </c>
      <c r="Q483" s="103">
        <f t="shared" si="204"/>
        <v>0</v>
      </c>
      <c r="R483" s="13" t="str">
        <f t="shared" si="205"/>
        <v>Фото &gt;&gt;</v>
      </c>
      <c r="S483" s="14" t="s">
        <v>70</v>
      </c>
      <c r="AG483" s="84" t="s">
        <v>5541</v>
      </c>
      <c r="AH483" s="84" t="s">
        <v>5548</v>
      </c>
      <c r="AK483">
        <v>0.1</v>
      </c>
      <c r="AL483">
        <f t="shared" si="215"/>
        <v>0</v>
      </c>
      <c r="AM483">
        <f t="shared" si="216"/>
        <v>0</v>
      </c>
      <c r="AN483">
        <f t="shared" si="199"/>
        <v>0</v>
      </c>
      <c r="AO483" t="s">
        <v>5349</v>
      </c>
      <c r="AV483" t="str">
        <f>IF(F483&gt;0,(COUNT($AV$1:AV482)+1),"")</f>
        <v/>
      </c>
    </row>
    <row r="484" spans="1:48" ht="15" customHeight="1" x14ac:dyDescent="0.25">
      <c r="A484" s="1"/>
      <c r="B484" s="25"/>
      <c r="C484" s="26"/>
      <c r="D484" s="27" t="s">
        <v>71</v>
      </c>
      <c r="E484" s="80"/>
      <c r="F484" s="96"/>
      <c r="G484" s="28"/>
      <c r="H484" s="29"/>
      <c r="I484" s="29"/>
      <c r="J484" s="51"/>
      <c r="K484" s="47"/>
      <c r="L484" s="447"/>
      <c r="M484" s="489" t="s">
        <v>104</v>
      </c>
      <c r="N484" s="716"/>
      <c r="O484" s="186"/>
      <c r="P484" s="79"/>
      <c r="Q484" s="104"/>
      <c r="R484" s="13"/>
      <c r="S484" s="14"/>
      <c r="AG484" s="84" t="s">
        <v>1554</v>
      </c>
      <c r="AH484" s="84" t="s">
        <v>2189</v>
      </c>
      <c r="AL484">
        <f t="shared" si="215"/>
        <v>0</v>
      </c>
      <c r="AM484">
        <f t="shared" si="216"/>
        <v>0</v>
      </c>
      <c r="AN484">
        <f t="shared" si="199"/>
        <v>0</v>
      </c>
      <c r="AO484" t="s">
        <v>104</v>
      </c>
      <c r="AV484" t="str">
        <f>IF(F484&gt;0,(COUNT($AV$1:AV483)+1),"")</f>
        <v/>
      </c>
    </row>
    <row r="485" spans="1:48" ht="15" customHeight="1" x14ac:dyDescent="0.25">
      <c r="A485" s="1"/>
      <c r="B485" s="31">
        <v>15476</v>
      </c>
      <c r="C485" s="16">
        <v>4607078977782</v>
      </c>
      <c r="D485" s="154" t="s">
        <v>4321</v>
      </c>
      <c r="E485" s="69">
        <v>18</v>
      </c>
      <c r="F485" s="222"/>
      <c r="G485" s="108">
        <v>472.7</v>
      </c>
      <c r="H485" s="17">
        <v>498.5</v>
      </c>
      <c r="I485" s="18">
        <v>531.1</v>
      </c>
      <c r="J485" s="113" t="s">
        <v>18</v>
      </c>
      <c r="K485" s="44" t="s">
        <v>68</v>
      </c>
      <c r="L485" s="442"/>
      <c r="M485" s="480" t="s">
        <v>1856</v>
      </c>
      <c r="N485" s="1015" t="s">
        <v>1856</v>
      </c>
      <c r="O485" s="217"/>
      <c r="P485" s="68" t="s">
        <v>55</v>
      </c>
      <c r="Q485" s="103">
        <f>IF($AO$417=2,F485*H485,IF($AO$417=1,F485*G485,F485*I485))</f>
        <v>0</v>
      </c>
      <c r="R485" s="13" t="str">
        <f t="shared" ref="R485:R487" si="217">IF(AO485&gt;0,HYPERLINK(AO485,"Фото &gt;&gt;"),"")</f>
        <v>Фото &gt;&gt;</v>
      </c>
      <c r="S485" s="14" t="s">
        <v>73</v>
      </c>
      <c r="AG485" s="84" t="s">
        <v>1556</v>
      </c>
      <c r="AH485" s="84" t="s">
        <v>2190</v>
      </c>
      <c r="AK485">
        <v>0.1</v>
      </c>
      <c r="AL485">
        <f t="shared" si="215"/>
        <v>0</v>
      </c>
      <c r="AM485">
        <f t="shared" si="216"/>
        <v>0</v>
      </c>
      <c r="AN485">
        <f t="shared" si="199"/>
        <v>0</v>
      </c>
      <c r="AO485" t="s">
        <v>2506</v>
      </c>
      <c r="AV485" t="str">
        <f>IF(F485&gt;0,(COUNT($AV$1:AV484)+1),"")</f>
        <v/>
      </c>
    </row>
    <row r="486" spans="1:48" ht="15" customHeight="1" x14ac:dyDescent="0.25">
      <c r="A486" s="1"/>
      <c r="B486" s="30">
        <v>15478</v>
      </c>
      <c r="C486" s="20">
        <v>4607078977799</v>
      </c>
      <c r="D486" s="153" t="s">
        <v>4322</v>
      </c>
      <c r="E486" s="67">
        <v>18</v>
      </c>
      <c r="F486" s="222"/>
      <c r="G486" s="107">
        <v>698.7</v>
      </c>
      <c r="H486" s="21">
        <v>736.9</v>
      </c>
      <c r="I486" s="22">
        <v>786.3</v>
      </c>
      <c r="J486" s="112" t="s">
        <v>18</v>
      </c>
      <c r="K486" s="45" t="s">
        <v>68</v>
      </c>
      <c r="L486" s="437"/>
      <c r="M486" s="474" t="s">
        <v>1856</v>
      </c>
      <c r="N486" s="1013" t="s">
        <v>1856</v>
      </c>
      <c r="O486" s="212"/>
      <c r="P486" s="66" t="s">
        <v>55</v>
      </c>
      <c r="Q486" s="103">
        <f>IF($AO$417=2,F486*H486,IF($AO$417=1,F486*G486,F486*I486))</f>
        <v>0</v>
      </c>
      <c r="R486" s="13" t="str">
        <f t="shared" si="217"/>
        <v>Фото &gt;&gt;</v>
      </c>
      <c r="S486" s="14" t="s">
        <v>74</v>
      </c>
      <c r="AG486" s="84" t="s">
        <v>1557</v>
      </c>
      <c r="AH486" s="84" t="s">
        <v>2191</v>
      </c>
      <c r="AK486">
        <v>0.1</v>
      </c>
      <c r="AL486">
        <f t="shared" ref="AL486" si="218">F486*G486</f>
        <v>0</v>
      </c>
      <c r="AM486">
        <f t="shared" ref="AM486" si="219">F486*H486</f>
        <v>0</v>
      </c>
      <c r="AN486">
        <f t="shared" ref="AN486" si="220">AK486*F486+IF(E486&gt;1.01,F486/E486*0.2,0)</f>
        <v>0</v>
      </c>
      <c r="AO486" t="s">
        <v>4323</v>
      </c>
      <c r="AV486" t="str">
        <f>IF(F486&gt;0,(COUNT($AV$1:AV485)+1),"")</f>
        <v/>
      </c>
    </row>
    <row r="487" spans="1:48" ht="15" customHeight="1" x14ac:dyDescent="0.25">
      <c r="A487" s="1"/>
      <c r="B487" s="31">
        <v>13927</v>
      </c>
      <c r="C487" s="16">
        <v>4607078976082</v>
      </c>
      <c r="D487" s="154" t="s">
        <v>75</v>
      </c>
      <c r="E487" s="69">
        <v>21</v>
      </c>
      <c r="F487" s="222"/>
      <c r="G487" s="108">
        <v>233.3</v>
      </c>
      <c r="H487" s="17">
        <v>245</v>
      </c>
      <c r="I487" s="18">
        <v>257</v>
      </c>
      <c r="J487" s="113" t="s">
        <v>18</v>
      </c>
      <c r="K487" s="44" t="s">
        <v>68</v>
      </c>
      <c r="L487" s="442"/>
      <c r="M487" s="480" t="s">
        <v>1856</v>
      </c>
      <c r="N487" s="1015" t="s">
        <v>1856</v>
      </c>
      <c r="O487" s="217"/>
      <c r="P487" s="68" t="s">
        <v>50</v>
      </c>
      <c r="Q487" s="103">
        <f>IF($AO$417=2,F487*H487,IF($AO$417=1,F487*G487,F487*I487))</f>
        <v>0</v>
      </c>
      <c r="R487" s="13" t="str">
        <f t="shared" si="217"/>
        <v>Фото &gt;&gt;</v>
      </c>
      <c r="S487" s="14" t="s">
        <v>76</v>
      </c>
      <c r="AG487" s="84" t="s">
        <v>5544</v>
      </c>
      <c r="AH487" s="84" t="s">
        <v>2142</v>
      </c>
      <c r="AK487">
        <v>0.19</v>
      </c>
      <c r="AL487">
        <f t="shared" si="215"/>
        <v>0</v>
      </c>
      <c r="AM487">
        <f t="shared" si="216"/>
        <v>0</v>
      </c>
      <c r="AN487">
        <f t="shared" ref="AN487:AN498" si="221">AK487*F487+IF(E487&gt;1.01,F487/E487*0.2,0)</f>
        <v>0</v>
      </c>
      <c r="AO487" t="s">
        <v>4807</v>
      </c>
      <c r="AV487" t="str">
        <f>IF(F487&gt;0,(COUNT($AV$1:AV486)+1),"")</f>
        <v/>
      </c>
    </row>
    <row r="488" spans="1:48" ht="15" customHeight="1" x14ac:dyDescent="0.25">
      <c r="A488" s="1"/>
      <c r="B488" s="25"/>
      <c r="C488" s="26"/>
      <c r="D488" s="27" t="s">
        <v>77</v>
      </c>
      <c r="E488" s="80"/>
      <c r="F488" s="96"/>
      <c r="G488" s="28"/>
      <c r="H488" s="29"/>
      <c r="I488" s="29"/>
      <c r="J488" s="51"/>
      <c r="K488" s="47"/>
      <c r="L488" s="447"/>
      <c r="M488" s="489"/>
      <c r="N488" s="716"/>
      <c r="O488" s="186"/>
      <c r="P488" s="79"/>
      <c r="Q488" s="104"/>
      <c r="R488" s="13"/>
      <c r="S488" s="14"/>
      <c r="AL488">
        <f t="shared" si="215"/>
        <v>0</v>
      </c>
      <c r="AM488">
        <f t="shared" si="216"/>
        <v>0</v>
      </c>
      <c r="AN488">
        <f t="shared" si="221"/>
        <v>0</v>
      </c>
      <c r="AO488" t="s">
        <v>104</v>
      </c>
      <c r="AV488" t="str">
        <f>IF(F488&gt;0,(COUNT($AV$1:AV487)+1),"")</f>
        <v/>
      </c>
    </row>
    <row r="489" spans="1:48" ht="15" customHeight="1" x14ac:dyDescent="0.25">
      <c r="A489" s="1"/>
      <c r="B489" s="30">
        <v>13849</v>
      </c>
      <c r="C489" s="20">
        <v>4607078975276</v>
      </c>
      <c r="D489" s="225" t="s">
        <v>79</v>
      </c>
      <c r="E489" s="67">
        <v>18</v>
      </c>
      <c r="F489" s="222"/>
      <c r="G489" s="107">
        <v>101</v>
      </c>
      <c r="H489" s="21">
        <v>106.6</v>
      </c>
      <c r="I489" s="22">
        <v>116.9</v>
      </c>
      <c r="J489" s="112" t="s">
        <v>18</v>
      </c>
      <c r="K489" s="45" t="s">
        <v>78</v>
      </c>
      <c r="L489" s="437"/>
      <c r="M489" s="474" t="s">
        <v>1856</v>
      </c>
      <c r="N489" s="1013" t="s">
        <v>1856</v>
      </c>
      <c r="O489" s="209"/>
      <c r="P489" s="66" t="s">
        <v>20</v>
      </c>
      <c r="Q489" s="103">
        <f>IF($AO$417=2,F489*H489,IF($AO$417=1,F489*G489,F489*I489))</f>
        <v>0</v>
      </c>
      <c r="R489" s="13" t="str">
        <f t="shared" ref="R489:R490" si="222">IF(AO489&gt;0,HYPERLINK(AO489,"Фото &gt;&gt;"),"")</f>
        <v>Фото &gt;&gt;</v>
      </c>
      <c r="S489" s="14" t="s">
        <v>80</v>
      </c>
      <c r="AK489">
        <v>0.34</v>
      </c>
      <c r="AL489">
        <f t="shared" si="215"/>
        <v>0</v>
      </c>
      <c r="AM489">
        <f t="shared" si="216"/>
        <v>0</v>
      </c>
      <c r="AN489">
        <f t="shared" si="221"/>
        <v>0</v>
      </c>
      <c r="AO489" t="s">
        <v>5350</v>
      </c>
      <c r="AV489" t="str">
        <f>IF(F489&gt;0,(COUNT($AV$1:AV488)+1),"")</f>
        <v/>
      </c>
    </row>
    <row r="490" spans="1:48" ht="15" customHeight="1" x14ac:dyDescent="0.25">
      <c r="A490" s="1"/>
      <c r="B490" s="31">
        <v>13715</v>
      </c>
      <c r="C490" s="16">
        <v>4607078975269</v>
      </c>
      <c r="D490" s="154" t="s">
        <v>81</v>
      </c>
      <c r="E490" s="69">
        <v>18</v>
      </c>
      <c r="F490" s="222"/>
      <c r="G490" s="108">
        <v>81.3</v>
      </c>
      <c r="H490" s="17">
        <v>85.5</v>
      </c>
      <c r="I490" s="18">
        <v>93.5</v>
      </c>
      <c r="J490" s="113" t="s">
        <v>18</v>
      </c>
      <c r="K490" s="44" t="s">
        <v>78</v>
      </c>
      <c r="L490" s="442"/>
      <c r="M490" s="480" t="s">
        <v>1856</v>
      </c>
      <c r="N490" s="1015" t="s">
        <v>1856</v>
      </c>
      <c r="O490" s="217"/>
      <c r="P490" s="68" t="s">
        <v>20</v>
      </c>
      <c r="Q490" s="103">
        <f>IF($AO$417=2,F490*H490,IF($AO$417=1,F490*G490,F490*I490))</f>
        <v>0</v>
      </c>
      <c r="R490" s="13" t="str">
        <f t="shared" si="222"/>
        <v>Фото &gt;&gt;</v>
      </c>
      <c r="S490" s="14" t="s">
        <v>80</v>
      </c>
      <c r="AG490"/>
      <c r="AH490"/>
      <c r="AK490">
        <v>0.34</v>
      </c>
      <c r="AL490">
        <f t="shared" si="215"/>
        <v>0</v>
      </c>
      <c r="AM490">
        <f t="shared" si="216"/>
        <v>0</v>
      </c>
      <c r="AN490">
        <f t="shared" si="221"/>
        <v>0</v>
      </c>
      <c r="AO490" t="s">
        <v>5351</v>
      </c>
      <c r="AV490" t="str">
        <f>IF(F490&gt;0,(COUNT($AV$1:AV489)+1),"")</f>
        <v/>
      </c>
    </row>
    <row r="491" spans="1:48" ht="15" customHeight="1" x14ac:dyDescent="0.25">
      <c r="A491" s="1"/>
      <c r="B491" s="25"/>
      <c r="C491" s="26"/>
      <c r="D491" s="27" t="s">
        <v>83</v>
      </c>
      <c r="E491" s="80"/>
      <c r="F491" s="96"/>
      <c r="G491" s="28"/>
      <c r="H491" s="29"/>
      <c r="I491" s="29"/>
      <c r="J491" s="51"/>
      <c r="K491" s="47"/>
      <c r="L491" s="447"/>
      <c r="M491" s="489"/>
      <c r="N491" s="716"/>
      <c r="O491" s="186"/>
      <c r="P491" s="79"/>
      <c r="Q491" s="104"/>
      <c r="R491" s="13"/>
      <c r="S491" s="14"/>
      <c r="AG491"/>
      <c r="AH491"/>
      <c r="AL491">
        <f t="shared" si="215"/>
        <v>0</v>
      </c>
      <c r="AM491">
        <f t="shared" si="216"/>
        <v>0</v>
      </c>
      <c r="AN491">
        <f t="shared" si="221"/>
        <v>0</v>
      </c>
      <c r="AO491" t="s">
        <v>104</v>
      </c>
      <c r="AV491" t="str">
        <f>IF(F491&gt;0,(COUNT($AV$1:AV490)+1),"")</f>
        <v/>
      </c>
    </row>
    <row r="492" spans="1:48" ht="15" customHeight="1" x14ac:dyDescent="0.25">
      <c r="A492" s="1"/>
      <c r="B492" s="30">
        <v>12527</v>
      </c>
      <c r="C492" s="20">
        <v>4607078971681</v>
      </c>
      <c r="D492" s="225" t="s">
        <v>84</v>
      </c>
      <c r="E492" s="67">
        <v>14</v>
      </c>
      <c r="F492" s="222"/>
      <c r="G492" s="107">
        <v>68</v>
      </c>
      <c r="H492" s="21">
        <v>71.2</v>
      </c>
      <c r="I492" s="22">
        <v>73.3</v>
      </c>
      <c r="J492" s="112" t="s">
        <v>18</v>
      </c>
      <c r="K492" s="45" t="s">
        <v>85</v>
      </c>
      <c r="L492" s="437"/>
      <c r="M492" s="474" t="s">
        <v>1856</v>
      </c>
      <c r="N492" s="1013" t="s">
        <v>1856</v>
      </c>
      <c r="O492" s="212"/>
      <c r="P492" s="66" t="s">
        <v>72</v>
      </c>
      <c r="Q492" s="103">
        <f>IF($AO$417=2,F492*H492,IF($AO$417=1,F492*G492,F492*I492))</f>
        <v>0</v>
      </c>
      <c r="R492" s="13" t="str">
        <f t="shared" ref="R492:R496" si="223">IF(AO492&gt;0,HYPERLINK(AO492,"Фото &gt;&gt;"),"")</f>
        <v>Фото &gt;&gt;</v>
      </c>
      <c r="S492" s="14" t="s">
        <v>86</v>
      </c>
      <c r="AG492"/>
      <c r="AH492"/>
      <c r="AK492">
        <v>0.23</v>
      </c>
      <c r="AL492">
        <f t="shared" si="215"/>
        <v>0</v>
      </c>
      <c r="AM492">
        <f t="shared" si="216"/>
        <v>0</v>
      </c>
      <c r="AN492">
        <f t="shared" si="221"/>
        <v>0</v>
      </c>
      <c r="AO492" t="s">
        <v>3381</v>
      </c>
      <c r="AV492" t="str">
        <f>IF(F492&gt;0,(COUNT($AV$1:AV491)+1),"")</f>
        <v/>
      </c>
    </row>
    <row r="493" spans="1:48" ht="15" customHeight="1" x14ac:dyDescent="0.25">
      <c r="A493" s="1"/>
      <c r="B493" s="32">
        <v>14825</v>
      </c>
      <c r="C493" s="33">
        <v>4607078976891</v>
      </c>
      <c r="D493" s="227" t="s">
        <v>4462</v>
      </c>
      <c r="E493" s="71">
        <v>18</v>
      </c>
      <c r="F493" s="223"/>
      <c r="G493" s="109">
        <v>85.4</v>
      </c>
      <c r="H493" s="34">
        <v>89.7</v>
      </c>
      <c r="I493" s="35">
        <v>92.5</v>
      </c>
      <c r="J493" s="114" t="s">
        <v>18</v>
      </c>
      <c r="K493" s="57" t="s">
        <v>85</v>
      </c>
      <c r="L493" s="438"/>
      <c r="M493" s="484" t="s">
        <v>1856</v>
      </c>
      <c r="N493" s="1008" t="s">
        <v>1856</v>
      </c>
      <c r="O493" s="219"/>
      <c r="P493" s="70" t="s">
        <v>72</v>
      </c>
      <c r="Q493" s="103">
        <f>IF($AO$417=2,F493*H493,IF($AO$417=1,F493*G493,F493*I493))</f>
        <v>0</v>
      </c>
      <c r="R493" s="13" t="str">
        <f>IF(AO493&gt;0,HYPERLINK(AO493,"Фото &gt;&gt;"),"")</f>
        <v>Фото &gt;&gt;</v>
      </c>
      <c r="S493" s="14" t="s">
        <v>87</v>
      </c>
      <c r="AG493"/>
      <c r="AH493"/>
      <c r="AK493">
        <v>0.23</v>
      </c>
      <c r="AL493">
        <f t="shared" si="215"/>
        <v>0</v>
      </c>
      <c r="AM493">
        <f t="shared" si="216"/>
        <v>0</v>
      </c>
      <c r="AN493">
        <f t="shared" si="221"/>
        <v>0</v>
      </c>
      <c r="AO493" t="s">
        <v>5352</v>
      </c>
      <c r="AV493" t="str">
        <f>IF(F493&gt;0,(COUNT($AV$1:AV492)+1),"")</f>
        <v/>
      </c>
    </row>
    <row r="494" spans="1:48" ht="15" customHeight="1" x14ac:dyDescent="0.25">
      <c r="A494" s="1"/>
      <c r="B494" s="30">
        <v>11783</v>
      </c>
      <c r="C494" s="20">
        <v>4607078970912</v>
      </c>
      <c r="D494" s="225" t="s">
        <v>1766</v>
      </c>
      <c r="E494" s="67">
        <v>14</v>
      </c>
      <c r="F494" s="222"/>
      <c r="G494" s="107">
        <v>81.599999999999994</v>
      </c>
      <c r="H494" s="21">
        <v>85.7</v>
      </c>
      <c r="I494" s="22">
        <v>90</v>
      </c>
      <c r="J494" s="112" t="s">
        <v>18</v>
      </c>
      <c r="K494" s="45" t="s">
        <v>88</v>
      </c>
      <c r="L494" s="437"/>
      <c r="M494" s="474" t="s">
        <v>1856</v>
      </c>
      <c r="N494" s="1013" t="s">
        <v>1856</v>
      </c>
      <c r="O494" s="212"/>
      <c r="P494" s="66" t="s">
        <v>72</v>
      </c>
      <c r="Q494" s="103">
        <f>IF($AO$417=2,F494*H494,IF($AO$417=1,F494*G494,F494*I494))</f>
        <v>0</v>
      </c>
      <c r="R494" s="13" t="str">
        <f t="shared" si="223"/>
        <v>Фото &gt;&gt;</v>
      </c>
      <c r="S494" s="14" t="s">
        <v>89</v>
      </c>
      <c r="AG494"/>
      <c r="AH494"/>
      <c r="AK494">
        <v>0.18</v>
      </c>
      <c r="AL494">
        <f t="shared" si="215"/>
        <v>0</v>
      </c>
      <c r="AM494">
        <f t="shared" si="216"/>
        <v>0</v>
      </c>
      <c r="AN494">
        <f t="shared" si="221"/>
        <v>0</v>
      </c>
      <c r="AO494" t="s">
        <v>3382</v>
      </c>
      <c r="AV494" t="str">
        <f>IF(F494&gt;0,(COUNT($AV$1:AV493)+1),"")</f>
        <v/>
      </c>
    </row>
    <row r="495" spans="1:48" ht="15" customHeight="1" x14ac:dyDescent="0.25">
      <c r="A495" s="1"/>
      <c r="B495" s="32">
        <v>11826</v>
      </c>
      <c r="C495" s="33">
        <v>4607078970899</v>
      </c>
      <c r="D495" s="227" t="s">
        <v>1891</v>
      </c>
      <c r="E495" s="71">
        <v>14</v>
      </c>
      <c r="F495" s="223"/>
      <c r="G495" s="109">
        <v>91.5</v>
      </c>
      <c r="H495" s="34">
        <v>96.2</v>
      </c>
      <c r="I495" s="35">
        <v>101</v>
      </c>
      <c r="J495" s="114" t="s">
        <v>18</v>
      </c>
      <c r="K495" s="57" t="s">
        <v>88</v>
      </c>
      <c r="L495" s="438"/>
      <c r="M495" s="484" t="s">
        <v>1856</v>
      </c>
      <c r="N495" s="1008" t="s">
        <v>1856</v>
      </c>
      <c r="O495" s="219"/>
      <c r="P495" s="70" t="s">
        <v>72</v>
      </c>
      <c r="Q495" s="103">
        <f>IF($AO$417=2,F495*H495,IF($AO$417=1,F495*G495,F495*I495))</f>
        <v>0</v>
      </c>
      <c r="R495" s="13" t="str">
        <f>IF(AO495&gt;0,HYPERLINK(AO495,"Фото &gt;&gt;"),"")</f>
        <v>Фото &gt;&gt;</v>
      </c>
      <c r="S495" s="14" t="s">
        <v>89</v>
      </c>
      <c r="AG495"/>
      <c r="AH495"/>
      <c r="AK495">
        <v>0.23</v>
      </c>
      <c r="AL495">
        <f t="shared" si="215"/>
        <v>0</v>
      </c>
      <c r="AM495">
        <f t="shared" si="216"/>
        <v>0</v>
      </c>
      <c r="AN495">
        <f t="shared" si="221"/>
        <v>0</v>
      </c>
      <c r="AO495" t="s">
        <v>3383</v>
      </c>
      <c r="AV495" t="str">
        <f>IF(F495&gt;0,(COUNT($AV$1:AV494)+1),"")</f>
        <v/>
      </c>
    </row>
    <row r="496" spans="1:48" ht="15" customHeight="1" x14ac:dyDescent="0.25">
      <c r="A496" s="1"/>
      <c r="B496" s="30">
        <v>18062</v>
      </c>
      <c r="C496" s="20">
        <v>4630039321171</v>
      </c>
      <c r="D496" s="225" t="s">
        <v>90</v>
      </c>
      <c r="E496" s="67">
        <v>15</v>
      </c>
      <c r="F496" s="222"/>
      <c r="G496" s="107">
        <v>371.1</v>
      </c>
      <c r="H496" s="21">
        <v>389.6</v>
      </c>
      <c r="I496" s="22">
        <v>420.8</v>
      </c>
      <c r="J496" s="112" t="s">
        <v>18</v>
      </c>
      <c r="K496" s="45" t="s">
        <v>68</v>
      </c>
      <c r="L496" s="437"/>
      <c r="M496" s="474" t="s">
        <v>1856</v>
      </c>
      <c r="N496" s="1013" t="s">
        <v>1856</v>
      </c>
      <c r="O496" s="212"/>
      <c r="P496" s="66" t="s">
        <v>50</v>
      </c>
      <c r="Q496" s="103">
        <f>IF($AO$417=2,F496*H496,IF($AO$417=1,F496*G496,F496*I496))</f>
        <v>0</v>
      </c>
      <c r="R496" s="13" t="str">
        <f t="shared" si="223"/>
        <v>Фото &gt;&gt;</v>
      </c>
      <c r="S496" s="14" t="s">
        <v>1693</v>
      </c>
      <c r="AG496"/>
      <c r="AH496"/>
      <c r="AK496">
        <v>0.08</v>
      </c>
      <c r="AL496">
        <f t="shared" si="215"/>
        <v>0</v>
      </c>
      <c r="AM496">
        <f t="shared" si="216"/>
        <v>0</v>
      </c>
      <c r="AN496">
        <f t="shared" si="221"/>
        <v>0</v>
      </c>
      <c r="AO496" t="s">
        <v>2507</v>
      </c>
      <c r="AV496" t="str">
        <f>IF(F496&gt;0,(COUNT($AV$1:AV495)+1),"")</f>
        <v/>
      </c>
    </row>
    <row r="497" spans="1:48" ht="15" customHeight="1" x14ac:dyDescent="0.25">
      <c r="A497" s="1"/>
      <c r="B497" s="25"/>
      <c r="C497" s="26"/>
      <c r="D497" s="228" t="s">
        <v>91</v>
      </c>
      <c r="E497" s="80"/>
      <c r="F497" s="222"/>
      <c r="G497" s="28"/>
      <c r="H497" s="29"/>
      <c r="I497" s="29"/>
      <c r="J497" s="51"/>
      <c r="K497" s="47"/>
      <c r="L497" s="447"/>
      <c r="M497" s="489" t="s">
        <v>104</v>
      </c>
      <c r="N497" s="716"/>
      <c r="O497" s="186"/>
      <c r="P497" s="79"/>
      <c r="Q497" s="104"/>
      <c r="R497" s="13"/>
      <c r="S497" s="14"/>
      <c r="AG497"/>
      <c r="AH497"/>
      <c r="AL497">
        <f t="shared" si="215"/>
        <v>0</v>
      </c>
      <c r="AM497">
        <f t="shared" si="216"/>
        <v>0</v>
      </c>
      <c r="AN497">
        <f t="shared" si="221"/>
        <v>0</v>
      </c>
      <c r="AO497" t="s">
        <v>104</v>
      </c>
      <c r="AV497" t="str">
        <f>IF(F497&gt;0,(COUNT($AV$1:AV496)+1),"")</f>
        <v/>
      </c>
    </row>
    <row r="498" spans="1:48" ht="15" customHeight="1" x14ac:dyDescent="0.25">
      <c r="A498" s="1"/>
      <c r="B498" s="32">
        <v>17081</v>
      </c>
      <c r="C498" s="33">
        <v>4630039320280</v>
      </c>
      <c r="D498" s="227" t="s">
        <v>6763</v>
      </c>
      <c r="E498" s="71">
        <v>14</v>
      </c>
      <c r="F498" s="223"/>
      <c r="G498" s="109">
        <v>183.3</v>
      </c>
      <c r="H498" s="34">
        <v>192.7</v>
      </c>
      <c r="I498" s="35">
        <v>207.3</v>
      </c>
      <c r="J498" s="114" t="s">
        <v>18</v>
      </c>
      <c r="K498" s="57" t="s">
        <v>92</v>
      </c>
      <c r="L498" s="438"/>
      <c r="M498" s="484" t="s">
        <v>104</v>
      </c>
      <c r="N498" s="1008" t="s">
        <v>1856</v>
      </c>
      <c r="O498" s="219"/>
      <c r="P498" s="70" t="s">
        <v>72</v>
      </c>
      <c r="Q498" s="103">
        <f>IF($AO$417=2,F498*H498,IF($AO$417=1,F498*G498,F498*I498))</f>
        <v>0</v>
      </c>
      <c r="R498" s="13" t="str">
        <f t="shared" ref="R498:R511" si="224">IF(AO498&gt;0,HYPERLINK(AO498,"Фото &gt;&gt;"),"")</f>
        <v>Фото &gt;&gt;</v>
      </c>
      <c r="S498" s="14" t="s">
        <v>93</v>
      </c>
      <c r="AG498"/>
      <c r="AH498"/>
      <c r="AK498">
        <v>0.15</v>
      </c>
      <c r="AL498">
        <f t="shared" ref="AL498:AL499" si="225">F498*G498</f>
        <v>0</v>
      </c>
      <c r="AM498">
        <f t="shared" ref="AM498:AM499" si="226">F498*H498</f>
        <v>0</v>
      </c>
      <c r="AN498">
        <f t="shared" si="221"/>
        <v>0</v>
      </c>
      <c r="AO498" t="s">
        <v>4808</v>
      </c>
      <c r="AV498" t="str">
        <f>IF(F498&gt;0,(COUNT($AV$1:AV497)+1),"")</f>
        <v/>
      </c>
    </row>
    <row r="499" spans="1:48" ht="15" customHeight="1" x14ac:dyDescent="0.25">
      <c r="A499" s="1"/>
      <c r="B499" s="30">
        <v>17080</v>
      </c>
      <c r="C499" s="20">
        <v>4630039320297</v>
      </c>
      <c r="D499" s="225" t="s">
        <v>5937</v>
      </c>
      <c r="E499" s="67">
        <v>14</v>
      </c>
      <c r="F499" s="222"/>
      <c r="G499" s="107">
        <v>170.4</v>
      </c>
      <c r="H499" s="21">
        <v>178.9</v>
      </c>
      <c r="I499" s="22">
        <v>192.4</v>
      </c>
      <c r="J499" s="112" t="s">
        <v>18</v>
      </c>
      <c r="K499" s="45" t="s">
        <v>92</v>
      </c>
      <c r="L499" s="437"/>
      <c r="M499" s="474" t="s">
        <v>104</v>
      </c>
      <c r="N499" s="1013" t="s">
        <v>1856</v>
      </c>
      <c r="O499" s="212"/>
      <c r="P499" s="66" t="s">
        <v>72</v>
      </c>
      <c r="Q499" s="103">
        <f>IF($AO$417=2,F499*H499,IF($AO$417=1,F499*G499,F499*I499))</f>
        <v>0</v>
      </c>
      <c r="R499" s="13" t="str">
        <f t="shared" si="224"/>
        <v>Фото &gt;&gt;</v>
      </c>
      <c r="S499" s="14" t="s">
        <v>94</v>
      </c>
      <c r="AG499"/>
      <c r="AH499"/>
      <c r="AK499">
        <v>0.15</v>
      </c>
      <c r="AL499">
        <f t="shared" si="225"/>
        <v>0</v>
      </c>
      <c r="AM499">
        <f t="shared" si="226"/>
        <v>0</v>
      </c>
      <c r="AN499">
        <f t="shared" ref="AN499:AN504" si="227">AK499*F499+IF(E499&gt;1.01,F499/E499*0.2,0)</f>
        <v>0</v>
      </c>
      <c r="AO499" t="s">
        <v>3384</v>
      </c>
      <c r="AV499" t="str">
        <f>IF(F499&gt;0,(COUNT($AV$1:AV498)+1),"")</f>
        <v/>
      </c>
    </row>
    <row r="500" spans="1:48" ht="15" customHeight="1" x14ac:dyDescent="0.25">
      <c r="A500" s="1"/>
      <c r="B500" s="32">
        <v>17174</v>
      </c>
      <c r="C500" s="33">
        <v>4630039320266</v>
      </c>
      <c r="D500" s="227" t="s">
        <v>4702</v>
      </c>
      <c r="E500" s="71">
        <v>14</v>
      </c>
      <c r="F500" s="223"/>
      <c r="G500" s="109">
        <v>183.3</v>
      </c>
      <c r="H500" s="34">
        <v>192.7</v>
      </c>
      <c r="I500" s="35">
        <v>207.3</v>
      </c>
      <c r="J500" s="114" t="s">
        <v>18</v>
      </c>
      <c r="K500" s="57" t="s">
        <v>92</v>
      </c>
      <c r="L500" s="438"/>
      <c r="M500" s="484" t="s">
        <v>104</v>
      </c>
      <c r="N500" s="1008" t="s">
        <v>1856</v>
      </c>
      <c r="O500" s="219"/>
      <c r="P500" s="70" t="s">
        <v>72</v>
      </c>
      <c r="Q500" s="103">
        <f>IF($AO$417=2,F500*H500,IF($AO$417=1,F500*G500,F500*I500))</f>
        <v>0</v>
      </c>
      <c r="R500" s="13" t="str">
        <f t="shared" si="224"/>
        <v>Фото &gt;&gt;</v>
      </c>
      <c r="S500" s="14" t="s">
        <v>95</v>
      </c>
      <c r="AG500"/>
      <c r="AH500"/>
      <c r="AK500">
        <v>0.15</v>
      </c>
      <c r="AL500">
        <f t="shared" si="215"/>
        <v>0</v>
      </c>
      <c r="AM500">
        <f t="shared" si="216"/>
        <v>0</v>
      </c>
      <c r="AN500">
        <f t="shared" si="227"/>
        <v>0</v>
      </c>
      <c r="AO500" t="s">
        <v>2508</v>
      </c>
      <c r="AV500" t="str">
        <f>IF(F500&gt;0,(COUNT($AV$1:AV499)+1),"")</f>
        <v/>
      </c>
    </row>
    <row r="501" spans="1:48" ht="15" customHeight="1" x14ac:dyDescent="0.25">
      <c r="A501" s="1"/>
      <c r="B501" s="25"/>
      <c r="C501" s="26"/>
      <c r="D501" s="228" t="s">
        <v>4376</v>
      </c>
      <c r="E501" s="80"/>
      <c r="F501" s="222"/>
      <c r="G501" s="28"/>
      <c r="H501" s="29"/>
      <c r="I501" s="29"/>
      <c r="J501" s="51"/>
      <c r="K501" s="47"/>
      <c r="L501" s="447"/>
      <c r="M501" s="489" t="s">
        <v>104</v>
      </c>
      <c r="N501" s="716"/>
      <c r="O501" s="186"/>
      <c r="P501" s="79"/>
      <c r="Q501" s="104"/>
      <c r="R501" s="13"/>
      <c r="S501" s="14"/>
      <c r="AG501"/>
      <c r="AH501"/>
      <c r="AL501">
        <f t="shared" si="215"/>
        <v>0</v>
      </c>
      <c r="AM501">
        <f t="shared" si="216"/>
        <v>0</v>
      </c>
      <c r="AN501">
        <f t="shared" si="227"/>
        <v>0</v>
      </c>
      <c r="AO501" t="s">
        <v>104</v>
      </c>
      <c r="AV501" t="str">
        <f>IF(F501&gt;0,(COUNT($AV$1:AV500)+1),"")</f>
        <v/>
      </c>
    </row>
    <row r="502" spans="1:48" ht="15" customHeight="1" x14ac:dyDescent="0.25">
      <c r="A502" s="1"/>
      <c r="B502" s="31">
        <v>18215</v>
      </c>
      <c r="C502" s="16">
        <v>4630039322437</v>
      </c>
      <c r="D502" s="226" t="s">
        <v>4432</v>
      </c>
      <c r="E502" s="69">
        <v>40</v>
      </c>
      <c r="F502" s="222"/>
      <c r="G502" s="108">
        <v>94.1</v>
      </c>
      <c r="H502" s="17">
        <v>99</v>
      </c>
      <c r="I502" s="18">
        <v>103.3</v>
      </c>
      <c r="J502" s="113" t="s">
        <v>18</v>
      </c>
      <c r="K502" s="44" t="s">
        <v>97</v>
      </c>
      <c r="L502" s="442"/>
      <c r="M502" s="480"/>
      <c r="N502" s="1015" t="s">
        <v>1856</v>
      </c>
      <c r="O502" s="217"/>
      <c r="P502" s="68" t="s">
        <v>50</v>
      </c>
      <c r="Q502" s="103">
        <f>IF($AO$417=2,F502*H502,IF($AO$417=1,F502*G502,F502*I502))</f>
        <v>0</v>
      </c>
      <c r="R502" s="13" t="str">
        <f t="shared" si="224"/>
        <v>Фото &gt;&gt;</v>
      </c>
      <c r="S502" s="14" t="s">
        <v>2311</v>
      </c>
      <c r="AG502"/>
      <c r="AH502"/>
      <c r="AK502">
        <v>0.04</v>
      </c>
      <c r="AL502">
        <f t="shared" ref="AL502:AL519" si="228">F502*G502</f>
        <v>0</v>
      </c>
      <c r="AM502">
        <f t="shared" ref="AM502:AM519" si="229">F502*H502</f>
        <v>0</v>
      </c>
      <c r="AN502">
        <f t="shared" si="227"/>
        <v>0</v>
      </c>
      <c r="AO502" t="s">
        <v>2509</v>
      </c>
      <c r="AV502" t="str">
        <f>IF(F502&gt;0,(COUNT($AV$1:AV501)+1),"")</f>
        <v/>
      </c>
    </row>
    <row r="503" spans="1:48" ht="15" customHeight="1" x14ac:dyDescent="0.25">
      <c r="A503" s="1"/>
      <c r="B503" s="30">
        <v>18214</v>
      </c>
      <c r="C503" s="20">
        <v>4630039322420</v>
      </c>
      <c r="D503" s="225" t="s">
        <v>6764</v>
      </c>
      <c r="E503" s="67">
        <v>40</v>
      </c>
      <c r="F503" s="222"/>
      <c r="G503" s="107">
        <v>96</v>
      </c>
      <c r="H503" s="21">
        <v>100</v>
      </c>
      <c r="I503" s="22">
        <v>104.3</v>
      </c>
      <c r="J503" s="112" t="s">
        <v>18</v>
      </c>
      <c r="K503" s="45" t="s">
        <v>97</v>
      </c>
      <c r="L503" s="437"/>
      <c r="M503" s="474"/>
      <c r="N503" s="1013" t="s">
        <v>1856</v>
      </c>
      <c r="O503" s="212"/>
      <c r="P503" s="66" t="s">
        <v>50</v>
      </c>
      <c r="Q503" s="103">
        <f>IF($AO$417=2,F503*H503,IF($AO$417=1,F503*G503,F503*I503))</f>
        <v>0</v>
      </c>
      <c r="R503" s="13" t="str">
        <f t="shared" si="224"/>
        <v>Фото &gt;&gt;</v>
      </c>
      <c r="S503" s="14" t="s">
        <v>2310</v>
      </c>
      <c r="AG503"/>
      <c r="AH503"/>
      <c r="AK503">
        <v>0.04</v>
      </c>
      <c r="AL503">
        <f t="shared" si="228"/>
        <v>0</v>
      </c>
      <c r="AM503">
        <f t="shared" si="229"/>
        <v>0</v>
      </c>
      <c r="AN503">
        <f t="shared" si="227"/>
        <v>0</v>
      </c>
      <c r="AO503" t="s">
        <v>2510</v>
      </c>
      <c r="AV503" t="str">
        <f>IF(F503&gt;0,(COUNT($AV$1:AV502)+1),"")</f>
        <v/>
      </c>
    </row>
    <row r="504" spans="1:48" ht="15" customHeight="1" x14ac:dyDescent="0.25">
      <c r="A504" s="1"/>
      <c r="B504" s="25"/>
      <c r="C504" s="26"/>
      <c r="D504" s="27" t="s">
        <v>98</v>
      </c>
      <c r="E504" s="80"/>
      <c r="F504" s="96"/>
      <c r="G504" s="28"/>
      <c r="H504" s="29"/>
      <c r="I504" s="29"/>
      <c r="J504" s="51"/>
      <c r="K504" s="47"/>
      <c r="L504" s="447"/>
      <c r="M504" s="489"/>
      <c r="N504" s="716"/>
      <c r="O504" s="186"/>
      <c r="P504" s="79"/>
      <c r="Q504" s="104"/>
      <c r="R504" s="13"/>
      <c r="S504" s="14"/>
      <c r="AL504">
        <f t="shared" ref="AL504" si="230">F504*G504</f>
        <v>0</v>
      </c>
      <c r="AM504">
        <f t="shared" ref="AM504" si="231">F504*H504</f>
        <v>0</v>
      </c>
      <c r="AN504">
        <f t="shared" si="227"/>
        <v>0</v>
      </c>
      <c r="AO504" t="s">
        <v>104</v>
      </c>
      <c r="AV504" t="str">
        <f>IF(F504&gt;0,(COUNT($AV$1:AV503)+1),"")</f>
        <v/>
      </c>
    </row>
    <row r="505" spans="1:48" ht="15" customHeight="1" x14ac:dyDescent="0.25">
      <c r="A505" s="1"/>
      <c r="B505" s="30">
        <v>17737</v>
      </c>
      <c r="C505" s="20">
        <v>4630039320891</v>
      </c>
      <c r="D505" s="225" t="s">
        <v>2041</v>
      </c>
      <c r="E505" s="67">
        <v>14</v>
      </c>
      <c r="F505" s="222"/>
      <c r="G505" s="107">
        <v>120.1</v>
      </c>
      <c r="H505" s="21">
        <v>125.9</v>
      </c>
      <c r="I505" s="22">
        <v>130.6</v>
      </c>
      <c r="J505" s="112" t="s">
        <v>18</v>
      </c>
      <c r="K505" s="45" t="s">
        <v>101</v>
      </c>
      <c r="L505" s="437"/>
      <c r="M505" s="474" t="s">
        <v>1856</v>
      </c>
      <c r="N505" s="1013" t="s">
        <v>1856</v>
      </c>
      <c r="O505" s="212"/>
      <c r="P505" s="66" t="s">
        <v>20</v>
      </c>
      <c r="Q505" s="103">
        <f>IF($AO$417=2,F505*H505,IF($AO$417=1,F505*G505,F505*I505))</f>
        <v>0</v>
      </c>
      <c r="R505" s="13" t="str">
        <f t="shared" si="224"/>
        <v>Фото &gt;&gt;</v>
      </c>
      <c r="S505" s="14" t="s">
        <v>102</v>
      </c>
      <c r="AG505"/>
      <c r="AH505"/>
      <c r="AK505">
        <v>0.27</v>
      </c>
      <c r="AL505">
        <f t="shared" ref="AL505:AL506" si="232">F505*G505</f>
        <v>0</v>
      </c>
      <c r="AM505">
        <f t="shared" ref="AM505:AM506" si="233">F505*H505</f>
        <v>0</v>
      </c>
      <c r="AN505">
        <f t="shared" ref="AN505:AN506" si="234">AK505*F505+IF(E505&gt;1.01,F505/E505*0.2,0)</f>
        <v>0</v>
      </c>
      <c r="AO505" t="s">
        <v>3385</v>
      </c>
      <c r="AV505" t="str">
        <f>IF(F505&gt;0,(COUNT($AV$1:AV504)+1),"")</f>
        <v/>
      </c>
    </row>
    <row r="506" spans="1:48" ht="15" customHeight="1" x14ac:dyDescent="0.25">
      <c r="A506" s="1"/>
      <c r="B506" s="31">
        <v>17736</v>
      </c>
      <c r="C506" s="16">
        <v>4630039320884</v>
      </c>
      <c r="D506" s="226" t="s">
        <v>103</v>
      </c>
      <c r="E506" s="69">
        <v>14</v>
      </c>
      <c r="F506" s="222"/>
      <c r="G506" s="108">
        <v>79.7</v>
      </c>
      <c r="H506" s="17">
        <v>83.2</v>
      </c>
      <c r="I506" s="18">
        <v>87.3</v>
      </c>
      <c r="J506" s="113" t="s">
        <v>18</v>
      </c>
      <c r="K506" s="44" t="s">
        <v>101</v>
      </c>
      <c r="L506" s="442"/>
      <c r="M506" s="480" t="s">
        <v>1856</v>
      </c>
      <c r="N506" s="1015" t="s">
        <v>1856</v>
      </c>
      <c r="O506" s="217"/>
      <c r="P506" s="68" t="s">
        <v>20</v>
      </c>
      <c r="Q506" s="103">
        <f>IF($AO$417=2,F506*H506,IF($AO$417=1,F506*G506,F506*I506))</f>
        <v>0</v>
      </c>
      <c r="R506" s="13" t="str">
        <f t="shared" si="224"/>
        <v>Фото &gt;&gt;</v>
      </c>
      <c r="S506" s="14" t="s">
        <v>2181</v>
      </c>
      <c r="AG506"/>
      <c r="AH506"/>
      <c r="AK506">
        <v>0.27</v>
      </c>
      <c r="AL506">
        <f t="shared" si="232"/>
        <v>0</v>
      </c>
      <c r="AM506">
        <f t="shared" si="233"/>
        <v>0</v>
      </c>
      <c r="AN506">
        <f t="shared" si="234"/>
        <v>0</v>
      </c>
      <c r="AO506" t="s">
        <v>3386</v>
      </c>
      <c r="AV506" t="str">
        <f>IF(F506&gt;0,(COUNT($AV$1:AV505)+1),"")</f>
        <v/>
      </c>
    </row>
    <row r="507" spans="1:48" ht="15" customHeight="1" x14ac:dyDescent="0.25">
      <c r="A507" s="1"/>
      <c r="B507" s="30">
        <v>18264</v>
      </c>
      <c r="C507" s="20">
        <v>4630039321898</v>
      </c>
      <c r="D507" s="225" t="s">
        <v>5956</v>
      </c>
      <c r="E507" s="324">
        <v>10</v>
      </c>
      <c r="F507" s="222"/>
      <c r="G507" s="107">
        <v>48.7</v>
      </c>
      <c r="H507" s="21">
        <v>52.8</v>
      </c>
      <c r="I507" s="22">
        <v>56.8</v>
      </c>
      <c r="J507" s="112" t="s">
        <v>18</v>
      </c>
      <c r="K507" s="45" t="s">
        <v>101</v>
      </c>
      <c r="L507" s="437"/>
      <c r="M507" s="474" t="s">
        <v>1856</v>
      </c>
      <c r="N507" s="1013" t="s">
        <v>1856</v>
      </c>
      <c r="O507" s="212" t="s">
        <v>2097</v>
      </c>
      <c r="P507" s="66" t="s">
        <v>20</v>
      </c>
      <c r="Q507" s="103">
        <f>IF($AO$417=2,F507*H507,IF($AO$417=1,F507*G507,F507*I507))</f>
        <v>0</v>
      </c>
      <c r="R507" s="13" t="str">
        <f t="shared" si="224"/>
        <v>Фото &gt;&gt;</v>
      </c>
      <c r="S507" s="14" t="s">
        <v>2312</v>
      </c>
      <c r="AG507"/>
      <c r="AH507"/>
      <c r="AK507">
        <v>0.03</v>
      </c>
      <c r="AL507">
        <f t="shared" si="228"/>
        <v>0</v>
      </c>
      <c r="AM507">
        <f t="shared" si="229"/>
        <v>0</v>
      </c>
      <c r="AN507">
        <f t="shared" ref="AN507:AN520" si="235">AK507*F507+IF(E507&gt;1.01,F507/E507*0.2,0)</f>
        <v>0</v>
      </c>
      <c r="AO507" t="s">
        <v>2511</v>
      </c>
      <c r="AV507" t="str">
        <f>IF(F507&gt;0,(COUNT($AV$1:AV506)+1),"")</f>
        <v/>
      </c>
    </row>
    <row r="508" spans="1:48" ht="15" customHeight="1" x14ac:dyDescent="0.25">
      <c r="A508" s="1"/>
      <c r="B508" s="31">
        <v>18515</v>
      </c>
      <c r="C508" s="16">
        <v>4630039322871</v>
      </c>
      <c r="D508" s="226" t="s">
        <v>7329</v>
      </c>
      <c r="E508" s="86">
        <v>10</v>
      </c>
      <c r="F508" s="222"/>
      <c r="G508" s="108">
        <v>38.700000000000003</v>
      </c>
      <c r="H508" s="17">
        <v>40.799999999999997</v>
      </c>
      <c r="I508" s="18">
        <v>45.3</v>
      </c>
      <c r="J508" s="113" t="s">
        <v>18</v>
      </c>
      <c r="K508" s="44" t="s">
        <v>101</v>
      </c>
      <c r="L508" s="442"/>
      <c r="M508" s="480" t="s">
        <v>1856</v>
      </c>
      <c r="N508" s="1015" t="s">
        <v>1856</v>
      </c>
      <c r="O508" s="217" t="s">
        <v>2097</v>
      </c>
      <c r="P508" s="68" t="s">
        <v>20</v>
      </c>
      <c r="Q508" s="103">
        <f>IF($AO$417=2,F508*H508,IF($AO$417=1,F508*G508,F508*I508))</f>
        <v>0</v>
      </c>
      <c r="R508" s="13" t="str">
        <f t="shared" si="224"/>
        <v>Фото &gt;&gt;</v>
      </c>
      <c r="S508" s="14" t="s">
        <v>2313</v>
      </c>
      <c r="AK508">
        <v>0.03</v>
      </c>
      <c r="AL508">
        <f t="shared" si="228"/>
        <v>0</v>
      </c>
      <c r="AM508">
        <f t="shared" si="229"/>
        <v>0</v>
      </c>
      <c r="AN508">
        <f t="shared" si="235"/>
        <v>0</v>
      </c>
      <c r="AO508" t="s">
        <v>2512</v>
      </c>
      <c r="AV508" t="str">
        <f>IF(F508&gt;0,(COUNT($AV$1:AV507)+1),"")</f>
        <v/>
      </c>
    </row>
    <row r="509" spans="1:48" ht="15" customHeight="1" x14ac:dyDescent="0.25">
      <c r="A509" s="1"/>
      <c r="B509" s="30">
        <v>18516</v>
      </c>
      <c r="C509" s="20">
        <v>4630039322833</v>
      </c>
      <c r="D509" s="225" t="s">
        <v>6765</v>
      </c>
      <c r="E509" s="324">
        <v>10</v>
      </c>
      <c r="F509" s="222"/>
      <c r="G509" s="107">
        <v>38.700000000000003</v>
      </c>
      <c r="H509" s="21">
        <v>40.799999999999997</v>
      </c>
      <c r="I509" s="22">
        <v>45.3</v>
      </c>
      <c r="J509" s="112" t="s">
        <v>18</v>
      </c>
      <c r="K509" s="45" t="s">
        <v>101</v>
      </c>
      <c r="L509" s="437"/>
      <c r="M509" s="474" t="s">
        <v>1856</v>
      </c>
      <c r="N509" s="1013" t="s">
        <v>1856</v>
      </c>
      <c r="O509" s="212" t="s">
        <v>2097</v>
      </c>
      <c r="P509" s="66" t="s">
        <v>20</v>
      </c>
      <c r="Q509" s="103">
        <f>IF($AO$417=2,F509*H509,IF($AO$417=1,F509*G509,F509*I509))</f>
        <v>0</v>
      </c>
      <c r="R509" s="13" t="str">
        <f t="shared" si="224"/>
        <v>Фото &gt;&gt;</v>
      </c>
      <c r="S509" s="14" t="s">
        <v>2314</v>
      </c>
      <c r="AG509"/>
      <c r="AH509"/>
      <c r="AK509">
        <v>0.03</v>
      </c>
      <c r="AL509">
        <f t="shared" si="228"/>
        <v>0</v>
      </c>
      <c r="AM509">
        <f t="shared" si="229"/>
        <v>0</v>
      </c>
      <c r="AN509">
        <f t="shared" si="235"/>
        <v>0</v>
      </c>
      <c r="AO509" t="s">
        <v>2513</v>
      </c>
      <c r="AV509" t="str">
        <f>IF(F509&gt;0,(COUNT($AV$1:AV508)+1),"")</f>
        <v/>
      </c>
    </row>
    <row r="510" spans="1:48" ht="15" customHeight="1" x14ac:dyDescent="0.25">
      <c r="A510" s="1"/>
      <c r="B510" s="25"/>
      <c r="C510" s="26"/>
      <c r="D510" s="27" t="s">
        <v>106</v>
      </c>
      <c r="E510" s="80"/>
      <c r="F510" s="96"/>
      <c r="G510" s="28"/>
      <c r="H510" s="29"/>
      <c r="I510" s="29"/>
      <c r="J510" s="51"/>
      <c r="K510" s="47"/>
      <c r="L510" s="447"/>
      <c r="M510" s="489"/>
      <c r="N510" s="716"/>
      <c r="O510" s="186"/>
      <c r="P510" s="79"/>
      <c r="Q510" s="104"/>
      <c r="R510" s="13"/>
      <c r="S510" s="14"/>
      <c r="AL510">
        <f t="shared" si="228"/>
        <v>0</v>
      </c>
      <c r="AM510">
        <f t="shared" si="229"/>
        <v>0</v>
      </c>
      <c r="AN510">
        <f t="shared" si="235"/>
        <v>0</v>
      </c>
      <c r="AO510" t="s">
        <v>104</v>
      </c>
      <c r="AV510" t="str">
        <f>IF(F510&gt;0,(COUNT($AV$1:AV509)+1),"")</f>
        <v/>
      </c>
    </row>
    <row r="511" spans="1:48" ht="15" customHeight="1" x14ac:dyDescent="0.25">
      <c r="A511" s="1"/>
      <c r="B511" s="31">
        <v>16281</v>
      </c>
      <c r="C511" s="16">
        <v>4607078979427</v>
      </c>
      <c r="D511" s="226" t="s">
        <v>4420</v>
      </c>
      <c r="E511" s="69">
        <v>9</v>
      </c>
      <c r="F511" s="222"/>
      <c r="G511" s="108">
        <v>258.60000000000002</v>
      </c>
      <c r="H511" s="17">
        <v>273.89999999999998</v>
      </c>
      <c r="I511" s="18">
        <v>289.5</v>
      </c>
      <c r="J511" s="113" t="s">
        <v>18</v>
      </c>
      <c r="K511" s="44" t="s">
        <v>106</v>
      </c>
      <c r="L511" s="442"/>
      <c r="M511" s="480" t="s">
        <v>104</v>
      </c>
      <c r="N511" s="1015" t="s">
        <v>1856</v>
      </c>
      <c r="O511" s="210"/>
      <c r="P511" s="68" t="s">
        <v>20</v>
      </c>
      <c r="Q511" s="103">
        <f>IF($AO$417=2,F511*H511,IF($AO$417=1,F511*G511,F511*I511))</f>
        <v>0</v>
      </c>
      <c r="R511" s="13" t="str">
        <f t="shared" si="224"/>
        <v>Фото &gt;&gt;</v>
      </c>
      <c r="S511" s="14" t="s">
        <v>107</v>
      </c>
      <c r="AK511">
        <v>0.35</v>
      </c>
      <c r="AL511">
        <f t="shared" si="228"/>
        <v>0</v>
      </c>
      <c r="AM511">
        <f t="shared" si="229"/>
        <v>0</v>
      </c>
      <c r="AN511">
        <f t="shared" si="235"/>
        <v>0</v>
      </c>
      <c r="AO511" t="s">
        <v>5353</v>
      </c>
      <c r="AV511" t="str">
        <f>IF(F511&gt;0,(COUNT($AV$1:AV510)+1),"")</f>
        <v/>
      </c>
    </row>
    <row r="512" spans="1:48" ht="15" customHeight="1" x14ac:dyDescent="0.25">
      <c r="A512" s="1"/>
      <c r="B512" s="30">
        <v>16118</v>
      </c>
      <c r="C512" s="20">
        <v>4607078978932</v>
      </c>
      <c r="D512" s="421" t="s">
        <v>6795</v>
      </c>
      <c r="E512" s="67">
        <v>9</v>
      </c>
      <c r="F512" s="222"/>
      <c r="G512" s="107">
        <v>285.7</v>
      </c>
      <c r="H512" s="21">
        <v>301.3</v>
      </c>
      <c r="I512" s="22">
        <v>317.7</v>
      </c>
      <c r="J512" s="112" t="s">
        <v>18</v>
      </c>
      <c r="K512" s="45" t="s">
        <v>106</v>
      </c>
      <c r="L512" s="437"/>
      <c r="M512" s="474" t="s">
        <v>1856</v>
      </c>
      <c r="N512" s="1013" t="s">
        <v>1856</v>
      </c>
      <c r="O512" s="209" t="s">
        <v>5594</v>
      </c>
      <c r="P512" s="66" t="s">
        <v>20</v>
      </c>
      <c r="Q512" s="103">
        <f>IF($AO$417=2,F512*H512,IF($AO$417=1,F512*G512,F512*I512))</f>
        <v>0</v>
      </c>
      <c r="R512" s="13" t="str">
        <f t="shared" ref="R512:R520" si="236">IF(AO512&gt;0,HYPERLINK(AO512,"Фото &gt;&gt;"),"")</f>
        <v>Фото &gt;&gt;</v>
      </c>
      <c r="S512" s="14" t="s">
        <v>6793</v>
      </c>
      <c r="AK512">
        <v>0.35</v>
      </c>
      <c r="AL512">
        <f t="shared" ref="AL512:AL514" si="237">F512*G512</f>
        <v>0</v>
      </c>
      <c r="AM512">
        <f t="shared" ref="AM512:AM514" si="238">F512*H512</f>
        <v>0</v>
      </c>
      <c r="AN512">
        <f t="shared" ref="AN512:AN514" si="239">AK512*F512+IF(E512&gt;1.01,F512/E512*0.2,0)</f>
        <v>0</v>
      </c>
      <c r="AO512" t="s">
        <v>6794</v>
      </c>
      <c r="AV512" t="str">
        <f>IF(F512&gt;0,(COUNT($AV$1:AV511)+1),"")</f>
        <v/>
      </c>
    </row>
    <row r="513" spans="1:48" ht="15" customHeight="1" x14ac:dyDescent="0.25">
      <c r="A513" s="1"/>
      <c r="B513" s="25"/>
      <c r="C513" s="26"/>
      <c r="D513" s="27" t="s">
        <v>108</v>
      </c>
      <c r="E513" s="80"/>
      <c r="F513" s="96"/>
      <c r="G513" s="28"/>
      <c r="H513" s="29"/>
      <c r="I513" s="29"/>
      <c r="J513" s="51"/>
      <c r="K513" s="47"/>
      <c r="L513" s="447"/>
      <c r="M513" s="489"/>
      <c r="N513" s="716"/>
      <c r="O513" s="186"/>
      <c r="P513" s="79"/>
      <c r="Q513" s="104"/>
      <c r="R513" s="13"/>
      <c r="S513" s="14"/>
      <c r="AL513">
        <f t="shared" si="237"/>
        <v>0</v>
      </c>
      <c r="AM513">
        <f t="shared" si="238"/>
        <v>0</v>
      </c>
      <c r="AN513">
        <f t="shared" si="239"/>
        <v>0</v>
      </c>
      <c r="AO513" t="s">
        <v>104</v>
      </c>
      <c r="AV513" t="str">
        <f>IF(F513&gt;0,(COUNT($AV$1:AV512)+1),"")</f>
        <v/>
      </c>
    </row>
    <row r="514" spans="1:48" ht="15" customHeight="1" x14ac:dyDescent="0.25">
      <c r="A514" s="1"/>
      <c r="B514" s="31">
        <v>11582</v>
      </c>
      <c r="C514" s="16">
        <v>4607078971131</v>
      </c>
      <c r="D514" s="226" t="s">
        <v>109</v>
      </c>
      <c r="E514" s="323">
        <v>10</v>
      </c>
      <c r="F514" s="222"/>
      <c r="G514" s="108">
        <v>54.7</v>
      </c>
      <c r="H514" s="17">
        <v>59.9</v>
      </c>
      <c r="I514" s="18">
        <v>62</v>
      </c>
      <c r="J514" s="113" t="s">
        <v>18</v>
      </c>
      <c r="K514" s="44" t="s">
        <v>110</v>
      </c>
      <c r="L514" s="442"/>
      <c r="M514" s="480" t="s">
        <v>104</v>
      </c>
      <c r="N514" s="1015" t="s">
        <v>1856</v>
      </c>
      <c r="O514" s="217" t="s">
        <v>1563</v>
      </c>
      <c r="P514" s="68" t="s">
        <v>20</v>
      </c>
      <c r="Q514" s="103">
        <f t="shared" ref="Q514:Q520" si="240">IF($AO$417=2,F514*H514,IF($AO$417=1,F514*G514,F514*I514))</f>
        <v>0</v>
      </c>
      <c r="R514" s="13" t="str">
        <f t="shared" si="236"/>
        <v>Фото &gt;&gt;</v>
      </c>
      <c r="S514" s="14" t="s">
        <v>111</v>
      </c>
      <c r="V514" s="4"/>
      <c r="AK514">
        <v>0.17</v>
      </c>
      <c r="AL514">
        <f t="shared" si="237"/>
        <v>0</v>
      </c>
      <c r="AM514">
        <f t="shared" si="238"/>
        <v>0</v>
      </c>
      <c r="AN514">
        <f t="shared" si="239"/>
        <v>0</v>
      </c>
      <c r="AO514" t="s">
        <v>3387</v>
      </c>
      <c r="AV514" t="str">
        <f>IF(F514&gt;0,(COUNT($AV$1:AV513)+1),"")</f>
        <v/>
      </c>
    </row>
    <row r="515" spans="1:48" ht="15" customHeight="1" x14ac:dyDescent="0.25">
      <c r="A515" s="1"/>
      <c r="B515" s="30">
        <v>11583</v>
      </c>
      <c r="C515" s="149">
        <v>4607078971155</v>
      </c>
      <c r="D515" s="225" t="s">
        <v>112</v>
      </c>
      <c r="E515" s="324">
        <v>10</v>
      </c>
      <c r="F515" s="222"/>
      <c r="G515" s="107">
        <v>54.7</v>
      </c>
      <c r="H515" s="21">
        <v>59.9</v>
      </c>
      <c r="I515" s="22">
        <v>62</v>
      </c>
      <c r="J515" s="112" t="s">
        <v>18</v>
      </c>
      <c r="K515" s="45" t="s">
        <v>110</v>
      </c>
      <c r="L515" s="437"/>
      <c r="M515" s="474" t="s">
        <v>104</v>
      </c>
      <c r="N515" s="1013" t="s">
        <v>1856</v>
      </c>
      <c r="O515" s="212" t="s">
        <v>1563</v>
      </c>
      <c r="P515" s="66" t="s">
        <v>20</v>
      </c>
      <c r="Q515" s="103">
        <f t="shared" si="240"/>
        <v>0</v>
      </c>
      <c r="R515" s="13" t="str">
        <f t="shared" si="236"/>
        <v>Фото &gt;&gt;</v>
      </c>
      <c r="S515" s="14" t="s">
        <v>1675</v>
      </c>
      <c r="AK515">
        <v>0.17</v>
      </c>
      <c r="AL515">
        <f t="shared" si="228"/>
        <v>0</v>
      </c>
      <c r="AM515">
        <f t="shared" si="229"/>
        <v>0</v>
      </c>
      <c r="AN515">
        <f t="shared" si="235"/>
        <v>0</v>
      </c>
      <c r="AO515" t="s">
        <v>3388</v>
      </c>
      <c r="AV515" t="str">
        <f>IF(F515&gt;0,(COUNT($AV$1:AV514)+1),"")</f>
        <v/>
      </c>
    </row>
    <row r="516" spans="1:48" ht="15" customHeight="1" x14ac:dyDescent="0.25">
      <c r="A516" s="1"/>
      <c r="B516" s="31">
        <v>16349</v>
      </c>
      <c r="C516" s="16">
        <v>4607078979373</v>
      </c>
      <c r="D516" s="422" t="s">
        <v>6796</v>
      </c>
      <c r="E516" s="69">
        <v>9</v>
      </c>
      <c r="F516" s="222"/>
      <c r="G516" s="108">
        <v>184.6</v>
      </c>
      <c r="H516" s="17">
        <v>195.7</v>
      </c>
      <c r="I516" s="18">
        <v>203.6</v>
      </c>
      <c r="J516" s="113" t="s">
        <v>18</v>
      </c>
      <c r="K516" s="44" t="s">
        <v>110</v>
      </c>
      <c r="L516" s="442"/>
      <c r="M516" s="480" t="s">
        <v>1856</v>
      </c>
      <c r="N516" s="1015" t="s">
        <v>1856</v>
      </c>
      <c r="O516" s="210" t="s">
        <v>5594</v>
      </c>
      <c r="P516" s="68" t="s">
        <v>20</v>
      </c>
      <c r="Q516" s="103">
        <f t="shared" si="240"/>
        <v>0</v>
      </c>
      <c r="R516" s="13" t="str">
        <f t="shared" si="236"/>
        <v>Фото &gt;&gt;</v>
      </c>
      <c r="S516" s="14" t="s">
        <v>6791</v>
      </c>
      <c r="V516" s="4"/>
      <c r="AK516">
        <v>0.3</v>
      </c>
      <c r="AL516">
        <f t="shared" ref="AL516:AL518" si="241">F516*G516</f>
        <v>0</v>
      </c>
      <c r="AM516">
        <f t="shared" ref="AM516:AM518" si="242">F516*H516</f>
        <v>0</v>
      </c>
      <c r="AN516">
        <f t="shared" ref="AN516:AN518" si="243">AK516*F516+IF(E516&gt;1.01,F516/E516*0.2,0)</f>
        <v>0</v>
      </c>
      <c r="AO516" t="s">
        <v>6792</v>
      </c>
      <c r="AV516" t="str">
        <f>IF(F516&gt;0,(COUNT($AV$1:AV515)+1),"")</f>
        <v/>
      </c>
    </row>
    <row r="517" spans="1:48" ht="15" customHeight="1" x14ac:dyDescent="0.25">
      <c r="A517" s="1"/>
      <c r="B517" s="30">
        <v>16350</v>
      </c>
      <c r="C517" s="20">
        <v>4607078979410</v>
      </c>
      <c r="D517" s="153" t="s">
        <v>4421</v>
      </c>
      <c r="E517" s="67">
        <v>9</v>
      </c>
      <c r="F517" s="222"/>
      <c r="G517" s="107">
        <v>163.80000000000001</v>
      </c>
      <c r="H517" s="21">
        <v>172.8</v>
      </c>
      <c r="I517" s="22">
        <v>182.4</v>
      </c>
      <c r="J517" s="112" t="s">
        <v>18</v>
      </c>
      <c r="K517" s="45" t="s">
        <v>110</v>
      </c>
      <c r="L517" s="437"/>
      <c r="M517" s="474" t="s">
        <v>104</v>
      </c>
      <c r="N517" s="1013" t="s">
        <v>1856</v>
      </c>
      <c r="O517" s="212"/>
      <c r="P517" s="66" t="s">
        <v>20</v>
      </c>
      <c r="Q517" s="103">
        <f t="shared" si="240"/>
        <v>0</v>
      </c>
      <c r="R517" s="13" t="str">
        <f t="shared" si="236"/>
        <v>Фото &gt;&gt;</v>
      </c>
      <c r="S517" s="14" t="s">
        <v>113</v>
      </c>
      <c r="AK517">
        <v>0.3</v>
      </c>
      <c r="AL517">
        <f t="shared" si="241"/>
        <v>0</v>
      </c>
      <c r="AM517">
        <f t="shared" si="242"/>
        <v>0</v>
      </c>
      <c r="AN517">
        <f t="shared" si="243"/>
        <v>0</v>
      </c>
      <c r="AO517" t="s">
        <v>5354</v>
      </c>
      <c r="AV517" t="str">
        <f>IF(F517&gt;0,(COUNT($AV$1:AV516)+1),"")</f>
        <v/>
      </c>
    </row>
    <row r="518" spans="1:48" ht="15" customHeight="1" x14ac:dyDescent="0.25">
      <c r="A518" s="1"/>
      <c r="B518" s="31">
        <v>16351</v>
      </c>
      <c r="C518" s="16">
        <v>4607078979359</v>
      </c>
      <c r="D518" s="154" t="s">
        <v>4422</v>
      </c>
      <c r="E518" s="69">
        <v>9</v>
      </c>
      <c r="F518" s="222"/>
      <c r="G518" s="108">
        <v>217.4</v>
      </c>
      <c r="H518" s="17">
        <v>230.2</v>
      </c>
      <c r="I518" s="18">
        <v>241.3</v>
      </c>
      <c r="J518" s="113" t="s">
        <v>18</v>
      </c>
      <c r="K518" s="44" t="s">
        <v>110</v>
      </c>
      <c r="L518" s="442"/>
      <c r="M518" s="480" t="s">
        <v>1856</v>
      </c>
      <c r="N518" s="1015" t="s">
        <v>1856</v>
      </c>
      <c r="O518" s="217"/>
      <c r="P518" s="68" t="s">
        <v>20</v>
      </c>
      <c r="Q518" s="103">
        <f t="shared" si="240"/>
        <v>0</v>
      </c>
      <c r="R518" s="13" t="str">
        <f t="shared" si="236"/>
        <v>Фото &gt;&gt;</v>
      </c>
      <c r="S518" s="14" t="s">
        <v>1676</v>
      </c>
      <c r="AK518">
        <v>0.3</v>
      </c>
      <c r="AL518">
        <f t="shared" si="241"/>
        <v>0</v>
      </c>
      <c r="AM518">
        <f t="shared" si="242"/>
        <v>0</v>
      </c>
      <c r="AN518">
        <f t="shared" si="243"/>
        <v>0</v>
      </c>
      <c r="AO518" t="s">
        <v>5355</v>
      </c>
      <c r="AV518" t="str">
        <f>IF(F518&gt;0,(COUNT($AV$1:AV517)+1),"")</f>
        <v/>
      </c>
    </row>
    <row r="519" spans="1:48" ht="15" customHeight="1" x14ac:dyDescent="0.25">
      <c r="A519" s="1"/>
      <c r="B519" s="30">
        <v>16352</v>
      </c>
      <c r="C519" s="20">
        <v>4607078979397</v>
      </c>
      <c r="D519" s="153" t="s">
        <v>4423</v>
      </c>
      <c r="E519" s="67">
        <v>9</v>
      </c>
      <c r="F519" s="222"/>
      <c r="G519" s="107">
        <v>175.8</v>
      </c>
      <c r="H519" s="21">
        <v>185.3</v>
      </c>
      <c r="I519" s="22">
        <v>193.3</v>
      </c>
      <c r="J519" s="112" t="s">
        <v>18</v>
      </c>
      <c r="K519" s="45" t="s">
        <v>110</v>
      </c>
      <c r="L519" s="437"/>
      <c r="M519" s="474" t="s">
        <v>104</v>
      </c>
      <c r="N519" s="1013" t="s">
        <v>1856</v>
      </c>
      <c r="O519" s="212"/>
      <c r="P519" s="66" t="s">
        <v>20</v>
      </c>
      <c r="Q519" s="103">
        <f t="shared" si="240"/>
        <v>0</v>
      </c>
      <c r="R519" s="13" t="str">
        <f t="shared" si="236"/>
        <v>Фото &gt;&gt;</v>
      </c>
      <c r="S519" s="14" t="s">
        <v>1677</v>
      </c>
      <c r="AK519">
        <v>0.3</v>
      </c>
      <c r="AL519">
        <f t="shared" si="228"/>
        <v>0</v>
      </c>
      <c r="AM519">
        <f t="shared" si="229"/>
        <v>0</v>
      </c>
      <c r="AN519">
        <f t="shared" si="235"/>
        <v>0</v>
      </c>
      <c r="AO519" t="s">
        <v>5356</v>
      </c>
      <c r="AV519" t="str">
        <f>IF(F519&gt;0,(COUNT($AV$1:AV518)+1),"")</f>
        <v/>
      </c>
    </row>
    <row r="520" spans="1:48" ht="15" customHeight="1" x14ac:dyDescent="0.25">
      <c r="A520" s="1"/>
      <c r="B520" s="31">
        <v>12224</v>
      </c>
      <c r="C520" s="16">
        <v>4607078971575</v>
      </c>
      <c r="D520" s="154" t="s">
        <v>114</v>
      </c>
      <c r="E520" s="86">
        <v>10</v>
      </c>
      <c r="F520" s="222"/>
      <c r="G520" s="108">
        <v>54.9</v>
      </c>
      <c r="H520" s="17">
        <v>57.2</v>
      </c>
      <c r="I520" s="18">
        <v>60.3</v>
      </c>
      <c r="J520" s="113" t="s">
        <v>18</v>
      </c>
      <c r="K520" s="44" t="s">
        <v>110</v>
      </c>
      <c r="L520" s="442"/>
      <c r="M520" s="480" t="s">
        <v>1856</v>
      </c>
      <c r="N520" s="1015" t="s">
        <v>1856</v>
      </c>
      <c r="O520" s="217" t="s">
        <v>1563</v>
      </c>
      <c r="P520" s="68" t="s">
        <v>20</v>
      </c>
      <c r="Q520" s="103">
        <f t="shared" si="240"/>
        <v>0</v>
      </c>
      <c r="R520" s="13" t="str">
        <f t="shared" si="236"/>
        <v>Фото &gt;&gt;</v>
      </c>
      <c r="S520" s="14" t="s">
        <v>115</v>
      </c>
      <c r="AK520">
        <v>0.17</v>
      </c>
      <c r="AL520">
        <f t="shared" ref="AL520" si="244">F520*G520</f>
        <v>0</v>
      </c>
      <c r="AM520">
        <f t="shared" ref="AM520" si="245">F520*H520</f>
        <v>0</v>
      </c>
      <c r="AN520">
        <f t="shared" si="235"/>
        <v>0</v>
      </c>
      <c r="AO520" t="s">
        <v>3389</v>
      </c>
      <c r="AV520" t="str">
        <f>IF(F520&gt;0,(COUNT($AV$1:AV519)+1),"")</f>
        <v/>
      </c>
    </row>
    <row r="521" spans="1:48" ht="15" customHeight="1" x14ac:dyDescent="0.25">
      <c r="A521" s="1"/>
      <c r="B521" s="25"/>
      <c r="C521" s="26"/>
      <c r="D521" s="27" t="s">
        <v>120</v>
      </c>
      <c r="E521" s="80"/>
      <c r="F521" s="96"/>
      <c r="G521" s="28"/>
      <c r="H521" s="29"/>
      <c r="I521" s="29"/>
      <c r="J521" s="51"/>
      <c r="K521" s="47"/>
      <c r="L521" s="447"/>
      <c r="M521" s="489" t="s">
        <v>104</v>
      </c>
      <c r="N521" s="716"/>
      <c r="O521" s="186"/>
      <c r="P521" s="79"/>
      <c r="Q521" s="104"/>
      <c r="R521" s="13"/>
      <c r="S521" s="14"/>
      <c r="AL521">
        <f t="shared" ref="AL521:AL523" si="246">F521*G521</f>
        <v>0</v>
      </c>
      <c r="AM521">
        <f t="shared" ref="AM521:AM523" si="247">F521*H521</f>
        <v>0</v>
      </c>
      <c r="AN521">
        <f t="shared" ref="AN521" si="248">AK521*F521+IF(E521&gt;1.01,F521/E521*0.2,0)</f>
        <v>0</v>
      </c>
      <c r="AO521" s="1236" t="s">
        <v>104</v>
      </c>
      <c r="AV521" t="str">
        <f>IF(F521&gt;0,(COUNT($AV$1:AV520)+1),"")</f>
        <v/>
      </c>
    </row>
    <row r="522" spans="1:48" ht="15" customHeight="1" x14ac:dyDescent="0.25">
      <c r="A522" s="1"/>
      <c r="B522" s="31">
        <v>21103</v>
      </c>
      <c r="C522" s="16">
        <v>4630039325469</v>
      </c>
      <c r="D522" s="226" t="s">
        <v>6994</v>
      </c>
      <c r="E522" s="69">
        <v>12</v>
      </c>
      <c r="F522" s="222"/>
      <c r="G522" s="108">
        <v>175.1</v>
      </c>
      <c r="H522" s="17">
        <v>183.6</v>
      </c>
      <c r="I522" s="18">
        <v>201.2</v>
      </c>
      <c r="J522" s="113" t="s">
        <v>18</v>
      </c>
      <c r="K522" s="44" t="s">
        <v>119</v>
      </c>
      <c r="L522" s="442"/>
      <c r="M522" s="480" t="s">
        <v>1856</v>
      </c>
      <c r="N522" s="1015" t="s">
        <v>1856</v>
      </c>
      <c r="O522" s="210"/>
      <c r="P522" s="68" t="s">
        <v>20</v>
      </c>
      <c r="Q522" s="103">
        <f>IF($AO$417=2,F522*H522,IF($AO$417=1,F522*G522,F522*I522))</f>
        <v>0</v>
      </c>
      <c r="R522" s="13" t="str">
        <f t="shared" ref="R522" si="249">IF(AO522&gt;0,HYPERLINK(AO522,"Фото &gt;&gt;"),"")</f>
        <v>Фото &gt;&gt;</v>
      </c>
      <c r="S522" s="14" t="s">
        <v>5966</v>
      </c>
      <c r="AG522" s="84"/>
      <c r="AH522" s="84"/>
      <c r="AK522">
        <v>0.27</v>
      </c>
      <c r="AL522">
        <f t="shared" ref="AL522" si="250">F522*G522</f>
        <v>0</v>
      </c>
      <c r="AM522">
        <f t="shared" ref="AM522" si="251">F522*H522</f>
        <v>0</v>
      </c>
      <c r="AN522">
        <f t="shared" ref="AN522" si="252">AK522*F522+IF(E522&gt;1.01,F522/E522*0.2,0)</f>
        <v>0</v>
      </c>
      <c r="AO522" t="s">
        <v>5357</v>
      </c>
      <c r="AV522" t="str">
        <f>IF(F522&gt;0,(COUNT($AV$1:AV521)+1),"")</f>
        <v/>
      </c>
    </row>
    <row r="523" spans="1:48" ht="15" customHeight="1" x14ac:dyDescent="0.25">
      <c r="A523" s="1"/>
      <c r="B523" s="25"/>
      <c r="C523" s="26"/>
      <c r="D523" s="27" t="s">
        <v>129</v>
      </c>
      <c r="E523" s="80"/>
      <c r="F523" s="96"/>
      <c r="G523" s="28"/>
      <c r="H523" s="29"/>
      <c r="I523" s="29"/>
      <c r="J523" s="51"/>
      <c r="K523" s="47"/>
      <c r="L523" s="447"/>
      <c r="M523" s="489" t="s">
        <v>104</v>
      </c>
      <c r="N523" s="716"/>
      <c r="O523" s="186"/>
      <c r="P523" s="79"/>
      <c r="Q523" s="104"/>
      <c r="R523" s="13"/>
      <c r="S523" s="14"/>
      <c r="AL523">
        <f t="shared" si="246"/>
        <v>0</v>
      </c>
      <c r="AM523">
        <f t="shared" si="247"/>
        <v>0</v>
      </c>
      <c r="AN523">
        <f t="shared" ref="AN523:AN530" si="253">AK523*F523+IF(E523&gt;1.01,F523/E523*0.2,0)</f>
        <v>0</v>
      </c>
      <c r="AO523" t="s">
        <v>104</v>
      </c>
      <c r="AV523" t="str">
        <f>IF(F523&gt;0,(COUNT($AV$1:AV522)+1),"")</f>
        <v/>
      </c>
    </row>
    <row r="524" spans="1:48" ht="15" customHeight="1" x14ac:dyDescent="0.25">
      <c r="A524" s="1"/>
      <c r="B524" s="30">
        <v>15831</v>
      </c>
      <c r="C524" s="149">
        <v>4607078977959</v>
      </c>
      <c r="D524" s="225" t="s">
        <v>133</v>
      </c>
      <c r="E524" s="67">
        <v>42</v>
      </c>
      <c r="F524" s="222"/>
      <c r="G524" s="107">
        <v>223.1</v>
      </c>
      <c r="H524" s="21">
        <v>235.2</v>
      </c>
      <c r="I524" s="22">
        <v>268.10000000000002</v>
      </c>
      <c r="J524" s="112" t="s">
        <v>18</v>
      </c>
      <c r="K524" s="45" t="s">
        <v>131</v>
      </c>
      <c r="L524" s="437"/>
      <c r="M524" s="474" t="s">
        <v>104</v>
      </c>
      <c r="N524" s="1013"/>
      <c r="O524" s="209"/>
      <c r="P524" s="66" t="s">
        <v>132</v>
      </c>
      <c r="Q524" s="103">
        <f>IF($AO$417=2,F524*H524,IF($AO$417=1,F524*G524,F524*I524))</f>
        <v>0</v>
      </c>
      <c r="R524" s="13" t="str">
        <f t="shared" ref="R524:R532" si="254">IF(AO524&gt;0,HYPERLINK(AO524,"Фото &gt;&gt;"),"")</f>
        <v>Фото &gt;&gt;</v>
      </c>
      <c r="S524" s="14" t="s">
        <v>134</v>
      </c>
      <c r="AK524">
        <v>0.02</v>
      </c>
      <c r="AL524">
        <f t="shared" ref="AL524:AL530" si="255">F524*G524</f>
        <v>0</v>
      </c>
      <c r="AM524">
        <f t="shared" ref="AM524:AM530" si="256">F524*H524</f>
        <v>0</v>
      </c>
      <c r="AN524">
        <f t="shared" si="253"/>
        <v>0</v>
      </c>
      <c r="AO524" t="s">
        <v>3390</v>
      </c>
      <c r="AV524" t="str">
        <f>IF(F524&gt;0,(COUNT($AV$1:AV523)+1),"")</f>
        <v/>
      </c>
    </row>
    <row r="525" spans="1:48" ht="15" customHeight="1" x14ac:dyDescent="0.25">
      <c r="A525" s="1"/>
      <c r="B525" s="31">
        <v>19886</v>
      </c>
      <c r="C525" s="16">
        <v>4630039325506</v>
      </c>
      <c r="D525" s="226" t="s">
        <v>4134</v>
      </c>
      <c r="E525" s="69">
        <v>30</v>
      </c>
      <c r="F525" s="222"/>
      <c r="G525" s="108">
        <v>537.9</v>
      </c>
      <c r="H525" s="17">
        <v>567.29999999999995</v>
      </c>
      <c r="I525" s="18">
        <v>645.6</v>
      </c>
      <c r="J525" s="113" t="s">
        <v>18</v>
      </c>
      <c r="K525" s="44" t="s">
        <v>131</v>
      </c>
      <c r="L525" s="442"/>
      <c r="M525" s="480" t="s">
        <v>104</v>
      </c>
      <c r="N525" s="1015"/>
      <c r="O525" s="210"/>
      <c r="P525" s="68" t="s">
        <v>132</v>
      </c>
      <c r="Q525" s="103">
        <f>IF($AO$417=2,F525*H525,IF($AO$417=1,F525*G525,F525*I525))</f>
        <v>0</v>
      </c>
      <c r="R525" s="13" t="str">
        <f t="shared" si="254"/>
        <v>Фото &gt;&gt;</v>
      </c>
      <c r="S525" s="14" t="s">
        <v>2035</v>
      </c>
      <c r="V525" s="4"/>
      <c r="AK525">
        <v>0.05</v>
      </c>
      <c r="AL525">
        <f t="shared" si="255"/>
        <v>0</v>
      </c>
      <c r="AM525">
        <f t="shared" si="256"/>
        <v>0</v>
      </c>
      <c r="AN525">
        <f t="shared" si="253"/>
        <v>0</v>
      </c>
      <c r="AO525" t="s">
        <v>3391</v>
      </c>
      <c r="AV525" t="str">
        <f>IF(F525&gt;0,(COUNT($AV$1:AV524)+1),"")</f>
        <v/>
      </c>
    </row>
    <row r="526" spans="1:48" ht="15" customHeight="1" x14ac:dyDescent="0.25">
      <c r="A526" s="1"/>
      <c r="B526" s="30">
        <v>19887</v>
      </c>
      <c r="C526" s="149">
        <v>4630039325513</v>
      </c>
      <c r="D526" s="225" t="s">
        <v>4620</v>
      </c>
      <c r="E526" s="67">
        <v>30</v>
      </c>
      <c r="F526" s="222"/>
      <c r="G526" s="107">
        <v>537.79999999999995</v>
      </c>
      <c r="H526" s="21">
        <v>567.20000000000005</v>
      </c>
      <c r="I526" s="22">
        <v>645.4</v>
      </c>
      <c r="J526" s="112" t="s">
        <v>18</v>
      </c>
      <c r="K526" s="45" t="s">
        <v>131</v>
      </c>
      <c r="L526" s="437"/>
      <c r="M526" s="474" t="s">
        <v>104</v>
      </c>
      <c r="N526" s="1013"/>
      <c r="O526" s="209"/>
      <c r="P526" s="66" t="s">
        <v>132</v>
      </c>
      <c r="Q526" s="103">
        <f>IF($AO$417=2,F526*H526,IF($AO$417=1,F526*G526,F526*I526))</f>
        <v>0</v>
      </c>
      <c r="R526" s="13" t="str">
        <f t="shared" si="254"/>
        <v>Фото &gt;&gt;</v>
      </c>
      <c r="S526" s="14" t="s">
        <v>135</v>
      </c>
      <c r="AK526">
        <v>0.05</v>
      </c>
      <c r="AL526">
        <f t="shared" si="255"/>
        <v>0</v>
      </c>
      <c r="AM526">
        <f t="shared" si="256"/>
        <v>0</v>
      </c>
      <c r="AN526">
        <f t="shared" si="253"/>
        <v>0</v>
      </c>
      <c r="AO526" t="s">
        <v>3392</v>
      </c>
      <c r="AV526" t="str">
        <f>IF(F526&gt;0,(COUNT($AV$1:AV525)+1),"")</f>
        <v/>
      </c>
    </row>
    <row r="527" spans="1:48" ht="15" customHeight="1" x14ac:dyDescent="0.25">
      <c r="A527" s="1"/>
      <c r="B527" s="31">
        <v>18703</v>
      </c>
      <c r="C527" s="16">
        <v>4630039322017</v>
      </c>
      <c r="D527" s="226" t="s">
        <v>136</v>
      </c>
      <c r="E527" s="69">
        <v>25</v>
      </c>
      <c r="F527" s="222"/>
      <c r="G527" s="108">
        <v>188.6</v>
      </c>
      <c r="H527" s="17">
        <v>199</v>
      </c>
      <c r="I527" s="18">
        <v>207.8</v>
      </c>
      <c r="J527" s="113" t="s">
        <v>18</v>
      </c>
      <c r="K527" s="44" t="s">
        <v>130</v>
      </c>
      <c r="L527" s="442"/>
      <c r="M527" s="480" t="s">
        <v>104</v>
      </c>
      <c r="N527" s="1015"/>
      <c r="O527" s="210"/>
      <c r="P527" s="68" t="s">
        <v>132</v>
      </c>
      <c r="Q527" s="103">
        <f>IF($AO$417=2,F527*H527,IF($AO$417=1,F527*G527,F527*I527))</f>
        <v>0</v>
      </c>
      <c r="R527" s="13" t="str">
        <f t="shared" si="254"/>
        <v>Фото &gt;&gt;</v>
      </c>
      <c r="S527" s="14" t="s">
        <v>3394</v>
      </c>
      <c r="V527" s="4"/>
      <c r="AK527">
        <v>0.12</v>
      </c>
      <c r="AL527">
        <f t="shared" si="255"/>
        <v>0</v>
      </c>
      <c r="AM527">
        <f t="shared" si="256"/>
        <v>0</v>
      </c>
      <c r="AN527">
        <f t="shared" si="253"/>
        <v>0</v>
      </c>
      <c r="AO527" t="s">
        <v>5358</v>
      </c>
      <c r="AV527" t="str">
        <f>IF(F527&gt;0,(COUNT($AV$1:AV526)+1),"")</f>
        <v/>
      </c>
    </row>
    <row r="528" spans="1:48" ht="15" customHeight="1" x14ac:dyDescent="0.25">
      <c r="A528" s="1"/>
      <c r="B528" s="30">
        <v>15835</v>
      </c>
      <c r="C528" s="149">
        <v>4607078977980</v>
      </c>
      <c r="D528" s="225" t="s">
        <v>137</v>
      </c>
      <c r="E528" s="67">
        <v>28</v>
      </c>
      <c r="F528" s="222"/>
      <c r="G528" s="107">
        <v>327.8</v>
      </c>
      <c r="H528" s="21">
        <v>345.6</v>
      </c>
      <c r="I528" s="22">
        <v>393.3</v>
      </c>
      <c r="J528" s="112" t="s">
        <v>18</v>
      </c>
      <c r="K528" s="45" t="s">
        <v>130</v>
      </c>
      <c r="L528" s="437"/>
      <c r="M528" s="474" t="s">
        <v>104</v>
      </c>
      <c r="N528" s="1013"/>
      <c r="O528" s="209"/>
      <c r="P528" s="66" t="s">
        <v>165</v>
      </c>
      <c r="Q528" s="103">
        <f>IF($AO$417=2,F528*H528,IF($AO$417=1,F528*G528,F528*I528))</f>
        <v>0</v>
      </c>
      <c r="R528" s="13" t="str">
        <f t="shared" si="254"/>
        <v>Фото &gt;&gt;</v>
      </c>
      <c r="S528" s="14" t="s">
        <v>138</v>
      </c>
      <c r="AK528">
        <v>0.3</v>
      </c>
      <c r="AL528">
        <f t="shared" si="255"/>
        <v>0</v>
      </c>
      <c r="AM528">
        <f t="shared" si="256"/>
        <v>0</v>
      </c>
      <c r="AN528">
        <f t="shared" si="253"/>
        <v>0</v>
      </c>
      <c r="AO528" t="s">
        <v>3393</v>
      </c>
      <c r="AV528" t="str">
        <f>IF(F528&gt;0,(COUNT($AV$1:AV527)+1),"")</f>
        <v/>
      </c>
    </row>
    <row r="529" spans="1:48" ht="15" customHeight="1" x14ac:dyDescent="0.25">
      <c r="A529" s="1"/>
      <c r="B529" s="25"/>
      <c r="C529" s="26"/>
      <c r="D529" s="228" t="s">
        <v>139</v>
      </c>
      <c r="E529" s="80"/>
      <c r="F529" s="96"/>
      <c r="G529" s="28"/>
      <c r="H529" s="29"/>
      <c r="I529" s="29"/>
      <c r="J529" s="51"/>
      <c r="K529" s="47"/>
      <c r="L529" s="447"/>
      <c r="M529" s="489"/>
      <c r="N529" s="716"/>
      <c r="O529" s="186"/>
      <c r="P529" s="79"/>
      <c r="Q529" s="104"/>
      <c r="R529" s="13"/>
      <c r="S529" s="14"/>
      <c r="AL529">
        <f t="shared" si="255"/>
        <v>0</v>
      </c>
      <c r="AM529">
        <f t="shared" si="256"/>
        <v>0</v>
      </c>
      <c r="AN529">
        <f t="shared" si="253"/>
        <v>0</v>
      </c>
      <c r="AO529" t="s">
        <v>104</v>
      </c>
      <c r="AV529" t="str">
        <f>IF(F529&gt;0,(COUNT($AV$1:AV528)+1),"")</f>
        <v/>
      </c>
    </row>
    <row r="530" spans="1:48" ht="15" customHeight="1" x14ac:dyDescent="0.25">
      <c r="A530" s="1"/>
      <c r="B530" s="30">
        <v>15553</v>
      </c>
      <c r="C530" s="149">
        <v>4607078977324</v>
      </c>
      <c r="D530" s="225" t="s">
        <v>140</v>
      </c>
      <c r="E530" s="67">
        <v>28</v>
      </c>
      <c r="F530" s="222"/>
      <c r="G530" s="107">
        <v>298.89999999999998</v>
      </c>
      <c r="H530" s="21">
        <v>315</v>
      </c>
      <c r="I530" s="22">
        <v>349.9</v>
      </c>
      <c r="J530" s="112" t="s">
        <v>18</v>
      </c>
      <c r="K530" s="45" t="s">
        <v>131</v>
      </c>
      <c r="L530" s="437"/>
      <c r="M530" s="474" t="s">
        <v>104</v>
      </c>
      <c r="N530" s="1013"/>
      <c r="O530" s="209"/>
      <c r="P530" s="66" t="s">
        <v>132</v>
      </c>
      <c r="Q530" s="103">
        <f>IF($AO$417=2,F530*H530,IF($AO$417=1,F530*G530,F530*I530))</f>
        <v>0</v>
      </c>
      <c r="R530" s="13" t="str">
        <f t="shared" si="254"/>
        <v>Фото &gt;&gt;</v>
      </c>
      <c r="S530" s="14" t="s">
        <v>141</v>
      </c>
      <c r="AK530">
        <v>0.25</v>
      </c>
      <c r="AL530">
        <f t="shared" si="255"/>
        <v>0</v>
      </c>
      <c r="AM530">
        <f t="shared" si="256"/>
        <v>0</v>
      </c>
      <c r="AN530">
        <f t="shared" si="253"/>
        <v>0</v>
      </c>
      <c r="AO530" t="s">
        <v>3395</v>
      </c>
      <c r="AV530" t="str">
        <f>IF(F530&gt;0,(COUNT($AV$1:AV529)+1),"")</f>
        <v/>
      </c>
    </row>
    <row r="531" spans="1:48" ht="15" customHeight="1" x14ac:dyDescent="0.25">
      <c r="A531" s="1"/>
      <c r="B531" s="25"/>
      <c r="C531" s="26"/>
      <c r="D531" s="228" t="s">
        <v>1904</v>
      </c>
      <c r="E531" s="80"/>
      <c r="F531" s="96"/>
      <c r="G531" s="28"/>
      <c r="H531" s="29"/>
      <c r="I531" s="29"/>
      <c r="J531" s="51"/>
      <c r="K531" s="47"/>
      <c r="L531" s="447"/>
      <c r="M531" s="489"/>
      <c r="N531" s="716"/>
      <c r="O531" s="186"/>
      <c r="P531" s="79"/>
      <c r="Q531" s="104"/>
      <c r="R531" s="13"/>
      <c r="S531" s="14"/>
      <c r="AL531">
        <f t="shared" ref="AL531" si="257">F531*G531</f>
        <v>0</v>
      </c>
      <c r="AM531">
        <f t="shared" ref="AM531" si="258">F531*H531</f>
        <v>0</v>
      </c>
      <c r="AN531">
        <f t="shared" ref="AN531" si="259">AK531*F531+IF(E531&gt;1.01,F531/E531*0.2,0)</f>
        <v>0</v>
      </c>
      <c r="AO531" t="s">
        <v>104</v>
      </c>
      <c r="AV531" t="str">
        <f>IF(F531&gt;0,(COUNT($AV$1:AV530)+1),"")</f>
        <v/>
      </c>
    </row>
    <row r="532" spans="1:48" ht="15" customHeight="1" x14ac:dyDescent="0.25">
      <c r="A532" s="1"/>
      <c r="B532" s="30">
        <v>20497</v>
      </c>
      <c r="C532" s="149">
        <v>4630039325742</v>
      </c>
      <c r="D532" s="225" t="s">
        <v>5917</v>
      </c>
      <c r="E532" s="67">
        <v>12</v>
      </c>
      <c r="F532" s="222"/>
      <c r="G532" s="107">
        <v>137.19999999999999</v>
      </c>
      <c r="H532" s="21">
        <v>143.30000000000001</v>
      </c>
      <c r="I532" s="22">
        <v>150.19999999999999</v>
      </c>
      <c r="J532" s="112" t="s">
        <v>18</v>
      </c>
      <c r="K532" s="45" t="s">
        <v>130</v>
      </c>
      <c r="L532" s="437"/>
      <c r="M532" s="474"/>
      <c r="N532" s="1013"/>
      <c r="O532" s="209"/>
      <c r="P532" s="66" t="s">
        <v>50</v>
      </c>
      <c r="Q532" s="103">
        <f>IF($AO$417=2,F532*H532,IF($AO$417=1,F532*G532,F532*I532))</f>
        <v>0</v>
      </c>
      <c r="R532" s="13" t="str">
        <f t="shared" si="254"/>
        <v>Фото &gt;&gt;</v>
      </c>
      <c r="S532" s="14" t="s">
        <v>5918</v>
      </c>
      <c r="AK532">
        <v>0.23</v>
      </c>
      <c r="AL532">
        <f t="shared" ref="AL532" si="260">F532*G532</f>
        <v>0</v>
      </c>
      <c r="AM532">
        <f t="shared" ref="AM532" si="261">F532*H532</f>
        <v>0</v>
      </c>
      <c r="AN532">
        <f t="shared" ref="AN532" si="262">AK532*F532+IF(E532&gt;1.01,F532/E532*0.2,0)</f>
        <v>0</v>
      </c>
      <c r="AO532" t="s">
        <v>5919</v>
      </c>
      <c r="AV532" t="str">
        <f>IF(F532&gt;0,(COUNT($AV$1:AV531)+1),"")</f>
        <v/>
      </c>
    </row>
    <row r="533" spans="1:48" ht="15" customHeight="1" x14ac:dyDescent="0.25">
      <c r="A533" s="1"/>
      <c r="B533" s="25"/>
      <c r="C533" s="26"/>
      <c r="D533" s="228" t="s">
        <v>3985</v>
      </c>
      <c r="E533" s="80"/>
      <c r="F533" s="96"/>
      <c r="G533" s="28"/>
      <c r="H533" s="29"/>
      <c r="I533" s="29"/>
      <c r="J533" s="51"/>
      <c r="K533" s="47"/>
      <c r="L533" s="447"/>
      <c r="M533" s="489"/>
      <c r="N533" s="716"/>
      <c r="O533" s="186"/>
      <c r="P533" s="79"/>
      <c r="Q533" s="104"/>
      <c r="R533" s="13"/>
      <c r="S533" s="14"/>
      <c r="AL533">
        <f t="shared" ref="AL533" si="263">F533*G533</f>
        <v>0</v>
      </c>
      <c r="AM533">
        <f t="shared" ref="AM533" si="264">F533*H533</f>
        <v>0</v>
      </c>
      <c r="AN533">
        <f t="shared" ref="AN533" si="265">AK533*F533+IF(E533&gt;1.01,F533/E533*0.2,0)</f>
        <v>0</v>
      </c>
      <c r="AO533" t="s">
        <v>104</v>
      </c>
      <c r="AV533" t="str">
        <f>IF(F533&gt;0,(COUNT($AV$1:AV532)+1),"")</f>
        <v/>
      </c>
    </row>
    <row r="534" spans="1:48" ht="15" customHeight="1" x14ac:dyDescent="0.25">
      <c r="A534" s="1"/>
      <c r="B534" s="30">
        <v>20499</v>
      </c>
      <c r="C534" s="20">
        <v>4630039325827</v>
      </c>
      <c r="D534" s="225" t="s">
        <v>4424</v>
      </c>
      <c r="E534" s="67">
        <v>12</v>
      </c>
      <c r="F534" s="222"/>
      <c r="G534" s="107">
        <v>284.7</v>
      </c>
      <c r="H534" s="21">
        <v>298.89999999999998</v>
      </c>
      <c r="I534" s="22">
        <v>313.60000000000002</v>
      </c>
      <c r="J534" s="112" t="s">
        <v>18</v>
      </c>
      <c r="K534" s="45" t="s">
        <v>154</v>
      </c>
      <c r="L534" s="437"/>
      <c r="M534" s="474"/>
      <c r="N534" s="1013"/>
      <c r="O534" s="209"/>
      <c r="P534" s="66" t="s">
        <v>50</v>
      </c>
      <c r="Q534" s="103">
        <f>IF($AO$417=2,F534*H534,IF($AO$417=1,F534*G534,F534*I534))</f>
        <v>0</v>
      </c>
      <c r="R534" s="13" t="str">
        <f t="shared" ref="R534:R535" si="266">IF(AO534&gt;0,HYPERLINK(AO534,"Фото &gt;&gt;"),"")</f>
        <v>Фото &gt;&gt;</v>
      </c>
      <c r="S534" s="14" t="s">
        <v>3986</v>
      </c>
      <c r="AK534">
        <v>0.28999999999999998</v>
      </c>
      <c r="AL534">
        <f t="shared" ref="AL534:AL536" si="267">F534*G534</f>
        <v>0</v>
      </c>
      <c r="AM534">
        <f t="shared" ref="AM534:AM536" si="268">F534*H534</f>
        <v>0</v>
      </c>
      <c r="AN534">
        <f t="shared" ref="AN534:AN536" si="269">AK534*F534+IF(E534&gt;1.01,F534/E534*0.2,0)</f>
        <v>0</v>
      </c>
      <c r="AO534" t="s">
        <v>3987</v>
      </c>
      <c r="AV534" t="str">
        <f>IF(F534&gt;0,(COUNT($AV$1:AV533)+1),"")</f>
        <v/>
      </c>
    </row>
    <row r="535" spans="1:48" ht="15" customHeight="1" x14ac:dyDescent="0.25">
      <c r="A535" s="1"/>
      <c r="B535" s="31">
        <v>20498</v>
      </c>
      <c r="C535" s="16">
        <v>4630039325773</v>
      </c>
      <c r="D535" s="226" t="s">
        <v>4425</v>
      </c>
      <c r="E535" s="69">
        <v>12</v>
      </c>
      <c r="F535" s="222"/>
      <c r="G535" s="108">
        <v>176.5</v>
      </c>
      <c r="H535" s="17">
        <v>185</v>
      </c>
      <c r="I535" s="18">
        <v>194.1</v>
      </c>
      <c r="J535" s="113" t="s">
        <v>18</v>
      </c>
      <c r="K535" s="44" t="s">
        <v>130</v>
      </c>
      <c r="L535" s="442"/>
      <c r="M535" s="480"/>
      <c r="N535" s="1015"/>
      <c r="O535" s="210"/>
      <c r="P535" s="68" t="s">
        <v>50</v>
      </c>
      <c r="Q535" s="103">
        <f>IF($AO$417=2,F535*H535,IF($AO$417=1,F535*G535,F535*I535))</f>
        <v>0</v>
      </c>
      <c r="R535" s="13" t="str">
        <f t="shared" si="266"/>
        <v>Фото &gt;&gt;</v>
      </c>
      <c r="S535" s="14" t="s">
        <v>3988</v>
      </c>
      <c r="AK535">
        <v>0.28999999999999998</v>
      </c>
      <c r="AL535">
        <f t="shared" si="267"/>
        <v>0</v>
      </c>
      <c r="AM535">
        <f t="shared" si="268"/>
        <v>0</v>
      </c>
      <c r="AN535">
        <f t="shared" si="269"/>
        <v>0</v>
      </c>
      <c r="AO535" t="s">
        <v>3989</v>
      </c>
      <c r="AV535" t="str">
        <f>IF(F535&gt;0,(COUNT($AV$1:AV534)+1),"")</f>
        <v/>
      </c>
    </row>
    <row r="536" spans="1:48" ht="15" customHeight="1" x14ac:dyDescent="0.25">
      <c r="A536" s="1"/>
      <c r="B536" s="25"/>
      <c r="C536" s="26"/>
      <c r="D536" s="228" t="s">
        <v>142</v>
      </c>
      <c r="E536" s="80"/>
      <c r="F536" s="96"/>
      <c r="G536" s="28"/>
      <c r="H536" s="29"/>
      <c r="I536" s="29"/>
      <c r="J536" s="51"/>
      <c r="K536" s="47"/>
      <c r="L536" s="447"/>
      <c r="M536" s="489" t="s">
        <v>104</v>
      </c>
      <c r="N536" s="716"/>
      <c r="O536" s="186"/>
      <c r="P536" s="79"/>
      <c r="Q536" s="104"/>
      <c r="R536" s="13"/>
      <c r="S536" s="14"/>
      <c r="AL536">
        <f t="shared" si="267"/>
        <v>0</v>
      </c>
      <c r="AM536">
        <f t="shared" si="268"/>
        <v>0</v>
      </c>
      <c r="AN536">
        <f t="shared" si="269"/>
        <v>0</v>
      </c>
      <c r="AO536" t="s">
        <v>104</v>
      </c>
      <c r="AV536" t="str">
        <f>IF(F536&gt;0,(COUNT($AV$1:AV535)+1),"")</f>
        <v/>
      </c>
    </row>
    <row r="537" spans="1:48" ht="15" customHeight="1" x14ac:dyDescent="0.25">
      <c r="A537" s="1"/>
      <c r="B537" s="31">
        <v>13027</v>
      </c>
      <c r="C537" s="16">
        <v>4607078972473</v>
      </c>
      <c r="D537" s="226" t="s">
        <v>3409</v>
      </c>
      <c r="E537" s="69">
        <v>6</v>
      </c>
      <c r="F537" s="222"/>
      <c r="G537" s="108">
        <v>100.5</v>
      </c>
      <c r="H537" s="17">
        <v>111.9</v>
      </c>
      <c r="I537" s="18">
        <v>112.1</v>
      </c>
      <c r="J537" s="113" t="s">
        <v>18</v>
      </c>
      <c r="K537" s="44" t="s">
        <v>131</v>
      </c>
      <c r="L537" s="442"/>
      <c r="M537" s="480" t="s">
        <v>104</v>
      </c>
      <c r="N537" s="1015" t="s">
        <v>1856</v>
      </c>
      <c r="O537" s="217" t="s">
        <v>1564</v>
      </c>
      <c r="P537" s="68" t="s">
        <v>132</v>
      </c>
      <c r="Q537" s="103">
        <f t="shared" ref="Q537:Q553" si="270">IF($AO$417=2,F537*H537,IF($AO$417=1,F537*G537,F537*I537))</f>
        <v>0</v>
      </c>
      <c r="R537" s="13" t="str">
        <f t="shared" ref="R537:R559" si="271">IF(AO537&gt;0,HYPERLINK(AO537,"Фото &gt;&gt;"),"")</f>
        <v>Фото &gt;&gt;</v>
      </c>
      <c r="S537" s="14" t="s">
        <v>160</v>
      </c>
      <c r="AK537">
        <v>1.4999999999999999E-2</v>
      </c>
      <c r="AL537">
        <f t="shared" ref="AL537:AL551" si="272">F537*G537</f>
        <v>0</v>
      </c>
      <c r="AM537">
        <f t="shared" ref="AM537:AM551" si="273">F537*H537</f>
        <v>0</v>
      </c>
      <c r="AN537">
        <f t="shared" ref="AN537:AN551" si="274">AK537*F537+IF(E537&gt;1.01,F537/E537*0.2,0)</f>
        <v>0</v>
      </c>
      <c r="AO537" t="s">
        <v>3412</v>
      </c>
      <c r="AV537" t="str">
        <f>IF(F537&gt;0,(COUNT($AV$1:AV536)+1),"")</f>
        <v/>
      </c>
    </row>
    <row r="538" spans="1:48" ht="15" customHeight="1" x14ac:dyDescent="0.25">
      <c r="A538" s="1"/>
      <c r="B538" s="30">
        <v>13030</v>
      </c>
      <c r="C538" s="20">
        <v>4607078972411</v>
      </c>
      <c r="D538" s="225" t="s">
        <v>3410</v>
      </c>
      <c r="E538" s="67">
        <v>6</v>
      </c>
      <c r="F538" s="222"/>
      <c r="G538" s="107">
        <v>100.5</v>
      </c>
      <c r="H538" s="21">
        <v>111.9</v>
      </c>
      <c r="I538" s="22">
        <v>112.1</v>
      </c>
      <c r="J538" s="112" t="s">
        <v>18</v>
      </c>
      <c r="K538" s="45" t="s">
        <v>131</v>
      </c>
      <c r="L538" s="437"/>
      <c r="M538" s="474" t="s">
        <v>104</v>
      </c>
      <c r="N538" s="1013"/>
      <c r="O538" s="212" t="s">
        <v>1564</v>
      </c>
      <c r="P538" s="66" t="s">
        <v>132</v>
      </c>
      <c r="Q538" s="103">
        <f t="shared" si="270"/>
        <v>0</v>
      </c>
      <c r="R538" s="13" t="str">
        <f t="shared" si="271"/>
        <v>Фото &gt;&gt;</v>
      </c>
      <c r="S538" s="14" t="s">
        <v>161</v>
      </c>
      <c r="AK538">
        <v>1.4999999999999999E-2</v>
      </c>
      <c r="AL538">
        <f t="shared" si="272"/>
        <v>0</v>
      </c>
      <c r="AM538">
        <f t="shared" si="273"/>
        <v>0</v>
      </c>
      <c r="AN538">
        <f t="shared" si="274"/>
        <v>0</v>
      </c>
      <c r="AO538" t="s">
        <v>3413</v>
      </c>
      <c r="AV538" t="str">
        <f>IF(F538&gt;0,(COUNT($AV$1:AV537)+1),"")</f>
        <v/>
      </c>
    </row>
    <row r="539" spans="1:48" ht="15" customHeight="1" x14ac:dyDescent="0.25">
      <c r="A539" s="1"/>
      <c r="B539" s="31">
        <v>13085</v>
      </c>
      <c r="C539" s="16">
        <v>4607078972688</v>
      </c>
      <c r="D539" s="226" t="s">
        <v>3411</v>
      </c>
      <c r="E539" s="69">
        <v>6</v>
      </c>
      <c r="F539" s="222"/>
      <c r="G539" s="108">
        <v>100.5</v>
      </c>
      <c r="H539" s="17">
        <v>111.9</v>
      </c>
      <c r="I539" s="18">
        <v>112.1</v>
      </c>
      <c r="J539" s="113" t="s">
        <v>18</v>
      </c>
      <c r="K539" s="44" t="s">
        <v>131</v>
      </c>
      <c r="L539" s="442"/>
      <c r="M539" s="480" t="s">
        <v>104</v>
      </c>
      <c r="N539" s="1015"/>
      <c r="O539" s="217" t="s">
        <v>1564</v>
      </c>
      <c r="P539" s="68" t="s">
        <v>132</v>
      </c>
      <c r="Q539" s="103">
        <f t="shared" si="270"/>
        <v>0</v>
      </c>
      <c r="R539" s="13" t="str">
        <f t="shared" si="271"/>
        <v>Фото &gt;&gt;</v>
      </c>
      <c r="S539" s="14" t="s">
        <v>162</v>
      </c>
      <c r="AK539">
        <v>1.4999999999999999E-2</v>
      </c>
      <c r="AL539">
        <f t="shared" si="272"/>
        <v>0</v>
      </c>
      <c r="AM539">
        <f t="shared" si="273"/>
        <v>0</v>
      </c>
      <c r="AN539">
        <f t="shared" si="274"/>
        <v>0</v>
      </c>
      <c r="AO539" t="s">
        <v>3414</v>
      </c>
      <c r="AV539" t="str">
        <f>IF(F539&gt;0,(COUNT($AV$1:AV538)+1),"")</f>
        <v/>
      </c>
    </row>
    <row r="540" spans="1:48" ht="15" customHeight="1" x14ac:dyDescent="0.25">
      <c r="A540" s="1"/>
      <c r="B540" s="30">
        <v>16086</v>
      </c>
      <c r="C540" s="20">
        <v>4607078978413</v>
      </c>
      <c r="D540" s="225" t="s">
        <v>1889</v>
      </c>
      <c r="E540" s="67">
        <v>32</v>
      </c>
      <c r="F540" s="222"/>
      <c r="G540" s="107">
        <v>244.2</v>
      </c>
      <c r="H540" s="21">
        <v>257.3</v>
      </c>
      <c r="I540" s="22">
        <v>272.3</v>
      </c>
      <c r="J540" s="112" t="s">
        <v>18</v>
      </c>
      <c r="K540" s="45" t="s">
        <v>131</v>
      </c>
      <c r="L540" s="437"/>
      <c r="M540" s="474" t="s">
        <v>104</v>
      </c>
      <c r="N540" s="1013"/>
      <c r="O540" s="212"/>
      <c r="P540" s="66" t="s">
        <v>165</v>
      </c>
      <c r="Q540" s="103">
        <f t="shared" si="270"/>
        <v>0</v>
      </c>
      <c r="R540" s="13" t="str">
        <f t="shared" si="271"/>
        <v>Фото &gt;&gt;</v>
      </c>
      <c r="S540" s="14" t="s">
        <v>143</v>
      </c>
      <c r="AK540">
        <v>0.22</v>
      </c>
      <c r="AL540">
        <f t="shared" si="272"/>
        <v>0</v>
      </c>
      <c r="AM540">
        <f t="shared" si="273"/>
        <v>0</v>
      </c>
      <c r="AN540">
        <f t="shared" si="274"/>
        <v>0</v>
      </c>
      <c r="AO540" t="s">
        <v>2519</v>
      </c>
      <c r="AV540" t="str">
        <f>IF(F540&gt;0,(COUNT($AV$1:AV539)+1),"")</f>
        <v/>
      </c>
    </row>
    <row r="541" spans="1:48" ht="15" customHeight="1" x14ac:dyDescent="0.25">
      <c r="A541" s="1"/>
      <c r="B541" s="31">
        <v>14156</v>
      </c>
      <c r="C541" s="16">
        <v>4607078975726</v>
      </c>
      <c r="D541" s="226" t="s">
        <v>1890</v>
      </c>
      <c r="E541" s="69">
        <v>32</v>
      </c>
      <c r="F541" s="222"/>
      <c r="G541" s="108">
        <v>216.5</v>
      </c>
      <c r="H541" s="17">
        <v>228.2</v>
      </c>
      <c r="I541" s="18">
        <v>241.6</v>
      </c>
      <c r="J541" s="113" t="s">
        <v>18</v>
      </c>
      <c r="K541" s="44" t="s">
        <v>131</v>
      </c>
      <c r="L541" s="442"/>
      <c r="M541" s="480" t="s">
        <v>104</v>
      </c>
      <c r="N541" s="1015"/>
      <c r="O541" s="217"/>
      <c r="P541" s="68" t="s">
        <v>165</v>
      </c>
      <c r="Q541" s="103">
        <f t="shared" si="270"/>
        <v>0</v>
      </c>
      <c r="R541" s="13" t="str">
        <f t="shared" si="271"/>
        <v>Фото &gt;&gt;</v>
      </c>
      <c r="S541" s="14" t="s">
        <v>144</v>
      </c>
      <c r="AK541">
        <v>0.25</v>
      </c>
      <c r="AL541">
        <f t="shared" si="272"/>
        <v>0</v>
      </c>
      <c r="AM541">
        <f t="shared" si="273"/>
        <v>0</v>
      </c>
      <c r="AN541">
        <f t="shared" si="274"/>
        <v>0</v>
      </c>
      <c r="AO541" t="s">
        <v>3396</v>
      </c>
      <c r="AV541" t="str">
        <f>IF(F541&gt;0,(COUNT($AV$1:AV540)+1),"")</f>
        <v/>
      </c>
    </row>
    <row r="542" spans="1:48" ht="15" customHeight="1" x14ac:dyDescent="0.25">
      <c r="A542" s="1"/>
      <c r="B542" s="30">
        <v>14186</v>
      </c>
      <c r="C542" s="20">
        <v>4607078975894</v>
      </c>
      <c r="D542" s="225" t="s">
        <v>145</v>
      </c>
      <c r="E542" s="67">
        <v>32</v>
      </c>
      <c r="F542" s="222"/>
      <c r="G542" s="107">
        <v>284</v>
      </c>
      <c r="H542" s="21">
        <v>299.3</v>
      </c>
      <c r="I542" s="22">
        <v>316.3</v>
      </c>
      <c r="J542" s="112" t="s">
        <v>18</v>
      </c>
      <c r="K542" s="45" t="s">
        <v>131</v>
      </c>
      <c r="L542" s="437"/>
      <c r="M542" s="474" t="s">
        <v>104</v>
      </c>
      <c r="N542" s="1013"/>
      <c r="O542" s="212"/>
      <c r="P542" s="66" t="s">
        <v>132</v>
      </c>
      <c r="Q542" s="103">
        <f t="shared" si="270"/>
        <v>0</v>
      </c>
      <c r="R542" s="13" t="str">
        <f t="shared" si="271"/>
        <v>Фото &gt;&gt;</v>
      </c>
      <c r="S542" s="14" t="s">
        <v>146</v>
      </c>
      <c r="AK542">
        <v>0.26</v>
      </c>
      <c r="AL542">
        <f t="shared" si="272"/>
        <v>0</v>
      </c>
      <c r="AM542">
        <f t="shared" si="273"/>
        <v>0</v>
      </c>
      <c r="AN542">
        <f t="shared" si="274"/>
        <v>0</v>
      </c>
      <c r="AO542" t="s">
        <v>3397</v>
      </c>
      <c r="AV542" t="str">
        <f>IF(F542&gt;0,(COUNT($AV$1:AV541)+1),"")</f>
        <v/>
      </c>
    </row>
    <row r="543" spans="1:48" ht="15" customHeight="1" x14ac:dyDescent="0.25">
      <c r="A543" s="1"/>
      <c r="B543" s="31">
        <v>14187</v>
      </c>
      <c r="C543" s="16">
        <v>4607078975863</v>
      </c>
      <c r="D543" s="226" t="s">
        <v>147</v>
      </c>
      <c r="E543" s="69">
        <v>16</v>
      </c>
      <c r="F543" s="222"/>
      <c r="G543" s="108">
        <v>373.6</v>
      </c>
      <c r="H543" s="17">
        <v>394</v>
      </c>
      <c r="I543" s="18">
        <v>416.8</v>
      </c>
      <c r="J543" s="113" t="s">
        <v>18</v>
      </c>
      <c r="K543" s="44" t="s">
        <v>131</v>
      </c>
      <c r="L543" s="442"/>
      <c r="M543" s="480" t="s">
        <v>104</v>
      </c>
      <c r="N543" s="1015"/>
      <c r="O543" s="217"/>
      <c r="P543" s="68" t="s">
        <v>132</v>
      </c>
      <c r="Q543" s="103">
        <f t="shared" si="270"/>
        <v>0</v>
      </c>
      <c r="R543" s="13" t="str">
        <f t="shared" si="271"/>
        <v>Фото &gt;&gt;</v>
      </c>
      <c r="S543" s="14" t="s">
        <v>148</v>
      </c>
      <c r="AK543">
        <v>0.08</v>
      </c>
      <c r="AL543">
        <f t="shared" si="272"/>
        <v>0</v>
      </c>
      <c r="AM543">
        <f t="shared" si="273"/>
        <v>0</v>
      </c>
      <c r="AN543">
        <f t="shared" si="274"/>
        <v>0</v>
      </c>
      <c r="AO543" t="s">
        <v>3398</v>
      </c>
      <c r="AV543" t="str">
        <f>IF(F543&gt;0,(COUNT($AV$1:AV542)+1),"")</f>
        <v/>
      </c>
    </row>
    <row r="544" spans="1:48" ht="15" customHeight="1" x14ac:dyDescent="0.25">
      <c r="A544" s="1"/>
      <c r="B544" s="30">
        <v>14188</v>
      </c>
      <c r="C544" s="20">
        <v>4607078975870</v>
      </c>
      <c r="D544" s="225" t="s">
        <v>149</v>
      </c>
      <c r="E544" s="67">
        <v>16</v>
      </c>
      <c r="F544" s="222"/>
      <c r="G544" s="107">
        <v>373.6</v>
      </c>
      <c r="H544" s="21">
        <v>394</v>
      </c>
      <c r="I544" s="22">
        <v>416.8</v>
      </c>
      <c r="J544" s="112" t="s">
        <v>18</v>
      </c>
      <c r="K544" s="45" t="s">
        <v>131</v>
      </c>
      <c r="L544" s="437"/>
      <c r="M544" s="474" t="s">
        <v>104</v>
      </c>
      <c r="N544" s="1013"/>
      <c r="O544" s="212"/>
      <c r="P544" s="66" t="s">
        <v>132</v>
      </c>
      <c r="Q544" s="103">
        <f t="shared" si="270"/>
        <v>0</v>
      </c>
      <c r="R544" s="13" t="str">
        <f t="shared" si="271"/>
        <v>Фото &gt;&gt;</v>
      </c>
      <c r="S544" s="14" t="s">
        <v>150</v>
      </c>
      <c r="AK544">
        <v>0.08</v>
      </c>
      <c r="AL544">
        <f t="shared" si="272"/>
        <v>0</v>
      </c>
      <c r="AM544">
        <f t="shared" si="273"/>
        <v>0</v>
      </c>
      <c r="AN544">
        <f t="shared" si="274"/>
        <v>0</v>
      </c>
      <c r="AO544" t="s">
        <v>3399</v>
      </c>
      <c r="AV544" t="str">
        <f>IF(F544&gt;0,(COUNT($AV$1:AV543)+1),"")</f>
        <v/>
      </c>
    </row>
    <row r="545" spans="1:48" ht="15" customHeight="1" x14ac:dyDescent="0.25">
      <c r="A545" s="1"/>
      <c r="B545" s="31">
        <v>12452</v>
      </c>
      <c r="C545" s="16">
        <v>4607078971650</v>
      </c>
      <c r="D545" s="226" t="s">
        <v>6290</v>
      </c>
      <c r="E545" s="69">
        <v>45</v>
      </c>
      <c r="F545" s="222"/>
      <c r="G545" s="108">
        <v>276.10000000000002</v>
      </c>
      <c r="H545" s="17">
        <v>291</v>
      </c>
      <c r="I545" s="18">
        <v>308.10000000000002</v>
      </c>
      <c r="J545" s="113" t="s">
        <v>18</v>
      </c>
      <c r="K545" s="44" t="s">
        <v>131</v>
      </c>
      <c r="L545" s="442"/>
      <c r="M545" s="480" t="s">
        <v>104</v>
      </c>
      <c r="N545" s="1015"/>
      <c r="O545" s="217"/>
      <c r="P545" s="68" t="s">
        <v>72</v>
      </c>
      <c r="Q545" s="103">
        <f t="shared" si="270"/>
        <v>0</v>
      </c>
      <c r="R545" s="13" t="str">
        <f t="shared" si="271"/>
        <v>Фото &gt;&gt;</v>
      </c>
      <c r="S545" s="14" t="s">
        <v>152</v>
      </c>
      <c r="AK545">
        <v>0.14000000000000001</v>
      </c>
      <c r="AL545">
        <f t="shared" ref="AL545" si="275">F545*G545</f>
        <v>0</v>
      </c>
      <c r="AM545">
        <f t="shared" ref="AM545" si="276">F545*H545</f>
        <v>0</v>
      </c>
      <c r="AN545">
        <f t="shared" ref="AN545" si="277">AK545*F545+IF(E545&gt;1.01,F545/E545*0.2,0)</f>
        <v>0</v>
      </c>
      <c r="AO545" t="s">
        <v>3400</v>
      </c>
      <c r="AV545" t="str">
        <f>IF(F545&gt;0,(COUNT($AV$1:AV544)+1),"")</f>
        <v/>
      </c>
    </row>
    <row r="546" spans="1:48" ht="15" customHeight="1" x14ac:dyDescent="0.25">
      <c r="A546" s="1"/>
      <c r="B546" s="30">
        <v>18317</v>
      </c>
      <c r="C546" s="20">
        <v>4630039322079</v>
      </c>
      <c r="D546" s="225" t="s">
        <v>3401</v>
      </c>
      <c r="E546" s="67">
        <v>24</v>
      </c>
      <c r="F546" s="222"/>
      <c r="G546" s="107">
        <v>264.10000000000002</v>
      </c>
      <c r="H546" s="21">
        <v>278.5</v>
      </c>
      <c r="I546" s="22">
        <v>301</v>
      </c>
      <c r="J546" s="112" t="s">
        <v>18</v>
      </c>
      <c r="K546" s="45" t="s">
        <v>131</v>
      </c>
      <c r="L546" s="437"/>
      <c r="M546" s="474" t="s">
        <v>104</v>
      </c>
      <c r="N546" s="1013"/>
      <c r="O546" s="212"/>
      <c r="P546" s="66" t="s">
        <v>40</v>
      </c>
      <c r="Q546" s="103">
        <f t="shared" si="270"/>
        <v>0</v>
      </c>
      <c r="R546" s="13" t="str">
        <f t="shared" si="271"/>
        <v>Фото &gt;&gt;</v>
      </c>
      <c r="S546" s="14" t="s">
        <v>3402</v>
      </c>
      <c r="AK546">
        <v>7.0000000000000007E-2</v>
      </c>
      <c r="AL546">
        <f t="shared" si="272"/>
        <v>0</v>
      </c>
      <c r="AM546">
        <f t="shared" si="273"/>
        <v>0</v>
      </c>
      <c r="AN546">
        <f t="shared" si="274"/>
        <v>0</v>
      </c>
      <c r="AO546" t="s">
        <v>3403</v>
      </c>
      <c r="AV546" t="str">
        <f>IF(F546&gt;0,(COUNT($AV$1:AV545)+1),"")</f>
        <v/>
      </c>
    </row>
    <row r="547" spans="1:48" ht="15" customHeight="1" x14ac:dyDescent="0.25">
      <c r="A547" s="1"/>
      <c r="B547" s="31">
        <v>20561</v>
      </c>
      <c r="C547" s="16">
        <v>4607078971797</v>
      </c>
      <c r="D547" s="226" t="s">
        <v>5860</v>
      </c>
      <c r="E547" s="69">
        <v>32</v>
      </c>
      <c r="F547" s="222"/>
      <c r="G547" s="108">
        <v>138.1</v>
      </c>
      <c r="H547" s="17">
        <v>145.5</v>
      </c>
      <c r="I547" s="18">
        <v>153.80000000000001</v>
      </c>
      <c r="J547" s="113" t="s">
        <v>18</v>
      </c>
      <c r="K547" s="44" t="s">
        <v>131</v>
      </c>
      <c r="L547" s="442"/>
      <c r="M547" s="480" t="s">
        <v>104</v>
      </c>
      <c r="N547" s="1015"/>
      <c r="O547" s="217"/>
      <c r="P547" s="68" t="s">
        <v>132</v>
      </c>
      <c r="Q547" s="103">
        <f t="shared" si="270"/>
        <v>0</v>
      </c>
      <c r="R547" s="13" t="str">
        <f t="shared" si="271"/>
        <v>Фото &gt;&gt;</v>
      </c>
      <c r="S547" s="14" t="s">
        <v>5858</v>
      </c>
      <c r="AK547">
        <v>0.22</v>
      </c>
      <c r="AL547">
        <f t="shared" ref="AL547:AL550" si="278">F547*G547</f>
        <v>0</v>
      </c>
      <c r="AM547">
        <f t="shared" ref="AM547:AM550" si="279">F547*H547</f>
        <v>0</v>
      </c>
      <c r="AN547">
        <f t="shared" ref="AN547:AN550" si="280">AK547*F547+IF(E547&gt;1.01,F547/E547*0.2,0)</f>
        <v>0</v>
      </c>
      <c r="AO547" t="s">
        <v>5859</v>
      </c>
      <c r="AV547" t="str">
        <f>IF(F547&gt;0,(COUNT($AV$1:AV546)+1),"")</f>
        <v/>
      </c>
    </row>
    <row r="548" spans="1:48" ht="15" customHeight="1" x14ac:dyDescent="0.25">
      <c r="A548" s="1"/>
      <c r="B548" s="30">
        <v>13304</v>
      </c>
      <c r="C548" s="20">
        <v>4607078978352</v>
      </c>
      <c r="D548" s="225" t="s">
        <v>2978</v>
      </c>
      <c r="E548" s="67">
        <v>28</v>
      </c>
      <c r="F548" s="222"/>
      <c r="G548" s="107">
        <v>233.6</v>
      </c>
      <c r="H548" s="21">
        <v>246.3</v>
      </c>
      <c r="I548" s="22">
        <v>260</v>
      </c>
      <c r="J548" s="112" t="s">
        <v>18</v>
      </c>
      <c r="K548" s="45" t="s">
        <v>130</v>
      </c>
      <c r="L548" s="437"/>
      <c r="M548" s="474" t="s">
        <v>104</v>
      </c>
      <c r="N548" s="1013"/>
      <c r="O548" s="212"/>
      <c r="P548" s="66" t="s">
        <v>165</v>
      </c>
      <c r="Q548" s="103">
        <f t="shared" si="270"/>
        <v>0</v>
      </c>
      <c r="R548" s="13" t="str">
        <f t="shared" si="271"/>
        <v>Фото &gt;&gt;</v>
      </c>
      <c r="S548" s="14" t="s">
        <v>155</v>
      </c>
      <c r="AK548">
        <v>0.28999999999999998</v>
      </c>
      <c r="AL548">
        <f t="shared" si="278"/>
        <v>0</v>
      </c>
      <c r="AM548">
        <f t="shared" si="279"/>
        <v>0</v>
      </c>
      <c r="AN548">
        <f t="shared" si="280"/>
        <v>0</v>
      </c>
      <c r="AO548" t="s">
        <v>3404</v>
      </c>
      <c r="AV548" t="str">
        <f>IF(F548&gt;0,(COUNT($AV$1:AV547)+1),"")</f>
        <v/>
      </c>
    </row>
    <row r="549" spans="1:48" ht="15" customHeight="1" x14ac:dyDescent="0.25">
      <c r="A549" s="1"/>
      <c r="B549" s="31">
        <v>13303</v>
      </c>
      <c r="C549" s="16">
        <v>4607078978369</v>
      </c>
      <c r="D549" s="226" t="s">
        <v>7015</v>
      </c>
      <c r="E549" s="69">
        <v>28</v>
      </c>
      <c r="F549" s="222"/>
      <c r="G549" s="108">
        <v>233.6</v>
      </c>
      <c r="H549" s="17">
        <v>246.3</v>
      </c>
      <c r="I549" s="18">
        <v>260</v>
      </c>
      <c r="J549" s="113" t="s">
        <v>18</v>
      </c>
      <c r="K549" s="44" t="s">
        <v>130</v>
      </c>
      <c r="L549" s="442"/>
      <c r="M549" s="480" t="s">
        <v>104</v>
      </c>
      <c r="N549" s="1015"/>
      <c r="O549" s="217"/>
      <c r="P549" s="68" t="s">
        <v>165</v>
      </c>
      <c r="Q549" s="103">
        <f t="shared" si="270"/>
        <v>0</v>
      </c>
      <c r="R549" s="13" t="str">
        <f t="shared" si="271"/>
        <v>Фото &gt;&gt;</v>
      </c>
      <c r="S549" s="14" t="s">
        <v>156</v>
      </c>
      <c r="AK549">
        <v>0.28999999999999998</v>
      </c>
      <c r="AL549">
        <f t="shared" si="278"/>
        <v>0</v>
      </c>
      <c r="AM549">
        <f t="shared" si="279"/>
        <v>0</v>
      </c>
      <c r="AN549">
        <f t="shared" si="280"/>
        <v>0</v>
      </c>
      <c r="AO549" t="s">
        <v>3405</v>
      </c>
      <c r="AV549" t="str">
        <f>IF(F549&gt;0,(COUNT($AV$1:AV548)+1),"")</f>
        <v/>
      </c>
    </row>
    <row r="550" spans="1:48" ht="15" customHeight="1" x14ac:dyDescent="0.25">
      <c r="A550" s="1"/>
      <c r="B550" s="30">
        <v>13300</v>
      </c>
      <c r="C550" s="20">
        <v>4607078978376</v>
      </c>
      <c r="D550" s="225" t="s">
        <v>4461</v>
      </c>
      <c r="E550" s="67">
        <v>28</v>
      </c>
      <c r="F550" s="222"/>
      <c r="G550" s="107">
        <v>285.3</v>
      </c>
      <c r="H550" s="21">
        <v>300.7</v>
      </c>
      <c r="I550" s="22">
        <v>318.5</v>
      </c>
      <c r="J550" s="112" t="s">
        <v>18</v>
      </c>
      <c r="K550" s="45" t="s">
        <v>130</v>
      </c>
      <c r="L550" s="437"/>
      <c r="M550" s="474" t="s">
        <v>104</v>
      </c>
      <c r="N550" s="1013"/>
      <c r="O550" s="212"/>
      <c r="P550" s="66" t="s">
        <v>165</v>
      </c>
      <c r="Q550" s="103">
        <f t="shared" si="270"/>
        <v>0</v>
      </c>
      <c r="R550" s="13" t="str">
        <f t="shared" si="271"/>
        <v>Фото &gt;&gt;</v>
      </c>
      <c r="S550" s="14" t="s">
        <v>157</v>
      </c>
      <c r="AK550">
        <v>0.28999999999999998</v>
      </c>
      <c r="AL550">
        <f t="shared" si="278"/>
        <v>0</v>
      </c>
      <c r="AM550">
        <f t="shared" si="279"/>
        <v>0</v>
      </c>
      <c r="AN550">
        <f t="shared" si="280"/>
        <v>0</v>
      </c>
      <c r="AO550" t="s">
        <v>3406</v>
      </c>
      <c r="AV550" t="str">
        <f>IF(F550&gt;0,(COUNT($AV$1:AV549)+1),"")</f>
        <v/>
      </c>
    </row>
    <row r="551" spans="1:48" ht="15" customHeight="1" x14ac:dyDescent="0.25">
      <c r="A551" s="1"/>
      <c r="B551" s="31">
        <v>13302</v>
      </c>
      <c r="C551" s="16">
        <v>4607078978383</v>
      </c>
      <c r="D551" s="226" t="s">
        <v>7016</v>
      </c>
      <c r="E551" s="69">
        <v>28</v>
      </c>
      <c r="F551" s="222"/>
      <c r="G551" s="108">
        <v>233.6</v>
      </c>
      <c r="H551" s="17">
        <v>246.3</v>
      </c>
      <c r="I551" s="18">
        <v>260</v>
      </c>
      <c r="J551" s="113" t="s">
        <v>18</v>
      </c>
      <c r="K551" s="44" t="s">
        <v>130</v>
      </c>
      <c r="L551" s="442"/>
      <c r="M551" s="480" t="s">
        <v>104</v>
      </c>
      <c r="N551" s="1015"/>
      <c r="O551" s="217"/>
      <c r="P551" s="68" t="s">
        <v>165</v>
      </c>
      <c r="Q551" s="103">
        <f t="shared" si="270"/>
        <v>0</v>
      </c>
      <c r="R551" s="13" t="str">
        <f t="shared" si="271"/>
        <v>Фото &gt;&gt;</v>
      </c>
      <c r="S551" s="14" t="s">
        <v>158</v>
      </c>
      <c r="AK551">
        <v>0.28999999999999998</v>
      </c>
      <c r="AL551">
        <f t="shared" si="272"/>
        <v>0</v>
      </c>
      <c r="AM551">
        <f t="shared" si="273"/>
        <v>0</v>
      </c>
      <c r="AN551">
        <f t="shared" si="274"/>
        <v>0</v>
      </c>
      <c r="AO551" t="s">
        <v>3407</v>
      </c>
      <c r="AV551" t="str">
        <f>IF(F551&gt;0,(COUNT($AV$1:AV550)+1),"")</f>
        <v/>
      </c>
    </row>
    <row r="552" spans="1:48" ht="15" customHeight="1" x14ac:dyDescent="0.25">
      <c r="A552" s="1"/>
      <c r="B552" s="578">
        <v>13301</v>
      </c>
      <c r="C552" s="579">
        <v>4607078978390</v>
      </c>
      <c r="D552" s="595" t="s">
        <v>7794</v>
      </c>
      <c r="E552" s="580">
        <v>28</v>
      </c>
      <c r="F552" s="581"/>
      <c r="G552" s="582">
        <v>233.6</v>
      </c>
      <c r="H552" s="583">
        <v>246.3</v>
      </c>
      <c r="I552" s="584">
        <v>260</v>
      </c>
      <c r="J552" s="112" t="s">
        <v>18</v>
      </c>
      <c r="K552" s="45" t="s">
        <v>130</v>
      </c>
      <c r="L552" s="437"/>
      <c r="M552" s="474" t="s">
        <v>104</v>
      </c>
      <c r="N552" s="1013"/>
      <c r="O552" s="212" t="s">
        <v>1690</v>
      </c>
      <c r="P552" s="66" t="s">
        <v>165</v>
      </c>
      <c r="Q552" s="103">
        <f t="shared" si="270"/>
        <v>0</v>
      </c>
      <c r="R552" s="13" t="str">
        <f t="shared" si="271"/>
        <v>Фото &gt;&gt;</v>
      </c>
      <c r="S552" s="14" t="s">
        <v>159</v>
      </c>
      <c r="AK552">
        <v>0.28999999999999998</v>
      </c>
      <c r="AL552">
        <f t="shared" ref="AL552" si="281">F552*G552</f>
        <v>0</v>
      </c>
      <c r="AM552">
        <f t="shared" ref="AM552" si="282">F552*H552</f>
        <v>0</v>
      </c>
      <c r="AN552">
        <f t="shared" ref="AN552" si="283">AK552*F552+IF(E552&gt;1.01,F552/E552*0.2,0)</f>
        <v>0</v>
      </c>
      <c r="AO552" t="s">
        <v>3408</v>
      </c>
      <c r="AV552" t="str">
        <f>IF(F552&gt;0,(COUNT($AV$1:AV551)+1),"")</f>
        <v/>
      </c>
    </row>
    <row r="553" spans="1:48" ht="15" customHeight="1" x14ac:dyDescent="0.25">
      <c r="A553" s="1"/>
      <c r="B553" s="31">
        <v>13299</v>
      </c>
      <c r="C553" s="16">
        <v>4607078978406</v>
      </c>
      <c r="D553" s="226" t="s">
        <v>6068</v>
      </c>
      <c r="E553" s="69">
        <v>28</v>
      </c>
      <c r="F553" s="222"/>
      <c r="G553" s="108">
        <v>233.6</v>
      </c>
      <c r="H553" s="17">
        <v>246.3</v>
      </c>
      <c r="I553" s="18">
        <v>260</v>
      </c>
      <c r="J553" s="113" t="s">
        <v>18</v>
      </c>
      <c r="K553" s="44" t="s">
        <v>130</v>
      </c>
      <c r="L553" s="442"/>
      <c r="M553" s="480" t="s">
        <v>104</v>
      </c>
      <c r="N553" s="1015"/>
      <c r="O553" s="217"/>
      <c r="P553" s="68" t="s">
        <v>165</v>
      </c>
      <c r="Q553" s="103">
        <f t="shared" si="270"/>
        <v>0</v>
      </c>
      <c r="R553" s="13" t="str">
        <f t="shared" si="271"/>
        <v>Фото &gt;&gt;</v>
      </c>
      <c r="S553" s="14" t="s">
        <v>6066</v>
      </c>
      <c r="AK553">
        <v>0.28999999999999998</v>
      </c>
      <c r="AL553">
        <f t="shared" ref="AL553:AL561" si="284">F553*G553</f>
        <v>0</v>
      </c>
      <c r="AM553">
        <f t="shared" ref="AM553:AM561" si="285">F553*H553</f>
        <v>0</v>
      </c>
      <c r="AN553">
        <f t="shared" ref="AN553:AN561" si="286">AK553*F553+IF(E553&gt;1.01,F553/E553*0.2,0)</f>
        <v>0</v>
      </c>
      <c r="AO553" t="s">
        <v>6067</v>
      </c>
      <c r="AV553" t="str">
        <f>IF(F553&gt;0,(COUNT($AV$1:AV552)+1),"")</f>
        <v/>
      </c>
    </row>
    <row r="554" spans="1:48" ht="15" customHeight="1" x14ac:dyDescent="0.25">
      <c r="A554" s="1"/>
      <c r="B554" s="25"/>
      <c r="C554" s="26"/>
      <c r="D554" s="27" t="s">
        <v>163</v>
      </c>
      <c r="E554" s="80"/>
      <c r="F554" s="96"/>
      <c r="G554" s="28"/>
      <c r="H554" s="29"/>
      <c r="I554" s="29"/>
      <c r="J554" s="51"/>
      <c r="K554" s="47"/>
      <c r="L554" s="447"/>
      <c r="M554" s="489" t="s">
        <v>104</v>
      </c>
      <c r="N554" s="716"/>
      <c r="O554" s="186"/>
      <c r="P554" s="79"/>
      <c r="Q554" s="104"/>
      <c r="R554" s="13"/>
      <c r="S554" s="14"/>
      <c r="AL554">
        <f t="shared" si="284"/>
        <v>0</v>
      </c>
      <c r="AM554">
        <f t="shared" si="285"/>
        <v>0</v>
      </c>
      <c r="AN554">
        <f t="shared" si="286"/>
        <v>0</v>
      </c>
      <c r="AO554" t="s">
        <v>104</v>
      </c>
      <c r="AV554" t="str">
        <f>IF(F554&gt;0,(COUNT($AV$1:AV553)+1),"")</f>
        <v/>
      </c>
    </row>
    <row r="555" spans="1:48" ht="15" customHeight="1" x14ac:dyDescent="0.25">
      <c r="A555" s="1"/>
      <c r="B555" s="30">
        <v>20116</v>
      </c>
      <c r="C555" s="20"/>
      <c r="D555" s="421" t="s">
        <v>7568</v>
      </c>
      <c r="E555" s="67">
        <v>24</v>
      </c>
      <c r="F555" s="222"/>
      <c r="G555" s="419">
        <v>113.8</v>
      </c>
      <c r="H555" s="417">
        <v>117.8</v>
      </c>
      <c r="I555" s="418">
        <v>122</v>
      </c>
      <c r="J555" s="112" t="s">
        <v>18</v>
      </c>
      <c r="K555" s="45" t="s">
        <v>166</v>
      </c>
      <c r="L555" s="437"/>
      <c r="M555" s="474" t="s">
        <v>104</v>
      </c>
      <c r="N555" s="1013"/>
      <c r="O555" s="209" t="s">
        <v>7567</v>
      </c>
      <c r="P555" s="66" t="s">
        <v>165</v>
      </c>
      <c r="Q555" s="103">
        <f>IF($AO$417=2,F555*H555,IF($AO$417=1,F555*G555,F555*I555))</f>
        <v>0</v>
      </c>
      <c r="R555" s="13" t="str">
        <f t="shared" si="271"/>
        <v>Фото &gt;&gt;</v>
      </c>
      <c r="S555" s="14"/>
      <c r="AK555">
        <v>0.55000000000000004</v>
      </c>
      <c r="AL555">
        <f t="shared" si="284"/>
        <v>0</v>
      </c>
      <c r="AM555">
        <f t="shared" si="285"/>
        <v>0</v>
      </c>
      <c r="AN555">
        <f t="shared" si="286"/>
        <v>0</v>
      </c>
      <c r="AO555" t="s">
        <v>7565</v>
      </c>
    </row>
    <row r="556" spans="1:48" ht="15" customHeight="1" x14ac:dyDescent="0.25">
      <c r="A556" s="1"/>
      <c r="B556" s="31">
        <v>17996</v>
      </c>
      <c r="C556" s="16">
        <v>4630039325070</v>
      </c>
      <c r="D556" s="226" t="s">
        <v>5857</v>
      </c>
      <c r="E556" s="69">
        <v>24</v>
      </c>
      <c r="F556" s="222"/>
      <c r="G556" s="108">
        <v>175.1</v>
      </c>
      <c r="H556" s="17">
        <v>181.3</v>
      </c>
      <c r="I556" s="18">
        <v>196.5</v>
      </c>
      <c r="J556" s="113" t="s">
        <v>18</v>
      </c>
      <c r="K556" s="44" t="s">
        <v>166</v>
      </c>
      <c r="L556" s="442"/>
      <c r="M556" s="480" t="s">
        <v>104</v>
      </c>
      <c r="N556" s="1015"/>
      <c r="O556" s="217"/>
      <c r="P556" s="68" t="s">
        <v>165</v>
      </c>
      <c r="Q556" s="103">
        <f>IF($AO$417=2,F556*H556,IF($AO$417=1,F556*G556,F556*I556))</f>
        <v>0</v>
      </c>
      <c r="R556" s="13" t="str">
        <f t="shared" si="271"/>
        <v>Фото &gt;&gt;</v>
      </c>
      <c r="S556" s="14" t="s">
        <v>5855</v>
      </c>
      <c r="AK556">
        <v>0.55000000000000004</v>
      </c>
      <c r="AL556">
        <f t="shared" si="284"/>
        <v>0</v>
      </c>
      <c r="AM556">
        <f t="shared" si="285"/>
        <v>0</v>
      </c>
      <c r="AN556">
        <f t="shared" si="286"/>
        <v>0</v>
      </c>
      <c r="AO556" t="s">
        <v>5856</v>
      </c>
      <c r="AV556" t="str">
        <f>IF(F556&gt;0,(COUNT($AV$1:AV554)+1),"")</f>
        <v/>
      </c>
    </row>
    <row r="557" spans="1:48" ht="15" customHeight="1" x14ac:dyDescent="0.25">
      <c r="A557" s="1"/>
      <c r="B557" s="30">
        <v>20117</v>
      </c>
      <c r="C557" s="20">
        <v>4630039325605</v>
      </c>
      <c r="D557" s="225" t="s">
        <v>4426</v>
      </c>
      <c r="E557" s="67">
        <v>24</v>
      </c>
      <c r="F557" s="222"/>
      <c r="G557" s="107">
        <v>175.1</v>
      </c>
      <c r="H557" s="21">
        <v>181.3</v>
      </c>
      <c r="I557" s="22">
        <v>196.5</v>
      </c>
      <c r="J557" s="112" t="s">
        <v>18</v>
      </c>
      <c r="K557" s="45" t="s">
        <v>166</v>
      </c>
      <c r="L557" s="437"/>
      <c r="M557" s="474" t="s">
        <v>104</v>
      </c>
      <c r="N557" s="1013"/>
      <c r="O557" s="212"/>
      <c r="P557" s="66" t="s">
        <v>165</v>
      </c>
      <c r="Q557" s="103">
        <f>IF($AO$417=2,F557*H557,IF($AO$417=1,F557*G557,F557*I557))</f>
        <v>0</v>
      </c>
      <c r="R557" s="13" t="str">
        <f t="shared" si="271"/>
        <v>Фото &gt;&gt;</v>
      </c>
      <c r="S557" s="14" t="s">
        <v>2303</v>
      </c>
      <c r="AK557">
        <v>0.55000000000000004</v>
      </c>
      <c r="AL557">
        <f t="shared" si="284"/>
        <v>0</v>
      </c>
      <c r="AM557">
        <f t="shared" si="285"/>
        <v>0</v>
      </c>
      <c r="AN557">
        <f t="shared" si="286"/>
        <v>0</v>
      </c>
      <c r="AO557" t="s">
        <v>2520</v>
      </c>
      <c r="AV557" t="str">
        <f>IF(F557&gt;0,(COUNT($AV$1:AV556)+1),"")</f>
        <v/>
      </c>
    </row>
    <row r="558" spans="1:48" ht="15" customHeight="1" x14ac:dyDescent="0.25">
      <c r="A558" s="1"/>
      <c r="B558" s="31">
        <v>18310</v>
      </c>
      <c r="C558" s="16">
        <v>4630039325087</v>
      </c>
      <c r="D558" s="226" t="s">
        <v>4225</v>
      </c>
      <c r="E558" s="69">
        <v>24</v>
      </c>
      <c r="F558" s="222"/>
      <c r="G558" s="108">
        <v>175.1</v>
      </c>
      <c r="H558" s="17">
        <v>181.3</v>
      </c>
      <c r="I558" s="18">
        <v>196.5</v>
      </c>
      <c r="J558" s="113" t="s">
        <v>18</v>
      </c>
      <c r="K558" s="44" t="s">
        <v>166</v>
      </c>
      <c r="L558" s="442"/>
      <c r="M558" s="480" t="s">
        <v>104</v>
      </c>
      <c r="N558" s="1015"/>
      <c r="O558" s="217"/>
      <c r="P558" s="68" t="s">
        <v>165</v>
      </c>
      <c r="Q558" s="103">
        <f>IF($AO$417=2,F558*H558,IF($AO$417=1,F558*G558,F558*I558))</f>
        <v>0</v>
      </c>
      <c r="R558" s="13" t="str">
        <f t="shared" si="271"/>
        <v>Фото &gt;&gt;</v>
      </c>
      <c r="S558" s="14" t="s">
        <v>2304</v>
      </c>
      <c r="AK558">
        <v>0.55000000000000004</v>
      </c>
      <c r="AL558">
        <f t="shared" si="284"/>
        <v>0</v>
      </c>
      <c r="AM558">
        <f t="shared" si="285"/>
        <v>0</v>
      </c>
      <c r="AN558">
        <f t="shared" si="286"/>
        <v>0</v>
      </c>
      <c r="AO558" t="s">
        <v>2521</v>
      </c>
      <c r="AV558" t="str">
        <f>IF(F558&gt;0,(COUNT($AV$1:AV557)+1),"")</f>
        <v/>
      </c>
    </row>
    <row r="559" spans="1:48" ht="15" customHeight="1" x14ac:dyDescent="0.25">
      <c r="A559" s="1"/>
      <c r="B559" s="30">
        <v>20118</v>
      </c>
      <c r="C559" s="20"/>
      <c r="D559" s="421" t="s">
        <v>7569</v>
      </c>
      <c r="E559" s="67">
        <v>24</v>
      </c>
      <c r="F559" s="222"/>
      <c r="G559" s="419">
        <v>113.8</v>
      </c>
      <c r="H559" s="417">
        <v>117.8</v>
      </c>
      <c r="I559" s="418">
        <v>122</v>
      </c>
      <c r="J559" s="112" t="s">
        <v>18</v>
      </c>
      <c r="K559" s="45" t="s">
        <v>166</v>
      </c>
      <c r="L559" s="437"/>
      <c r="M559" s="474" t="s">
        <v>104</v>
      </c>
      <c r="N559" s="1013"/>
      <c r="O559" s="209" t="s">
        <v>7567</v>
      </c>
      <c r="P559" s="66" t="s">
        <v>165</v>
      </c>
      <c r="Q559" s="103">
        <f>IF($AO$417=2,F559*H559,IF($AO$417=1,F559*G559,F559*I559))</f>
        <v>0</v>
      </c>
      <c r="R559" s="13" t="str">
        <f t="shared" si="271"/>
        <v>Фото &gt;&gt;</v>
      </c>
      <c r="S559" s="14"/>
      <c r="AK559">
        <v>0.55000000000000004</v>
      </c>
      <c r="AL559">
        <f t="shared" si="284"/>
        <v>0</v>
      </c>
      <c r="AM559">
        <f t="shared" si="285"/>
        <v>0</v>
      </c>
      <c r="AN559">
        <f t="shared" si="286"/>
        <v>0</v>
      </c>
      <c r="AO559" t="s">
        <v>7566</v>
      </c>
    </row>
    <row r="560" spans="1:48" ht="15" customHeight="1" x14ac:dyDescent="0.25">
      <c r="A560" s="1"/>
      <c r="B560" s="25"/>
      <c r="C560" s="26"/>
      <c r="D560" s="27" t="s">
        <v>167</v>
      </c>
      <c r="E560" s="80"/>
      <c r="F560" s="96"/>
      <c r="G560" s="28"/>
      <c r="H560" s="29"/>
      <c r="I560" s="29"/>
      <c r="J560" s="51"/>
      <c r="K560" s="47"/>
      <c r="L560" s="447"/>
      <c r="M560" s="489" t="s">
        <v>104</v>
      </c>
      <c r="N560" s="716"/>
      <c r="O560" s="186"/>
      <c r="P560" s="79"/>
      <c r="Q560" s="104"/>
      <c r="R560" s="13"/>
      <c r="S560" s="14"/>
      <c r="AL560">
        <f t="shared" si="284"/>
        <v>0</v>
      </c>
      <c r="AM560">
        <f t="shared" si="285"/>
        <v>0</v>
      </c>
      <c r="AN560">
        <f t="shared" si="286"/>
        <v>0</v>
      </c>
      <c r="AV560" t="str">
        <f>IF(F560&gt;0,(COUNT($AV$1:AV558)+1),"")</f>
        <v/>
      </c>
    </row>
    <row r="561" spans="1:48" ht="15" customHeight="1" x14ac:dyDescent="0.25">
      <c r="A561" s="1"/>
      <c r="B561" s="37">
        <v>13407</v>
      </c>
      <c r="C561" s="23" t="s">
        <v>104</v>
      </c>
      <c r="D561" s="156" t="s">
        <v>167</v>
      </c>
      <c r="E561" s="75">
        <v>300</v>
      </c>
      <c r="F561" s="223"/>
      <c r="G561" s="111">
        <v>1</v>
      </c>
      <c r="H561" s="5">
        <v>1</v>
      </c>
      <c r="I561" s="24">
        <v>1</v>
      </c>
      <c r="J561" s="115" t="s">
        <v>18</v>
      </c>
      <c r="K561" s="46"/>
      <c r="L561" s="440"/>
      <c r="M561" s="482" t="s">
        <v>104</v>
      </c>
      <c r="N561" s="1002"/>
      <c r="O561" s="214"/>
      <c r="P561" s="74"/>
      <c r="Q561" s="103">
        <f>IF($AO$417=2,F561*H561,IF($AO$417=1,F561*G561,F561*I561))</f>
        <v>0</v>
      </c>
      <c r="R561" s="13"/>
      <c r="S561" s="14"/>
      <c r="AK561">
        <v>0.02</v>
      </c>
      <c r="AL561">
        <f t="shared" si="284"/>
        <v>0</v>
      </c>
      <c r="AM561">
        <f t="shared" si="285"/>
        <v>0</v>
      </c>
      <c r="AN561">
        <f t="shared" si="286"/>
        <v>0</v>
      </c>
      <c r="AV561" t="str">
        <f>IF(F561&gt;0,(COUNT($AV$1:AV560)+1),"")</f>
        <v/>
      </c>
    </row>
    <row r="562" spans="1:48" ht="15" customHeight="1" x14ac:dyDescent="0.25">
      <c r="A562" s="1"/>
      <c r="B562" s="125"/>
      <c r="C562" s="126"/>
      <c r="D562" s="127"/>
      <c r="E562" s="134"/>
      <c r="F562" s="189"/>
      <c r="G562" s="130"/>
      <c r="H562" s="131"/>
      <c r="I562" s="132"/>
      <c r="J562" s="128"/>
      <c r="K562" s="129"/>
      <c r="L562" s="433"/>
      <c r="M562" s="481" t="s">
        <v>104</v>
      </c>
      <c r="N562" s="471"/>
      <c r="O562" s="181"/>
      <c r="P562" s="133"/>
      <c r="Q562" s="135"/>
      <c r="R562" s="13"/>
      <c r="S562" s="14"/>
      <c r="AV562" t="str">
        <f>IF(F562&gt;0,(COUNT($AV$1:AV561)+1),"")</f>
        <v/>
      </c>
    </row>
    <row r="563" spans="1:48" ht="15" customHeight="1" thickBot="1" x14ac:dyDescent="0.3">
      <c r="A563" s="1"/>
      <c r="B563" s="136"/>
      <c r="C563" s="137"/>
      <c r="D563" s="138"/>
      <c r="E563" s="145"/>
      <c r="F563" s="190"/>
      <c r="G563" s="141"/>
      <c r="H563" s="142"/>
      <c r="I563" s="143"/>
      <c r="J563" s="139"/>
      <c r="K563" s="140"/>
      <c r="L563" s="434"/>
      <c r="M563" s="477" t="s">
        <v>104</v>
      </c>
      <c r="N563" s="468"/>
      <c r="O563" s="182"/>
      <c r="P563" s="144"/>
      <c r="Q563" s="146"/>
      <c r="R563" s="13"/>
      <c r="S563" s="14"/>
      <c r="AV563" t="str">
        <f>IF(F563&gt;0,(COUNT($AV$1:AV562)+1),"")</f>
        <v/>
      </c>
    </row>
    <row r="564" spans="1:48" ht="24.95" customHeight="1" thickBot="1" x14ac:dyDescent="0.3">
      <c r="A564" s="1"/>
      <c r="B564" s="169"/>
      <c r="C564" s="170"/>
      <c r="D564" s="171" t="str">
        <f>CONCATENATE("ФитПарад","     |     Сумма заказа: ",AK564," руб.")</f>
        <v>ФитПарад     |     Сумма заказа: 0 руб.</v>
      </c>
      <c r="E564" s="176"/>
      <c r="F564" s="177"/>
      <c r="G564" s="180" t="str">
        <f>CONCATENATE("Ценовая колонка: ",AO564,"   |   До следующей скидки: ",AJ564," руб.")</f>
        <v>Ценовая колонка: 3   |   До следующей скидки: 15000 руб.</v>
      </c>
      <c r="H564" s="174"/>
      <c r="I564" s="174"/>
      <c r="J564" s="172" t="s">
        <v>1552</v>
      </c>
      <c r="K564" s="173"/>
      <c r="L564" s="444"/>
      <c r="M564" s="486" t="s">
        <v>104</v>
      </c>
      <c r="N564" s="717"/>
      <c r="O564" s="184"/>
      <c r="P564" s="175"/>
      <c r="Q564" s="178"/>
      <c r="R564" s="179" t="s">
        <v>1558</v>
      </c>
      <c r="S564" s="14"/>
      <c r="AJ564">
        <f>ROUND(IF(AL564&gt;50000,"0", IF(AND(AL564&lt;50000,AM564&gt;15000),50000-AL564,15000-AM564)),2)</f>
        <v>15000</v>
      </c>
      <c r="AK564">
        <f>SUM(Q566:Q633)</f>
        <v>0</v>
      </c>
      <c r="AL564">
        <f>SUM(AL566:AL633)</f>
        <v>0</v>
      </c>
      <c r="AM564">
        <f>SUM(AM566:AM633)</f>
        <v>0</v>
      </c>
      <c r="AO564">
        <f>IF(AM564&gt;15000,IF(AL564&gt;50000,1,2),3)</f>
        <v>3</v>
      </c>
      <c r="AV564" t="str">
        <f>IF(F564&gt;0,(COUNT($AV$1:AV563)+1),"")</f>
        <v/>
      </c>
    </row>
    <row r="565" spans="1:48" ht="15" customHeight="1" x14ac:dyDescent="0.25">
      <c r="A565" s="1"/>
      <c r="B565" s="296"/>
      <c r="C565" s="38"/>
      <c r="D565" s="39" t="s">
        <v>168</v>
      </c>
      <c r="E565" s="82"/>
      <c r="F565" s="97"/>
      <c r="G565" s="40" t="s">
        <v>169</v>
      </c>
      <c r="H565" s="41" t="s">
        <v>170</v>
      </c>
      <c r="I565" s="41" t="s">
        <v>16</v>
      </c>
      <c r="J565" s="52"/>
      <c r="K565" s="48"/>
      <c r="L565" s="448"/>
      <c r="M565" s="491" t="s">
        <v>104</v>
      </c>
      <c r="N565" s="715"/>
      <c r="O565" s="187"/>
      <c r="P565" s="81"/>
      <c r="Q565" s="105"/>
      <c r="R565" s="13"/>
      <c r="S565" s="14"/>
      <c r="AV565" t="str">
        <f>IF(F565&gt;0,(COUNT($AV$1:AV564)+1),"")</f>
        <v/>
      </c>
    </row>
    <row r="566" spans="1:48" ht="15" customHeight="1" x14ac:dyDescent="0.25">
      <c r="A566" s="1"/>
      <c r="B566" s="30">
        <v>19074</v>
      </c>
      <c r="C566" s="20">
        <v>4680002318004</v>
      </c>
      <c r="D566" s="153" t="s">
        <v>3438</v>
      </c>
      <c r="E566" s="67">
        <v>10</v>
      </c>
      <c r="F566" s="222"/>
      <c r="G566" s="107">
        <v>113.98</v>
      </c>
      <c r="H566" s="21">
        <v>118.52</v>
      </c>
      <c r="I566" s="22">
        <v>128.21</v>
      </c>
      <c r="J566" s="112" t="s">
        <v>1552</v>
      </c>
      <c r="K566" s="45" t="s">
        <v>5519</v>
      </c>
      <c r="L566" s="437"/>
      <c r="M566" s="474" t="s">
        <v>1856</v>
      </c>
      <c r="N566" s="1013" t="s">
        <v>1856</v>
      </c>
      <c r="O566" s="212"/>
      <c r="P566" s="66" t="s">
        <v>50</v>
      </c>
      <c r="Q566" s="100">
        <f t="shared" ref="Q566:Q596" si="287">IF($AO$564=2,F566*H566,IF($AO$564=1,F566*G566,F566*I566))</f>
        <v>0</v>
      </c>
      <c r="R566" s="13" t="str">
        <f t="shared" ref="R566" si="288">IF(AO566&gt;0,HYPERLINK(AO566,"Фото &gt;&gt;"),"")</f>
        <v>Фото &gt;&gt;</v>
      </c>
      <c r="S566" s="14" t="s">
        <v>1754</v>
      </c>
      <c r="AK566">
        <v>0.08</v>
      </c>
      <c r="AL566">
        <f t="shared" ref="AL566" si="289">F566*G566</f>
        <v>0</v>
      </c>
      <c r="AM566">
        <f t="shared" ref="AM566" si="290">F566*H566</f>
        <v>0</v>
      </c>
      <c r="AN566">
        <f t="shared" ref="AN566:AN594" si="291">AK566*F566+IF(E566&gt;1.01,F566/E566*0.2,0)</f>
        <v>0</v>
      </c>
      <c r="AO566" t="s">
        <v>3429</v>
      </c>
      <c r="AV566" t="str">
        <f>IF(F566&gt;0,(COUNT($AV$1:AV565)+1),"")</f>
        <v/>
      </c>
    </row>
    <row r="567" spans="1:48" ht="15" customHeight="1" x14ac:dyDescent="0.25">
      <c r="A567" s="1"/>
      <c r="B567" s="31">
        <v>18753</v>
      </c>
      <c r="C567" s="16">
        <v>4680002317922</v>
      </c>
      <c r="D567" s="154" t="s">
        <v>3436</v>
      </c>
      <c r="E567" s="69">
        <v>9</v>
      </c>
      <c r="F567" s="222"/>
      <c r="G567" s="108">
        <v>315.79000000000002</v>
      </c>
      <c r="H567" s="17">
        <v>328.41</v>
      </c>
      <c r="I567" s="18">
        <v>353.75</v>
      </c>
      <c r="J567" s="113" t="s">
        <v>1552</v>
      </c>
      <c r="K567" s="44" t="s">
        <v>5519</v>
      </c>
      <c r="L567" s="442"/>
      <c r="M567" s="480" t="s">
        <v>1856</v>
      </c>
      <c r="N567" s="1015" t="s">
        <v>1856</v>
      </c>
      <c r="O567" s="217"/>
      <c r="P567" s="68" t="s">
        <v>50</v>
      </c>
      <c r="Q567" s="100">
        <f t="shared" si="287"/>
        <v>0</v>
      </c>
      <c r="R567" s="13" t="str">
        <f t="shared" ref="R567:R608" si="292">IF(AO567&gt;0,HYPERLINK(AO567,"Фото &gt;&gt;"),"")</f>
        <v>Фото &gt;&gt;</v>
      </c>
      <c r="S567" s="14" t="s">
        <v>1754</v>
      </c>
      <c r="AK567">
        <v>0.27</v>
      </c>
      <c r="AL567">
        <f t="shared" ref="AL567:AL588" si="293">F567*G567</f>
        <v>0</v>
      </c>
      <c r="AM567">
        <f t="shared" ref="AM567:AM588" si="294">F567*H567</f>
        <v>0</v>
      </c>
      <c r="AN567">
        <f t="shared" si="291"/>
        <v>0</v>
      </c>
      <c r="AO567" t="s">
        <v>2522</v>
      </c>
      <c r="AV567" t="str">
        <f>IF(F567&gt;0,(COUNT($AV$1:AV566)+1),"")</f>
        <v/>
      </c>
    </row>
    <row r="568" spans="1:48" ht="15" customHeight="1" x14ac:dyDescent="0.25">
      <c r="A568" s="1"/>
      <c r="B568" s="30">
        <v>16130</v>
      </c>
      <c r="C568" s="20">
        <v>4680002310046</v>
      </c>
      <c r="D568" s="153" t="s">
        <v>3437</v>
      </c>
      <c r="E568" s="67">
        <v>32</v>
      </c>
      <c r="F568" s="222"/>
      <c r="G568" s="107">
        <v>126.3</v>
      </c>
      <c r="H568" s="21">
        <v>131.35</v>
      </c>
      <c r="I568" s="22">
        <v>142.35</v>
      </c>
      <c r="J568" s="112" t="s">
        <v>1552</v>
      </c>
      <c r="K568" s="45" t="s">
        <v>5519</v>
      </c>
      <c r="L568" s="437"/>
      <c r="M568" s="474" t="s">
        <v>1856</v>
      </c>
      <c r="N568" s="1013" t="s">
        <v>1856</v>
      </c>
      <c r="O568" s="212"/>
      <c r="P568" s="66" t="s">
        <v>50</v>
      </c>
      <c r="Q568" s="100">
        <f t="shared" si="287"/>
        <v>0</v>
      </c>
      <c r="R568" s="13" t="str">
        <f t="shared" ref="R568" si="295">IF(AO568&gt;0,HYPERLINK(AO568,"Фото &gt;&gt;"),"")</f>
        <v>Фото &gt;&gt;</v>
      </c>
      <c r="S568" s="14" t="s">
        <v>174</v>
      </c>
      <c r="AK568">
        <v>7.0000000000000007E-2</v>
      </c>
      <c r="AL568">
        <f t="shared" ref="AL568" si="296">F568*G568</f>
        <v>0</v>
      </c>
      <c r="AM568">
        <f t="shared" ref="AM568" si="297">F568*H568</f>
        <v>0</v>
      </c>
      <c r="AN568">
        <f t="shared" si="291"/>
        <v>0</v>
      </c>
      <c r="AO568" t="s">
        <v>6034</v>
      </c>
      <c r="AV568" t="str">
        <f>IF(F568&gt;0,(COUNT($AV$1:AV567)+1),"")</f>
        <v/>
      </c>
    </row>
    <row r="569" spans="1:48" ht="15" customHeight="1" x14ac:dyDescent="0.25">
      <c r="A569" s="1"/>
      <c r="B569" s="31">
        <v>16127</v>
      </c>
      <c r="C569" s="16">
        <v>4680002310022</v>
      </c>
      <c r="D569" s="154" t="s">
        <v>3433</v>
      </c>
      <c r="E569" s="69">
        <v>15</v>
      </c>
      <c r="F569" s="222"/>
      <c r="G569" s="108">
        <v>265.01</v>
      </c>
      <c r="H569" s="17">
        <v>275.61</v>
      </c>
      <c r="I569" s="18">
        <v>296.81</v>
      </c>
      <c r="J569" s="113" t="s">
        <v>1552</v>
      </c>
      <c r="K569" s="44" t="s">
        <v>5519</v>
      </c>
      <c r="L569" s="442"/>
      <c r="M569" s="480" t="s">
        <v>1856</v>
      </c>
      <c r="N569" s="1015" t="s">
        <v>1856</v>
      </c>
      <c r="O569" s="217"/>
      <c r="P569" s="68" t="s">
        <v>50</v>
      </c>
      <c r="Q569" s="100">
        <f t="shared" si="287"/>
        <v>0</v>
      </c>
      <c r="R569" s="13" t="str">
        <f t="shared" si="292"/>
        <v>Фото &gt;&gt;</v>
      </c>
      <c r="S569" s="14" t="s">
        <v>173</v>
      </c>
      <c r="AK569">
        <v>0.21</v>
      </c>
      <c r="AL569">
        <f t="shared" si="293"/>
        <v>0</v>
      </c>
      <c r="AM569">
        <f t="shared" si="294"/>
        <v>0</v>
      </c>
      <c r="AN569">
        <f t="shared" si="291"/>
        <v>0</v>
      </c>
      <c r="AO569" t="s">
        <v>4824</v>
      </c>
      <c r="AV569" t="str">
        <f>IF(F569&gt;0,(COUNT($AV$1:AV568)+1),"")</f>
        <v/>
      </c>
    </row>
    <row r="570" spans="1:48" ht="15" customHeight="1" x14ac:dyDescent="0.25">
      <c r="A570" s="1"/>
      <c r="B570" s="30">
        <v>19119</v>
      </c>
      <c r="C570" s="20">
        <v>4680002315577</v>
      </c>
      <c r="D570" s="153" t="s">
        <v>3434</v>
      </c>
      <c r="E570" s="67">
        <v>9</v>
      </c>
      <c r="F570" s="222"/>
      <c r="G570" s="107">
        <v>326.79000000000002</v>
      </c>
      <c r="H570" s="21">
        <v>339.81</v>
      </c>
      <c r="I570" s="22">
        <v>366.46</v>
      </c>
      <c r="J570" s="112" t="s">
        <v>1552</v>
      </c>
      <c r="K570" s="45" t="s">
        <v>5519</v>
      </c>
      <c r="L570" s="437"/>
      <c r="M570" s="474" t="s">
        <v>1856</v>
      </c>
      <c r="N570" s="1013" t="s">
        <v>1856</v>
      </c>
      <c r="O570" s="212"/>
      <c r="P570" s="66" t="s">
        <v>50</v>
      </c>
      <c r="Q570" s="100">
        <f t="shared" si="287"/>
        <v>0</v>
      </c>
      <c r="R570" s="13" t="str">
        <f t="shared" si="292"/>
        <v>Фото &gt;&gt;</v>
      </c>
      <c r="S570" s="14" t="s">
        <v>174</v>
      </c>
      <c r="AK570">
        <v>0.27</v>
      </c>
      <c r="AL570">
        <f t="shared" si="293"/>
        <v>0</v>
      </c>
      <c r="AM570">
        <f t="shared" si="294"/>
        <v>0</v>
      </c>
      <c r="AN570">
        <f t="shared" si="291"/>
        <v>0</v>
      </c>
      <c r="AO570" t="s">
        <v>2523</v>
      </c>
      <c r="AV570" t="str">
        <f>IF(F570&gt;0,(COUNT($AV$1:AV569)+1),"")</f>
        <v/>
      </c>
    </row>
    <row r="571" spans="1:48" ht="15" customHeight="1" x14ac:dyDescent="0.25">
      <c r="A571" s="1"/>
      <c r="B571" s="31">
        <v>18689</v>
      </c>
      <c r="C571" s="16">
        <v>4680002316260</v>
      </c>
      <c r="D571" s="154" t="s">
        <v>3435</v>
      </c>
      <c r="E571" s="69">
        <v>9</v>
      </c>
      <c r="F571" s="222"/>
      <c r="G571" s="108">
        <v>608.22</v>
      </c>
      <c r="H571" s="17">
        <v>632.54999999999995</v>
      </c>
      <c r="I571" s="18">
        <v>681.41</v>
      </c>
      <c r="J571" s="113" t="s">
        <v>1552</v>
      </c>
      <c r="K571" s="44" t="s">
        <v>5519</v>
      </c>
      <c r="L571" s="442"/>
      <c r="M571" s="480" t="s">
        <v>1856</v>
      </c>
      <c r="N571" s="1015" t="s">
        <v>1856</v>
      </c>
      <c r="O571" s="217"/>
      <c r="P571" s="68" t="s">
        <v>50</v>
      </c>
      <c r="Q571" s="100">
        <f t="shared" si="287"/>
        <v>0</v>
      </c>
      <c r="R571" s="13" t="str">
        <f t="shared" si="292"/>
        <v>Фото &gt;&gt;</v>
      </c>
      <c r="S571" s="14" t="s">
        <v>174</v>
      </c>
      <c r="AK571">
        <v>0.52</v>
      </c>
      <c r="AL571">
        <f t="shared" si="293"/>
        <v>0</v>
      </c>
      <c r="AM571">
        <f t="shared" si="294"/>
        <v>0</v>
      </c>
      <c r="AN571">
        <f t="shared" si="291"/>
        <v>0</v>
      </c>
      <c r="AO571" t="s">
        <v>3430</v>
      </c>
      <c r="AV571" t="str">
        <f>IF(F571&gt;0,(COUNT($AV$1:AV570)+1),"")</f>
        <v/>
      </c>
    </row>
    <row r="572" spans="1:48" ht="15" customHeight="1" x14ac:dyDescent="0.25">
      <c r="A572" s="1"/>
      <c r="B572" s="30">
        <v>16131</v>
      </c>
      <c r="C572" s="20">
        <v>4680002311548</v>
      </c>
      <c r="D572" s="153" t="s">
        <v>3439</v>
      </c>
      <c r="E572" s="67">
        <v>32</v>
      </c>
      <c r="F572" s="222"/>
      <c r="G572" s="107">
        <v>128.93</v>
      </c>
      <c r="H572" s="21">
        <v>130.94999999999999</v>
      </c>
      <c r="I572" s="22">
        <v>141.35</v>
      </c>
      <c r="J572" s="112" t="s">
        <v>1552</v>
      </c>
      <c r="K572" s="45" t="s">
        <v>5519</v>
      </c>
      <c r="L572" s="437"/>
      <c r="M572" s="474" t="s">
        <v>1856</v>
      </c>
      <c r="N572" s="1013" t="s">
        <v>1856</v>
      </c>
      <c r="O572" s="212"/>
      <c r="P572" s="66" t="s">
        <v>50</v>
      </c>
      <c r="Q572" s="100">
        <f t="shared" si="287"/>
        <v>0</v>
      </c>
      <c r="R572" s="13" t="str">
        <f t="shared" ref="R572" si="298">IF(AO572&gt;0,HYPERLINK(AO572,"Фото &gt;&gt;"),"")</f>
        <v>Фото &gt;&gt;</v>
      </c>
      <c r="S572" s="14" t="s">
        <v>176</v>
      </c>
      <c r="AK572">
        <v>7.0000000000000007E-2</v>
      </c>
      <c r="AL572">
        <f t="shared" ref="AL572" si="299">F572*G572</f>
        <v>0</v>
      </c>
      <c r="AM572">
        <f t="shared" ref="AM572" si="300">F572*H572</f>
        <v>0</v>
      </c>
      <c r="AN572">
        <f t="shared" si="291"/>
        <v>0</v>
      </c>
      <c r="AO572" t="s">
        <v>4825</v>
      </c>
      <c r="AV572" t="str">
        <f>IF(F572&gt;0,(COUNT($AV$1:AV571)+1),"")</f>
        <v/>
      </c>
    </row>
    <row r="573" spans="1:48" ht="15" customHeight="1" x14ac:dyDescent="0.25">
      <c r="A573" s="1"/>
      <c r="B573" s="31">
        <v>16877</v>
      </c>
      <c r="C573" s="16">
        <v>4680002311654</v>
      </c>
      <c r="D573" s="154" t="s">
        <v>3431</v>
      </c>
      <c r="E573" s="69">
        <v>15</v>
      </c>
      <c r="F573" s="222"/>
      <c r="G573" s="108">
        <v>274.60000000000002</v>
      </c>
      <c r="H573" s="17">
        <v>285.70999999999998</v>
      </c>
      <c r="I573" s="18">
        <v>307.92</v>
      </c>
      <c r="J573" s="113" t="s">
        <v>1552</v>
      </c>
      <c r="K573" s="44" t="s">
        <v>5519</v>
      </c>
      <c r="L573" s="442"/>
      <c r="M573" s="480" t="s">
        <v>1856</v>
      </c>
      <c r="N573" s="1015" t="s">
        <v>1856</v>
      </c>
      <c r="O573" s="217"/>
      <c r="P573" s="68" t="s">
        <v>50</v>
      </c>
      <c r="Q573" s="100">
        <f t="shared" si="287"/>
        <v>0</v>
      </c>
      <c r="R573" s="13" t="str">
        <f t="shared" si="292"/>
        <v>Фото &gt;&gt;</v>
      </c>
      <c r="S573" s="14" t="s">
        <v>175</v>
      </c>
      <c r="AK573">
        <v>0.2</v>
      </c>
      <c r="AL573">
        <f t="shared" si="293"/>
        <v>0</v>
      </c>
      <c r="AM573">
        <f t="shared" si="294"/>
        <v>0</v>
      </c>
      <c r="AN573">
        <f t="shared" si="291"/>
        <v>0</v>
      </c>
      <c r="AO573" t="s">
        <v>3432</v>
      </c>
      <c r="AV573" t="str">
        <f>IF(F573&gt;0,(COUNT($AV$1:AV572)+1),"")</f>
        <v/>
      </c>
    </row>
    <row r="574" spans="1:48" ht="15" customHeight="1" x14ac:dyDescent="0.25">
      <c r="A574" s="1"/>
      <c r="B574" s="30">
        <v>16135</v>
      </c>
      <c r="C574" s="20">
        <v>4680002312293</v>
      </c>
      <c r="D574" s="153" t="s">
        <v>6813</v>
      </c>
      <c r="E574" s="67">
        <v>10</v>
      </c>
      <c r="F574" s="222"/>
      <c r="G574" s="107">
        <v>127.69</v>
      </c>
      <c r="H574" s="21">
        <v>132.84</v>
      </c>
      <c r="I574" s="22">
        <v>143.33000000000001</v>
      </c>
      <c r="J574" s="112" t="s">
        <v>1552</v>
      </c>
      <c r="K574" s="45" t="s">
        <v>5519</v>
      </c>
      <c r="L574" s="437"/>
      <c r="M574" s="474" t="s">
        <v>1856</v>
      </c>
      <c r="N574" s="1013" t="s">
        <v>1856</v>
      </c>
      <c r="O574" s="212"/>
      <c r="P574" s="66" t="s">
        <v>50</v>
      </c>
      <c r="Q574" s="100">
        <f t="shared" si="287"/>
        <v>0</v>
      </c>
      <c r="R574" s="13" t="str">
        <f t="shared" si="292"/>
        <v>Фото &gt;&gt;</v>
      </c>
      <c r="S574" s="14" t="s">
        <v>177</v>
      </c>
      <c r="AK574">
        <v>0.1</v>
      </c>
      <c r="AL574">
        <f t="shared" si="293"/>
        <v>0</v>
      </c>
      <c r="AM574">
        <f t="shared" si="294"/>
        <v>0</v>
      </c>
      <c r="AN574">
        <f t="shared" si="291"/>
        <v>0</v>
      </c>
      <c r="AO574" t="s">
        <v>3440</v>
      </c>
      <c r="AV574" t="str">
        <f>IF(F574&gt;0,(COUNT($AV$1:AV573)+1),"")</f>
        <v/>
      </c>
    </row>
    <row r="575" spans="1:48" ht="15" customHeight="1" x14ac:dyDescent="0.25">
      <c r="A575" s="1"/>
      <c r="B575" s="31">
        <v>16850</v>
      </c>
      <c r="C575" s="16">
        <v>4680002313313</v>
      </c>
      <c r="D575" s="154" t="s">
        <v>3441</v>
      </c>
      <c r="E575" s="69">
        <v>12</v>
      </c>
      <c r="F575" s="222"/>
      <c r="G575" s="108">
        <v>248.51</v>
      </c>
      <c r="H575" s="17">
        <v>258.39999999999998</v>
      </c>
      <c r="I575" s="18">
        <v>278.58999999999997</v>
      </c>
      <c r="J575" s="113" t="s">
        <v>1552</v>
      </c>
      <c r="K575" s="44" t="s">
        <v>5519</v>
      </c>
      <c r="L575" s="442"/>
      <c r="M575" s="480" t="s">
        <v>1856</v>
      </c>
      <c r="N575" s="1015" t="s">
        <v>1856</v>
      </c>
      <c r="O575" s="217"/>
      <c r="P575" s="68" t="s">
        <v>50</v>
      </c>
      <c r="Q575" s="100">
        <f t="shared" si="287"/>
        <v>0</v>
      </c>
      <c r="R575" s="13" t="str">
        <f t="shared" si="292"/>
        <v>Фото &gt;&gt;</v>
      </c>
      <c r="S575" s="14" t="s">
        <v>178</v>
      </c>
      <c r="AK575">
        <v>0.18</v>
      </c>
      <c r="AL575">
        <f t="shared" si="293"/>
        <v>0</v>
      </c>
      <c r="AM575">
        <f t="shared" si="294"/>
        <v>0</v>
      </c>
      <c r="AN575">
        <f t="shared" si="291"/>
        <v>0</v>
      </c>
      <c r="AO575" t="s">
        <v>4826</v>
      </c>
      <c r="AV575" t="str">
        <f>IF(F575&gt;0,(COUNT($AV$1:AV574)+1),"")</f>
        <v/>
      </c>
    </row>
    <row r="576" spans="1:48" ht="15" customHeight="1" x14ac:dyDescent="0.25">
      <c r="A576" s="1"/>
      <c r="B576" s="30">
        <v>21040</v>
      </c>
      <c r="C576" s="20">
        <v>4680002313320</v>
      </c>
      <c r="D576" s="153" t="s">
        <v>6388</v>
      </c>
      <c r="E576" s="67">
        <v>15</v>
      </c>
      <c r="F576" s="222"/>
      <c r="G576" s="107">
        <v>340.51</v>
      </c>
      <c r="H576" s="21">
        <v>354.34</v>
      </c>
      <c r="I576" s="22">
        <v>381.6</v>
      </c>
      <c r="J576" s="112" t="s">
        <v>1552</v>
      </c>
      <c r="K576" s="45" t="s">
        <v>5519</v>
      </c>
      <c r="L576" s="437"/>
      <c r="M576" s="474" t="s">
        <v>1856</v>
      </c>
      <c r="N576" s="1013" t="s">
        <v>1856</v>
      </c>
      <c r="O576" s="212"/>
      <c r="P576" s="66" t="s">
        <v>55</v>
      </c>
      <c r="Q576" s="100">
        <f t="shared" si="287"/>
        <v>0</v>
      </c>
      <c r="R576" s="13" t="str">
        <f t="shared" si="292"/>
        <v>Фото &gt;&gt;</v>
      </c>
      <c r="S576" s="14" t="s">
        <v>178</v>
      </c>
      <c r="AK576">
        <v>0.18</v>
      </c>
      <c r="AL576">
        <f t="shared" ref="AL576" si="301">F576*G576</f>
        <v>0</v>
      </c>
      <c r="AM576">
        <f t="shared" ref="AM576" si="302">F576*H576</f>
        <v>0</v>
      </c>
      <c r="AN576">
        <f t="shared" ref="AN576" si="303">AK576*F576+IF(E576&gt;1.01,F576/E576*0.2,0)</f>
        <v>0</v>
      </c>
      <c r="AO576" t="s">
        <v>5845</v>
      </c>
      <c r="AV576" t="str">
        <f>IF(F576&gt;0,(COUNT($AV$1:AV575)+1),"")</f>
        <v/>
      </c>
    </row>
    <row r="577" spans="1:48" ht="15" customHeight="1" x14ac:dyDescent="0.25">
      <c r="A577" s="1"/>
      <c r="B577" s="31">
        <v>16875</v>
      </c>
      <c r="C577" s="16">
        <v>4680002313337</v>
      </c>
      <c r="D577" s="154" t="s">
        <v>3443</v>
      </c>
      <c r="E577" s="69">
        <v>12</v>
      </c>
      <c r="F577" s="222"/>
      <c r="G577" s="108">
        <v>293.76</v>
      </c>
      <c r="H577" s="17">
        <v>305.57</v>
      </c>
      <c r="I577" s="18">
        <v>329.09</v>
      </c>
      <c r="J577" s="113" t="s">
        <v>1552</v>
      </c>
      <c r="K577" s="44" t="s">
        <v>5519</v>
      </c>
      <c r="L577" s="442"/>
      <c r="M577" s="480" t="s">
        <v>1856</v>
      </c>
      <c r="N577" s="1015" t="s">
        <v>1856</v>
      </c>
      <c r="O577" s="217"/>
      <c r="P577" s="68" t="s">
        <v>50</v>
      </c>
      <c r="Q577" s="100">
        <f t="shared" si="287"/>
        <v>0</v>
      </c>
      <c r="R577" s="13" t="str">
        <f t="shared" si="292"/>
        <v>Фото &gt;&gt;</v>
      </c>
      <c r="S577" s="14" t="s">
        <v>175</v>
      </c>
      <c r="AK577">
        <v>0.17</v>
      </c>
      <c r="AL577">
        <f t="shared" si="293"/>
        <v>0</v>
      </c>
      <c r="AM577">
        <f t="shared" si="294"/>
        <v>0</v>
      </c>
      <c r="AN577">
        <f t="shared" si="291"/>
        <v>0</v>
      </c>
      <c r="AO577" t="s">
        <v>4827</v>
      </c>
      <c r="AV577" t="str">
        <f>IF(F577&gt;0,(COUNT($AV$1:AV576)+1),"")</f>
        <v/>
      </c>
    </row>
    <row r="578" spans="1:48" ht="15" customHeight="1" x14ac:dyDescent="0.25">
      <c r="A578" s="1"/>
      <c r="B578" s="30">
        <v>16516</v>
      </c>
      <c r="C578" s="20">
        <v>4680002312729</v>
      </c>
      <c r="D578" s="153" t="s">
        <v>3442</v>
      </c>
      <c r="E578" s="67">
        <v>10</v>
      </c>
      <c r="F578" s="222"/>
      <c r="G578" s="107">
        <v>130.44999999999999</v>
      </c>
      <c r="H578" s="21">
        <v>135.6</v>
      </c>
      <c r="I578" s="22">
        <v>146.1</v>
      </c>
      <c r="J578" s="112" t="s">
        <v>1552</v>
      </c>
      <c r="K578" s="45" t="s">
        <v>5519</v>
      </c>
      <c r="L578" s="437"/>
      <c r="M578" s="474" t="s">
        <v>1856</v>
      </c>
      <c r="N578" s="1013" t="s">
        <v>1856</v>
      </c>
      <c r="O578" s="212"/>
      <c r="P578" s="66" t="s">
        <v>50</v>
      </c>
      <c r="Q578" s="100">
        <f t="shared" si="287"/>
        <v>0</v>
      </c>
      <c r="R578" s="13" t="str">
        <f t="shared" si="292"/>
        <v>Фото &gt;&gt;</v>
      </c>
      <c r="S578" s="14" t="s">
        <v>175</v>
      </c>
      <c r="AK578">
        <v>0.1</v>
      </c>
      <c r="AL578">
        <f t="shared" si="293"/>
        <v>0</v>
      </c>
      <c r="AM578">
        <f t="shared" si="294"/>
        <v>0</v>
      </c>
      <c r="AN578">
        <f t="shared" si="291"/>
        <v>0</v>
      </c>
      <c r="AO578" t="s">
        <v>7042</v>
      </c>
      <c r="AQ578" s="952"/>
      <c r="AV578" t="str">
        <f>IF(F578&gt;0,(COUNT($AV$1:AV577)+1),"")</f>
        <v/>
      </c>
    </row>
    <row r="579" spans="1:48" ht="15" customHeight="1" x14ac:dyDescent="0.25">
      <c r="A579" s="1"/>
      <c r="B579" s="31">
        <v>18611</v>
      </c>
      <c r="C579" s="16">
        <v>4680002317465</v>
      </c>
      <c r="D579" s="154" t="s">
        <v>3445</v>
      </c>
      <c r="E579" s="69">
        <v>10</v>
      </c>
      <c r="F579" s="222"/>
      <c r="G579" s="108">
        <v>205.94</v>
      </c>
      <c r="H579" s="17">
        <v>214.22</v>
      </c>
      <c r="I579" s="18">
        <v>231.17</v>
      </c>
      <c r="J579" s="113" t="s">
        <v>1552</v>
      </c>
      <c r="K579" s="44" t="s">
        <v>5519</v>
      </c>
      <c r="L579" s="442"/>
      <c r="M579" s="480" t="s">
        <v>1856</v>
      </c>
      <c r="N579" s="1015" t="s">
        <v>1856</v>
      </c>
      <c r="O579" s="217"/>
      <c r="P579" s="68" t="s">
        <v>50</v>
      </c>
      <c r="Q579" s="100">
        <f t="shared" si="287"/>
        <v>0</v>
      </c>
      <c r="R579" s="13" t="str">
        <f t="shared" si="292"/>
        <v>Фото &gt;&gt;</v>
      </c>
      <c r="S579" s="14" t="s">
        <v>2171</v>
      </c>
      <c r="AK579">
        <v>0.1</v>
      </c>
      <c r="AL579">
        <f t="shared" si="293"/>
        <v>0</v>
      </c>
      <c r="AM579">
        <f t="shared" si="294"/>
        <v>0</v>
      </c>
      <c r="AN579">
        <f t="shared" si="291"/>
        <v>0</v>
      </c>
      <c r="AO579" t="s">
        <v>3444</v>
      </c>
      <c r="AV579" t="str">
        <f>IF(F579&gt;0,(COUNT($AV$1:AV578)+1),"")</f>
        <v/>
      </c>
    </row>
    <row r="580" spans="1:48" ht="15" customHeight="1" x14ac:dyDescent="0.25">
      <c r="A580" s="1"/>
      <c r="B580" s="30">
        <v>18612</v>
      </c>
      <c r="C580" s="20">
        <v>4680002317472</v>
      </c>
      <c r="D580" s="153" t="s">
        <v>3446</v>
      </c>
      <c r="E580" s="67">
        <v>10</v>
      </c>
      <c r="F580" s="222"/>
      <c r="G580" s="107">
        <v>233.39</v>
      </c>
      <c r="H580" s="21">
        <v>242.78</v>
      </c>
      <c r="I580" s="22">
        <v>261.45</v>
      </c>
      <c r="J580" s="112" t="s">
        <v>1552</v>
      </c>
      <c r="K580" s="45" t="s">
        <v>5519</v>
      </c>
      <c r="L580" s="437"/>
      <c r="M580" s="474" t="s">
        <v>1856</v>
      </c>
      <c r="N580" s="1013" t="s">
        <v>1856</v>
      </c>
      <c r="O580" s="212"/>
      <c r="P580" s="66" t="s">
        <v>50</v>
      </c>
      <c r="Q580" s="100">
        <f t="shared" si="287"/>
        <v>0</v>
      </c>
      <c r="R580" s="13" t="str">
        <f t="shared" si="292"/>
        <v>Фото &gt;&gt;</v>
      </c>
      <c r="S580" s="14" t="s">
        <v>2170</v>
      </c>
      <c r="AK580">
        <v>0.1</v>
      </c>
      <c r="AL580">
        <f t="shared" si="293"/>
        <v>0</v>
      </c>
      <c r="AM580">
        <f t="shared" si="294"/>
        <v>0</v>
      </c>
      <c r="AN580">
        <f t="shared" si="291"/>
        <v>0</v>
      </c>
      <c r="AO580" t="s">
        <v>2524</v>
      </c>
      <c r="AV580" t="str">
        <f>IF(F580&gt;0,(COUNT($AV$1:AV579)+1),"")</f>
        <v/>
      </c>
    </row>
    <row r="581" spans="1:48" ht="15" customHeight="1" x14ac:dyDescent="0.25">
      <c r="A581" s="1"/>
      <c r="B581" s="31">
        <v>18619</v>
      </c>
      <c r="C581" s="16">
        <v>4680002317489</v>
      </c>
      <c r="D581" s="154" t="s">
        <v>3447</v>
      </c>
      <c r="E581" s="69">
        <v>10</v>
      </c>
      <c r="F581" s="222"/>
      <c r="G581" s="108">
        <v>233.39</v>
      </c>
      <c r="H581" s="17">
        <v>242.78</v>
      </c>
      <c r="I581" s="18">
        <v>261.45</v>
      </c>
      <c r="J581" s="113" t="s">
        <v>1552</v>
      </c>
      <c r="K581" s="44" t="s">
        <v>5519</v>
      </c>
      <c r="L581" s="442"/>
      <c r="M581" s="480" t="s">
        <v>1856</v>
      </c>
      <c r="N581" s="1015" t="s">
        <v>1856</v>
      </c>
      <c r="O581" s="217"/>
      <c r="P581" s="68" t="s">
        <v>50</v>
      </c>
      <c r="Q581" s="100">
        <f t="shared" si="287"/>
        <v>0</v>
      </c>
      <c r="R581" s="13" t="str">
        <f t="shared" si="292"/>
        <v>Фото &gt;&gt;</v>
      </c>
      <c r="S581" s="14" t="s">
        <v>2169</v>
      </c>
      <c r="AK581">
        <v>0.1</v>
      </c>
      <c r="AL581">
        <f t="shared" si="293"/>
        <v>0</v>
      </c>
      <c r="AM581">
        <f t="shared" si="294"/>
        <v>0</v>
      </c>
      <c r="AN581">
        <f t="shared" si="291"/>
        <v>0</v>
      </c>
      <c r="AO581" t="s">
        <v>5373</v>
      </c>
      <c r="AV581" t="str">
        <f>IF(F581&gt;0,(COUNT($AV$1:AV580)+1),"")</f>
        <v/>
      </c>
    </row>
    <row r="582" spans="1:48" ht="15" customHeight="1" x14ac:dyDescent="0.25">
      <c r="A582" s="1"/>
      <c r="B582" s="30">
        <v>19200</v>
      </c>
      <c r="C582" s="20">
        <v>4650204930618</v>
      </c>
      <c r="D582" s="153" t="s">
        <v>3448</v>
      </c>
      <c r="E582" s="67">
        <v>10</v>
      </c>
      <c r="F582" s="222"/>
      <c r="G582" s="107">
        <v>241.68</v>
      </c>
      <c r="H582" s="21">
        <v>251.37</v>
      </c>
      <c r="I582" s="22">
        <v>270.55</v>
      </c>
      <c r="J582" s="112" t="s">
        <v>1552</v>
      </c>
      <c r="K582" s="45" t="s">
        <v>5519</v>
      </c>
      <c r="L582" s="437"/>
      <c r="M582" s="474" t="s">
        <v>1856</v>
      </c>
      <c r="N582" s="1013" t="s">
        <v>1856</v>
      </c>
      <c r="O582" s="212"/>
      <c r="P582" s="66" t="s">
        <v>50</v>
      </c>
      <c r="Q582" s="100">
        <f t="shared" si="287"/>
        <v>0</v>
      </c>
      <c r="R582" s="13" t="str">
        <f t="shared" si="292"/>
        <v>Фото &gt;&gt;</v>
      </c>
      <c r="S582" s="14" t="s">
        <v>2168</v>
      </c>
      <c r="AK582">
        <v>0.1</v>
      </c>
      <c r="AL582">
        <f t="shared" si="293"/>
        <v>0</v>
      </c>
      <c r="AM582">
        <f t="shared" si="294"/>
        <v>0</v>
      </c>
      <c r="AN582">
        <f t="shared" si="291"/>
        <v>0</v>
      </c>
      <c r="AO582" t="s">
        <v>2525</v>
      </c>
      <c r="AV582" t="str">
        <f>IF(F582&gt;0,(COUNT($AV$1:AV581)+1),"")</f>
        <v/>
      </c>
    </row>
    <row r="583" spans="1:48" ht="15" customHeight="1" x14ac:dyDescent="0.25">
      <c r="A583" s="1"/>
      <c r="B583" s="31">
        <v>18812</v>
      </c>
      <c r="C583" s="16">
        <v>4680002317571</v>
      </c>
      <c r="D583" s="154" t="s">
        <v>3449</v>
      </c>
      <c r="E583" s="69">
        <v>10</v>
      </c>
      <c r="F583" s="222"/>
      <c r="G583" s="108">
        <v>241.68</v>
      </c>
      <c r="H583" s="17">
        <v>251.37</v>
      </c>
      <c r="I583" s="18">
        <v>270.55</v>
      </c>
      <c r="J583" s="113" t="s">
        <v>1552</v>
      </c>
      <c r="K583" s="44" t="s">
        <v>5519</v>
      </c>
      <c r="L583" s="442"/>
      <c r="M583" s="480" t="s">
        <v>1856</v>
      </c>
      <c r="N583" s="1015" t="s">
        <v>1856</v>
      </c>
      <c r="O583" s="217"/>
      <c r="P583" s="68" t="s">
        <v>50</v>
      </c>
      <c r="Q583" s="100">
        <f t="shared" si="287"/>
        <v>0</v>
      </c>
      <c r="R583" s="13" t="str">
        <f t="shared" si="292"/>
        <v>Фото &gt;&gt;</v>
      </c>
      <c r="S583" s="14" t="s">
        <v>2172</v>
      </c>
      <c r="AK583">
        <v>0.1</v>
      </c>
      <c r="AL583">
        <f t="shared" si="293"/>
        <v>0</v>
      </c>
      <c r="AM583">
        <f t="shared" si="294"/>
        <v>0</v>
      </c>
      <c r="AN583">
        <f t="shared" si="291"/>
        <v>0</v>
      </c>
      <c r="AO583" t="s">
        <v>5374</v>
      </c>
      <c r="AV583" t="str">
        <f>IF(F583&gt;0,(COUNT($AV$1:AV582)+1),"")</f>
        <v/>
      </c>
    </row>
    <row r="584" spans="1:48" ht="15" customHeight="1" x14ac:dyDescent="0.25">
      <c r="A584" s="1"/>
      <c r="B584" s="30">
        <v>18620</v>
      </c>
      <c r="C584" s="20">
        <v>4680002317717</v>
      </c>
      <c r="D584" s="153" t="s">
        <v>3450</v>
      </c>
      <c r="E584" s="67">
        <v>10</v>
      </c>
      <c r="F584" s="222"/>
      <c r="G584" s="107">
        <v>205.94</v>
      </c>
      <c r="H584" s="21">
        <v>214.22</v>
      </c>
      <c r="I584" s="22">
        <v>231.17</v>
      </c>
      <c r="J584" s="112" t="s">
        <v>1552</v>
      </c>
      <c r="K584" s="45" t="s">
        <v>5519</v>
      </c>
      <c r="L584" s="437"/>
      <c r="M584" s="474" t="s">
        <v>1856</v>
      </c>
      <c r="N584" s="1013" t="s">
        <v>1856</v>
      </c>
      <c r="O584" s="212"/>
      <c r="P584" s="66" t="s">
        <v>50</v>
      </c>
      <c r="Q584" s="100">
        <f t="shared" si="287"/>
        <v>0</v>
      </c>
      <c r="R584" s="13" t="str">
        <f t="shared" si="292"/>
        <v>Фото &gt;&gt;</v>
      </c>
      <c r="S584" s="14" t="s">
        <v>2328</v>
      </c>
      <c r="AK584">
        <v>0.1</v>
      </c>
      <c r="AL584">
        <f t="shared" si="293"/>
        <v>0</v>
      </c>
      <c r="AM584">
        <f t="shared" si="294"/>
        <v>0</v>
      </c>
      <c r="AN584">
        <f t="shared" si="291"/>
        <v>0</v>
      </c>
      <c r="AO584" t="s">
        <v>5375</v>
      </c>
      <c r="AV584" t="str">
        <f>IF(F584&gt;0,(COUNT($AV$1:AV583)+1),"")</f>
        <v/>
      </c>
    </row>
    <row r="585" spans="1:48" ht="15" customHeight="1" x14ac:dyDescent="0.25">
      <c r="A585" s="1"/>
      <c r="B585" s="31">
        <v>20127</v>
      </c>
      <c r="C585" s="16">
        <v>4650204930625</v>
      </c>
      <c r="D585" s="154" t="s">
        <v>3801</v>
      </c>
      <c r="E585" s="69">
        <v>10</v>
      </c>
      <c r="F585" s="222"/>
      <c r="G585" s="108">
        <v>205.94</v>
      </c>
      <c r="H585" s="17">
        <v>214.22</v>
      </c>
      <c r="I585" s="18">
        <v>231.17</v>
      </c>
      <c r="J585" s="113" t="s">
        <v>1552</v>
      </c>
      <c r="K585" s="44" t="s">
        <v>5519</v>
      </c>
      <c r="L585" s="442"/>
      <c r="M585" s="480" t="s">
        <v>1856</v>
      </c>
      <c r="N585" s="1015" t="s">
        <v>1856</v>
      </c>
      <c r="O585" s="217"/>
      <c r="P585" s="68" t="s">
        <v>50</v>
      </c>
      <c r="Q585" s="100">
        <f t="shared" si="287"/>
        <v>0</v>
      </c>
      <c r="R585" s="13" t="str">
        <f t="shared" si="292"/>
        <v>Фото &gt;&gt;</v>
      </c>
      <c r="S585" s="14" t="s">
        <v>2329</v>
      </c>
      <c r="AK585">
        <v>0.1</v>
      </c>
      <c r="AL585">
        <f t="shared" ref="AL585" si="304">F585*G585</f>
        <v>0</v>
      </c>
      <c r="AM585">
        <f t="shared" ref="AM585" si="305">F585*H585</f>
        <v>0</v>
      </c>
      <c r="AN585">
        <f t="shared" si="291"/>
        <v>0</v>
      </c>
      <c r="AO585" t="s">
        <v>2526</v>
      </c>
      <c r="AV585" t="str">
        <f>IF(F585&gt;0,(COUNT($AV$1:AV584)+1),"")</f>
        <v/>
      </c>
    </row>
    <row r="586" spans="1:48" ht="15" customHeight="1" x14ac:dyDescent="0.25">
      <c r="A586" s="1"/>
      <c r="B586" s="30">
        <v>20146</v>
      </c>
      <c r="C586" s="20">
        <v>4650204930663</v>
      </c>
      <c r="D586" s="153" t="s">
        <v>3802</v>
      </c>
      <c r="E586" s="67">
        <v>10</v>
      </c>
      <c r="F586" s="222"/>
      <c r="G586" s="107">
        <v>233.39</v>
      </c>
      <c r="H586" s="21">
        <v>242.78</v>
      </c>
      <c r="I586" s="22">
        <v>261.45</v>
      </c>
      <c r="J586" s="112" t="s">
        <v>1552</v>
      </c>
      <c r="K586" s="45" t="s">
        <v>5519</v>
      </c>
      <c r="L586" s="437"/>
      <c r="M586" s="474" t="s">
        <v>1856</v>
      </c>
      <c r="N586" s="1013" t="s">
        <v>1856</v>
      </c>
      <c r="O586" s="212"/>
      <c r="P586" s="66" t="s">
        <v>50</v>
      </c>
      <c r="Q586" s="100">
        <f t="shared" si="287"/>
        <v>0</v>
      </c>
      <c r="R586" s="13" t="str">
        <f t="shared" si="292"/>
        <v>Фото &gt;&gt;</v>
      </c>
      <c r="S586" s="14" t="s">
        <v>2408</v>
      </c>
      <c r="AK586">
        <v>0.1</v>
      </c>
      <c r="AL586">
        <f t="shared" ref="AL586" si="306">F586*G586</f>
        <v>0</v>
      </c>
      <c r="AM586">
        <f t="shared" ref="AM586" si="307">F586*H586</f>
        <v>0</v>
      </c>
      <c r="AN586">
        <f t="shared" si="291"/>
        <v>0</v>
      </c>
      <c r="AO586" t="s">
        <v>2527</v>
      </c>
      <c r="AV586" t="str">
        <f>IF(F586&gt;0,(COUNT($AV$1:AV585)+1),"")</f>
        <v/>
      </c>
    </row>
    <row r="587" spans="1:48" ht="15" customHeight="1" x14ac:dyDescent="0.25">
      <c r="A587" s="1"/>
      <c r="B587" s="31">
        <v>18811</v>
      </c>
      <c r="C587" s="16">
        <v>4680002317731</v>
      </c>
      <c r="D587" s="154" t="s">
        <v>1572</v>
      </c>
      <c r="E587" s="69">
        <v>10</v>
      </c>
      <c r="F587" s="222"/>
      <c r="G587" s="108">
        <v>233.39</v>
      </c>
      <c r="H587" s="17">
        <v>247.32</v>
      </c>
      <c r="I587" s="18">
        <v>261.45</v>
      </c>
      <c r="J587" s="113" t="s">
        <v>1552</v>
      </c>
      <c r="K587" s="44" t="s">
        <v>5519</v>
      </c>
      <c r="L587" s="442"/>
      <c r="M587" s="480" t="s">
        <v>1856</v>
      </c>
      <c r="N587" s="1015" t="s">
        <v>1856</v>
      </c>
      <c r="O587" s="217"/>
      <c r="P587" s="68" t="s">
        <v>50</v>
      </c>
      <c r="Q587" s="100">
        <f t="shared" si="287"/>
        <v>0</v>
      </c>
      <c r="R587" s="13" t="str">
        <f t="shared" si="292"/>
        <v>Фото &gt;&gt;</v>
      </c>
      <c r="S587" s="14" t="s">
        <v>2173</v>
      </c>
      <c r="AK587">
        <v>0.1</v>
      </c>
      <c r="AL587">
        <f t="shared" si="293"/>
        <v>0</v>
      </c>
      <c r="AM587">
        <f t="shared" si="294"/>
        <v>0</v>
      </c>
      <c r="AN587">
        <f t="shared" si="291"/>
        <v>0</v>
      </c>
      <c r="AO587" t="s">
        <v>5376</v>
      </c>
      <c r="AV587" t="str">
        <f>IF(F587&gt;0,(COUNT($AV$1:AV586)+1),"")</f>
        <v/>
      </c>
    </row>
    <row r="588" spans="1:48" ht="15" customHeight="1" x14ac:dyDescent="0.25">
      <c r="A588" s="1"/>
      <c r="B588" s="37">
        <v>19064</v>
      </c>
      <c r="C588" s="23">
        <v>4680002315249</v>
      </c>
      <c r="D588" s="156" t="s">
        <v>1899</v>
      </c>
      <c r="E588" s="75">
        <v>12</v>
      </c>
      <c r="F588" s="223"/>
      <c r="G588" s="111">
        <v>155.68</v>
      </c>
      <c r="H588" s="5">
        <v>161.93</v>
      </c>
      <c r="I588" s="24">
        <v>175.46</v>
      </c>
      <c r="J588" s="115" t="s">
        <v>1552</v>
      </c>
      <c r="K588" s="46" t="s">
        <v>5519</v>
      </c>
      <c r="L588" s="440"/>
      <c r="M588" s="482" t="s">
        <v>1856</v>
      </c>
      <c r="N588" s="1002" t="s">
        <v>1856</v>
      </c>
      <c r="O588" s="214"/>
      <c r="P588" s="74" t="s">
        <v>50</v>
      </c>
      <c r="Q588" s="100">
        <f t="shared" si="287"/>
        <v>0</v>
      </c>
      <c r="R588" s="13" t="str">
        <f t="shared" si="292"/>
        <v>Фото &gt;&gt;</v>
      </c>
      <c r="S588" s="14" t="s">
        <v>1755</v>
      </c>
      <c r="AK588">
        <v>0.06</v>
      </c>
      <c r="AL588">
        <f t="shared" si="293"/>
        <v>0</v>
      </c>
      <c r="AM588">
        <f t="shared" si="294"/>
        <v>0</v>
      </c>
      <c r="AN588">
        <f t="shared" si="291"/>
        <v>0</v>
      </c>
      <c r="AO588" t="s">
        <v>5377</v>
      </c>
      <c r="AV588" t="str">
        <f>IF(F588&gt;0,(COUNT($AV$1:AV587)+1),"")</f>
        <v/>
      </c>
    </row>
    <row r="589" spans="1:48" ht="15" customHeight="1" x14ac:dyDescent="0.25">
      <c r="A589" s="1"/>
      <c r="B589" s="795">
        <v>19913</v>
      </c>
      <c r="C589" s="796">
        <v>4680002315676</v>
      </c>
      <c r="D589" s="898" t="s">
        <v>4243</v>
      </c>
      <c r="E589" s="798">
        <v>16</v>
      </c>
      <c r="F589" s="789"/>
      <c r="G589" s="810">
        <v>308.89999999999998</v>
      </c>
      <c r="H589" s="799">
        <v>321.01</v>
      </c>
      <c r="I589" s="800">
        <v>346.25</v>
      </c>
      <c r="J589" s="801" t="s">
        <v>1552</v>
      </c>
      <c r="K589" s="802" t="s">
        <v>5519</v>
      </c>
      <c r="L589" s="803"/>
      <c r="M589" s="804" t="s">
        <v>1856</v>
      </c>
      <c r="N589" s="1006" t="s">
        <v>1856</v>
      </c>
      <c r="O589" s="887"/>
      <c r="P589" s="806" t="s">
        <v>50</v>
      </c>
      <c r="Q589" s="100">
        <f t="shared" si="287"/>
        <v>0</v>
      </c>
      <c r="R589" s="13" t="str">
        <f t="shared" si="292"/>
        <v>Фото &gt;&gt;</v>
      </c>
      <c r="S589" s="14" t="s">
        <v>3451</v>
      </c>
      <c r="AK589">
        <v>0.27</v>
      </c>
      <c r="AL589">
        <f t="shared" ref="AL589:AL592" si="308">F589*G589</f>
        <v>0</v>
      </c>
      <c r="AM589">
        <f t="shared" ref="AM589:AM592" si="309">F589*H589</f>
        <v>0</v>
      </c>
      <c r="AN589">
        <f t="shared" si="291"/>
        <v>0</v>
      </c>
      <c r="AO589" t="s">
        <v>3820</v>
      </c>
      <c r="AV589" t="str">
        <f>IF(F589&gt;0,(COUNT($AV$1:AV588)+1),"")</f>
        <v/>
      </c>
    </row>
    <row r="590" spans="1:48" ht="15" customHeight="1" x14ac:dyDescent="0.25">
      <c r="A590" s="1"/>
      <c r="B590" s="30">
        <v>18879</v>
      </c>
      <c r="C590" s="20">
        <v>4680002317052</v>
      </c>
      <c r="D590" s="153" t="s">
        <v>3945</v>
      </c>
      <c r="E590" s="67">
        <v>16</v>
      </c>
      <c r="F590" s="222"/>
      <c r="G590" s="107">
        <v>357.04</v>
      </c>
      <c r="H590" s="21">
        <v>371.32</v>
      </c>
      <c r="I590" s="22">
        <v>385.59</v>
      </c>
      <c r="J590" s="112" t="s">
        <v>1552</v>
      </c>
      <c r="K590" s="45" t="s">
        <v>5519</v>
      </c>
      <c r="L590" s="437"/>
      <c r="M590" s="474" t="s">
        <v>1856</v>
      </c>
      <c r="N590" s="1013" t="s">
        <v>1856</v>
      </c>
      <c r="O590" s="212"/>
      <c r="P590" s="66" t="s">
        <v>50</v>
      </c>
      <c r="Q590" s="100">
        <f t="shared" si="287"/>
        <v>0</v>
      </c>
      <c r="R590" s="13" t="str">
        <f t="shared" si="292"/>
        <v>Фото &gt;&gt;</v>
      </c>
      <c r="S590" s="14" t="s">
        <v>1639</v>
      </c>
      <c r="AK590">
        <v>0.27</v>
      </c>
      <c r="AL590">
        <f t="shared" si="308"/>
        <v>0</v>
      </c>
      <c r="AM590">
        <f t="shared" si="309"/>
        <v>0</v>
      </c>
      <c r="AN590">
        <f t="shared" si="291"/>
        <v>0</v>
      </c>
      <c r="AO590" t="s">
        <v>3821</v>
      </c>
      <c r="AV590" t="str">
        <f>IF(F590&gt;0,(COUNT($AV$1:AV589)+1),"")</f>
        <v/>
      </c>
    </row>
    <row r="591" spans="1:48" ht="15" customHeight="1" x14ac:dyDescent="0.25">
      <c r="A591" s="1"/>
      <c r="B591" s="31">
        <v>18878</v>
      </c>
      <c r="C591" s="16">
        <v>4680002313733</v>
      </c>
      <c r="D591" s="154" t="s">
        <v>3452</v>
      </c>
      <c r="E591" s="69">
        <v>10</v>
      </c>
      <c r="F591" s="222"/>
      <c r="G591" s="108">
        <v>115.83</v>
      </c>
      <c r="H591" s="17">
        <v>121.41</v>
      </c>
      <c r="I591" s="18">
        <v>130.84</v>
      </c>
      <c r="J591" s="113" t="s">
        <v>1552</v>
      </c>
      <c r="K591" s="44" t="s">
        <v>5519</v>
      </c>
      <c r="L591" s="442"/>
      <c r="M591" s="480" t="s">
        <v>1856</v>
      </c>
      <c r="N591" s="1015" t="s">
        <v>1856</v>
      </c>
      <c r="O591" s="217"/>
      <c r="P591" s="68" t="s">
        <v>50</v>
      </c>
      <c r="Q591" s="100">
        <f t="shared" si="287"/>
        <v>0</v>
      </c>
      <c r="R591" s="13" t="str">
        <f t="shared" si="292"/>
        <v>Фото &gt;&gt;</v>
      </c>
      <c r="S591" s="14" t="s">
        <v>1639</v>
      </c>
      <c r="AK591">
        <v>7.0000000000000007E-2</v>
      </c>
      <c r="AL591">
        <f t="shared" si="308"/>
        <v>0</v>
      </c>
      <c r="AM591">
        <f t="shared" si="309"/>
        <v>0</v>
      </c>
      <c r="AN591">
        <f t="shared" si="291"/>
        <v>0</v>
      </c>
      <c r="AO591" t="s">
        <v>3822</v>
      </c>
      <c r="AV591" t="str">
        <f>IF(F591&gt;0,(COUNT($AV$1:AV590)+1),"")</f>
        <v/>
      </c>
    </row>
    <row r="592" spans="1:48" ht="15" customHeight="1" x14ac:dyDescent="0.25">
      <c r="A592" s="1"/>
      <c r="B592" s="37">
        <v>18880</v>
      </c>
      <c r="C592" s="23">
        <v>4680002316246</v>
      </c>
      <c r="D592" s="156" t="s">
        <v>3453</v>
      </c>
      <c r="E592" s="75">
        <v>16</v>
      </c>
      <c r="F592" s="223"/>
      <c r="G592" s="111">
        <v>302.06</v>
      </c>
      <c r="H592" s="5">
        <v>314.18</v>
      </c>
      <c r="I592" s="24">
        <v>338.2</v>
      </c>
      <c r="J592" s="115" t="s">
        <v>1552</v>
      </c>
      <c r="K592" s="46" t="s">
        <v>5519</v>
      </c>
      <c r="L592" s="440"/>
      <c r="M592" s="482" t="s">
        <v>1856</v>
      </c>
      <c r="N592" s="1002" t="s">
        <v>1856</v>
      </c>
      <c r="O592" s="214"/>
      <c r="P592" s="74" t="s">
        <v>50</v>
      </c>
      <c r="Q592" s="100">
        <f t="shared" si="287"/>
        <v>0</v>
      </c>
      <c r="R592" s="13" t="str">
        <f t="shared" si="292"/>
        <v>Фото &gt;&gt;</v>
      </c>
      <c r="S592" s="14" t="s">
        <v>1640</v>
      </c>
      <c r="AK592">
        <v>0.27</v>
      </c>
      <c r="AL592">
        <f t="shared" si="308"/>
        <v>0</v>
      </c>
      <c r="AM592">
        <f t="shared" si="309"/>
        <v>0</v>
      </c>
      <c r="AN592">
        <f t="shared" si="291"/>
        <v>0</v>
      </c>
      <c r="AO592" t="s">
        <v>3823</v>
      </c>
      <c r="AV592" t="str">
        <f>IF(F592&gt;0,(COUNT($AV$1:AV591)+1),"")</f>
        <v/>
      </c>
    </row>
    <row r="593" spans="1:48" ht="15" customHeight="1" x14ac:dyDescent="0.25">
      <c r="A593" s="1"/>
      <c r="B593" s="795">
        <v>20415</v>
      </c>
      <c r="C593" s="796">
        <v>4650204933428</v>
      </c>
      <c r="D593" s="898" t="s">
        <v>3851</v>
      </c>
      <c r="E593" s="798">
        <v>8</v>
      </c>
      <c r="F593" s="789"/>
      <c r="G593" s="810">
        <v>352.58</v>
      </c>
      <c r="H593" s="799">
        <v>367</v>
      </c>
      <c r="I593" s="800">
        <v>396.05</v>
      </c>
      <c r="J593" s="801" t="s">
        <v>1552</v>
      </c>
      <c r="K593" s="802" t="s">
        <v>5519</v>
      </c>
      <c r="L593" s="803"/>
      <c r="M593" s="804" t="s">
        <v>1856</v>
      </c>
      <c r="N593" s="1006" t="s">
        <v>1856</v>
      </c>
      <c r="O593" s="887"/>
      <c r="P593" s="806" t="s">
        <v>55</v>
      </c>
      <c r="Q593" s="100">
        <f t="shared" si="287"/>
        <v>0</v>
      </c>
      <c r="R593" s="13" t="str">
        <f t="shared" si="292"/>
        <v>Фото &gt;&gt;</v>
      </c>
      <c r="S593" s="14" t="s">
        <v>3852</v>
      </c>
      <c r="AK593">
        <v>0.22</v>
      </c>
      <c r="AL593">
        <f t="shared" ref="AL593:AL594" si="310">F593*G593</f>
        <v>0</v>
      </c>
      <c r="AM593">
        <f t="shared" ref="AM593:AM594" si="311">F593*H593</f>
        <v>0</v>
      </c>
      <c r="AN593">
        <f t="shared" si="291"/>
        <v>0</v>
      </c>
      <c r="AO593" t="s">
        <v>3853</v>
      </c>
      <c r="AV593" t="str">
        <f>IF(F593&gt;0,(COUNT($AV$1:AV592)+1),"")</f>
        <v/>
      </c>
    </row>
    <row r="594" spans="1:48" ht="15" customHeight="1" x14ac:dyDescent="0.25">
      <c r="A594" s="1"/>
      <c r="B594" s="30">
        <v>17949</v>
      </c>
      <c r="C594" s="20">
        <v>4680002314303</v>
      </c>
      <c r="D594" s="153" t="s">
        <v>171</v>
      </c>
      <c r="E594" s="67">
        <v>9</v>
      </c>
      <c r="F594" s="222"/>
      <c r="G594" s="107">
        <v>384.22</v>
      </c>
      <c r="H594" s="21">
        <v>400.17</v>
      </c>
      <c r="I594" s="22">
        <v>432.28</v>
      </c>
      <c r="J594" s="112" t="s">
        <v>1552</v>
      </c>
      <c r="K594" s="45" t="s">
        <v>5519</v>
      </c>
      <c r="L594" s="437"/>
      <c r="M594" s="474" t="s">
        <v>1856</v>
      </c>
      <c r="N594" s="1013" t="s">
        <v>1856</v>
      </c>
      <c r="O594" s="212"/>
      <c r="P594" s="66" t="s">
        <v>55</v>
      </c>
      <c r="Q594" s="100">
        <f t="shared" si="287"/>
        <v>0</v>
      </c>
      <c r="R594" s="13" t="str">
        <f t="shared" si="292"/>
        <v>Фото &gt;&gt;</v>
      </c>
      <c r="S594" s="14" t="s">
        <v>3428</v>
      </c>
      <c r="AK594">
        <v>0.22</v>
      </c>
      <c r="AL594">
        <f t="shared" si="310"/>
        <v>0</v>
      </c>
      <c r="AM594">
        <f t="shared" si="311"/>
        <v>0</v>
      </c>
      <c r="AN594">
        <f t="shared" si="291"/>
        <v>0</v>
      </c>
      <c r="AO594" t="s">
        <v>3427</v>
      </c>
      <c r="AV594" t="str">
        <f>IF(F594&gt;0,(COUNT($AV$1:AV593)+1),"")</f>
        <v/>
      </c>
    </row>
    <row r="595" spans="1:48" ht="15" customHeight="1" x14ac:dyDescent="0.25">
      <c r="A595" s="1"/>
      <c r="B595" s="31">
        <v>18735</v>
      </c>
      <c r="C595" s="16">
        <v>4680002313542</v>
      </c>
      <c r="D595" s="154" t="s">
        <v>179</v>
      </c>
      <c r="E595" s="69">
        <v>16</v>
      </c>
      <c r="F595" s="222"/>
      <c r="G595" s="108">
        <v>294.39</v>
      </c>
      <c r="H595" s="17">
        <v>309.63</v>
      </c>
      <c r="I595" s="18">
        <v>341.44</v>
      </c>
      <c r="J595" s="113" t="s">
        <v>1552</v>
      </c>
      <c r="K595" s="44" t="s">
        <v>5519</v>
      </c>
      <c r="L595" s="442"/>
      <c r="M595" s="480"/>
      <c r="N595" s="1015" t="s">
        <v>1856</v>
      </c>
      <c r="O595" s="217"/>
      <c r="P595" s="68" t="s">
        <v>50</v>
      </c>
      <c r="Q595" s="100">
        <f t="shared" si="287"/>
        <v>0</v>
      </c>
      <c r="R595" s="13" t="str">
        <f t="shared" si="292"/>
        <v>Фото &gt;&gt;</v>
      </c>
      <c r="S595" s="14" t="s">
        <v>2985</v>
      </c>
      <c r="AK595">
        <v>0.25</v>
      </c>
      <c r="AL595">
        <f t="shared" ref="AL595:AL597" si="312">F595*G595</f>
        <v>0</v>
      </c>
      <c r="AM595">
        <f t="shared" ref="AM595:AM597" si="313">F595*H595</f>
        <v>0</v>
      </c>
      <c r="AN595">
        <f t="shared" ref="AN595:AN597" si="314">AK595*F595+IF(E595&gt;1.01,F595/E595*0.2,0)</f>
        <v>0</v>
      </c>
      <c r="AO595" t="s">
        <v>7174</v>
      </c>
      <c r="AV595" t="str">
        <f>IF(F595&gt;0,(COUNT($AV$1:AV594)+1),"")</f>
        <v/>
      </c>
    </row>
    <row r="596" spans="1:48" ht="15" customHeight="1" x14ac:dyDescent="0.25">
      <c r="A596" s="1"/>
      <c r="B596" s="30">
        <v>16925</v>
      </c>
      <c r="C596" s="20">
        <v>4680002311487</v>
      </c>
      <c r="D596" s="153" t="s">
        <v>3454</v>
      </c>
      <c r="E596" s="67">
        <v>9</v>
      </c>
      <c r="F596" s="222"/>
      <c r="G596" s="107">
        <v>370.7</v>
      </c>
      <c r="H596" s="21">
        <v>385.54</v>
      </c>
      <c r="I596" s="22">
        <v>415.22</v>
      </c>
      <c r="J596" s="112" t="s">
        <v>1552</v>
      </c>
      <c r="K596" s="45" t="s">
        <v>5519</v>
      </c>
      <c r="L596" s="437"/>
      <c r="M596" s="474" t="s">
        <v>1856</v>
      </c>
      <c r="N596" s="1013" t="s">
        <v>1856</v>
      </c>
      <c r="O596" s="212"/>
      <c r="P596" s="66" t="s">
        <v>50</v>
      </c>
      <c r="Q596" s="100">
        <f t="shared" si="287"/>
        <v>0</v>
      </c>
      <c r="R596" s="13" t="str">
        <f t="shared" si="292"/>
        <v>Фото &gt;&gt;</v>
      </c>
      <c r="S596" s="14" t="s">
        <v>180</v>
      </c>
      <c r="AK596">
        <v>0.42</v>
      </c>
      <c r="AL596">
        <f t="shared" si="312"/>
        <v>0</v>
      </c>
      <c r="AM596">
        <f t="shared" si="313"/>
        <v>0</v>
      </c>
      <c r="AN596">
        <f t="shared" si="314"/>
        <v>0</v>
      </c>
      <c r="AO596" t="s">
        <v>3455</v>
      </c>
      <c r="AV596" t="str">
        <f>IF(F596&gt;0,(COUNT($AV$1:AV595)+1),"")</f>
        <v/>
      </c>
    </row>
    <row r="597" spans="1:48" ht="15" customHeight="1" x14ac:dyDescent="0.25">
      <c r="A597" s="1"/>
      <c r="B597" s="25"/>
      <c r="C597" s="26"/>
      <c r="D597" s="27" t="s">
        <v>181</v>
      </c>
      <c r="E597" s="80"/>
      <c r="F597" s="96"/>
      <c r="G597" s="28"/>
      <c r="H597" s="29"/>
      <c r="I597" s="29"/>
      <c r="J597" s="51"/>
      <c r="K597" s="47"/>
      <c r="L597" s="447"/>
      <c r="M597" s="489"/>
      <c r="N597" s="716"/>
      <c r="O597" s="186"/>
      <c r="P597" s="79"/>
      <c r="Q597" s="104"/>
      <c r="R597" s="13"/>
      <c r="S597" s="14"/>
      <c r="AL597">
        <f t="shared" si="312"/>
        <v>0</v>
      </c>
      <c r="AM597">
        <f t="shared" si="313"/>
        <v>0</v>
      </c>
      <c r="AN597">
        <f t="shared" si="314"/>
        <v>0</v>
      </c>
      <c r="AO597" t="s">
        <v>104</v>
      </c>
      <c r="AV597" t="str">
        <f>IF(F597&gt;0,(COUNT($AV$1:AV596)+1),"")</f>
        <v/>
      </c>
    </row>
    <row r="598" spans="1:48" ht="15" customHeight="1" x14ac:dyDescent="0.25">
      <c r="A598" s="1"/>
      <c r="B598" s="30">
        <v>16926</v>
      </c>
      <c r="C598" s="20">
        <v>4680002312668</v>
      </c>
      <c r="D598" s="153" t="s">
        <v>1807</v>
      </c>
      <c r="E598" s="85">
        <v>30</v>
      </c>
      <c r="F598" s="222"/>
      <c r="G598" s="107">
        <v>36.130000000000003</v>
      </c>
      <c r="H598" s="21">
        <v>37.54</v>
      </c>
      <c r="I598" s="22">
        <v>40.770000000000003</v>
      </c>
      <c r="J598" s="112" t="s">
        <v>1552</v>
      </c>
      <c r="K598" s="45" t="s">
        <v>88</v>
      </c>
      <c r="L598" s="437"/>
      <c r="M598" s="474" t="s">
        <v>1856</v>
      </c>
      <c r="N598" s="1013" t="s">
        <v>1856</v>
      </c>
      <c r="O598" s="212" t="s">
        <v>1565</v>
      </c>
      <c r="P598" s="66" t="s">
        <v>40</v>
      </c>
      <c r="Q598" s="100">
        <f t="shared" ref="Q598:Q603" si="315">IF($AO$564=2,F598*H598,IF($AO$564=1,F598*G598,F598*I598))</f>
        <v>0</v>
      </c>
      <c r="R598" s="13" t="str">
        <f t="shared" si="292"/>
        <v>Фото &gt;&gt;</v>
      </c>
      <c r="S598" s="14" t="s">
        <v>182</v>
      </c>
      <c r="AK598">
        <v>0.03</v>
      </c>
      <c r="AL598">
        <f t="shared" ref="AL598:AL608" si="316">F598*G598</f>
        <v>0</v>
      </c>
      <c r="AM598">
        <f t="shared" ref="AM598:AM608" si="317">F598*H598</f>
        <v>0</v>
      </c>
      <c r="AN598">
        <f t="shared" ref="AN598:AN622" si="318">AK598*F598+IF(E598&gt;1.01,F598/E598*0.2,0)</f>
        <v>0</v>
      </c>
      <c r="AO598" t="s">
        <v>3456</v>
      </c>
      <c r="AV598" t="str">
        <f>IF(F598&gt;0,(COUNT($AV$1:AV597)+1),"")</f>
        <v/>
      </c>
    </row>
    <row r="599" spans="1:48" ht="15" customHeight="1" x14ac:dyDescent="0.25">
      <c r="A599" s="1"/>
      <c r="B599" s="31">
        <v>17493</v>
      </c>
      <c r="C599" s="16">
        <v>4680002316369</v>
      </c>
      <c r="D599" s="154" t="s">
        <v>63</v>
      </c>
      <c r="E599" s="69">
        <v>32</v>
      </c>
      <c r="F599" s="222"/>
      <c r="G599" s="108">
        <v>89.25</v>
      </c>
      <c r="H599" s="17">
        <v>92.88</v>
      </c>
      <c r="I599" s="18">
        <v>99.95</v>
      </c>
      <c r="J599" s="113" t="s">
        <v>1552</v>
      </c>
      <c r="K599" s="44" t="s">
        <v>49</v>
      </c>
      <c r="L599" s="442"/>
      <c r="M599" s="480" t="s">
        <v>1856</v>
      </c>
      <c r="N599" s="1015" t="s">
        <v>1856</v>
      </c>
      <c r="O599" s="217"/>
      <c r="P599" s="68" t="s">
        <v>50</v>
      </c>
      <c r="Q599" s="100">
        <f t="shared" si="315"/>
        <v>0</v>
      </c>
      <c r="R599" s="13" t="str">
        <f t="shared" si="292"/>
        <v>Фото &gt;&gt;</v>
      </c>
      <c r="S599" s="14" t="s">
        <v>82</v>
      </c>
      <c r="AK599">
        <v>0.21</v>
      </c>
      <c r="AL599">
        <f t="shared" si="316"/>
        <v>0</v>
      </c>
      <c r="AM599">
        <f t="shared" si="317"/>
        <v>0</v>
      </c>
      <c r="AN599">
        <f t="shared" si="318"/>
        <v>0</v>
      </c>
      <c r="AO599" t="s">
        <v>2528</v>
      </c>
      <c r="AV599" t="str">
        <f>IF(F599&gt;0,(COUNT($AV$1:AV598)+1),"")</f>
        <v/>
      </c>
    </row>
    <row r="600" spans="1:48" ht="15" customHeight="1" x14ac:dyDescent="0.25">
      <c r="A600" s="1"/>
      <c r="B600" s="30">
        <v>18754</v>
      </c>
      <c r="C600" s="20">
        <v>4680002315188</v>
      </c>
      <c r="D600" s="153" t="s">
        <v>183</v>
      </c>
      <c r="E600" s="67">
        <v>9</v>
      </c>
      <c r="F600" s="222"/>
      <c r="G600" s="107">
        <v>140.02000000000001</v>
      </c>
      <c r="H600" s="21">
        <v>145.68</v>
      </c>
      <c r="I600" s="22">
        <v>156.88</v>
      </c>
      <c r="J600" s="112" t="s">
        <v>1552</v>
      </c>
      <c r="K600" s="45" t="s">
        <v>85</v>
      </c>
      <c r="L600" s="437"/>
      <c r="M600" s="474" t="s">
        <v>1856</v>
      </c>
      <c r="N600" s="1013" t="s">
        <v>1856</v>
      </c>
      <c r="O600" s="212"/>
      <c r="P600" s="66" t="s">
        <v>20</v>
      </c>
      <c r="Q600" s="100">
        <f t="shared" si="315"/>
        <v>0</v>
      </c>
      <c r="R600" s="13" t="str">
        <f t="shared" si="292"/>
        <v>Фото &gt;&gt;</v>
      </c>
      <c r="S600" s="14" t="s">
        <v>2174</v>
      </c>
      <c r="AK600">
        <v>0.42</v>
      </c>
      <c r="AL600">
        <f t="shared" si="316"/>
        <v>0</v>
      </c>
      <c r="AM600">
        <f t="shared" si="317"/>
        <v>0</v>
      </c>
      <c r="AN600">
        <f t="shared" si="318"/>
        <v>0</v>
      </c>
      <c r="AO600" t="s">
        <v>2529</v>
      </c>
      <c r="AV600" t="str">
        <f>IF(F600&gt;0,(COUNT($AV$1:AV599)+1),"")</f>
        <v/>
      </c>
    </row>
    <row r="601" spans="1:48" ht="15" customHeight="1" x14ac:dyDescent="0.25">
      <c r="A601" s="1"/>
      <c r="B601" s="31">
        <v>16149</v>
      </c>
      <c r="C601" s="16">
        <v>4680002311845</v>
      </c>
      <c r="D601" s="154" t="s">
        <v>184</v>
      </c>
      <c r="E601" s="69">
        <v>12</v>
      </c>
      <c r="F601" s="222"/>
      <c r="G601" s="108">
        <v>134.56</v>
      </c>
      <c r="H601" s="17">
        <v>139.91</v>
      </c>
      <c r="I601" s="18">
        <v>151.41999999999999</v>
      </c>
      <c r="J601" s="113" t="s">
        <v>1552</v>
      </c>
      <c r="K601" s="44" t="s">
        <v>99</v>
      </c>
      <c r="L601" s="442"/>
      <c r="M601" s="480" t="s">
        <v>1856</v>
      </c>
      <c r="N601" s="1015" t="s">
        <v>1856</v>
      </c>
      <c r="O601" s="217"/>
      <c r="P601" s="68" t="s">
        <v>72</v>
      </c>
      <c r="Q601" s="100">
        <f t="shared" si="315"/>
        <v>0</v>
      </c>
      <c r="R601" s="13" t="str">
        <f t="shared" si="292"/>
        <v>Фото &gt;&gt;</v>
      </c>
      <c r="S601" s="14" t="s">
        <v>185</v>
      </c>
      <c r="AK601">
        <v>0.22</v>
      </c>
      <c r="AL601">
        <f t="shared" si="316"/>
        <v>0</v>
      </c>
      <c r="AM601">
        <f t="shared" si="317"/>
        <v>0</v>
      </c>
      <c r="AN601">
        <f t="shared" si="318"/>
        <v>0</v>
      </c>
      <c r="AO601" t="s">
        <v>6403</v>
      </c>
      <c r="AV601" t="str">
        <f>IF(F601&gt;0,(COUNT($AV$1:AV600)+1),"")</f>
        <v/>
      </c>
    </row>
    <row r="602" spans="1:48" ht="15" customHeight="1" x14ac:dyDescent="0.25">
      <c r="A602" s="1"/>
      <c r="B602" s="30">
        <v>16150</v>
      </c>
      <c r="C602" s="20">
        <v>4680002311852</v>
      </c>
      <c r="D602" s="153" t="s">
        <v>186</v>
      </c>
      <c r="E602" s="67">
        <v>12</v>
      </c>
      <c r="F602" s="222"/>
      <c r="G602" s="107">
        <v>134.56</v>
      </c>
      <c r="H602" s="21">
        <v>139.91</v>
      </c>
      <c r="I602" s="22">
        <v>151.41999999999999</v>
      </c>
      <c r="J602" s="112" t="s">
        <v>1552</v>
      </c>
      <c r="K602" s="45" t="s">
        <v>99</v>
      </c>
      <c r="L602" s="437"/>
      <c r="M602" s="474" t="s">
        <v>1856</v>
      </c>
      <c r="N602" s="1013" t="s">
        <v>1856</v>
      </c>
      <c r="O602" s="212"/>
      <c r="P602" s="66" t="s">
        <v>72</v>
      </c>
      <c r="Q602" s="100">
        <f t="shared" si="315"/>
        <v>0</v>
      </c>
      <c r="R602" s="13" t="str">
        <f t="shared" si="292"/>
        <v>Фото &gt;&gt;</v>
      </c>
      <c r="S602" s="14" t="s">
        <v>187</v>
      </c>
      <c r="AK602">
        <v>0.22</v>
      </c>
      <c r="AL602">
        <f t="shared" si="316"/>
        <v>0</v>
      </c>
      <c r="AM602">
        <f t="shared" si="317"/>
        <v>0</v>
      </c>
      <c r="AN602">
        <f t="shared" si="318"/>
        <v>0</v>
      </c>
      <c r="AO602" t="s">
        <v>6404</v>
      </c>
      <c r="AV602" t="str">
        <f>IF(F602&gt;0,(COUNT($AV$1:AV601)+1),"")</f>
        <v/>
      </c>
    </row>
    <row r="603" spans="1:48" ht="15" customHeight="1" x14ac:dyDescent="0.25">
      <c r="A603" s="1"/>
      <c r="B603" s="31">
        <v>16440</v>
      </c>
      <c r="C603" s="16">
        <v>4680002312545</v>
      </c>
      <c r="D603" s="154" t="s">
        <v>188</v>
      </c>
      <c r="E603" s="69">
        <v>30</v>
      </c>
      <c r="F603" s="222"/>
      <c r="G603" s="108">
        <v>67.33</v>
      </c>
      <c r="H603" s="17">
        <v>69.95</v>
      </c>
      <c r="I603" s="18">
        <v>75.7</v>
      </c>
      <c r="J603" s="113" t="s">
        <v>1552</v>
      </c>
      <c r="K603" s="44" t="s">
        <v>68</v>
      </c>
      <c r="L603" s="442"/>
      <c r="M603" s="480" t="s">
        <v>1856</v>
      </c>
      <c r="N603" s="1015" t="s">
        <v>1856</v>
      </c>
      <c r="O603" s="217"/>
      <c r="P603" s="68" t="s">
        <v>309</v>
      </c>
      <c r="Q603" s="100">
        <f t="shared" si="315"/>
        <v>0</v>
      </c>
      <c r="R603" s="13" t="str">
        <f t="shared" si="292"/>
        <v>Фото &gt;&gt;</v>
      </c>
      <c r="S603" s="14" t="s">
        <v>3457</v>
      </c>
      <c r="AK603">
        <v>0.05</v>
      </c>
      <c r="AL603">
        <f t="shared" si="316"/>
        <v>0</v>
      </c>
      <c r="AM603">
        <f t="shared" si="317"/>
        <v>0</v>
      </c>
      <c r="AN603">
        <f t="shared" si="318"/>
        <v>0</v>
      </c>
      <c r="AO603" t="s">
        <v>5378</v>
      </c>
      <c r="AV603" t="str">
        <f>IF(F603&gt;0,(COUNT($AV$1:AV602)+1),"")</f>
        <v/>
      </c>
    </row>
    <row r="604" spans="1:48" ht="15" customHeight="1" x14ac:dyDescent="0.25">
      <c r="A604" s="1"/>
      <c r="B604" s="25"/>
      <c r="C604" s="26"/>
      <c r="D604" s="27" t="s">
        <v>189</v>
      </c>
      <c r="E604" s="80"/>
      <c r="F604" s="96"/>
      <c r="G604" s="28"/>
      <c r="H604" s="29"/>
      <c r="I604" s="29"/>
      <c r="J604" s="51"/>
      <c r="K604" s="47"/>
      <c r="L604" s="447"/>
      <c r="M604" s="489"/>
      <c r="N604" s="716"/>
      <c r="O604" s="186"/>
      <c r="P604" s="79"/>
      <c r="Q604" s="104"/>
      <c r="R604" s="13"/>
      <c r="S604" s="14"/>
      <c r="AL604">
        <f t="shared" si="316"/>
        <v>0</v>
      </c>
      <c r="AM604">
        <f t="shared" si="317"/>
        <v>0</v>
      </c>
      <c r="AN604">
        <f t="shared" si="318"/>
        <v>0</v>
      </c>
      <c r="AO604" t="s">
        <v>104</v>
      </c>
      <c r="AV604" t="str">
        <f>IF(F604&gt;0,(COUNT($AV$1:AV603)+1),"")</f>
        <v/>
      </c>
    </row>
    <row r="605" spans="1:48" ht="15" customHeight="1" x14ac:dyDescent="0.25">
      <c r="A605" s="1"/>
      <c r="B605" s="31">
        <v>18698</v>
      </c>
      <c r="C605" s="16">
        <v>4680002317748</v>
      </c>
      <c r="D605" s="154" t="s">
        <v>190</v>
      </c>
      <c r="E605" s="69">
        <v>35</v>
      </c>
      <c r="F605" s="222"/>
      <c r="G605" s="108">
        <v>149.44</v>
      </c>
      <c r="H605" s="17">
        <v>155.69999999999999</v>
      </c>
      <c r="I605" s="18">
        <v>168.22</v>
      </c>
      <c r="J605" s="113" t="s">
        <v>1552</v>
      </c>
      <c r="K605" s="44" t="s">
        <v>123</v>
      </c>
      <c r="L605" s="442"/>
      <c r="M605" s="480" t="s">
        <v>1856</v>
      </c>
      <c r="N605" s="1015" t="s">
        <v>1856</v>
      </c>
      <c r="O605" s="326"/>
      <c r="P605" s="68" t="s">
        <v>50</v>
      </c>
      <c r="Q605" s="100">
        <f>IF($AO$564=2,F605*H605,IF($AO$564=1,F605*G605,F605*I605))</f>
        <v>0</v>
      </c>
      <c r="R605" s="13" t="str">
        <f t="shared" si="292"/>
        <v>Фото &gt;&gt;</v>
      </c>
      <c r="S605" s="14" t="s">
        <v>2175</v>
      </c>
      <c r="AK605">
        <v>0.03</v>
      </c>
      <c r="AL605">
        <f t="shared" si="316"/>
        <v>0</v>
      </c>
      <c r="AM605">
        <f t="shared" si="317"/>
        <v>0</v>
      </c>
      <c r="AN605">
        <f t="shared" si="318"/>
        <v>0</v>
      </c>
      <c r="AO605" t="s">
        <v>7175</v>
      </c>
      <c r="AV605" t="str">
        <f>IF(F605&gt;0,(COUNT($AV$1:AV604)+1),"")</f>
        <v/>
      </c>
    </row>
    <row r="606" spans="1:48" ht="15" customHeight="1" x14ac:dyDescent="0.25">
      <c r="A606" s="1"/>
      <c r="B606" s="30">
        <v>16930</v>
      </c>
      <c r="C606" s="20">
        <v>4680002310572</v>
      </c>
      <c r="D606" s="225" t="s">
        <v>191</v>
      </c>
      <c r="E606" s="67">
        <v>35</v>
      </c>
      <c r="F606" s="222"/>
      <c r="G606" s="107">
        <v>154.94999999999999</v>
      </c>
      <c r="H606" s="21">
        <v>161.31</v>
      </c>
      <c r="I606" s="22">
        <v>173.42</v>
      </c>
      <c r="J606" s="112" t="s">
        <v>1552</v>
      </c>
      <c r="K606" s="45" t="s">
        <v>123</v>
      </c>
      <c r="L606" s="437"/>
      <c r="M606" s="474" t="s">
        <v>1856</v>
      </c>
      <c r="N606" s="1013" t="s">
        <v>1856</v>
      </c>
      <c r="O606" s="209"/>
      <c r="P606" s="66" t="s">
        <v>72</v>
      </c>
      <c r="Q606" s="100">
        <f>IF($AO$564=2,F606*H606,IF($AO$564=1,F606*G606,F606*I606))</f>
        <v>0</v>
      </c>
      <c r="R606" s="13" t="str">
        <f t="shared" si="292"/>
        <v>Фото &gt;&gt;</v>
      </c>
      <c r="S606" s="14" t="s">
        <v>192</v>
      </c>
      <c r="AK606">
        <v>0.03</v>
      </c>
      <c r="AL606">
        <f t="shared" si="316"/>
        <v>0</v>
      </c>
      <c r="AM606">
        <f t="shared" si="317"/>
        <v>0</v>
      </c>
      <c r="AN606">
        <f t="shared" si="318"/>
        <v>0</v>
      </c>
      <c r="AO606" t="s">
        <v>2530</v>
      </c>
      <c r="AV606" t="str">
        <f>IF(F606&gt;0,(COUNT($AV$1:AV605)+1),"")</f>
        <v/>
      </c>
    </row>
    <row r="607" spans="1:48" ht="15" customHeight="1" x14ac:dyDescent="0.25">
      <c r="A607" s="1"/>
      <c r="B607" s="25"/>
      <c r="C607" s="26"/>
      <c r="D607" s="27" t="s">
        <v>193</v>
      </c>
      <c r="E607" s="80"/>
      <c r="F607" s="96"/>
      <c r="G607" s="28"/>
      <c r="H607" s="29"/>
      <c r="I607" s="29"/>
      <c r="J607" s="51"/>
      <c r="K607" s="47"/>
      <c r="L607" s="447"/>
      <c r="M607" s="489"/>
      <c r="N607" s="716"/>
      <c r="O607" s="186"/>
      <c r="P607" s="79"/>
      <c r="Q607" s="104"/>
      <c r="R607" s="13"/>
      <c r="S607" s="14"/>
      <c r="AL607">
        <f t="shared" si="316"/>
        <v>0</v>
      </c>
      <c r="AM607">
        <f t="shared" si="317"/>
        <v>0</v>
      </c>
      <c r="AN607">
        <f t="shared" si="318"/>
        <v>0</v>
      </c>
      <c r="AO607" t="s">
        <v>104</v>
      </c>
      <c r="AV607" t="str">
        <f>IF(F607&gt;0,(COUNT($AV$1:AV606)+1),"")</f>
        <v/>
      </c>
    </row>
    <row r="608" spans="1:48" ht="15" customHeight="1" x14ac:dyDescent="0.25">
      <c r="A608" s="1"/>
      <c r="B608" s="31">
        <v>18678</v>
      </c>
      <c r="C608" s="16">
        <v>4680002313696</v>
      </c>
      <c r="D608" s="154" t="s">
        <v>194</v>
      </c>
      <c r="E608" s="69">
        <v>6</v>
      </c>
      <c r="F608" s="222"/>
      <c r="G608" s="108">
        <v>307.89</v>
      </c>
      <c r="H608" s="17">
        <v>320</v>
      </c>
      <c r="I608" s="18">
        <v>344.23</v>
      </c>
      <c r="J608" s="113" t="s">
        <v>1552</v>
      </c>
      <c r="K608" s="44" t="s">
        <v>78</v>
      </c>
      <c r="L608" s="442"/>
      <c r="M608" s="480" t="s">
        <v>1856</v>
      </c>
      <c r="N608" s="1015" t="s">
        <v>1856</v>
      </c>
      <c r="O608" s="217"/>
      <c r="P608" s="68" t="s">
        <v>195</v>
      </c>
      <c r="Q608" s="100">
        <f>IF($AO$564=2,F608*H608,IF($AO$564=1,F608*G608,F608*I608))</f>
        <v>0</v>
      </c>
      <c r="R608" s="13" t="str">
        <f t="shared" si="292"/>
        <v>Фото &gt;&gt;</v>
      </c>
      <c r="S608" s="14" t="s">
        <v>2176</v>
      </c>
      <c r="AK608">
        <v>0.42</v>
      </c>
      <c r="AL608">
        <f t="shared" si="316"/>
        <v>0</v>
      </c>
      <c r="AM608">
        <f t="shared" si="317"/>
        <v>0</v>
      </c>
      <c r="AN608">
        <f t="shared" si="318"/>
        <v>0</v>
      </c>
      <c r="AO608" t="s">
        <v>2531</v>
      </c>
      <c r="AV608" t="str">
        <f>IF(F608&gt;0,(COUNT($AV$1:AV607)+1),"")</f>
        <v/>
      </c>
    </row>
    <row r="609" spans="1:48" ht="15" customHeight="1" x14ac:dyDescent="0.25">
      <c r="A609" s="1"/>
      <c r="B609" s="25"/>
      <c r="C609" s="26"/>
      <c r="D609" s="27" t="s">
        <v>200</v>
      </c>
      <c r="E609" s="80"/>
      <c r="F609" s="96"/>
      <c r="G609" s="28"/>
      <c r="H609" s="29"/>
      <c r="I609" s="29"/>
      <c r="J609" s="51"/>
      <c r="K609" s="47"/>
      <c r="L609" s="447"/>
      <c r="M609" s="489" t="s">
        <v>104</v>
      </c>
      <c r="N609" s="716"/>
      <c r="O609" s="186"/>
      <c r="P609" s="79"/>
      <c r="Q609" s="104"/>
      <c r="R609" s="13"/>
      <c r="S609" s="14"/>
      <c r="AL609">
        <f t="shared" ref="AL609:AL628" si="319">F609*G609</f>
        <v>0</v>
      </c>
      <c r="AM609">
        <f t="shared" ref="AM609:AM628" si="320">F609*H609</f>
        <v>0</v>
      </c>
      <c r="AN609">
        <f t="shared" si="318"/>
        <v>0</v>
      </c>
      <c r="AO609" t="s">
        <v>104</v>
      </c>
      <c r="AV609" t="str">
        <f>IF(F609&gt;0,(COUNT($AV$1:AV608)+1),"")</f>
        <v/>
      </c>
    </row>
    <row r="610" spans="1:48" ht="15" customHeight="1" x14ac:dyDescent="0.25">
      <c r="A610" s="1"/>
      <c r="B610" s="31">
        <v>17104</v>
      </c>
      <c r="C610" s="16">
        <v>4680002313443</v>
      </c>
      <c r="D610" s="154" t="s">
        <v>3458</v>
      </c>
      <c r="E610" s="69">
        <v>18</v>
      </c>
      <c r="F610" s="222"/>
      <c r="G610" s="108">
        <v>110.13</v>
      </c>
      <c r="H610" s="17">
        <v>114.68</v>
      </c>
      <c r="I610" s="18">
        <v>123.66</v>
      </c>
      <c r="J610" s="113" t="s">
        <v>1552</v>
      </c>
      <c r="K610" s="44" t="s">
        <v>201</v>
      </c>
      <c r="L610" s="442"/>
      <c r="M610" s="480" t="s">
        <v>1856</v>
      </c>
      <c r="N610" s="1015"/>
      <c r="O610" s="217"/>
      <c r="P610" s="68" t="s">
        <v>53</v>
      </c>
      <c r="Q610" s="100">
        <f>IF($AO$564=2,F610*H610,IF($AO$564=1,F610*G610,F610*I610))</f>
        <v>0</v>
      </c>
      <c r="R610" s="13" t="str">
        <f t="shared" ref="R610:R633" si="321">IF(AO610&gt;0,HYPERLINK(AO610,"Фото &gt;&gt;"),"")</f>
        <v>Фото &gt;&gt;</v>
      </c>
      <c r="S610" s="14" t="s">
        <v>202</v>
      </c>
      <c r="AK610">
        <v>0.13</v>
      </c>
      <c r="AL610">
        <f t="shared" ref="AL610:AL612" si="322">F610*G610</f>
        <v>0</v>
      </c>
      <c r="AM610">
        <f t="shared" ref="AM610:AM612" si="323">F610*H610</f>
        <v>0</v>
      </c>
      <c r="AN610">
        <f t="shared" si="318"/>
        <v>0</v>
      </c>
      <c r="AO610" t="s">
        <v>7178</v>
      </c>
      <c r="AV610" t="str">
        <f>IF(F610&gt;0,(COUNT($AV$1:AV609)+1),"")</f>
        <v/>
      </c>
    </row>
    <row r="611" spans="1:48" ht="15" customHeight="1" x14ac:dyDescent="0.25">
      <c r="A611" s="1"/>
      <c r="B611" s="30">
        <v>20114</v>
      </c>
      <c r="C611" s="20">
        <v>4650204932278</v>
      </c>
      <c r="D611" s="225" t="s">
        <v>3803</v>
      </c>
      <c r="E611" s="67">
        <v>8</v>
      </c>
      <c r="F611" s="222"/>
      <c r="G611" s="107">
        <v>110.13</v>
      </c>
      <c r="H611" s="21">
        <v>114.68</v>
      </c>
      <c r="I611" s="22">
        <v>123.66</v>
      </c>
      <c r="J611" s="112" t="s">
        <v>1552</v>
      </c>
      <c r="K611" s="45" t="s">
        <v>201</v>
      </c>
      <c r="L611" s="437"/>
      <c r="M611" s="474" t="s">
        <v>1856</v>
      </c>
      <c r="N611" s="1013" t="s">
        <v>1856</v>
      </c>
      <c r="O611" s="209"/>
      <c r="P611" s="66" t="s">
        <v>53</v>
      </c>
      <c r="Q611" s="100">
        <f>IF($AO$564=2,F611*H611,IF($AO$564=1,F611*G611,F611*I611))</f>
        <v>0</v>
      </c>
      <c r="R611" s="13" t="str">
        <f t="shared" si="321"/>
        <v>Фото &gt;&gt;</v>
      </c>
      <c r="S611" s="14" t="s">
        <v>2327</v>
      </c>
      <c r="AK611">
        <v>0.11</v>
      </c>
      <c r="AL611">
        <f t="shared" si="322"/>
        <v>0</v>
      </c>
      <c r="AM611">
        <f t="shared" si="323"/>
        <v>0</v>
      </c>
      <c r="AN611">
        <f t="shared" si="318"/>
        <v>0</v>
      </c>
      <c r="AO611" t="s">
        <v>2532</v>
      </c>
      <c r="AV611" t="str">
        <f>IF(F611&gt;0,(COUNT($AV$1:AV610)+1),"")</f>
        <v/>
      </c>
    </row>
    <row r="612" spans="1:48" ht="15" customHeight="1" x14ac:dyDescent="0.25">
      <c r="A612" s="1"/>
      <c r="B612" s="31">
        <v>17105</v>
      </c>
      <c r="C612" s="16">
        <v>4680002313436</v>
      </c>
      <c r="D612" s="154" t="s">
        <v>3459</v>
      </c>
      <c r="E612" s="69">
        <v>18</v>
      </c>
      <c r="F612" s="222"/>
      <c r="G612" s="108">
        <v>110.13</v>
      </c>
      <c r="H612" s="17">
        <v>114.68</v>
      </c>
      <c r="I612" s="18">
        <v>123.66</v>
      </c>
      <c r="J612" s="113" t="s">
        <v>1552</v>
      </c>
      <c r="K612" s="44" t="s">
        <v>201</v>
      </c>
      <c r="L612" s="442"/>
      <c r="M612" s="480" t="s">
        <v>1856</v>
      </c>
      <c r="N612" s="1015"/>
      <c r="O612" s="217"/>
      <c r="P612" s="68" t="s">
        <v>53</v>
      </c>
      <c r="Q612" s="100">
        <f>IF($AO$564=2,F612*H612,IF($AO$564=1,F612*G612,F612*I612))</f>
        <v>0</v>
      </c>
      <c r="R612" s="13" t="str">
        <f t="shared" si="321"/>
        <v>Фото &gt;&gt;</v>
      </c>
      <c r="S612" s="14" t="s">
        <v>203</v>
      </c>
      <c r="AK612">
        <v>0.13</v>
      </c>
      <c r="AL612">
        <f t="shared" si="322"/>
        <v>0</v>
      </c>
      <c r="AM612">
        <f t="shared" si="323"/>
        <v>0</v>
      </c>
      <c r="AN612">
        <f t="shared" si="318"/>
        <v>0</v>
      </c>
      <c r="AO612" t="s">
        <v>7176</v>
      </c>
      <c r="AV612" t="str">
        <f>IF(F612&gt;0,(COUNT($AV$1:AV611)+1),"")</f>
        <v/>
      </c>
    </row>
    <row r="613" spans="1:48" ht="15" customHeight="1" x14ac:dyDescent="0.25">
      <c r="A613" s="1"/>
      <c r="B613" s="30">
        <v>18400</v>
      </c>
      <c r="C613" s="20">
        <v>4680002317281</v>
      </c>
      <c r="D613" s="153" t="s">
        <v>3460</v>
      </c>
      <c r="E613" s="67">
        <v>18</v>
      </c>
      <c r="F613" s="222"/>
      <c r="G613" s="107">
        <v>110.13</v>
      </c>
      <c r="H613" s="21">
        <v>114.68</v>
      </c>
      <c r="I613" s="22">
        <v>123.66</v>
      </c>
      <c r="J613" s="112" t="s">
        <v>1552</v>
      </c>
      <c r="K613" s="45" t="s">
        <v>201</v>
      </c>
      <c r="L613" s="437"/>
      <c r="M613" s="474" t="s">
        <v>1856</v>
      </c>
      <c r="N613" s="1013"/>
      <c r="O613" s="212"/>
      <c r="P613" s="66" t="s">
        <v>53</v>
      </c>
      <c r="Q613" s="100">
        <f>IF($AO$564=2,F613*H613,IF($AO$564=1,F613*G613,F613*I613))</f>
        <v>0</v>
      </c>
      <c r="R613" s="13" t="str">
        <f t="shared" si="321"/>
        <v>Фото &gt;&gt;</v>
      </c>
      <c r="S613" s="14" t="s">
        <v>202</v>
      </c>
      <c r="AK613">
        <v>0.13</v>
      </c>
      <c r="AL613">
        <f t="shared" ref="AL613:AL621" si="324">F613*G613</f>
        <v>0</v>
      </c>
      <c r="AM613">
        <f t="shared" ref="AM613:AM621" si="325">F613*H613</f>
        <v>0</v>
      </c>
      <c r="AN613">
        <f t="shared" ref="AN613:AN621" si="326">AK613*F613+IF(E613&gt;1.01,F613/E613*0.2,0)</f>
        <v>0</v>
      </c>
      <c r="AO613" t="s">
        <v>7177</v>
      </c>
      <c r="AV613" t="str">
        <f>IF(F613&gt;0,(COUNT($AV$1:AV612)+1),"")</f>
        <v/>
      </c>
    </row>
    <row r="614" spans="1:48" ht="15" customHeight="1" x14ac:dyDescent="0.25">
      <c r="A614" s="1"/>
      <c r="B614" s="25"/>
      <c r="C614" s="26"/>
      <c r="D614" s="27" t="s">
        <v>7246</v>
      </c>
      <c r="E614" s="80"/>
      <c r="F614" s="96"/>
      <c r="G614" s="28"/>
      <c r="H614" s="29"/>
      <c r="I614" s="29"/>
      <c r="J614" s="51"/>
      <c r="K614" s="47"/>
      <c r="L614" s="447"/>
      <c r="M614" s="489"/>
      <c r="N614" s="716"/>
      <c r="O614" s="186"/>
      <c r="P614" s="79"/>
      <c r="Q614" s="104"/>
      <c r="R614" s="13"/>
      <c r="S614" s="14"/>
      <c r="AL614">
        <f t="shared" si="324"/>
        <v>0</v>
      </c>
      <c r="AM614">
        <f t="shared" si="325"/>
        <v>0</v>
      </c>
      <c r="AN614">
        <f t="shared" si="326"/>
        <v>0</v>
      </c>
      <c r="AO614" t="s">
        <v>104</v>
      </c>
      <c r="AV614" t="str">
        <f>IF(F614&gt;0,(COUNT($AV$1:AV613)+1),"")</f>
        <v/>
      </c>
    </row>
    <row r="615" spans="1:48" ht="15" customHeight="1" x14ac:dyDescent="0.25">
      <c r="A615" s="1"/>
      <c r="B615" s="30">
        <v>21536</v>
      </c>
      <c r="C615" s="20">
        <v>4680630580750</v>
      </c>
      <c r="D615" s="421" t="s">
        <v>7247</v>
      </c>
      <c r="E615" s="67">
        <v>15</v>
      </c>
      <c r="F615" s="222"/>
      <c r="G615" s="107">
        <v>295.29000000000002</v>
      </c>
      <c r="H615" s="21">
        <v>309.93</v>
      </c>
      <c r="I615" s="22">
        <v>341.22</v>
      </c>
      <c r="J615" s="112" t="s">
        <v>1552</v>
      </c>
      <c r="K615" s="45" t="s">
        <v>413</v>
      </c>
      <c r="L615" s="437"/>
      <c r="M615" s="474" t="s">
        <v>1856</v>
      </c>
      <c r="N615" s="1013" t="s">
        <v>1856</v>
      </c>
      <c r="O615" s="209" t="s">
        <v>1637</v>
      </c>
      <c r="P615" s="66" t="s">
        <v>195</v>
      </c>
      <c r="Q615" s="100">
        <f>IF($AO$564=2,F615*H615,IF($AO$564=1,F615*G615,F615*I615))</f>
        <v>0</v>
      </c>
      <c r="R615" s="94" t="str">
        <f t="shared" si="321"/>
        <v>Фото &gt;&gt;</v>
      </c>
      <c r="S615" s="14" t="s">
        <v>7250</v>
      </c>
      <c r="AK615">
        <v>0.26</v>
      </c>
      <c r="AL615">
        <f t="shared" si="324"/>
        <v>0</v>
      </c>
      <c r="AM615">
        <f t="shared" si="325"/>
        <v>0</v>
      </c>
      <c r="AN615">
        <f t="shared" si="326"/>
        <v>0</v>
      </c>
      <c r="AO615" t="s">
        <v>7255</v>
      </c>
      <c r="AV615" t="str">
        <f>IF(F615&gt;0,(COUNT($AV$1:AV614)+1),"")</f>
        <v/>
      </c>
    </row>
    <row r="616" spans="1:48" ht="15" customHeight="1" x14ac:dyDescent="0.25">
      <c r="A616" s="1"/>
      <c r="B616" s="31">
        <v>21539</v>
      </c>
      <c r="C616" s="16">
        <v>4680630580767</v>
      </c>
      <c r="D616" s="422" t="s">
        <v>7254</v>
      </c>
      <c r="E616" s="69">
        <v>15</v>
      </c>
      <c r="F616" s="222"/>
      <c r="G616" s="108">
        <v>260.86</v>
      </c>
      <c r="H616" s="17">
        <v>273.89</v>
      </c>
      <c r="I616" s="18">
        <v>300.83999999999997</v>
      </c>
      <c r="J616" s="113" t="s">
        <v>1552</v>
      </c>
      <c r="K616" s="44" t="s">
        <v>413</v>
      </c>
      <c r="L616" s="442"/>
      <c r="M616" s="480" t="s">
        <v>1856</v>
      </c>
      <c r="N616" s="1015" t="s">
        <v>1856</v>
      </c>
      <c r="O616" s="210" t="s">
        <v>1637</v>
      </c>
      <c r="P616" s="68" t="s">
        <v>195</v>
      </c>
      <c r="Q616" s="100">
        <f>IF($AO$564=2,F616*H616,IF($AO$564=1,F616*G616,F616*I616))</f>
        <v>0</v>
      </c>
      <c r="R616" s="94" t="str">
        <f t="shared" si="321"/>
        <v>Фото &gt;&gt;</v>
      </c>
      <c r="S616" s="14" t="s">
        <v>7253</v>
      </c>
      <c r="AK616">
        <v>0.26</v>
      </c>
      <c r="AL616">
        <f t="shared" si="324"/>
        <v>0</v>
      </c>
      <c r="AM616">
        <f t="shared" si="325"/>
        <v>0</v>
      </c>
      <c r="AN616">
        <f t="shared" si="326"/>
        <v>0</v>
      </c>
      <c r="AO616" t="s">
        <v>7256</v>
      </c>
      <c r="AV616" t="str">
        <f>IF(F616&gt;0,(COUNT($AV$1:AV615)+1),"")</f>
        <v/>
      </c>
    </row>
    <row r="617" spans="1:48" ht="15" customHeight="1" x14ac:dyDescent="0.25">
      <c r="A617" s="1"/>
      <c r="B617" s="30">
        <v>21537</v>
      </c>
      <c r="C617" s="20">
        <v>4680630580743</v>
      </c>
      <c r="D617" s="421" t="s">
        <v>7248</v>
      </c>
      <c r="E617" s="67">
        <v>15</v>
      </c>
      <c r="F617" s="222"/>
      <c r="G617" s="107">
        <v>205.95</v>
      </c>
      <c r="H617" s="21">
        <v>216.25</v>
      </c>
      <c r="I617" s="22">
        <v>237.25</v>
      </c>
      <c r="J617" s="112" t="s">
        <v>1552</v>
      </c>
      <c r="K617" s="45" t="s">
        <v>413</v>
      </c>
      <c r="L617" s="437"/>
      <c r="M617" s="474" t="s">
        <v>1856</v>
      </c>
      <c r="N617" s="1013" t="s">
        <v>1856</v>
      </c>
      <c r="O617" s="209" t="s">
        <v>1637</v>
      </c>
      <c r="P617" s="66" t="s">
        <v>195</v>
      </c>
      <c r="Q617" s="100">
        <f>IF($AO$564=2,F617*H617,IF($AO$564=1,F617*G617,F617*I617))</f>
        <v>0</v>
      </c>
      <c r="R617" s="94" t="str">
        <f t="shared" si="321"/>
        <v>Фото &gt;&gt;</v>
      </c>
      <c r="S617" s="14" t="s">
        <v>7251</v>
      </c>
      <c r="AK617">
        <v>0.26</v>
      </c>
      <c r="AL617">
        <f t="shared" si="324"/>
        <v>0</v>
      </c>
      <c r="AM617">
        <f t="shared" si="325"/>
        <v>0</v>
      </c>
      <c r="AN617">
        <f t="shared" si="326"/>
        <v>0</v>
      </c>
      <c r="AO617" t="s">
        <v>7257</v>
      </c>
      <c r="AV617" t="str">
        <f>IF(F617&gt;0,(COUNT($AV$1:AV616)+1),"")</f>
        <v/>
      </c>
    </row>
    <row r="618" spans="1:48" ht="15" customHeight="1" x14ac:dyDescent="0.25">
      <c r="A618" s="1"/>
      <c r="B618" s="31">
        <v>21538</v>
      </c>
      <c r="C618" s="16">
        <v>4680630580736</v>
      </c>
      <c r="D618" s="422" t="s">
        <v>7249</v>
      </c>
      <c r="E618" s="69">
        <v>15</v>
      </c>
      <c r="F618" s="222"/>
      <c r="G618" s="108">
        <v>233.4</v>
      </c>
      <c r="H618" s="17">
        <v>245.31</v>
      </c>
      <c r="I618" s="18">
        <v>269.54000000000002</v>
      </c>
      <c r="J618" s="113" t="s">
        <v>1552</v>
      </c>
      <c r="K618" s="44" t="s">
        <v>413</v>
      </c>
      <c r="L618" s="442"/>
      <c r="M618" s="480" t="s">
        <v>1856</v>
      </c>
      <c r="N618" s="1015" t="s">
        <v>1856</v>
      </c>
      <c r="O618" s="210" t="s">
        <v>1637</v>
      </c>
      <c r="P618" s="68" t="s">
        <v>195</v>
      </c>
      <c r="Q618" s="100">
        <f>IF($AO$564=2,F618*H618,IF($AO$564=1,F618*G618,F618*I618))</f>
        <v>0</v>
      </c>
      <c r="R618" s="94" t="str">
        <f t="shared" si="321"/>
        <v>Фото &gt;&gt;</v>
      </c>
      <c r="S618" s="14" t="s">
        <v>7252</v>
      </c>
      <c r="AK618">
        <v>0.26</v>
      </c>
      <c r="AL618">
        <f t="shared" si="324"/>
        <v>0</v>
      </c>
      <c r="AM618">
        <f t="shared" si="325"/>
        <v>0</v>
      </c>
      <c r="AN618">
        <f t="shared" si="326"/>
        <v>0</v>
      </c>
      <c r="AO618" t="s">
        <v>7258</v>
      </c>
      <c r="AV618" t="str">
        <f>IF(F618&gt;0,(COUNT($AV$1:AV617)+1),"")</f>
        <v/>
      </c>
    </row>
    <row r="619" spans="1:48" ht="15" customHeight="1" x14ac:dyDescent="0.25">
      <c r="A619" s="1"/>
      <c r="B619" s="25"/>
      <c r="C619" s="26"/>
      <c r="D619" s="27" t="s">
        <v>116</v>
      </c>
      <c r="E619" s="80"/>
      <c r="F619" s="96"/>
      <c r="G619" s="28"/>
      <c r="H619" s="29"/>
      <c r="I619" s="29"/>
      <c r="J619" s="51"/>
      <c r="K619" s="47"/>
      <c r="L619" s="447"/>
      <c r="M619" s="489" t="s">
        <v>104</v>
      </c>
      <c r="N619" s="716"/>
      <c r="O619" s="186"/>
      <c r="P619" s="79"/>
      <c r="Q619" s="104"/>
      <c r="R619" s="13"/>
      <c r="S619" s="14"/>
      <c r="AL619">
        <f t="shared" si="324"/>
        <v>0</v>
      </c>
      <c r="AM619">
        <f t="shared" si="325"/>
        <v>0</v>
      </c>
      <c r="AN619">
        <f t="shared" si="326"/>
        <v>0</v>
      </c>
      <c r="AO619" t="s">
        <v>104</v>
      </c>
      <c r="AV619" t="str">
        <f>IF(F619&gt;0,(COUNT($AV$1:AV618)+1),"")</f>
        <v/>
      </c>
    </row>
    <row r="620" spans="1:48" ht="15" customHeight="1" x14ac:dyDescent="0.25">
      <c r="A620" s="1"/>
      <c r="B620" s="31">
        <v>16158</v>
      </c>
      <c r="C620" s="16">
        <v>4680002310602</v>
      </c>
      <c r="D620" s="154" t="s">
        <v>205</v>
      </c>
      <c r="E620" s="69">
        <v>12</v>
      </c>
      <c r="F620" s="222"/>
      <c r="G620" s="108">
        <v>259.26</v>
      </c>
      <c r="H620" s="17">
        <v>272.57</v>
      </c>
      <c r="I620" s="18">
        <v>300.20999999999998</v>
      </c>
      <c r="J620" s="113" t="s">
        <v>1552</v>
      </c>
      <c r="K620" s="44" t="s">
        <v>116</v>
      </c>
      <c r="L620" s="442"/>
      <c r="M620" s="480" t="s">
        <v>1856</v>
      </c>
      <c r="N620" s="1015"/>
      <c r="O620" s="217"/>
      <c r="P620" s="68" t="s">
        <v>72</v>
      </c>
      <c r="Q620" s="100">
        <f t="shared" ref="Q620:Q630" si="327">IF($AO$564=2,F620*H620,IF($AO$564=1,F620*G620,F620*I620))</f>
        <v>0</v>
      </c>
      <c r="R620" s="13" t="str">
        <f t="shared" si="321"/>
        <v>Фото &gt;&gt;</v>
      </c>
      <c r="S620" s="14" t="s">
        <v>206</v>
      </c>
      <c r="AK620">
        <v>0.22</v>
      </c>
      <c r="AL620">
        <f t="shared" si="324"/>
        <v>0</v>
      </c>
      <c r="AM620">
        <f t="shared" si="325"/>
        <v>0</v>
      </c>
      <c r="AN620">
        <f t="shared" si="326"/>
        <v>0</v>
      </c>
      <c r="AO620" t="s">
        <v>4828</v>
      </c>
      <c r="AV620" t="str">
        <f>IF(F620&gt;0,(COUNT($AV$1:AV619)+1),"")</f>
        <v/>
      </c>
    </row>
    <row r="621" spans="1:48" ht="15" customHeight="1" x14ac:dyDescent="0.25">
      <c r="A621" s="1"/>
      <c r="B621" s="30">
        <v>16159</v>
      </c>
      <c r="C621" s="20">
        <v>4680002310619</v>
      </c>
      <c r="D621" s="153" t="s">
        <v>207</v>
      </c>
      <c r="E621" s="67">
        <v>12</v>
      </c>
      <c r="F621" s="222"/>
      <c r="G621" s="107">
        <v>259.26</v>
      </c>
      <c r="H621" s="21">
        <v>272.57</v>
      </c>
      <c r="I621" s="22">
        <v>300.20999999999998</v>
      </c>
      <c r="J621" s="112" t="s">
        <v>1552</v>
      </c>
      <c r="K621" s="45" t="s">
        <v>116</v>
      </c>
      <c r="L621" s="437"/>
      <c r="M621" s="474" t="s">
        <v>1856</v>
      </c>
      <c r="N621" s="1013"/>
      <c r="O621" s="212"/>
      <c r="P621" s="66" t="s">
        <v>72</v>
      </c>
      <c r="Q621" s="100">
        <f t="shared" si="327"/>
        <v>0</v>
      </c>
      <c r="R621" s="13" t="str">
        <f t="shared" si="321"/>
        <v>Фото &gt;&gt;</v>
      </c>
      <c r="S621" s="14" t="s">
        <v>208</v>
      </c>
      <c r="AK621">
        <v>0.22</v>
      </c>
      <c r="AL621">
        <f t="shared" si="324"/>
        <v>0</v>
      </c>
      <c r="AM621">
        <f t="shared" si="325"/>
        <v>0</v>
      </c>
      <c r="AN621">
        <f t="shared" si="326"/>
        <v>0</v>
      </c>
      <c r="AO621" t="s">
        <v>4829</v>
      </c>
      <c r="AV621" t="str">
        <f>IF(F621&gt;0,(COUNT($AV$1:AV620)+1),"")</f>
        <v/>
      </c>
    </row>
    <row r="622" spans="1:48" ht="15" customHeight="1" x14ac:dyDescent="0.25">
      <c r="A622" s="1"/>
      <c r="B622" s="31">
        <v>16853</v>
      </c>
      <c r="C622" s="16">
        <v>4680002312675</v>
      </c>
      <c r="D622" s="154" t="s">
        <v>209</v>
      </c>
      <c r="E622" s="69">
        <v>12</v>
      </c>
      <c r="F622" s="222"/>
      <c r="G622" s="108">
        <v>320.72000000000003</v>
      </c>
      <c r="H622" s="17">
        <v>333.95</v>
      </c>
      <c r="I622" s="18">
        <v>360.8</v>
      </c>
      <c r="J622" s="113" t="s">
        <v>1552</v>
      </c>
      <c r="K622" s="44" t="s">
        <v>116</v>
      </c>
      <c r="L622" s="442"/>
      <c r="M622" s="480" t="s">
        <v>1856</v>
      </c>
      <c r="N622" s="1015"/>
      <c r="O622" s="217"/>
      <c r="P622" s="68" t="s">
        <v>72</v>
      </c>
      <c r="Q622" s="100">
        <f t="shared" si="327"/>
        <v>0</v>
      </c>
      <c r="R622" s="13" t="str">
        <f t="shared" si="321"/>
        <v>Фото &gt;&gt;</v>
      </c>
      <c r="S622" s="14" t="s">
        <v>210</v>
      </c>
      <c r="AK622">
        <v>0.22</v>
      </c>
      <c r="AL622">
        <f t="shared" si="319"/>
        <v>0</v>
      </c>
      <c r="AM622">
        <f t="shared" si="320"/>
        <v>0</v>
      </c>
      <c r="AN622">
        <f t="shared" si="318"/>
        <v>0</v>
      </c>
      <c r="AO622" t="s">
        <v>4830</v>
      </c>
      <c r="AV622" t="str">
        <f>IF(F622&gt;0,(COUNT($AV$1:AV621)+1),"")</f>
        <v/>
      </c>
    </row>
    <row r="623" spans="1:48" ht="15" customHeight="1" x14ac:dyDescent="0.25">
      <c r="A623" s="1"/>
      <c r="B623" s="30">
        <v>18206</v>
      </c>
      <c r="C623" s="20">
        <v>4680002313719</v>
      </c>
      <c r="D623" s="153" t="s">
        <v>211</v>
      </c>
      <c r="E623" s="67">
        <v>9</v>
      </c>
      <c r="F623" s="222"/>
      <c r="G623" s="107">
        <v>203.58</v>
      </c>
      <c r="H623" s="21">
        <v>213.81</v>
      </c>
      <c r="I623" s="22">
        <v>235.71</v>
      </c>
      <c r="J623" s="112" t="s">
        <v>1552</v>
      </c>
      <c r="K623" s="45" t="s">
        <v>78</v>
      </c>
      <c r="L623" s="437"/>
      <c r="M623" s="474" t="s">
        <v>1856</v>
      </c>
      <c r="N623" s="1013" t="s">
        <v>1856</v>
      </c>
      <c r="O623" s="212"/>
      <c r="P623" s="66" t="s">
        <v>40</v>
      </c>
      <c r="Q623" s="100">
        <f t="shared" si="327"/>
        <v>0</v>
      </c>
      <c r="R623" s="13" t="str">
        <f t="shared" si="321"/>
        <v>Фото &gt;&gt;</v>
      </c>
      <c r="S623" s="14" t="s">
        <v>2200</v>
      </c>
      <c r="AK623">
        <v>0.17</v>
      </c>
      <c r="AL623">
        <f t="shared" si="319"/>
        <v>0</v>
      </c>
      <c r="AM623">
        <f t="shared" si="320"/>
        <v>0</v>
      </c>
      <c r="AN623">
        <f t="shared" ref="AN623:AN631" si="328">AK623*F623+IF(E623&gt;1.01,F623/E623*0.2,0)</f>
        <v>0</v>
      </c>
      <c r="AO623" t="s">
        <v>3461</v>
      </c>
      <c r="AV623" t="str">
        <f>IF(F623&gt;0,(COUNT($AV$1:AV622)+1),"")</f>
        <v/>
      </c>
    </row>
    <row r="624" spans="1:48" ht="15" customHeight="1" x14ac:dyDescent="0.25">
      <c r="A624" s="1"/>
      <c r="B624" s="31">
        <v>16852</v>
      </c>
      <c r="C624" s="16">
        <v>4680002312743</v>
      </c>
      <c r="D624" s="154" t="s">
        <v>212</v>
      </c>
      <c r="E624" s="69">
        <v>12</v>
      </c>
      <c r="F624" s="222"/>
      <c r="G624" s="108">
        <v>407.64</v>
      </c>
      <c r="H624" s="17">
        <v>424.7</v>
      </c>
      <c r="I624" s="18">
        <v>458.72</v>
      </c>
      <c r="J624" s="113" t="s">
        <v>1552</v>
      </c>
      <c r="K624" s="44" t="s">
        <v>78</v>
      </c>
      <c r="L624" s="442"/>
      <c r="M624" s="480" t="s">
        <v>1856</v>
      </c>
      <c r="N624" s="1015" t="s">
        <v>1856</v>
      </c>
      <c r="O624" s="217"/>
      <c r="P624" s="68" t="s">
        <v>50</v>
      </c>
      <c r="Q624" s="100">
        <f t="shared" si="327"/>
        <v>0</v>
      </c>
      <c r="R624" s="13" t="str">
        <f t="shared" si="321"/>
        <v>Фото &gt;&gt;</v>
      </c>
      <c r="S624" s="14" t="s">
        <v>213</v>
      </c>
      <c r="AK624">
        <v>0.12</v>
      </c>
      <c r="AL624">
        <f t="shared" si="319"/>
        <v>0</v>
      </c>
      <c r="AM624">
        <f t="shared" si="320"/>
        <v>0</v>
      </c>
      <c r="AN624">
        <f t="shared" si="328"/>
        <v>0</v>
      </c>
      <c r="AO624" t="s">
        <v>4831</v>
      </c>
      <c r="AV624" t="str">
        <f>IF(F624&gt;0,(COUNT($AV$1:AV623)+1),"")</f>
        <v/>
      </c>
    </row>
    <row r="625" spans="1:48" ht="15" customHeight="1" x14ac:dyDescent="0.25">
      <c r="A625" s="1"/>
      <c r="B625" s="30">
        <v>20997</v>
      </c>
      <c r="C625" s="20">
        <v>4680002317533</v>
      </c>
      <c r="D625" s="225" t="s">
        <v>5754</v>
      </c>
      <c r="E625" s="67">
        <v>9</v>
      </c>
      <c r="F625" s="222"/>
      <c r="G625" s="107">
        <v>174.14</v>
      </c>
      <c r="H625" s="21">
        <v>183.32</v>
      </c>
      <c r="I625" s="22">
        <v>202.1</v>
      </c>
      <c r="J625" s="112" t="s">
        <v>1552</v>
      </c>
      <c r="K625" s="45" t="s">
        <v>78</v>
      </c>
      <c r="L625" s="437"/>
      <c r="M625" s="474"/>
      <c r="N625" s="1013"/>
      <c r="O625" s="209"/>
      <c r="P625" s="66" t="s">
        <v>50</v>
      </c>
      <c r="Q625" s="100">
        <f t="shared" si="327"/>
        <v>0</v>
      </c>
      <c r="R625" s="13" t="str">
        <f t="shared" si="321"/>
        <v>Фото &gt;&gt;</v>
      </c>
      <c r="S625" s="14" t="s">
        <v>5755</v>
      </c>
      <c r="AK625">
        <v>0.22</v>
      </c>
      <c r="AL625">
        <f t="shared" si="319"/>
        <v>0</v>
      </c>
      <c r="AM625">
        <f t="shared" si="320"/>
        <v>0</v>
      </c>
      <c r="AN625">
        <f t="shared" si="328"/>
        <v>0</v>
      </c>
      <c r="AO625" t="s">
        <v>5756</v>
      </c>
      <c r="AV625" t="str">
        <f>IF(F625&gt;0,(COUNT($AV$1:AV624)+1),"")</f>
        <v/>
      </c>
    </row>
    <row r="626" spans="1:48" ht="15" customHeight="1" x14ac:dyDescent="0.25">
      <c r="A626" s="1"/>
      <c r="B626" s="31">
        <v>16157</v>
      </c>
      <c r="C626" s="16">
        <v>4680002317977</v>
      </c>
      <c r="D626" s="154" t="s">
        <v>1866</v>
      </c>
      <c r="E626" s="69">
        <v>30</v>
      </c>
      <c r="F626" s="222"/>
      <c r="G626" s="108">
        <v>109.33</v>
      </c>
      <c r="H626" s="17">
        <v>113.78</v>
      </c>
      <c r="I626" s="18">
        <v>122.36</v>
      </c>
      <c r="J626" s="113" t="s">
        <v>1552</v>
      </c>
      <c r="K626" s="44" t="s">
        <v>121</v>
      </c>
      <c r="L626" s="442"/>
      <c r="M626" s="480" t="s">
        <v>1856</v>
      </c>
      <c r="N626" s="1015" t="s">
        <v>1856</v>
      </c>
      <c r="O626" s="217"/>
      <c r="P626" s="68" t="s">
        <v>50</v>
      </c>
      <c r="Q626" s="100">
        <f t="shared" si="327"/>
        <v>0</v>
      </c>
      <c r="R626" s="13" t="str">
        <f t="shared" si="321"/>
        <v>Фото &gt;&gt;</v>
      </c>
      <c r="S626" s="14" t="s">
        <v>214</v>
      </c>
      <c r="AK626">
        <v>0.05</v>
      </c>
      <c r="AL626">
        <f t="shared" si="319"/>
        <v>0</v>
      </c>
      <c r="AM626">
        <f t="shared" si="320"/>
        <v>0</v>
      </c>
      <c r="AN626">
        <f t="shared" si="328"/>
        <v>0</v>
      </c>
      <c r="AO626" t="s">
        <v>4832</v>
      </c>
      <c r="AV626" t="str">
        <f>IF(F626&gt;0,(COUNT($AV$1:AV625)+1),"")</f>
        <v/>
      </c>
    </row>
    <row r="627" spans="1:48" ht="15" customHeight="1" x14ac:dyDescent="0.25">
      <c r="A627" s="1"/>
      <c r="B627" s="30">
        <v>16161</v>
      </c>
      <c r="C627" s="20">
        <v>4680002311500</v>
      </c>
      <c r="D627" s="153" t="s">
        <v>215</v>
      </c>
      <c r="E627" s="67">
        <v>12</v>
      </c>
      <c r="F627" s="222"/>
      <c r="G627" s="107">
        <v>149.22</v>
      </c>
      <c r="H627" s="21">
        <v>156.88999999999999</v>
      </c>
      <c r="I627" s="22">
        <v>173.45</v>
      </c>
      <c r="J627" s="112" t="s">
        <v>1552</v>
      </c>
      <c r="K627" s="45" t="s">
        <v>116</v>
      </c>
      <c r="L627" s="437"/>
      <c r="M627" s="474" t="s">
        <v>1856</v>
      </c>
      <c r="N627" s="1013" t="s">
        <v>1856</v>
      </c>
      <c r="O627" s="212"/>
      <c r="P627" s="66" t="s">
        <v>50</v>
      </c>
      <c r="Q627" s="100">
        <f t="shared" si="327"/>
        <v>0</v>
      </c>
      <c r="R627" s="13" t="str">
        <f t="shared" si="321"/>
        <v>Фото &gt;&gt;</v>
      </c>
      <c r="S627" s="14" t="s">
        <v>3463</v>
      </c>
      <c r="AK627">
        <v>0.11</v>
      </c>
      <c r="AL627">
        <f t="shared" si="319"/>
        <v>0</v>
      </c>
      <c r="AM627">
        <f t="shared" si="320"/>
        <v>0</v>
      </c>
      <c r="AN627">
        <f t="shared" si="328"/>
        <v>0</v>
      </c>
      <c r="AO627" t="s">
        <v>3462</v>
      </c>
      <c r="AV627" t="str">
        <f>IF(F627&gt;0,(COUNT($AV$1:AV626)+1),"")</f>
        <v/>
      </c>
    </row>
    <row r="628" spans="1:48" ht="15" customHeight="1" x14ac:dyDescent="0.25">
      <c r="A628" s="1"/>
      <c r="B628" s="31">
        <v>17005</v>
      </c>
      <c r="C628" s="16">
        <v>4680002312873</v>
      </c>
      <c r="D628" s="154" t="s">
        <v>2315</v>
      </c>
      <c r="E628" s="86">
        <v>35</v>
      </c>
      <c r="F628" s="222"/>
      <c r="G628" s="108">
        <v>32.909999999999997</v>
      </c>
      <c r="H628" s="17">
        <v>34.83</v>
      </c>
      <c r="I628" s="18">
        <v>38.36</v>
      </c>
      <c r="J628" s="113" t="s">
        <v>1552</v>
      </c>
      <c r="K628" s="44" t="s">
        <v>110</v>
      </c>
      <c r="L628" s="442"/>
      <c r="M628" s="480" t="s">
        <v>1856</v>
      </c>
      <c r="N628" s="1015" t="s">
        <v>1856</v>
      </c>
      <c r="O628" s="217" t="s">
        <v>2412</v>
      </c>
      <c r="P628" s="68" t="s">
        <v>72</v>
      </c>
      <c r="Q628" s="100">
        <f t="shared" si="327"/>
        <v>0</v>
      </c>
      <c r="R628" s="13" t="str">
        <f t="shared" si="321"/>
        <v>Фото &gt;&gt;</v>
      </c>
      <c r="S628" s="14" t="s">
        <v>216</v>
      </c>
      <c r="AK628">
        <v>3.5000000000000003E-2</v>
      </c>
      <c r="AL628">
        <f t="shared" si="319"/>
        <v>0</v>
      </c>
      <c r="AM628">
        <f t="shared" si="320"/>
        <v>0</v>
      </c>
      <c r="AN628">
        <f t="shared" si="328"/>
        <v>0</v>
      </c>
      <c r="AO628" t="s">
        <v>4833</v>
      </c>
      <c r="AV628" t="str">
        <f>IF(F628&gt;0,(COUNT($AV$1:AV627)+1),"")</f>
        <v/>
      </c>
    </row>
    <row r="629" spans="1:48" ht="15" customHeight="1" x14ac:dyDescent="0.25">
      <c r="A629" s="1"/>
      <c r="B629" s="30">
        <v>17004</v>
      </c>
      <c r="C629" s="20">
        <v>4680002312897</v>
      </c>
      <c r="D629" s="225" t="s">
        <v>2316</v>
      </c>
      <c r="E629" s="85">
        <v>35</v>
      </c>
      <c r="F629" s="222"/>
      <c r="G629" s="107">
        <v>32.909999999999997</v>
      </c>
      <c r="H629" s="21">
        <v>34.83</v>
      </c>
      <c r="I629" s="22">
        <v>38.36</v>
      </c>
      <c r="J629" s="112" t="s">
        <v>1552</v>
      </c>
      <c r="K629" s="45" t="s">
        <v>110</v>
      </c>
      <c r="L629" s="437"/>
      <c r="M629" s="474" t="s">
        <v>1856</v>
      </c>
      <c r="N629" s="1013" t="s">
        <v>1856</v>
      </c>
      <c r="O629" s="212" t="s">
        <v>2412</v>
      </c>
      <c r="P629" s="66" t="s">
        <v>72</v>
      </c>
      <c r="Q629" s="100">
        <f t="shared" si="327"/>
        <v>0</v>
      </c>
      <c r="R629" s="13" t="str">
        <f t="shared" si="321"/>
        <v>Фото &gt;&gt;</v>
      </c>
      <c r="S629" s="14" t="s">
        <v>217</v>
      </c>
      <c r="AK629">
        <v>3.5000000000000003E-2</v>
      </c>
      <c r="AL629">
        <f t="shared" ref="AL629:AL631" si="329">F629*G629</f>
        <v>0</v>
      </c>
      <c r="AM629">
        <f t="shared" ref="AM629:AM631" si="330">F629*H629</f>
        <v>0</v>
      </c>
      <c r="AN629">
        <f t="shared" si="328"/>
        <v>0</v>
      </c>
      <c r="AO629" t="s">
        <v>2533</v>
      </c>
      <c r="AV629" t="str">
        <f>IF(F629&gt;0,(COUNT($AV$1:AV628)+1),"")</f>
        <v/>
      </c>
    </row>
    <row r="630" spans="1:48" ht="15" customHeight="1" x14ac:dyDescent="0.25">
      <c r="A630" s="1"/>
      <c r="B630" s="31">
        <v>17003</v>
      </c>
      <c r="C630" s="16">
        <v>4680002312866</v>
      </c>
      <c r="D630" s="154" t="s">
        <v>2317</v>
      </c>
      <c r="E630" s="86">
        <v>35</v>
      </c>
      <c r="F630" s="222"/>
      <c r="G630" s="108">
        <v>32.909999999999997</v>
      </c>
      <c r="H630" s="17">
        <v>34.83</v>
      </c>
      <c r="I630" s="18">
        <v>38.36</v>
      </c>
      <c r="J630" s="113" t="s">
        <v>1552</v>
      </c>
      <c r="K630" s="44" t="s">
        <v>110</v>
      </c>
      <c r="L630" s="442"/>
      <c r="M630" s="480" t="s">
        <v>1856</v>
      </c>
      <c r="N630" s="1015" t="s">
        <v>1856</v>
      </c>
      <c r="O630" s="217" t="s">
        <v>2412</v>
      </c>
      <c r="P630" s="68" t="s">
        <v>72</v>
      </c>
      <c r="Q630" s="100">
        <f t="shared" si="327"/>
        <v>0</v>
      </c>
      <c r="R630" s="13" t="str">
        <f t="shared" si="321"/>
        <v>Фото &gt;&gt;</v>
      </c>
      <c r="S630" s="14" t="s">
        <v>218</v>
      </c>
      <c r="AK630">
        <v>3.5000000000000003E-2</v>
      </c>
      <c r="AL630">
        <f t="shared" si="329"/>
        <v>0</v>
      </c>
      <c r="AM630">
        <f t="shared" si="330"/>
        <v>0</v>
      </c>
      <c r="AN630">
        <f t="shared" si="328"/>
        <v>0</v>
      </c>
      <c r="AO630" t="s">
        <v>2534</v>
      </c>
      <c r="AV630" t="str">
        <f>IF(F630&gt;0,(COUNT($AV$1:AV629)+1),"")</f>
        <v/>
      </c>
    </row>
    <row r="631" spans="1:48" ht="15" customHeight="1" x14ac:dyDescent="0.25">
      <c r="A631" s="1"/>
      <c r="B631" s="25"/>
      <c r="C631" s="26"/>
      <c r="D631" s="27" t="s">
        <v>5573</v>
      </c>
      <c r="E631" s="80"/>
      <c r="F631" s="96"/>
      <c r="G631" s="28"/>
      <c r="H631" s="29"/>
      <c r="I631" s="29"/>
      <c r="J631" s="51"/>
      <c r="K631" s="47"/>
      <c r="L631" s="447"/>
      <c r="M631" s="489" t="s">
        <v>104</v>
      </c>
      <c r="N631" s="716"/>
      <c r="O631" s="186"/>
      <c r="P631" s="79"/>
      <c r="Q631" s="104"/>
      <c r="R631" s="13"/>
      <c r="S631" s="14"/>
      <c r="AL631">
        <f t="shared" si="329"/>
        <v>0</v>
      </c>
      <c r="AM631">
        <f t="shared" si="330"/>
        <v>0</v>
      </c>
      <c r="AN631">
        <f t="shared" si="328"/>
        <v>0</v>
      </c>
      <c r="AO631" t="s">
        <v>104</v>
      </c>
      <c r="AV631" t="str">
        <f>IF(F631&gt;0,(COUNT($AV$1:AV630)+1),"")</f>
        <v/>
      </c>
    </row>
    <row r="632" spans="1:48" ht="15" customHeight="1" x14ac:dyDescent="0.25">
      <c r="A632" s="1"/>
      <c r="B632" s="30">
        <v>20941</v>
      </c>
      <c r="C632" s="20">
        <v>4650204933435</v>
      </c>
      <c r="D632" s="225" t="s">
        <v>6142</v>
      </c>
      <c r="E632" s="67">
        <v>10</v>
      </c>
      <c r="F632" s="222"/>
      <c r="G632" s="107">
        <v>178.39</v>
      </c>
      <c r="H632" s="21">
        <v>185.86</v>
      </c>
      <c r="I632" s="22">
        <v>200.9</v>
      </c>
      <c r="J632" s="112" t="s">
        <v>1552</v>
      </c>
      <c r="K632" s="45" t="s">
        <v>219</v>
      </c>
      <c r="L632" s="437"/>
      <c r="M632" s="474" t="s">
        <v>1856</v>
      </c>
      <c r="N632" s="1013"/>
      <c r="O632" s="209"/>
      <c r="P632" s="66" t="s">
        <v>53</v>
      </c>
      <c r="Q632" s="100">
        <f>IF($AO$564=2,F632*H632,IF($AO$564=1,F632*G632,F632*I632))</f>
        <v>0</v>
      </c>
      <c r="R632" s="13" t="str">
        <f t="shared" si="321"/>
        <v>Фото &gt;&gt;</v>
      </c>
      <c r="S632" s="14" t="s">
        <v>5574</v>
      </c>
      <c r="AK632">
        <v>0.21</v>
      </c>
      <c r="AL632">
        <f t="shared" ref="AL632:AL633" si="331">F632*G632</f>
        <v>0</v>
      </c>
      <c r="AM632">
        <f t="shared" ref="AM632:AM633" si="332">F632*H632</f>
        <v>0</v>
      </c>
      <c r="AN632">
        <f t="shared" ref="AN632:AN633" si="333">AK632*F632+IF(E632&gt;1.01,F632/E632*0.2,0)</f>
        <v>0</v>
      </c>
      <c r="AO632" t="s">
        <v>5575</v>
      </c>
      <c r="AV632" t="str">
        <f>IF(F632&gt;0,(COUNT($AV$1:AV631)+1),"")</f>
        <v/>
      </c>
    </row>
    <row r="633" spans="1:48" ht="15" customHeight="1" x14ac:dyDescent="0.25">
      <c r="A633" s="1"/>
      <c r="B633" s="31">
        <v>20940</v>
      </c>
      <c r="C633" s="16">
        <v>4650204933336</v>
      </c>
      <c r="D633" s="226" t="s">
        <v>6143</v>
      </c>
      <c r="E633" s="69">
        <v>10</v>
      </c>
      <c r="F633" s="222"/>
      <c r="G633" s="108">
        <v>178.39</v>
      </c>
      <c r="H633" s="17">
        <v>185.86</v>
      </c>
      <c r="I633" s="18">
        <v>200.9</v>
      </c>
      <c r="J633" s="113" t="s">
        <v>1552</v>
      </c>
      <c r="K633" s="44" t="s">
        <v>219</v>
      </c>
      <c r="L633" s="442"/>
      <c r="M633" s="480" t="s">
        <v>1856</v>
      </c>
      <c r="N633" s="1015"/>
      <c r="O633" s="210"/>
      <c r="P633" s="68" t="s">
        <v>53</v>
      </c>
      <c r="Q633" s="100">
        <f>IF($AO$564=2,F633*H633,IF($AO$564=1,F633*G633,F633*I633))</f>
        <v>0</v>
      </c>
      <c r="R633" s="13" t="str">
        <f t="shared" si="321"/>
        <v>Фото &gt;&gt;</v>
      </c>
      <c r="S633" s="14" t="s">
        <v>5577</v>
      </c>
      <c r="AK633">
        <v>0.21</v>
      </c>
      <c r="AL633">
        <f t="shared" si="331"/>
        <v>0</v>
      </c>
      <c r="AM633">
        <f t="shared" si="332"/>
        <v>0</v>
      </c>
      <c r="AN633">
        <f t="shared" si="333"/>
        <v>0</v>
      </c>
      <c r="AO633" t="s">
        <v>5576</v>
      </c>
      <c r="AV633" t="str">
        <f>IF(F633&gt;0,(COUNT($AV$1:AV632)+1),"")</f>
        <v/>
      </c>
    </row>
    <row r="634" spans="1:48" ht="15" customHeight="1" x14ac:dyDescent="0.25">
      <c r="A634" s="1"/>
      <c r="B634" s="125"/>
      <c r="C634" s="126"/>
      <c r="D634" s="127"/>
      <c r="E634" s="134"/>
      <c r="F634" s="189"/>
      <c r="G634" s="130"/>
      <c r="H634" s="131"/>
      <c r="I634" s="132"/>
      <c r="J634" s="128"/>
      <c r="K634" s="129"/>
      <c r="L634" s="433"/>
      <c r="M634" s="481" t="s">
        <v>104</v>
      </c>
      <c r="N634" s="471"/>
      <c r="O634" s="181"/>
      <c r="P634" s="133"/>
      <c r="Q634" s="135"/>
      <c r="R634" s="13"/>
      <c r="S634" s="14"/>
      <c r="AV634" t="str">
        <f>IF(F634&gt;0,(COUNT($AV$1:AV633)+1),"")</f>
        <v/>
      </c>
    </row>
    <row r="635" spans="1:48" ht="15" customHeight="1" thickBot="1" x14ac:dyDescent="0.3">
      <c r="A635" s="1"/>
      <c r="B635" s="136"/>
      <c r="C635" s="137"/>
      <c r="D635" s="138"/>
      <c r="E635" s="145"/>
      <c r="F635" s="190"/>
      <c r="G635" s="141"/>
      <c r="H635" s="142"/>
      <c r="I635" s="143"/>
      <c r="J635" s="139"/>
      <c r="K635" s="140"/>
      <c r="L635" s="434"/>
      <c r="M635" s="477" t="s">
        <v>104</v>
      </c>
      <c r="N635" s="468"/>
      <c r="O635" s="182"/>
      <c r="P635" s="144"/>
      <c r="Q635" s="146"/>
      <c r="R635" s="13"/>
      <c r="S635" s="14"/>
      <c r="AV635" t="str">
        <f>IF(F635&gt;0,(COUNT($AV$1:AV634)+1),"")</f>
        <v/>
      </c>
    </row>
    <row r="636" spans="1:48" ht="24.95" customHeight="1" thickBot="1" x14ac:dyDescent="0.3">
      <c r="A636" s="1"/>
      <c r="B636" s="169"/>
      <c r="C636" s="170"/>
      <c r="D636" s="171" t="str">
        <f>CONCATENATE("Специалист","     |     Сумма заказа: ",AK636," руб.")</f>
        <v>Специалист     |     Сумма заказа: 0 руб.</v>
      </c>
      <c r="E636" s="176"/>
      <c r="F636" s="177"/>
      <c r="G636" s="180" t="str">
        <f>CONCATENATE("Ценовая колонка: ",AO636,"   |   До следующей скидки: ",AJ636," руб.")</f>
        <v>Ценовая колонка: 3   |   До следующей скидки: 5000 руб.</v>
      </c>
      <c r="H636" s="174"/>
      <c r="I636" s="174"/>
      <c r="J636" s="172" t="s">
        <v>222</v>
      </c>
      <c r="K636" s="173"/>
      <c r="L636" s="444"/>
      <c r="M636" s="486" t="s">
        <v>104</v>
      </c>
      <c r="N636" s="717"/>
      <c r="O636" s="184"/>
      <c r="P636" s="175"/>
      <c r="Q636" s="178"/>
      <c r="R636" s="179" t="s">
        <v>1558</v>
      </c>
      <c r="S636" s="14"/>
      <c r="AJ636">
        <f>ROUND(IF(AL636&gt;40000,"0", IF(AND(AL636&lt;40000,AM636&gt;5000),40000-AL636,5000-AM636)),2)</f>
        <v>5000</v>
      </c>
      <c r="AK636">
        <f>SUM(Q638:Q763)</f>
        <v>0</v>
      </c>
      <c r="AL636">
        <f>SUM(AL638:AL763)</f>
        <v>0</v>
      </c>
      <c r="AM636">
        <f>SUM(AM638:AM763)</f>
        <v>0</v>
      </c>
      <c r="AO636">
        <f>IF(AM636&gt;5000,IF(AL636&gt;40000,1,2),3)</f>
        <v>3</v>
      </c>
      <c r="AV636" t="str">
        <f>IF(F636&gt;0,(COUNT($AV$1:AV635)+1),"")</f>
        <v/>
      </c>
    </row>
    <row r="637" spans="1:48" ht="24" customHeight="1" x14ac:dyDescent="0.25">
      <c r="A637" s="1"/>
      <c r="B637" s="374"/>
      <c r="C637" s="375"/>
      <c r="D637" s="382" t="s">
        <v>3219</v>
      </c>
      <c r="E637" s="376"/>
      <c r="F637" s="377"/>
      <c r="G637" s="378"/>
      <c r="H637" s="378"/>
      <c r="I637" s="378"/>
      <c r="J637" s="379"/>
      <c r="K637" s="374"/>
      <c r="L637" s="449"/>
      <c r="M637" s="491"/>
      <c r="N637" s="715"/>
      <c r="O637" s="374"/>
      <c r="P637" s="380"/>
      <c r="Q637" s="381"/>
      <c r="R637" s="13"/>
      <c r="S637" s="14"/>
      <c r="AV637" t="str">
        <f>IF(F637&gt;0,(COUNT($AV$1:AV636)+1),"")</f>
        <v/>
      </c>
    </row>
    <row r="638" spans="1:48" ht="27.95" customHeight="1" x14ac:dyDescent="0.25">
      <c r="A638" s="1"/>
      <c r="B638" s="537"/>
      <c r="C638" s="538"/>
      <c r="D638" s="617" t="s">
        <v>4745</v>
      </c>
      <c r="E638" s="539"/>
      <c r="F638" s="540"/>
      <c r="G638" s="1229" t="s">
        <v>7585</v>
      </c>
      <c r="H638" s="1228" t="s">
        <v>16</v>
      </c>
      <c r="I638" s="542"/>
      <c r="J638" s="543"/>
      <c r="K638" s="544"/>
      <c r="L638" s="545"/>
      <c r="M638" s="546" t="s">
        <v>104</v>
      </c>
      <c r="N638" s="859"/>
      <c r="O638" s="547"/>
      <c r="P638" s="548"/>
      <c r="Q638" s="549"/>
      <c r="R638" s="94"/>
      <c r="S638" s="14"/>
      <c r="AV638" t="str">
        <f>IF(F638&gt;0,(COUNT($AV$1:AV637)+1),"")</f>
        <v/>
      </c>
    </row>
    <row r="639" spans="1:48" ht="15" customHeight="1" x14ac:dyDescent="0.25">
      <c r="A639" s="1"/>
      <c r="B639" s="30">
        <v>21159</v>
      </c>
      <c r="C639" s="20">
        <v>4620008857206</v>
      </c>
      <c r="D639" s="225" t="s">
        <v>6282</v>
      </c>
      <c r="E639" s="67">
        <v>12</v>
      </c>
      <c r="F639" s="280"/>
      <c r="G639" s="107">
        <v>206.2</v>
      </c>
      <c r="H639" s="21">
        <v>216.8</v>
      </c>
      <c r="I639" s="22">
        <v>245.7</v>
      </c>
      <c r="J639" s="112" t="s">
        <v>222</v>
      </c>
      <c r="K639" s="45" t="s">
        <v>326</v>
      </c>
      <c r="L639" s="437"/>
      <c r="M639" s="474" t="s">
        <v>1856</v>
      </c>
      <c r="N639" s="1013"/>
      <c r="O639" s="209" t="s">
        <v>5757</v>
      </c>
      <c r="P639" s="66" t="s">
        <v>53</v>
      </c>
      <c r="Q639" s="100">
        <f>IF(AND($AO$636=1,MOD(F639,E639)=0),F639*G639,IF($AO$636&lt;=2,F639*H639,F639*I639))</f>
        <v>0</v>
      </c>
      <c r="R639" s="94" t="str">
        <f t="shared" ref="R639:R643" si="334">IF(AO639&gt;0,HYPERLINK(AO639,"Фото &gt;&gt;"),"")</f>
        <v>Фото &gt;&gt;</v>
      </c>
      <c r="S639" s="14" t="s">
        <v>4747</v>
      </c>
      <c r="U639" s="4"/>
      <c r="V639" s="4"/>
      <c r="AK639">
        <v>0.22</v>
      </c>
      <c r="AL639">
        <f t="shared" ref="AL639" si="335">F639*G639</f>
        <v>0</v>
      </c>
      <c r="AM639">
        <f t="shared" ref="AM639" si="336">F639*H639</f>
        <v>0</v>
      </c>
      <c r="AN639">
        <f t="shared" ref="AN639:AN675" si="337">AK639*F639+IF(E639&gt;1.01,F639/E639*0.2,0)</f>
        <v>0</v>
      </c>
      <c r="AO639" t="s">
        <v>4748</v>
      </c>
      <c r="AV639" t="str">
        <f>IF(F639&gt;0,(COUNT($AV$1:AV638)+1),"")</f>
        <v/>
      </c>
    </row>
    <row r="640" spans="1:48" ht="15" customHeight="1" x14ac:dyDescent="0.25">
      <c r="A640" s="1"/>
      <c r="B640" s="31">
        <v>21160</v>
      </c>
      <c r="C640" s="16">
        <v>4620008857213</v>
      </c>
      <c r="D640" s="226" t="s">
        <v>6283</v>
      </c>
      <c r="E640" s="69">
        <v>12</v>
      </c>
      <c r="F640" s="280"/>
      <c r="G640" s="108">
        <v>206.2</v>
      </c>
      <c r="H640" s="17">
        <v>216.8</v>
      </c>
      <c r="I640" s="18">
        <v>245.7</v>
      </c>
      <c r="J640" s="113" t="s">
        <v>222</v>
      </c>
      <c r="K640" s="44" t="s">
        <v>326</v>
      </c>
      <c r="L640" s="442"/>
      <c r="M640" s="480" t="s">
        <v>1856</v>
      </c>
      <c r="N640" s="1015"/>
      <c r="O640" s="210" t="s">
        <v>5757</v>
      </c>
      <c r="P640" s="68" t="s">
        <v>53</v>
      </c>
      <c r="Q640" s="100">
        <f>IF(AND($AO$636=1,MOD(F640,E640)=0),F640*G640,IF($AO$636&lt;=2,F640*H640,F640*I640))</f>
        <v>0</v>
      </c>
      <c r="R640" s="94" t="str">
        <f t="shared" si="334"/>
        <v>Фото &gt;&gt;</v>
      </c>
      <c r="S640" s="14" t="s">
        <v>4746</v>
      </c>
      <c r="U640" s="4"/>
      <c r="V640" s="4"/>
      <c r="AK640">
        <v>0.22</v>
      </c>
      <c r="AL640">
        <f t="shared" ref="AL640" si="338">F640*G640</f>
        <v>0</v>
      </c>
      <c r="AM640">
        <f t="shared" ref="AM640" si="339">F640*H640</f>
        <v>0</v>
      </c>
      <c r="AN640">
        <f t="shared" ref="AN640" si="340">AK640*F640+IF(E640&gt;1.01,F640/E640*0.2,0)</f>
        <v>0</v>
      </c>
      <c r="AO640" t="s">
        <v>4749</v>
      </c>
      <c r="AV640" t="str">
        <f>IF(F640&gt;0,(COUNT($AV$1:AV639)+1),"")</f>
        <v/>
      </c>
    </row>
    <row r="641" spans="1:48" ht="15" customHeight="1" x14ac:dyDescent="0.25">
      <c r="A641" s="1"/>
      <c r="B641" s="537"/>
      <c r="C641" s="538"/>
      <c r="D641" s="617" t="s">
        <v>5530</v>
      </c>
      <c r="E641" s="539"/>
      <c r="F641" s="540"/>
      <c r="G641" s="541"/>
      <c r="H641" s="542"/>
      <c r="I641" s="542"/>
      <c r="J641" s="543"/>
      <c r="K641" s="544"/>
      <c r="L641" s="545"/>
      <c r="M641" s="546" t="s">
        <v>104</v>
      </c>
      <c r="N641" s="859"/>
      <c r="O641" s="547"/>
      <c r="P641" s="548"/>
      <c r="Q641" s="549"/>
      <c r="R641" s="94"/>
      <c r="S641" s="14"/>
      <c r="AO641" t="s">
        <v>104</v>
      </c>
      <c r="AV641" t="str">
        <f>IF(F641&gt;0,(COUNT($AV$1:AV640)+1),"")</f>
        <v/>
      </c>
    </row>
    <row r="642" spans="1:48" ht="15" customHeight="1" x14ac:dyDescent="0.25">
      <c r="A642" s="1"/>
      <c r="B642" s="30">
        <v>21101</v>
      </c>
      <c r="C642" s="20">
        <v>4620008857534</v>
      </c>
      <c r="D642" s="225" t="s">
        <v>5997</v>
      </c>
      <c r="E642" s="67">
        <v>4</v>
      </c>
      <c r="F642" s="280"/>
      <c r="G642" s="107">
        <v>479.4</v>
      </c>
      <c r="H642" s="21">
        <v>503.9</v>
      </c>
      <c r="I642" s="22">
        <v>553.9</v>
      </c>
      <c r="J642" s="112" t="s">
        <v>222</v>
      </c>
      <c r="K642" s="45" t="s">
        <v>5530</v>
      </c>
      <c r="L642" s="437"/>
      <c r="M642" s="474" t="s">
        <v>1856</v>
      </c>
      <c r="N642" s="1013"/>
      <c r="O642" s="209"/>
      <c r="P642" s="66" t="s">
        <v>55</v>
      </c>
      <c r="Q642" s="100">
        <f>IF(AND($AO$636=1,MOD(F642,E642)=0),F642*G642,IF($AO$636&lt;=2,F642*H642,F642*I642))</f>
        <v>0</v>
      </c>
      <c r="R642" s="13" t="str">
        <f t="shared" si="334"/>
        <v>Фото &gt;&gt;</v>
      </c>
      <c r="S642" s="14" t="s">
        <v>5998</v>
      </c>
      <c r="U642" s="4"/>
      <c r="V642" s="4"/>
      <c r="AK642">
        <v>0.1</v>
      </c>
      <c r="AL642">
        <f t="shared" ref="AL642:AL644" si="341">F642*G642</f>
        <v>0</v>
      </c>
      <c r="AM642">
        <f t="shared" ref="AM642:AM644" si="342">F642*H642</f>
        <v>0</v>
      </c>
      <c r="AN642">
        <f t="shared" ref="AN642:AN644" si="343">AK642*F642+IF(E642&gt;1.01,F642/E642*0.2,0)</f>
        <v>0</v>
      </c>
      <c r="AO642" t="s">
        <v>5999</v>
      </c>
      <c r="AV642" t="str">
        <f>IF(F642&gt;0,(COUNT($AV$1:AV641)+1),"")</f>
        <v/>
      </c>
    </row>
    <row r="643" spans="1:48" ht="15" customHeight="1" x14ac:dyDescent="0.25">
      <c r="A643" s="1"/>
      <c r="B643" s="31">
        <v>21102</v>
      </c>
      <c r="C643" s="16">
        <v>4620008857541</v>
      </c>
      <c r="D643" s="226" t="s">
        <v>5996</v>
      </c>
      <c r="E643" s="69">
        <v>4</v>
      </c>
      <c r="F643" s="280"/>
      <c r="G643" s="108">
        <v>479.4</v>
      </c>
      <c r="H643" s="17">
        <v>503.9</v>
      </c>
      <c r="I643" s="18">
        <v>553.9</v>
      </c>
      <c r="J643" s="113" t="s">
        <v>222</v>
      </c>
      <c r="K643" s="44" t="s">
        <v>5530</v>
      </c>
      <c r="L643" s="442"/>
      <c r="M643" s="480" t="s">
        <v>1856</v>
      </c>
      <c r="N643" s="1015"/>
      <c r="O643" s="210"/>
      <c r="P643" s="68" t="s">
        <v>55</v>
      </c>
      <c r="Q643" s="100">
        <f>IF(AND($AO$636=1,MOD(F643,E643)=0),F643*G643,IF($AO$636&lt;=2,F643*H643,F643*I643))</f>
        <v>0</v>
      </c>
      <c r="R643" s="13" t="str">
        <f t="shared" si="334"/>
        <v>Фото &gt;&gt;</v>
      </c>
      <c r="S643" s="14" t="s">
        <v>5995</v>
      </c>
      <c r="U643" s="4"/>
      <c r="V643" s="4"/>
      <c r="AK643">
        <v>0.1</v>
      </c>
      <c r="AL643">
        <f t="shared" si="341"/>
        <v>0</v>
      </c>
      <c r="AM643">
        <f t="shared" si="342"/>
        <v>0</v>
      </c>
      <c r="AN643">
        <f t="shared" si="343"/>
        <v>0</v>
      </c>
      <c r="AO643" t="s">
        <v>6000</v>
      </c>
      <c r="AV643" t="str">
        <f>IF(F643&gt;0,(COUNT($AV$1:AV642)+1),"")</f>
        <v/>
      </c>
    </row>
    <row r="644" spans="1:48" ht="15" customHeight="1" x14ac:dyDescent="0.25">
      <c r="A644" s="1"/>
      <c r="B644" s="25"/>
      <c r="C644" s="26"/>
      <c r="D644" s="228" t="s">
        <v>4121</v>
      </c>
      <c r="E644" s="80"/>
      <c r="F644" s="96"/>
      <c r="G644" s="28"/>
      <c r="H644" s="29"/>
      <c r="I644" s="29"/>
      <c r="J644" s="51"/>
      <c r="K644" s="47"/>
      <c r="L644" s="447"/>
      <c r="M644" s="489" t="s">
        <v>104</v>
      </c>
      <c r="N644" s="716"/>
      <c r="O644" s="186"/>
      <c r="P644" s="79"/>
      <c r="Q644" s="104"/>
      <c r="R644" s="13" t="str">
        <f t="shared" ref="R644:R645" si="344">IF(AO644&gt;0,HYPERLINK(AO644,"Фото &gt;&gt;"),"")</f>
        <v>Фото &gt;&gt;</v>
      </c>
      <c r="S644" s="14"/>
      <c r="AL644">
        <f t="shared" si="341"/>
        <v>0</v>
      </c>
      <c r="AM644">
        <f t="shared" si="342"/>
        <v>0</v>
      </c>
      <c r="AN644">
        <f t="shared" si="343"/>
        <v>0</v>
      </c>
      <c r="AO644" t="s">
        <v>104</v>
      </c>
      <c r="AV644" t="str">
        <f>IF(F644&gt;0,(COUNT($AV$1:AV643)+1),"")</f>
        <v/>
      </c>
    </row>
    <row r="645" spans="1:48" ht="15" customHeight="1" x14ac:dyDescent="0.25">
      <c r="A645" s="1"/>
      <c r="B645" s="30">
        <v>19640</v>
      </c>
      <c r="C645" s="20">
        <v>4620008856735</v>
      </c>
      <c r="D645" s="225" t="s">
        <v>235</v>
      </c>
      <c r="E645" s="67">
        <v>10</v>
      </c>
      <c r="F645" s="222"/>
      <c r="G645" s="107">
        <v>294.5</v>
      </c>
      <c r="H645" s="21">
        <v>315</v>
      </c>
      <c r="I645" s="22">
        <v>346</v>
      </c>
      <c r="J645" s="112" t="s">
        <v>222</v>
      </c>
      <c r="K645" s="45" t="s">
        <v>19</v>
      </c>
      <c r="L645" s="437"/>
      <c r="M645" s="474" t="s">
        <v>1856</v>
      </c>
      <c r="N645" s="1013" t="s">
        <v>1856</v>
      </c>
      <c r="O645" s="209"/>
      <c r="P645" s="66" t="s">
        <v>72</v>
      </c>
      <c r="Q645" s="100">
        <f t="shared" ref="Q645:Q651" si="345">IF(AND($AO$636=1,MOD(F645,E645)=0),F645*G645,IF($AO$636&lt;=2,F645*H645,F645*I645))</f>
        <v>0</v>
      </c>
      <c r="R645" s="13" t="str">
        <f t="shared" si="344"/>
        <v>Фото &gt;&gt;</v>
      </c>
      <c r="S645" s="14" t="s">
        <v>3220</v>
      </c>
      <c r="U645" s="4"/>
      <c r="V645" s="4"/>
      <c r="AK645">
        <v>0.45</v>
      </c>
      <c r="AL645">
        <f t="shared" ref="AL645" si="346">F645*G645</f>
        <v>0</v>
      </c>
      <c r="AM645">
        <f t="shared" ref="AM645" si="347">F645*H645</f>
        <v>0</v>
      </c>
      <c r="AN645">
        <f t="shared" ref="AN645" si="348">AK645*F645+IF(E645&gt;1.01,F645/E645*0.2,0)</f>
        <v>0</v>
      </c>
      <c r="AO645" t="s">
        <v>2535</v>
      </c>
      <c r="AV645" t="str">
        <f>IF(F645&gt;0,(COUNT($AV$1:AV644)+1),"")</f>
        <v/>
      </c>
    </row>
    <row r="646" spans="1:48" ht="15" customHeight="1" x14ac:dyDescent="0.25">
      <c r="A646" s="1"/>
      <c r="B646" s="31">
        <v>19642</v>
      </c>
      <c r="C646" s="16">
        <v>4620008856766</v>
      </c>
      <c r="D646" s="226" t="s">
        <v>240</v>
      </c>
      <c r="E646" s="69">
        <v>10</v>
      </c>
      <c r="F646" s="222"/>
      <c r="G646" s="108">
        <v>247.5</v>
      </c>
      <c r="H646" s="17">
        <v>264</v>
      </c>
      <c r="I646" s="18">
        <v>291</v>
      </c>
      <c r="J646" s="113" t="s">
        <v>222</v>
      </c>
      <c r="K646" s="44" t="s">
        <v>19</v>
      </c>
      <c r="L646" s="442"/>
      <c r="M646" s="480" t="s">
        <v>1856</v>
      </c>
      <c r="N646" s="1015" t="s">
        <v>1856</v>
      </c>
      <c r="O646" s="210"/>
      <c r="P646" s="68" t="s">
        <v>72</v>
      </c>
      <c r="Q646" s="100">
        <f t="shared" si="345"/>
        <v>0</v>
      </c>
      <c r="R646" s="13" t="str">
        <f t="shared" ref="R646:R651" si="349">IF(AO646&gt;0,HYPERLINK(AO646,"Фото &gt;&gt;"),"")</f>
        <v>Фото &gt;&gt;</v>
      </c>
      <c r="S646" s="14" t="s">
        <v>3221</v>
      </c>
      <c r="U646" s="4"/>
      <c r="V646" s="4"/>
      <c r="AK646">
        <v>0.45</v>
      </c>
      <c r="AL646">
        <f t="shared" ref="AL646:AL652" si="350">F646*G646</f>
        <v>0</v>
      </c>
      <c r="AM646">
        <f t="shared" ref="AM646:AM652" si="351">F646*H646</f>
        <v>0</v>
      </c>
      <c r="AN646">
        <f t="shared" si="337"/>
        <v>0</v>
      </c>
      <c r="AO646" t="s">
        <v>2536</v>
      </c>
      <c r="AV646" t="str">
        <f>IF(F646&gt;0,(COUNT($AV$1:AV645)+1),"")</f>
        <v/>
      </c>
    </row>
    <row r="647" spans="1:48" ht="15" customHeight="1" x14ac:dyDescent="0.25">
      <c r="A647" s="1"/>
      <c r="B647" s="30">
        <v>19639</v>
      </c>
      <c r="C647" s="20">
        <v>4620008856728</v>
      </c>
      <c r="D647" s="225" t="s">
        <v>243</v>
      </c>
      <c r="E647" s="67">
        <v>10</v>
      </c>
      <c r="F647" s="222"/>
      <c r="G647" s="107">
        <v>248</v>
      </c>
      <c r="H647" s="21">
        <v>265.5</v>
      </c>
      <c r="I647" s="22">
        <v>292</v>
      </c>
      <c r="J647" s="112" t="s">
        <v>222</v>
      </c>
      <c r="K647" s="45" t="s">
        <v>19</v>
      </c>
      <c r="L647" s="437"/>
      <c r="M647" s="474" t="s">
        <v>1856</v>
      </c>
      <c r="N647" s="1013" t="s">
        <v>1856</v>
      </c>
      <c r="O647" s="209"/>
      <c r="P647" s="66" t="s">
        <v>72</v>
      </c>
      <c r="Q647" s="100">
        <f t="shared" si="345"/>
        <v>0</v>
      </c>
      <c r="R647" s="13" t="str">
        <f t="shared" si="349"/>
        <v>Фото &gt;&gt;</v>
      </c>
      <c r="S647" s="14" t="s">
        <v>3222</v>
      </c>
      <c r="U647" s="4"/>
      <c r="V647" s="4"/>
      <c r="AK647">
        <v>0.45</v>
      </c>
      <c r="AL647">
        <f t="shared" si="350"/>
        <v>0</v>
      </c>
      <c r="AM647">
        <f t="shared" si="351"/>
        <v>0</v>
      </c>
      <c r="AN647">
        <f t="shared" si="337"/>
        <v>0</v>
      </c>
      <c r="AO647" t="s">
        <v>2537</v>
      </c>
      <c r="AV647" t="str">
        <f>IF(F647&gt;0,(COUNT($AV$1:AV646)+1),"")</f>
        <v/>
      </c>
    </row>
    <row r="648" spans="1:48" ht="15" customHeight="1" x14ac:dyDescent="0.25">
      <c r="A648" s="1"/>
      <c r="B648" s="31">
        <v>19645</v>
      </c>
      <c r="C648" s="16">
        <v>4620008856803</v>
      </c>
      <c r="D648" s="226" t="s">
        <v>249</v>
      </c>
      <c r="E648" s="69">
        <v>10</v>
      </c>
      <c r="F648" s="222"/>
      <c r="G648" s="108">
        <v>300.39999999999998</v>
      </c>
      <c r="H648" s="17">
        <v>321</v>
      </c>
      <c r="I648" s="18">
        <v>355</v>
      </c>
      <c r="J648" s="113" t="s">
        <v>222</v>
      </c>
      <c r="K648" s="44" t="s">
        <v>19</v>
      </c>
      <c r="L648" s="442"/>
      <c r="M648" s="480" t="s">
        <v>1856</v>
      </c>
      <c r="N648" s="1015" t="s">
        <v>1856</v>
      </c>
      <c r="O648" s="210"/>
      <c r="P648" s="68" t="s">
        <v>72</v>
      </c>
      <c r="Q648" s="100">
        <f t="shared" si="345"/>
        <v>0</v>
      </c>
      <c r="R648" s="13" t="str">
        <f t="shared" si="349"/>
        <v>Фото &gt;&gt;</v>
      </c>
      <c r="S648" s="14" t="s">
        <v>3223</v>
      </c>
      <c r="U648" s="4"/>
      <c r="V648" s="4"/>
      <c r="AK648">
        <v>0.45</v>
      </c>
      <c r="AL648">
        <f t="shared" si="350"/>
        <v>0</v>
      </c>
      <c r="AM648">
        <f t="shared" si="351"/>
        <v>0</v>
      </c>
      <c r="AN648">
        <f t="shared" si="337"/>
        <v>0</v>
      </c>
      <c r="AO648" t="s">
        <v>2538</v>
      </c>
      <c r="AV648" t="str">
        <f>IF(F648&gt;0,(COUNT($AV$1:AV647)+1),"")</f>
        <v/>
      </c>
    </row>
    <row r="649" spans="1:48" ht="15" customHeight="1" x14ac:dyDescent="0.25">
      <c r="A649" s="1"/>
      <c r="B649" s="30">
        <v>19643</v>
      </c>
      <c r="C649" s="20">
        <v>4620008856773</v>
      </c>
      <c r="D649" s="225" t="s">
        <v>1907</v>
      </c>
      <c r="E649" s="67">
        <v>10</v>
      </c>
      <c r="F649" s="222"/>
      <c r="G649" s="107">
        <v>265</v>
      </c>
      <c r="H649" s="21">
        <v>283</v>
      </c>
      <c r="I649" s="22">
        <v>312</v>
      </c>
      <c r="J649" s="112" t="s">
        <v>222</v>
      </c>
      <c r="K649" s="45" t="s">
        <v>19</v>
      </c>
      <c r="L649" s="437"/>
      <c r="M649" s="474" t="s">
        <v>1856</v>
      </c>
      <c r="N649" s="1013" t="s">
        <v>1856</v>
      </c>
      <c r="O649" s="209"/>
      <c r="P649" s="66" t="s">
        <v>72</v>
      </c>
      <c r="Q649" s="100">
        <f t="shared" si="345"/>
        <v>0</v>
      </c>
      <c r="R649" s="13" t="str">
        <f t="shared" si="349"/>
        <v>Фото &gt;&gt;</v>
      </c>
      <c r="S649" s="14" t="s">
        <v>3224</v>
      </c>
      <c r="U649" s="4"/>
      <c r="V649" s="4"/>
      <c r="AK649">
        <v>0.45</v>
      </c>
      <c r="AL649">
        <f t="shared" si="350"/>
        <v>0</v>
      </c>
      <c r="AM649">
        <f t="shared" si="351"/>
        <v>0</v>
      </c>
      <c r="AN649">
        <f t="shared" si="337"/>
        <v>0</v>
      </c>
      <c r="AO649" t="s">
        <v>2539</v>
      </c>
      <c r="AV649" t="str">
        <f>IF(F649&gt;0,(COUNT($AV$1:AV648)+1),"")</f>
        <v/>
      </c>
    </row>
    <row r="650" spans="1:48" ht="15" customHeight="1" x14ac:dyDescent="0.25">
      <c r="A650" s="1"/>
      <c r="B650" s="31">
        <v>19641</v>
      </c>
      <c r="C650" s="16">
        <v>4620008856742</v>
      </c>
      <c r="D650" s="226" t="s">
        <v>259</v>
      </c>
      <c r="E650" s="69">
        <v>10</v>
      </c>
      <c r="F650" s="222"/>
      <c r="G650" s="108">
        <v>595</v>
      </c>
      <c r="H650" s="17">
        <v>636</v>
      </c>
      <c r="I650" s="18">
        <v>700</v>
      </c>
      <c r="J650" s="113" t="s">
        <v>222</v>
      </c>
      <c r="K650" s="44" t="s">
        <v>19</v>
      </c>
      <c r="L650" s="442"/>
      <c r="M650" s="480" t="s">
        <v>1856</v>
      </c>
      <c r="N650" s="1015" t="s">
        <v>1856</v>
      </c>
      <c r="O650" s="210"/>
      <c r="P650" s="68" t="s">
        <v>72</v>
      </c>
      <c r="Q650" s="100">
        <f t="shared" si="345"/>
        <v>0</v>
      </c>
      <c r="R650" s="13" t="str">
        <f t="shared" si="349"/>
        <v>Фото &gt;&gt;</v>
      </c>
      <c r="S650" s="14" t="s">
        <v>3225</v>
      </c>
      <c r="U650" s="4"/>
      <c r="V650" s="4"/>
      <c r="AK650">
        <v>0.45</v>
      </c>
      <c r="AL650">
        <f t="shared" si="350"/>
        <v>0</v>
      </c>
      <c r="AM650">
        <f t="shared" si="351"/>
        <v>0</v>
      </c>
      <c r="AN650">
        <f t="shared" si="337"/>
        <v>0</v>
      </c>
      <c r="AO650" t="s">
        <v>2540</v>
      </c>
      <c r="AV650" t="str">
        <f>IF(F650&gt;0,(COUNT($AV$1:AV649)+1),"")</f>
        <v/>
      </c>
    </row>
    <row r="651" spans="1:48" ht="15" customHeight="1" x14ac:dyDescent="0.25">
      <c r="A651" s="1"/>
      <c r="B651" s="30">
        <v>19644</v>
      </c>
      <c r="C651" s="20">
        <v>4620008856797</v>
      </c>
      <c r="D651" s="225" t="s">
        <v>1908</v>
      </c>
      <c r="E651" s="67">
        <v>10</v>
      </c>
      <c r="F651" s="222"/>
      <c r="G651" s="107">
        <v>262.39999999999998</v>
      </c>
      <c r="H651" s="21">
        <v>281</v>
      </c>
      <c r="I651" s="22">
        <v>309</v>
      </c>
      <c r="J651" s="112" t="s">
        <v>222</v>
      </c>
      <c r="K651" s="45" t="s">
        <v>19</v>
      </c>
      <c r="L651" s="437"/>
      <c r="M651" s="474" t="s">
        <v>1856</v>
      </c>
      <c r="N651" s="1013" t="s">
        <v>1856</v>
      </c>
      <c r="O651" s="209"/>
      <c r="P651" s="66" t="s">
        <v>72</v>
      </c>
      <c r="Q651" s="100">
        <f t="shared" si="345"/>
        <v>0</v>
      </c>
      <c r="R651" s="13" t="str">
        <f t="shared" si="349"/>
        <v>Фото &gt;&gt;</v>
      </c>
      <c r="S651" s="14" t="s">
        <v>3226</v>
      </c>
      <c r="U651" s="4"/>
      <c r="V651" s="4"/>
      <c r="AK651">
        <v>0.45</v>
      </c>
      <c r="AL651">
        <f t="shared" si="350"/>
        <v>0</v>
      </c>
      <c r="AM651">
        <f t="shared" si="351"/>
        <v>0</v>
      </c>
      <c r="AN651">
        <f t="shared" si="337"/>
        <v>0</v>
      </c>
      <c r="AO651" t="s">
        <v>2541</v>
      </c>
      <c r="AV651" t="str">
        <f>IF(F651&gt;0,(COUNT($AV$1:AV650)+1),"")</f>
        <v/>
      </c>
    </row>
    <row r="652" spans="1:48" ht="15" customHeight="1" x14ac:dyDescent="0.25">
      <c r="A652" s="1"/>
      <c r="B652" s="25"/>
      <c r="C652" s="26"/>
      <c r="D652" s="228" t="s">
        <v>220</v>
      </c>
      <c r="E652" s="80"/>
      <c r="F652" s="96"/>
      <c r="G652" s="28"/>
      <c r="H652" s="29"/>
      <c r="I652" s="29"/>
      <c r="J652" s="51"/>
      <c r="K652" s="47"/>
      <c r="L652" s="447"/>
      <c r="M652" s="489"/>
      <c r="N652" s="716"/>
      <c r="O652" s="186"/>
      <c r="P652" s="79"/>
      <c r="Q652" s="104"/>
      <c r="R652" s="94"/>
      <c r="S652" s="14"/>
      <c r="AL652">
        <f t="shared" si="350"/>
        <v>0</v>
      </c>
      <c r="AM652">
        <f t="shared" si="351"/>
        <v>0</v>
      </c>
      <c r="AN652">
        <f t="shared" si="337"/>
        <v>0</v>
      </c>
      <c r="AO652" t="s">
        <v>104</v>
      </c>
      <c r="AV652" t="str">
        <f>IF(F652&gt;0,(COUNT($AV$1:AV651)+1),"")</f>
        <v/>
      </c>
    </row>
    <row r="653" spans="1:48" ht="15" customHeight="1" x14ac:dyDescent="0.25">
      <c r="A653" s="1"/>
      <c r="B653" s="30">
        <v>13775</v>
      </c>
      <c r="C653" s="20">
        <v>4620008850368</v>
      </c>
      <c r="D653" s="225" t="s">
        <v>2101</v>
      </c>
      <c r="E653" s="67">
        <v>20</v>
      </c>
      <c r="F653" s="222"/>
      <c r="G653" s="107">
        <v>500</v>
      </c>
      <c r="H653" s="21">
        <v>535</v>
      </c>
      <c r="I653" s="22">
        <v>600</v>
      </c>
      <c r="J653" s="112" t="s">
        <v>222</v>
      </c>
      <c r="K653" s="45" t="s">
        <v>381</v>
      </c>
      <c r="L653" s="437"/>
      <c r="M653" s="474" t="s">
        <v>1856</v>
      </c>
      <c r="N653" s="1013" t="s">
        <v>1856</v>
      </c>
      <c r="O653" s="209"/>
      <c r="P653" s="66" t="s">
        <v>72</v>
      </c>
      <c r="Q653" s="100">
        <f t="shared" ref="Q653:Q685" si="352">IF(AND($AO$636=1,MOD(F653,E653)=0),F653*G653,IF($AO$636&lt;=2,F653*H653,F653*I653))</f>
        <v>0</v>
      </c>
      <c r="R653" s="13" t="str">
        <f t="shared" ref="R653" si="353">IF(AO653&gt;0,HYPERLINK(AO653,"Фото &gt;&gt;"),"")</f>
        <v>Фото &gt;&gt;</v>
      </c>
      <c r="S653" s="14" t="s">
        <v>224</v>
      </c>
      <c r="U653" s="4"/>
      <c r="V653" s="4"/>
      <c r="AK653">
        <v>0.24</v>
      </c>
      <c r="AL653">
        <f t="shared" ref="AL653" si="354">F653*G653</f>
        <v>0</v>
      </c>
      <c r="AM653">
        <f t="shared" ref="AM653" si="355">F653*H653</f>
        <v>0</v>
      </c>
      <c r="AN653">
        <f t="shared" si="337"/>
        <v>0</v>
      </c>
      <c r="AO653" t="s">
        <v>5379</v>
      </c>
      <c r="AV653" t="str">
        <f>IF(F653&gt;0,(COUNT($AV$1:AV652)+1),"")</f>
        <v/>
      </c>
    </row>
    <row r="654" spans="1:48" ht="15" customHeight="1" x14ac:dyDescent="0.25">
      <c r="A654" s="1"/>
      <c r="B654" s="31">
        <v>13776</v>
      </c>
      <c r="C654" s="16">
        <v>4620008850351</v>
      </c>
      <c r="D654" s="226" t="s">
        <v>2102</v>
      </c>
      <c r="E654" s="69">
        <v>20</v>
      </c>
      <c r="F654" s="222"/>
      <c r="G654" s="108">
        <v>521.20000000000005</v>
      </c>
      <c r="H654" s="17">
        <v>557.79999999999995</v>
      </c>
      <c r="I654" s="18">
        <v>626</v>
      </c>
      <c r="J654" s="113" t="s">
        <v>222</v>
      </c>
      <c r="K654" s="44" t="s">
        <v>381</v>
      </c>
      <c r="L654" s="442"/>
      <c r="M654" s="480" t="s">
        <v>1856</v>
      </c>
      <c r="N654" s="1015" t="s">
        <v>1856</v>
      </c>
      <c r="O654" s="210"/>
      <c r="P654" s="68" t="s">
        <v>72</v>
      </c>
      <c r="Q654" s="100">
        <f t="shared" si="352"/>
        <v>0</v>
      </c>
      <c r="R654" s="13" t="str">
        <f t="shared" ref="R654:R717" si="356">IF(AO654&gt;0,HYPERLINK(AO654,"Фото &gt;&gt;"),"")</f>
        <v>Фото &gt;&gt;</v>
      </c>
      <c r="S654" s="14" t="s">
        <v>224</v>
      </c>
      <c r="U654" s="4"/>
      <c r="V654" s="4"/>
      <c r="AK654">
        <v>0.24</v>
      </c>
      <c r="AL654">
        <f t="shared" ref="AL654:AL680" si="357">F654*G654</f>
        <v>0</v>
      </c>
      <c r="AM654">
        <f t="shared" ref="AM654:AM680" si="358">F654*H654</f>
        <v>0</v>
      </c>
      <c r="AN654">
        <f t="shared" si="337"/>
        <v>0</v>
      </c>
      <c r="AO654" t="s">
        <v>5380</v>
      </c>
      <c r="AV654" t="str">
        <f>IF(F654&gt;0,(COUNT($AV$1:AV653)+1),"")</f>
        <v/>
      </c>
    </row>
    <row r="655" spans="1:48" ht="15" customHeight="1" x14ac:dyDescent="0.25">
      <c r="A655" s="1"/>
      <c r="B655" s="37">
        <v>13239</v>
      </c>
      <c r="C655" s="23">
        <v>4620008853123</v>
      </c>
      <c r="D655" s="237" t="s">
        <v>2103</v>
      </c>
      <c r="E655" s="75">
        <v>20</v>
      </c>
      <c r="F655" s="223"/>
      <c r="G655" s="111">
        <v>472.5</v>
      </c>
      <c r="H655" s="5">
        <v>506</v>
      </c>
      <c r="I655" s="24">
        <v>567</v>
      </c>
      <c r="J655" s="115" t="s">
        <v>222</v>
      </c>
      <c r="K655" s="46" t="s">
        <v>381</v>
      </c>
      <c r="L655" s="440"/>
      <c r="M655" s="482" t="s">
        <v>1856</v>
      </c>
      <c r="N655" s="1002" t="s">
        <v>1856</v>
      </c>
      <c r="O655" s="211"/>
      <c r="P655" s="74" t="s">
        <v>72</v>
      </c>
      <c r="Q655" s="100">
        <f t="shared" si="352"/>
        <v>0</v>
      </c>
      <c r="R655" s="13" t="str">
        <f t="shared" si="356"/>
        <v>Фото &gt;&gt;</v>
      </c>
      <c r="S655" s="14" t="s">
        <v>224</v>
      </c>
      <c r="U655" s="4"/>
      <c r="V655" s="4"/>
      <c r="AK655">
        <v>0.24</v>
      </c>
      <c r="AL655">
        <f t="shared" si="357"/>
        <v>0</v>
      </c>
      <c r="AM655">
        <f t="shared" si="358"/>
        <v>0</v>
      </c>
      <c r="AN655">
        <f t="shared" si="337"/>
        <v>0</v>
      </c>
      <c r="AO655" t="s">
        <v>5381</v>
      </c>
      <c r="AV655" t="str">
        <f>IF(F655&gt;0,(COUNT($AV$1:AV654)+1),"")</f>
        <v/>
      </c>
    </row>
    <row r="656" spans="1:48" ht="15" customHeight="1" x14ac:dyDescent="0.25">
      <c r="A656" s="1"/>
      <c r="B656" s="1120">
        <v>19941</v>
      </c>
      <c r="C656" s="1121">
        <v>4620008856612</v>
      </c>
      <c r="D656" s="1122" t="s">
        <v>2131</v>
      </c>
      <c r="E656" s="1123">
        <v>20</v>
      </c>
      <c r="F656" s="673"/>
      <c r="G656" s="1124">
        <v>218.5</v>
      </c>
      <c r="H656" s="1125">
        <v>234</v>
      </c>
      <c r="I656" s="1126">
        <v>261</v>
      </c>
      <c r="J656" s="1127" t="s">
        <v>222</v>
      </c>
      <c r="K656" s="1128" t="s">
        <v>19</v>
      </c>
      <c r="L656" s="1141"/>
      <c r="M656" s="1142" t="s">
        <v>1856</v>
      </c>
      <c r="N656" s="1143" t="s">
        <v>1856</v>
      </c>
      <c r="O656" s="1157"/>
      <c r="P656" s="1133" t="s">
        <v>72</v>
      </c>
      <c r="Q656" s="100">
        <f t="shared" si="352"/>
        <v>0</v>
      </c>
      <c r="R656" s="13" t="str">
        <f t="shared" si="356"/>
        <v>Фото &gt;&gt;</v>
      </c>
      <c r="S656" s="14" t="s">
        <v>2132</v>
      </c>
      <c r="U656" s="4"/>
      <c r="V656" s="4"/>
      <c r="AK656">
        <v>0.24</v>
      </c>
      <c r="AL656">
        <f t="shared" ref="AL656:AL657" si="359">F656*G656</f>
        <v>0</v>
      </c>
      <c r="AM656">
        <f t="shared" ref="AM656:AM657" si="360">F656*H656</f>
        <v>0</v>
      </c>
      <c r="AN656">
        <f t="shared" si="337"/>
        <v>0</v>
      </c>
      <c r="AO656" t="s">
        <v>2542</v>
      </c>
      <c r="AV656" t="str">
        <f>IF(F656&gt;0,(COUNT($AV$1:AV655)+1),"")</f>
        <v/>
      </c>
    </row>
    <row r="657" spans="1:48" ht="15" customHeight="1" x14ac:dyDescent="0.25">
      <c r="A657" s="1"/>
      <c r="B657" s="30">
        <v>19942</v>
      </c>
      <c r="C657" s="20">
        <v>4620008856629</v>
      </c>
      <c r="D657" s="225" t="s">
        <v>741</v>
      </c>
      <c r="E657" s="67">
        <v>20</v>
      </c>
      <c r="F657" s="222"/>
      <c r="G657" s="107">
        <v>495</v>
      </c>
      <c r="H657" s="21">
        <v>530</v>
      </c>
      <c r="I657" s="22">
        <v>600</v>
      </c>
      <c r="J657" s="112" t="s">
        <v>222</v>
      </c>
      <c r="K657" s="45" t="s">
        <v>19</v>
      </c>
      <c r="L657" s="437"/>
      <c r="M657" s="474" t="s">
        <v>1856</v>
      </c>
      <c r="N657" s="1013" t="s">
        <v>1856</v>
      </c>
      <c r="O657" s="209"/>
      <c r="P657" s="66" t="s">
        <v>72</v>
      </c>
      <c r="Q657" s="100">
        <f t="shared" si="352"/>
        <v>0</v>
      </c>
      <c r="R657" s="13" t="str">
        <f t="shared" si="356"/>
        <v>Фото &gt;&gt;</v>
      </c>
      <c r="S657" s="14" t="s">
        <v>2132</v>
      </c>
      <c r="U657" s="4"/>
      <c r="V657" s="4"/>
      <c r="AK657">
        <v>0.52</v>
      </c>
      <c r="AL657">
        <f t="shared" si="359"/>
        <v>0</v>
      </c>
      <c r="AM657">
        <f t="shared" si="360"/>
        <v>0</v>
      </c>
      <c r="AN657">
        <f t="shared" si="337"/>
        <v>0</v>
      </c>
      <c r="AO657" t="s">
        <v>2543</v>
      </c>
      <c r="AV657" t="str">
        <f>IF(F657&gt;0,(COUNT($AV$1:AV656)+1),"")</f>
        <v/>
      </c>
    </row>
    <row r="658" spans="1:48" ht="15" customHeight="1" x14ac:dyDescent="0.25">
      <c r="A658" s="1"/>
      <c r="B658" s="31">
        <v>14436</v>
      </c>
      <c r="C658" s="16">
        <v>4620008851914</v>
      </c>
      <c r="D658" s="226" t="s">
        <v>225</v>
      </c>
      <c r="E658" s="69">
        <v>20</v>
      </c>
      <c r="F658" s="222"/>
      <c r="G658" s="108">
        <v>914.3</v>
      </c>
      <c r="H658" s="17">
        <v>978</v>
      </c>
      <c r="I658" s="18">
        <v>1100</v>
      </c>
      <c r="J658" s="113" t="s">
        <v>222</v>
      </c>
      <c r="K658" s="44" t="s">
        <v>19</v>
      </c>
      <c r="L658" s="442"/>
      <c r="M658" s="480" t="s">
        <v>1856</v>
      </c>
      <c r="N658" s="1015" t="s">
        <v>1856</v>
      </c>
      <c r="O658" s="210"/>
      <c r="P658" s="68" t="s">
        <v>72</v>
      </c>
      <c r="Q658" s="100">
        <f t="shared" si="352"/>
        <v>0</v>
      </c>
      <c r="R658" s="13" t="str">
        <f t="shared" si="356"/>
        <v>Фото &gt;&gt;</v>
      </c>
      <c r="S658" s="14" t="s">
        <v>226</v>
      </c>
      <c r="U658" s="4"/>
      <c r="V658" s="4"/>
      <c r="AK658">
        <v>0.24</v>
      </c>
      <c r="AL658">
        <f t="shared" si="357"/>
        <v>0</v>
      </c>
      <c r="AM658">
        <f t="shared" si="358"/>
        <v>0</v>
      </c>
      <c r="AN658">
        <f t="shared" si="337"/>
        <v>0</v>
      </c>
      <c r="AO658" t="s">
        <v>3082</v>
      </c>
      <c r="AV658" t="str">
        <f>IF(F658&gt;0,(COUNT($AV$1:AV657)+1),"")</f>
        <v/>
      </c>
    </row>
    <row r="659" spans="1:48" ht="15" customHeight="1" x14ac:dyDescent="0.25">
      <c r="A659" s="1"/>
      <c r="B659" s="30">
        <v>16714</v>
      </c>
      <c r="C659" s="20">
        <v>4620008851044</v>
      </c>
      <c r="D659" s="225" t="s">
        <v>227</v>
      </c>
      <c r="E659" s="67">
        <v>20</v>
      </c>
      <c r="F659" s="222"/>
      <c r="G659" s="107">
        <v>196</v>
      </c>
      <c r="H659" s="21">
        <v>210</v>
      </c>
      <c r="I659" s="22">
        <v>235</v>
      </c>
      <c r="J659" s="112" t="s">
        <v>222</v>
      </c>
      <c r="K659" s="45" t="s">
        <v>19</v>
      </c>
      <c r="L659" s="437"/>
      <c r="M659" s="474" t="s">
        <v>1856</v>
      </c>
      <c r="N659" s="1013" t="s">
        <v>1856</v>
      </c>
      <c r="O659" s="209"/>
      <c r="P659" s="66" t="s">
        <v>72</v>
      </c>
      <c r="Q659" s="100">
        <f t="shared" si="352"/>
        <v>0</v>
      </c>
      <c r="R659" s="13" t="str">
        <f t="shared" si="356"/>
        <v>Фото &gt;&gt;</v>
      </c>
      <c r="S659" s="14" t="s">
        <v>228</v>
      </c>
      <c r="U659" s="4"/>
      <c r="V659" s="4"/>
      <c r="AK659">
        <v>0.24</v>
      </c>
      <c r="AL659">
        <f t="shared" si="357"/>
        <v>0</v>
      </c>
      <c r="AM659">
        <f t="shared" si="358"/>
        <v>0</v>
      </c>
      <c r="AN659">
        <f t="shared" si="337"/>
        <v>0</v>
      </c>
      <c r="AO659" t="s">
        <v>3083</v>
      </c>
      <c r="AV659" t="str">
        <f>IF(F659&gt;0,(COUNT($AV$1:AV658)+1),"")</f>
        <v/>
      </c>
    </row>
    <row r="660" spans="1:48" ht="15" customHeight="1" x14ac:dyDescent="0.25">
      <c r="A660" s="1"/>
      <c r="B660" s="31">
        <v>16715</v>
      </c>
      <c r="C660" s="16">
        <v>4620008851051</v>
      </c>
      <c r="D660" s="226" t="s">
        <v>229</v>
      </c>
      <c r="E660" s="69">
        <v>15</v>
      </c>
      <c r="F660" s="222"/>
      <c r="G660" s="108">
        <v>483.3</v>
      </c>
      <c r="H660" s="17">
        <v>517</v>
      </c>
      <c r="I660" s="18">
        <v>580</v>
      </c>
      <c r="J660" s="113" t="s">
        <v>222</v>
      </c>
      <c r="K660" s="44" t="s">
        <v>19</v>
      </c>
      <c r="L660" s="442"/>
      <c r="M660" s="480" t="s">
        <v>1856</v>
      </c>
      <c r="N660" s="1015" t="s">
        <v>1856</v>
      </c>
      <c r="O660" s="210"/>
      <c r="P660" s="68" t="s">
        <v>72</v>
      </c>
      <c r="Q660" s="100">
        <f t="shared" si="352"/>
        <v>0</v>
      </c>
      <c r="R660" s="13" t="str">
        <f t="shared" si="356"/>
        <v>Фото &gt;&gt;</v>
      </c>
      <c r="S660" s="14" t="s">
        <v>228</v>
      </c>
      <c r="U660" s="4"/>
      <c r="V660" s="4"/>
      <c r="AK660">
        <v>0.52</v>
      </c>
      <c r="AL660">
        <f t="shared" si="357"/>
        <v>0</v>
      </c>
      <c r="AM660">
        <f t="shared" si="358"/>
        <v>0</v>
      </c>
      <c r="AN660">
        <f t="shared" si="337"/>
        <v>0</v>
      </c>
      <c r="AO660" t="s">
        <v>3084</v>
      </c>
      <c r="AV660" t="str">
        <f>IF(F660&gt;0,(COUNT($AV$1:AV659)+1),"")</f>
        <v/>
      </c>
    </row>
    <row r="661" spans="1:48" ht="15" customHeight="1" x14ac:dyDescent="0.25">
      <c r="A661" s="1"/>
      <c r="B661" s="30">
        <v>17552</v>
      </c>
      <c r="C661" s="20">
        <v>4620008855684</v>
      </c>
      <c r="D661" s="225" t="s">
        <v>230</v>
      </c>
      <c r="E661" s="67">
        <v>20</v>
      </c>
      <c r="F661" s="222"/>
      <c r="G661" s="107">
        <v>86.7</v>
      </c>
      <c r="H661" s="21">
        <v>92.8</v>
      </c>
      <c r="I661" s="22">
        <v>104</v>
      </c>
      <c r="J661" s="112" t="s">
        <v>222</v>
      </c>
      <c r="K661" s="45" t="s">
        <v>19</v>
      </c>
      <c r="L661" s="437"/>
      <c r="M661" s="474" t="s">
        <v>1856</v>
      </c>
      <c r="N661" s="1013" t="s">
        <v>1856</v>
      </c>
      <c r="O661" s="209"/>
      <c r="P661" s="66" t="s">
        <v>72</v>
      </c>
      <c r="Q661" s="100">
        <f t="shared" si="352"/>
        <v>0</v>
      </c>
      <c r="R661" s="13" t="str">
        <f t="shared" si="356"/>
        <v>Фото &gt;&gt;</v>
      </c>
      <c r="S661" s="14" t="s">
        <v>231</v>
      </c>
      <c r="U661" s="4"/>
      <c r="V661" s="4"/>
      <c r="AK661">
        <v>0.24</v>
      </c>
      <c r="AL661">
        <f t="shared" si="357"/>
        <v>0</v>
      </c>
      <c r="AM661">
        <f t="shared" si="358"/>
        <v>0</v>
      </c>
      <c r="AN661">
        <f t="shared" si="337"/>
        <v>0</v>
      </c>
      <c r="AO661" t="s">
        <v>2544</v>
      </c>
      <c r="AV661" t="str">
        <f>IF(F661&gt;0,(COUNT($AV$1:AV660)+1),"")</f>
        <v/>
      </c>
    </row>
    <row r="662" spans="1:48" ht="15" customHeight="1" x14ac:dyDescent="0.25">
      <c r="A662" s="1"/>
      <c r="B662" s="31">
        <v>17553</v>
      </c>
      <c r="C662" s="16">
        <v>4620008855691</v>
      </c>
      <c r="D662" s="226" t="s">
        <v>232</v>
      </c>
      <c r="E662" s="69">
        <v>10</v>
      </c>
      <c r="F662" s="222"/>
      <c r="G662" s="108">
        <v>167.4</v>
      </c>
      <c r="H662" s="17">
        <v>179</v>
      </c>
      <c r="I662" s="18">
        <v>201</v>
      </c>
      <c r="J662" s="113" t="s">
        <v>222</v>
      </c>
      <c r="K662" s="44" t="s">
        <v>19</v>
      </c>
      <c r="L662" s="442"/>
      <c r="M662" s="480" t="s">
        <v>1856</v>
      </c>
      <c r="N662" s="1015" t="s">
        <v>1856</v>
      </c>
      <c r="O662" s="210"/>
      <c r="P662" s="68" t="s">
        <v>72</v>
      </c>
      <c r="Q662" s="100">
        <f t="shared" si="352"/>
        <v>0</v>
      </c>
      <c r="R662" s="13" t="str">
        <f t="shared" si="356"/>
        <v>Фото &gt;&gt;</v>
      </c>
      <c r="S662" s="14" t="s">
        <v>231</v>
      </c>
      <c r="U662" s="4"/>
      <c r="V662" s="4"/>
      <c r="AK662">
        <v>0.52</v>
      </c>
      <c r="AL662">
        <f t="shared" si="357"/>
        <v>0</v>
      </c>
      <c r="AM662">
        <f t="shared" si="358"/>
        <v>0</v>
      </c>
      <c r="AN662">
        <f t="shared" si="337"/>
        <v>0</v>
      </c>
      <c r="AO662" t="s">
        <v>2545</v>
      </c>
      <c r="AV662" t="str">
        <f>IF(F662&gt;0,(COUNT($AV$1:AV661)+1),"")</f>
        <v/>
      </c>
    </row>
    <row r="663" spans="1:48" ht="15" customHeight="1" x14ac:dyDescent="0.25">
      <c r="A663" s="1"/>
      <c r="B663" s="30">
        <v>12511</v>
      </c>
      <c r="C663" s="20">
        <v>4620008851310</v>
      </c>
      <c r="D663" s="225" t="s">
        <v>233</v>
      </c>
      <c r="E663" s="67">
        <v>20</v>
      </c>
      <c r="F663" s="222"/>
      <c r="G663" s="107">
        <v>256.5</v>
      </c>
      <c r="H663" s="21">
        <v>274.39999999999998</v>
      </c>
      <c r="I663" s="22">
        <v>310</v>
      </c>
      <c r="J663" s="112" t="s">
        <v>222</v>
      </c>
      <c r="K663" s="45" t="s">
        <v>19</v>
      </c>
      <c r="L663" s="437"/>
      <c r="M663" s="474" t="s">
        <v>1856</v>
      </c>
      <c r="N663" s="1013" t="s">
        <v>1856</v>
      </c>
      <c r="O663" s="209"/>
      <c r="P663" s="66" t="s">
        <v>72</v>
      </c>
      <c r="Q663" s="100">
        <f t="shared" si="352"/>
        <v>0</v>
      </c>
      <c r="R663" s="13" t="str">
        <f t="shared" si="356"/>
        <v>Фото &gt;&gt;</v>
      </c>
      <c r="S663" s="14" t="s">
        <v>234</v>
      </c>
      <c r="U663" s="4"/>
      <c r="V663" s="4"/>
      <c r="AK663">
        <v>0.24</v>
      </c>
      <c r="AL663">
        <f t="shared" si="357"/>
        <v>0</v>
      </c>
      <c r="AM663">
        <f t="shared" si="358"/>
        <v>0</v>
      </c>
      <c r="AN663">
        <f t="shared" si="337"/>
        <v>0</v>
      </c>
      <c r="AO663" t="s">
        <v>3085</v>
      </c>
      <c r="AV663" t="str">
        <f>IF(F663&gt;0,(COUNT($AV$1:AV662)+1),"")</f>
        <v/>
      </c>
    </row>
    <row r="664" spans="1:48" ht="15" customHeight="1" x14ac:dyDescent="0.25">
      <c r="A664" s="1"/>
      <c r="B664" s="31">
        <v>12551</v>
      </c>
      <c r="C664" s="16">
        <v>4620008851327</v>
      </c>
      <c r="D664" s="226" t="s">
        <v>235</v>
      </c>
      <c r="E664" s="69">
        <v>10</v>
      </c>
      <c r="F664" s="222"/>
      <c r="G664" s="108">
        <v>598.5</v>
      </c>
      <c r="H664" s="17">
        <v>640</v>
      </c>
      <c r="I664" s="18">
        <v>718</v>
      </c>
      <c r="J664" s="113" t="s">
        <v>222</v>
      </c>
      <c r="K664" s="44" t="s">
        <v>19</v>
      </c>
      <c r="L664" s="442"/>
      <c r="M664" s="480" t="s">
        <v>1856</v>
      </c>
      <c r="N664" s="1015" t="s">
        <v>1856</v>
      </c>
      <c r="O664" s="210"/>
      <c r="P664" s="68" t="s">
        <v>72</v>
      </c>
      <c r="Q664" s="100">
        <f t="shared" si="352"/>
        <v>0</v>
      </c>
      <c r="R664" s="13" t="str">
        <f t="shared" si="356"/>
        <v>Фото &gt;&gt;</v>
      </c>
      <c r="S664" s="14" t="s">
        <v>234</v>
      </c>
      <c r="U664" s="4"/>
      <c r="V664" s="4"/>
      <c r="AK664">
        <v>0.52</v>
      </c>
      <c r="AL664">
        <f t="shared" si="357"/>
        <v>0</v>
      </c>
      <c r="AM664">
        <f t="shared" si="358"/>
        <v>0</v>
      </c>
      <c r="AN664">
        <f t="shared" si="337"/>
        <v>0</v>
      </c>
      <c r="AO664" t="s">
        <v>3086</v>
      </c>
      <c r="AV664" t="str">
        <f>IF(F664&gt;0,(COUNT($AV$1:AV663)+1),"")</f>
        <v/>
      </c>
    </row>
    <row r="665" spans="1:48" ht="15" customHeight="1" x14ac:dyDescent="0.25">
      <c r="A665" s="1"/>
      <c r="B665" s="30">
        <v>12578</v>
      </c>
      <c r="C665" s="20">
        <v>4620008851419</v>
      </c>
      <c r="D665" s="225" t="s">
        <v>236</v>
      </c>
      <c r="E665" s="67">
        <v>20</v>
      </c>
      <c r="F665" s="222"/>
      <c r="G665" s="107">
        <v>511.8</v>
      </c>
      <c r="H665" s="21">
        <v>547.6</v>
      </c>
      <c r="I665" s="22">
        <v>615</v>
      </c>
      <c r="J665" s="112" t="s">
        <v>222</v>
      </c>
      <c r="K665" s="45" t="s">
        <v>19</v>
      </c>
      <c r="L665" s="437"/>
      <c r="M665" s="474" t="s">
        <v>1856</v>
      </c>
      <c r="N665" s="1013" t="s">
        <v>1856</v>
      </c>
      <c r="O665" s="209"/>
      <c r="P665" s="66" t="s">
        <v>72</v>
      </c>
      <c r="Q665" s="100">
        <f t="shared" si="352"/>
        <v>0</v>
      </c>
      <c r="R665" s="13" t="str">
        <f t="shared" si="356"/>
        <v>Фото &gt;&gt;</v>
      </c>
      <c r="S665" s="14" t="s">
        <v>237</v>
      </c>
      <c r="U665" s="4"/>
      <c r="V665" s="4"/>
      <c r="AK665">
        <v>0.24</v>
      </c>
      <c r="AL665">
        <f t="shared" si="357"/>
        <v>0</v>
      </c>
      <c r="AM665">
        <f t="shared" si="358"/>
        <v>0</v>
      </c>
      <c r="AN665">
        <f t="shared" si="337"/>
        <v>0</v>
      </c>
      <c r="AO665" t="s">
        <v>3087</v>
      </c>
      <c r="AV665" t="str">
        <f>IF(F665&gt;0,(COUNT($AV$1:AV664)+1),"")</f>
        <v/>
      </c>
    </row>
    <row r="666" spans="1:48" ht="15" customHeight="1" x14ac:dyDescent="0.25">
      <c r="A666" s="1"/>
      <c r="B666" s="31">
        <v>12455</v>
      </c>
      <c r="C666" s="16">
        <v>4620008851426</v>
      </c>
      <c r="D666" s="226" t="s">
        <v>238</v>
      </c>
      <c r="E666" s="69">
        <v>15</v>
      </c>
      <c r="F666" s="222"/>
      <c r="G666" s="108">
        <v>1162.5</v>
      </c>
      <c r="H666" s="17">
        <v>1244</v>
      </c>
      <c r="I666" s="18">
        <v>1395</v>
      </c>
      <c r="J666" s="113" t="s">
        <v>222</v>
      </c>
      <c r="K666" s="44" t="s">
        <v>19</v>
      </c>
      <c r="L666" s="442"/>
      <c r="M666" s="480" t="s">
        <v>1856</v>
      </c>
      <c r="N666" s="1015" t="s">
        <v>1856</v>
      </c>
      <c r="O666" s="210"/>
      <c r="P666" s="68" t="s">
        <v>72</v>
      </c>
      <c r="Q666" s="100">
        <f t="shared" si="352"/>
        <v>0</v>
      </c>
      <c r="R666" s="13" t="str">
        <f t="shared" si="356"/>
        <v>Фото &gt;&gt;</v>
      </c>
      <c r="S666" s="14" t="s">
        <v>237</v>
      </c>
      <c r="U666" s="4"/>
      <c r="V666" s="4"/>
      <c r="AK666">
        <v>0.52</v>
      </c>
      <c r="AL666">
        <f t="shared" si="357"/>
        <v>0</v>
      </c>
      <c r="AM666">
        <f t="shared" si="358"/>
        <v>0</v>
      </c>
      <c r="AN666">
        <f t="shared" si="337"/>
        <v>0</v>
      </c>
      <c r="AO666" t="s">
        <v>3088</v>
      </c>
      <c r="AV666" t="str">
        <f>IF(F666&gt;0,(COUNT($AV$1:AV665)+1),"")</f>
        <v/>
      </c>
    </row>
    <row r="667" spans="1:48" ht="15" customHeight="1" x14ac:dyDescent="0.25">
      <c r="A667" s="1"/>
      <c r="B667" s="30">
        <v>17097</v>
      </c>
      <c r="C667" s="20">
        <v>4620008855653</v>
      </c>
      <c r="D667" s="225" t="s">
        <v>17</v>
      </c>
      <c r="E667" s="67">
        <v>20</v>
      </c>
      <c r="F667" s="222"/>
      <c r="G667" s="107">
        <v>220</v>
      </c>
      <c r="H667" s="21">
        <v>235.4</v>
      </c>
      <c r="I667" s="22">
        <v>262.5</v>
      </c>
      <c r="J667" s="112" t="s">
        <v>222</v>
      </c>
      <c r="K667" s="45" t="s">
        <v>19</v>
      </c>
      <c r="L667" s="437"/>
      <c r="M667" s="474" t="s">
        <v>1856</v>
      </c>
      <c r="N667" s="1013" t="s">
        <v>1856</v>
      </c>
      <c r="O667" s="209"/>
      <c r="P667" s="66" t="s">
        <v>72</v>
      </c>
      <c r="Q667" s="100">
        <f t="shared" si="352"/>
        <v>0</v>
      </c>
      <c r="R667" s="13" t="str">
        <f t="shared" si="356"/>
        <v>Фото &gt;&gt;</v>
      </c>
      <c r="S667" s="14" t="s">
        <v>239</v>
      </c>
      <c r="U667" s="4"/>
      <c r="V667" s="4"/>
      <c r="AK667">
        <v>0.25</v>
      </c>
      <c r="AL667">
        <f t="shared" si="357"/>
        <v>0</v>
      </c>
      <c r="AM667">
        <f t="shared" si="358"/>
        <v>0</v>
      </c>
      <c r="AN667">
        <f t="shared" si="337"/>
        <v>0</v>
      </c>
      <c r="AO667" t="s">
        <v>3824</v>
      </c>
      <c r="AV667" t="str">
        <f>IF(F667&gt;0,(COUNT($AV$1:AV666)+1),"")</f>
        <v/>
      </c>
    </row>
    <row r="668" spans="1:48" ht="15" customHeight="1" x14ac:dyDescent="0.25">
      <c r="A668" s="1"/>
      <c r="B668" s="31">
        <v>17098</v>
      </c>
      <c r="C668" s="16">
        <v>4620008855660</v>
      </c>
      <c r="D668" s="226" t="s">
        <v>240</v>
      </c>
      <c r="E668" s="69">
        <v>15</v>
      </c>
      <c r="F668" s="222"/>
      <c r="G668" s="108">
        <v>500</v>
      </c>
      <c r="H668" s="17">
        <v>535</v>
      </c>
      <c r="I668" s="18">
        <v>602</v>
      </c>
      <c r="J668" s="113" t="s">
        <v>222</v>
      </c>
      <c r="K668" s="44" t="s">
        <v>19</v>
      </c>
      <c r="L668" s="442"/>
      <c r="M668" s="480" t="s">
        <v>1856</v>
      </c>
      <c r="N668" s="1015" t="s">
        <v>1856</v>
      </c>
      <c r="O668" s="210"/>
      <c r="P668" s="68" t="s">
        <v>72</v>
      </c>
      <c r="Q668" s="100">
        <f t="shared" si="352"/>
        <v>0</v>
      </c>
      <c r="R668" s="13" t="str">
        <f t="shared" si="356"/>
        <v>Фото &gt;&gt;</v>
      </c>
      <c r="S668" s="14" t="s">
        <v>239</v>
      </c>
      <c r="U668" s="4"/>
      <c r="V668" s="4"/>
      <c r="AK668">
        <v>0.52</v>
      </c>
      <c r="AL668">
        <f t="shared" si="357"/>
        <v>0</v>
      </c>
      <c r="AM668">
        <f t="shared" si="358"/>
        <v>0</v>
      </c>
      <c r="AN668">
        <f t="shared" si="337"/>
        <v>0</v>
      </c>
      <c r="AO668" t="s">
        <v>3464</v>
      </c>
      <c r="AV668" t="str">
        <f>IF(F668&gt;0,(COUNT($AV$1:AV667)+1),"")</f>
        <v/>
      </c>
    </row>
    <row r="669" spans="1:48" ht="15" customHeight="1" x14ac:dyDescent="0.25">
      <c r="A669" s="1"/>
      <c r="B669" s="30">
        <v>12588</v>
      </c>
      <c r="C669" s="20">
        <v>4620008851013</v>
      </c>
      <c r="D669" s="225" t="s">
        <v>241</v>
      </c>
      <c r="E669" s="67">
        <v>20</v>
      </c>
      <c r="F669" s="222"/>
      <c r="G669" s="107">
        <v>196.2</v>
      </c>
      <c r="H669" s="21">
        <v>210</v>
      </c>
      <c r="I669" s="22">
        <v>235.5</v>
      </c>
      <c r="J669" s="112" t="s">
        <v>222</v>
      </c>
      <c r="K669" s="45" t="s">
        <v>19</v>
      </c>
      <c r="L669" s="437"/>
      <c r="M669" s="474" t="s">
        <v>1856</v>
      </c>
      <c r="N669" s="1013" t="s">
        <v>1856</v>
      </c>
      <c r="O669" s="209"/>
      <c r="P669" s="66" t="s">
        <v>72</v>
      </c>
      <c r="Q669" s="100">
        <f t="shared" si="352"/>
        <v>0</v>
      </c>
      <c r="R669" s="13" t="str">
        <f t="shared" si="356"/>
        <v>Фото &gt;&gt;</v>
      </c>
      <c r="S669" s="14" t="s">
        <v>242</v>
      </c>
      <c r="U669" s="4"/>
      <c r="V669" s="4"/>
      <c r="AK669">
        <v>0.24</v>
      </c>
      <c r="AL669">
        <f t="shared" si="357"/>
        <v>0</v>
      </c>
      <c r="AM669">
        <f t="shared" si="358"/>
        <v>0</v>
      </c>
      <c r="AN669">
        <f t="shared" si="337"/>
        <v>0</v>
      </c>
      <c r="AO669" t="s">
        <v>3089</v>
      </c>
      <c r="AV669" t="str">
        <f>IF(F669&gt;0,(COUNT($AV$1:AV668)+1),"")</f>
        <v/>
      </c>
    </row>
    <row r="670" spans="1:48" ht="15" customHeight="1" x14ac:dyDescent="0.25">
      <c r="A670" s="1"/>
      <c r="B670" s="31">
        <v>12552</v>
      </c>
      <c r="C670" s="16">
        <v>4620008851020</v>
      </c>
      <c r="D670" s="226" t="s">
        <v>243</v>
      </c>
      <c r="E670" s="69">
        <v>15</v>
      </c>
      <c r="F670" s="222"/>
      <c r="G670" s="108">
        <v>473.8</v>
      </c>
      <c r="H670" s="17">
        <v>506.7</v>
      </c>
      <c r="I670" s="18">
        <v>570</v>
      </c>
      <c r="J670" s="113" t="s">
        <v>222</v>
      </c>
      <c r="K670" s="44" t="s">
        <v>19</v>
      </c>
      <c r="L670" s="442"/>
      <c r="M670" s="480" t="s">
        <v>1856</v>
      </c>
      <c r="N670" s="1015" t="s">
        <v>1856</v>
      </c>
      <c r="O670" s="210"/>
      <c r="P670" s="68" t="s">
        <v>72</v>
      </c>
      <c r="Q670" s="100">
        <f t="shared" si="352"/>
        <v>0</v>
      </c>
      <c r="R670" s="13" t="str">
        <f t="shared" si="356"/>
        <v>Фото &gt;&gt;</v>
      </c>
      <c r="S670" s="14" t="s">
        <v>242</v>
      </c>
      <c r="U670" s="4"/>
      <c r="V670" s="4"/>
      <c r="AK670">
        <v>0.52</v>
      </c>
      <c r="AL670">
        <f t="shared" si="357"/>
        <v>0</v>
      </c>
      <c r="AM670">
        <f t="shared" si="358"/>
        <v>0</v>
      </c>
      <c r="AN670">
        <f t="shared" si="337"/>
        <v>0</v>
      </c>
      <c r="AO670" t="s">
        <v>3090</v>
      </c>
      <c r="AV670" t="str">
        <f>IF(F670&gt;0,(COUNT($AV$1:AV669)+1),"")</f>
        <v/>
      </c>
    </row>
    <row r="671" spans="1:48" ht="15" customHeight="1" x14ac:dyDescent="0.25">
      <c r="A671" s="1"/>
      <c r="B671" s="30">
        <v>12627</v>
      </c>
      <c r="C671" s="20">
        <v>4620008851211</v>
      </c>
      <c r="D671" s="225" t="s">
        <v>244</v>
      </c>
      <c r="E671" s="67">
        <v>20</v>
      </c>
      <c r="F671" s="222"/>
      <c r="G671" s="107">
        <v>115.2</v>
      </c>
      <c r="H671" s="21">
        <v>123.2</v>
      </c>
      <c r="I671" s="22">
        <v>138</v>
      </c>
      <c r="J671" s="112" t="s">
        <v>222</v>
      </c>
      <c r="K671" s="45" t="s">
        <v>19</v>
      </c>
      <c r="L671" s="437"/>
      <c r="M671" s="474" t="s">
        <v>1856</v>
      </c>
      <c r="N671" s="1013" t="s">
        <v>1856</v>
      </c>
      <c r="O671" s="209"/>
      <c r="P671" s="66" t="s">
        <v>72</v>
      </c>
      <c r="Q671" s="100">
        <f t="shared" si="352"/>
        <v>0</v>
      </c>
      <c r="R671" s="13" t="str">
        <f t="shared" si="356"/>
        <v>Фото &gt;&gt;</v>
      </c>
      <c r="S671" s="14" t="s">
        <v>245</v>
      </c>
      <c r="U671" s="4"/>
      <c r="V671" s="4"/>
      <c r="AK671">
        <v>0.24</v>
      </c>
      <c r="AL671">
        <f t="shared" si="357"/>
        <v>0</v>
      </c>
      <c r="AM671">
        <f t="shared" si="358"/>
        <v>0</v>
      </c>
      <c r="AN671">
        <f t="shared" si="337"/>
        <v>0</v>
      </c>
      <c r="AO671" t="s">
        <v>3091</v>
      </c>
      <c r="AV671" t="str">
        <f>IF(F671&gt;0,(COUNT($AV$1:AV670)+1),"")</f>
        <v/>
      </c>
    </row>
    <row r="672" spans="1:48" ht="15" customHeight="1" x14ac:dyDescent="0.25">
      <c r="A672" s="1"/>
      <c r="B672" s="31">
        <v>12628</v>
      </c>
      <c r="C672" s="16">
        <v>4620008851228</v>
      </c>
      <c r="D672" s="226" t="s">
        <v>246</v>
      </c>
      <c r="E672" s="69">
        <v>10</v>
      </c>
      <c r="F672" s="222"/>
      <c r="G672" s="108">
        <v>206.6</v>
      </c>
      <c r="H672" s="17">
        <v>221</v>
      </c>
      <c r="I672" s="18">
        <v>248</v>
      </c>
      <c r="J672" s="113" t="s">
        <v>222</v>
      </c>
      <c r="K672" s="44" t="s">
        <v>19</v>
      </c>
      <c r="L672" s="442"/>
      <c r="M672" s="480" t="s">
        <v>1856</v>
      </c>
      <c r="N672" s="1015" t="s">
        <v>1856</v>
      </c>
      <c r="O672" s="210"/>
      <c r="P672" s="68" t="s">
        <v>72</v>
      </c>
      <c r="Q672" s="100">
        <f t="shared" si="352"/>
        <v>0</v>
      </c>
      <c r="R672" s="13" t="str">
        <f t="shared" si="356"/>
        <v>Фото &gt;&gt;</v>
      </c>
      <c r="S672" s="14" t="s">
        <v>245</v>
      </c>
      <c r="U672" s="4"/>
      <c r="V672" s="4"/>
      <c r="AK672">
        <v>0.52</v>
      </c>
      <c r="AL672">
        <f t="shared" si="357"/>
        <v>0</v>
      </c>
      <c r="AM672">
        <f t="shared" si="358"/>
        <v>0</v>
      </c>
      <c r="AN672">
        <f t="shared" si="337"/>
        <v>0</v>
      </c>
      <c r="AO672" t="s">
        <v>3092</v>
      </c>
      <c r="AV672" t="str">
        <f>IF(F672&gt;0,(COUNT($AV$1:AV671)+1),"")</f>
        <v/>
      </c>
    </row>
    <row r="673" spans="1:48" ht="15" customHeight="1" x14ac:dyDescent="0.25">
      <c r="A673" s="1"/>
      <c r="B673" s="30">
        <v>13774</v>
      </c>
      <c r="C673" s="20">
        <v>4620008851235</v>
      </c>
      <c r="D673" s="225" t="s">
        <v>247</v>
      </c>
      <c r="E673" s="67">
        <v>15</v>
      </c>
      <c r="F673" s="222"/>
      <c r="G673" s="107">
        <v>328.9</v>
      </c>
      <c r="H673" s="21">
        <v>351.9</v>
      </c>
      <c r="I673" s="22">
        <v>395</v>
      </c>
      <c r="J673" s="112" t="s">
        <v>222</v>
      </c>
      <c r="K673" s="45" t="s">
        <v>19</v>
      </c>
      <c r="L673" s="437"/>
      <c r="M673" s="474" t="s">
        <v>1856</v>
      </c>
      <c r="N673" s="1013" t="s">
        <v>1856</v>
      </c>
      <c r="O673" s="209"/>
      <c r="P673" s="66" t="s">
        <v>72</v>
      </c>
      <c r="Q673" s="100">
        <f t="shared" si="352"/>
        <v>0</v>
      </c>
      <c r="R673" s="13" t="str">
        <f t="shared" si="356"/>
        <v>Фото &gt;&gt;</v>
      </c>
      <c r="S673" s="14" t="s">
        <v>245</v>
      </c>
      <c r="U673" s="4"/>
      <c r="V673" s="4"/>
      <c r="AK673">
        <v>0.92</v>
      </c>
      <c r="AL673">
        <f t="shared" si="357"/>
        <v>0</v>
      </c>
      <c r="AM673">
        <f t="shared" si="358"/>
        <v>0</v>
      </c>
      <c r="AN673">
        <f t="shared" si="337"/>
        <v>0</v>
      </c>
      <c r="AO673" t="s">
        <v>3093</v>
      </c>
      <c r="AV673" t="str">
        <f>IF(F673&gt;0,(COUNT($AV$1:AV672)+1),"")</f>
        <v/>
      </c>
    </row>
    <row r="674" spans="1:48" ht="15" customHeight="1" x14ac:dyDescent="0.25">
      <c r="A674" s="1"/>
      <c r="B674" s="31">
        <v>12456</v>
      </c>
      <c r="C674" s="16">
        <v>4620008851617</v>
      </c>
      <c r="D674" s="226" t="s">
        <v>248</v>
      </c>
      <c r="E674" s="69">
        <v>20</v>
      </c>
      <c r="F674" s="222"/>
      <c r="G674" s="108">
        <v>229.2</v>
      </c>
      <c r="H674" s="17">
        <v>245.2</v>
      </c>
      <c r="I674" s="18">
        <v>274.5</v>
      </c>
      <c r="J674" s="113" t="s">
        <v>222</v>
      </c>
      <c r="K674" s="44" t="s">
        <v>19</v>
      </c>
      <c r="L674" s="442"/>
      <c r="M674" s="480" t="s">
        <v>1856</v>
      </c>
      <c r="N674" s="1015" t="s">
        <v>1856</v>
      </c>
      <c r="O674" s="210"/>
      <c r="P674" s="68" t="s">
        <v>72</v>
      </c>
      <c r="Q674" s="100">
        <f t="shared" si="352"/>
        <v>0</v>
      </c>
      <c r="R674" s="13" t="str">
        <f t="shared" si="356"/>
        <v>Фото &gt;&gt;</v>
      </c>
      <c r="S674" s="14" t="s">
        <v>1778</v>
      </c>
      <c r="U674" s="4"/>
      <c r="V674" s="4"/>
      <c r="AK674">
        <v>0.24</v>
      </c>
      <c r="AL674">
        <f t="shared" si="357"/>
        <v>0</v>
      </c>
      <c r="AM674">
        <f t="shared" si="358"/>
        <v>0</v>
      </c>
      <c r="AN674">
        <f t="shared" si="337"/>
        <v>0</v>
      </c>
      <c r="AO674" t="s">
        <v>3094</v>
      </c>
      <c r="AV674" t="str">
        <f>IF(F674&gt;0,(COUNT($AV$1:AV673)+1),"")</f>
        <v/>
      </c>
    </row>
    <row r="675" spans="1:48" ht="15" customHeight="1" x14ac:dyDescent="0.25">
      <c r="A675" s="1"/>
      <c r="B675" s="30">
        <v>12457</v>
      </c>
      <c r="C675" s="20">
        <v>4620008851624</v>
      </c>
      <c r="D675" s="225" t="s">
        <v>249</v>
      </c>
      <c r="E675" s="67">
        <v>15</v>
      </c>
      <c r="F675" s="222"/>
      <c r="G675" s="107">
        <v>549.79999999999995</v>
      </c>
      <c r="H675" s="21">
        <v>588.29999999999995</v>
      </c>
      <c r="I675" s="22">
        <v>660</v>
      </c>
      <c r="J675" s="112" t="s">
        <v>222</v>
      </c>
      <c r="K675" s="45" t="s">
        <v>19</v>
      </c>
      <c r="L675" s="437"/>
      <c r="M675" s="474" t="s">
        <v>1856</v>
      </c>
      <c r="N675" s="1013" t="s">
        <v>1856</v>
      </c>
      <c r="O675" s="209"/>
      <c r="P675" s="66" t="s">
        <v>72</v>
      </c>
      <c r="Q675" s="100">
        <f t="shared" si="352"/>
        <v>0</v>
      </c>
      <c r="R675" s="13" t="str">
        <f t="shared" si="356"/>
        <v>Фото &gt;&gt;</v>
      </c>
      <c r="S675" s="14" t="s">
        <v>1778</v>
      </c>
      <c r="U675" s="4"/>
      <c r="V675" s="4"/>
      <c r="AK675">
        <v>0.52</v>
      </c>
      <c r="AL675">
        <f t="shared" si="357"/>
        <v>0</v>
      </c>
      <c r="AM675">
        <f t="shared" si="358"/>
        <v>0</v>
      </c>
      <c r="AN675">
        <f t="shared" si="337"/>
        <v>0</v>
      </c>
      <c r="AO675" t="s">
        <v>3095</v>
      </c>
      <c r="AV675" t="str">
        <f>IF(F675&gt;0,(COUNT($AV$1:AV674)+1),"")</f>
        <v/>
      </c>
    </row>
    <row r="676" spans="1:48" ht="15" customHeight="1" x14ac:dyDescent="0.25">
      <c r="A676" s="1"/>
      <c r="B676" s="31">
        <v>15036</v>
      </c>
      <c r="C676" s="16">
        <v>4620008853031</v>
      </c>
      <c r="D676" s="226" t="s">
        <v>250</v>
      </c>
      <c r="E676" s="69">
        <v>30</v>
      </c>
      <c r="F676" s="222"/>
      <c r="G676" s="108">
        <v>252.5</v>
      </c>
      <c r="H676" s="17">
        <v>270.3</v>
      </c>
      <c r="I676" s="18">
        <v>296.8</v>
      </c>
      <c r="J676" s="113" t="s">
        <v>222</v>
      </c>
      <c r="K676" s="44" t="s">
        <v>19</v>
      </c>
      <c r="L676" s="442"/>
      <c r="M676" s="480" t="s">
        <v>1856</v>
      </c>
      <c r="N676" s="1015" t="s">
        <v>1856</v>
      </c>
      <c r="O676" s="210"/>
      <c r="P676" s="68" t="s">
        <v>72</v>
      </c>
      <c r="Q676" s="100">
        <f t="shared" si="352"/>
        <v>0</v>
      </c>
      <c r="R676" s="13" t="str">
        <f t="shared" si="356"/>
        <v>Фото &gt;&gt;</v>
      </c>
      <c r="S676" s="14" t="s">
        <v>251</v>
      </c>
      <c r="U676" s="4"/>
      <c r="V676" s="4"/>
      <c r="AK676">
        <v>7.0000000000000007E-2</v>
      </c>
      <c r="AL676">
        <f t="shared" si="357"/>
        <v>0</v>
      </c>
      <c r="AM676">
        <f t="shared" si="358"/>
        <v>0</v>
      </c>
      <c r="AN676">
        <f t="shared" ref="AN676:AN708" si="361">AK676*F676+IF(E676&gt;1.01,F676/E676*0.2,0)</f>
        <v>0</v>
      </c>
      <c r="AO676" t="s">
        <v>3096</v>
      </c>
      <c r="AV676" t="str">
        <f>IF(F676&gt;0,(COUNT($AV$1:AV675)+1),"")</f>
        <v/>
      </c>
    </row>
    <row r="677" spans="1:48" ht="15" customHeight="1" x14ac:dyDescent="0.25">
      <c r="A677" s="1"/>
      <c r="B677" s="30">
        <v>12458</v>
      </c>
      <c r="C677" s="20">
        <v>4620008851112</v>
      </c>
      <c r="D677" s="225" t="s">
        <v>252</v>
      </c>
      <c r="E677" s="67">
        <v>20</v>
      </c>
      <c r="F677" s="222"/>
      <c r="G677" s="107">
        <v>167.5</v>
      </c>
      <c r="H677" s="21">
        <v>179.2</v>
      </c>
      <c r="I677" s="22">
        <v>201</v>
      </c>
      <c r="J677" s="112" t="s">
        <v>222</v>
      </c>
      <c r="K677" s="45" t="s">
        <v>19</v>
      </c>
      <c r="L677" s="437"/>
      <c r="M677" s="474" t="s">
        <v>1856</v>
      </c>
      <c r="N677" s="1013" t="s">
        <v>1856</v>
      </c>
      <c r="O677" s="209"/>
      <c r="P677" s="66" t="s">
        <v>72</v>
      </c>
      <c r="Q677" s="100">
        <f t="shared" si="352"/>
        <v>0</v>
      </c>
      <c r="R677" s="13" t="str">
        <f t="shared" si="356"/>
        <v>Фото &gt;&gt;</v>
      </c>
      <c r="S677" s="14" t="s">
        <v>253</v>
      </c>
      <c r="U677" s="4"/>
      <c r="V677" s="4"/>
      <c r="AK677">
        <v>0.24</v>
      </c>
      <c r="AL677">
        <f t="shared" ref="AL677" si="362">F677*G677</f>
        <v>0</v>
      </c>
      <c r="AM677">
        <f t="shared" ref="AM677" si="363">F677*H677</f>
        <v>0</v>
      </c>
      <c r="AN677">
        <f t="shared" si="361"/>
        <v>0</v>
      </c>
      <c r="AO677" t="s">
        <v>3097</v>
      </c>
      <c r="AV677" t="str">
        <f>IF(F677&gt;0,(COUNT($AV$1:AV676)+1),"")</f>
        <v/>
      </c>
    </row>
    <row r="678" spans="1:48" ht="15" customHeight="1" x14ac:dyDescent="0.25">
      <c r="A678" s="1"/>
      <c r="B678" s="31">
        <v>12550</v>
      </c>
      <c r="C678" s="16">
        <v>4620008851129</v>
      </c>
      <c r="D678" s="226" t="s">
        <v>254</v>
      </c>
      <c r="E678" s="69">
        <v>10</v>
      </c>
      <c r="F678" s="222"/>
      <c r="G678" s="108">
        <v>408.5</v>
      </c>
      <c r="H678" s="17">
        <v>437</v>
      </c>
      <c r="I678" s="18">
        <v>490.5</v>
      </c>
      <c r="J678" s="113" t="s">
        <v>222</v>
      </c>
      <c r="K678" s="44" t="s">
        <v>19</v>
      </c>
      <c r="L678" s="442"/>
      <c r="M678" s="480" t="s">
        <v>1856</v>
      </c>
      <c r="N678" s="1015" t="s">
        <v>1856</v>
      </c>
      <c r="O678" s="210"/>
      <c r="P678" s="68" t="s">
        <v>72</v>
      </c>
      <c r="Q678" s="100">
        <f t="shared" si="352"/>
        <v>0</v>
      </c>
      <c r="R678" s="13" t="str">
        <f t="shared" si="356"/>
        <v>Фото &gt;&gt;</v>
      </c>
      <c r="S678" s="14" t="s">
        <v>253</v>
      </c>
      <c r="U678" s="4"/>
      <c r="V678" s="4"/>
      <c r="AK678">
        <v>0.52</v>
      </c>
      <c r="AL678">
        <f t="shared" si="357"/>
        <v>0</v>
      </c>
      <c r="AM678">
        <f t="shared" si="358"/>
        <v>0</v>
      </c>
      <c r="AN678">
        <f t="shared" si="361"/>
        <v>0</v>
      </c>
      <c r="AO678" t="s">
        <v>3098</v>
      </c>
      <c r="AV678" t="str">
        <f>IF(F678&gt;0,(COUNT($AV$1:AV677)+1),"")</f>
        <v/>
      </c>
    </row>
    <row r="679" spans="1:48" ht="15" customHeight="1" x14ac:dyDescent="0.25">
      <c r="A679" s="1"/>
      <c r="B679" s="30">
        <v>13385</v>
      </c>
      <c r="C679" s="20">
        <v>4620008851822</v>
      </c>
      <c r="D679" s="225" t="s">
        <v>255</v>
      </c>
      <c r="E679" s="67">
        <v>10</v>
      </c>
      <c r="F679" s="222"/>
      <c r="G679" s="107">
        <v>193.7</v>
      </c>
      <c r="H679" s="21">
        <v>207</v>
      </c>
      <c r="I679" s="22">
        <v>225</v>
      </c>
      <c r="J679" s="112" t="s">
        <v>222</v>
      </c>
      <c r="K679" s="45" t="s">
        <v>19</v>
      </c>
      <c r="L679" s="437"/>
      <c r="M679" s="474" t="s">
        <v>1856</v>
      </c>
      <c r="N679" s="1013" t="s">
        <v>1856</v>
      </c>
      <c r="O679" s="209"/>
      <c r="P679" s="66" t="s">
        <v>72</v>
      </c>
      <c r="Q679" s="100">
        <f t="shared" si="352"/>
        <v>0</v>
      </c>
      <c r="R679" s="13" t="str">
        <f t="shared" si="356"/>
        <v>Фото &gt;&gt;</v>
      </c>
      <c r="S679" s="14" t="s">
        <v>256</v>
      </c>
      <c r="U679" s="4"/>
      <c r="V679" s="4"/>
      <c r="AK679">
        <v>0.52</v>
      </c>
      <c r="AL679">
        <f t="shared" si="357"/>
        <v>0</v>
      </c>
      <c r="AM679">
        <f t="shared" si="358"/>
        <v>0</v>
      </c>
      <c r="AN679">
        <f t="shared" si="361"/>
        <v>0</v>
      </c>
      <c r="AO679" t="s">
        <v>3099</v>
      </c>
      <c r="AV679" t="str">
        <f>IF(F679&gt;0,(COUNT($AV$1:AV678)+1),"")</f>
        <v/>
      </c>
    </row>
    <row r="680" spans="1:48" ht="15" customHeight="1" x14ac:dyDescent="0.25">
      <c r="A680" s="1"/>
      <c r="B680" s="31">
        <v>12509</v>
      </c>
      <c r="C680" s="16">
        <v>4620008851518</v>
      </c>
      <c r="D680" s="226" t="s">
        <v>257</v>
      </c>
      <c r="E680" s="69">
        <v>20</v>
      </c>
      <c r="F680" s="222"/>
      <c r="G680" s="108">
        <v>417.5</v>
      </c>
      <c r="H680" s="17">
        <v>438</v>
      </c>
      <c r="I680" s="18">
        <v>482</v>
      </c>
      <c r="J680" s="113" t="s">
        <v>222</v>
      </c>
      <c r="K680" s="44" t="s">
        <v>19</v>
      </c>
      <c r="L680" s="442"/>
      <c r="M680" s="480" t="s">
        <v>1856</v>
      </c>
      <c r="N680" s="1015" t="s">
        <v>1856</v>
      </c>
      <c r="O680" s="210"/>
      <c r="P680" s="68" t="s">
        <v>72</v>
      </c>
      <c r="Q680" s="100">
        <f t="shared" si="352"/>
        <v>0</v>
      </c>
      <c r="R680" s="13" t="str">
        <f t="shared" si="356"/>
        <v>Фото &gt;&gt;</v>
      </c>
      <c r="S680" s="14" t="s">
        <v>258</v>
      </c>
      <c r="U680" s="4"/>
      <c r="V680" s="4"/>
      <c r="AK680">
        <v>0.24</v>
      </c>
      <c r="AL680">
        <f t="shared" si="357"/>
        <v>0</v>
      </c>
      <c r="AM680">
        <f t="shared" si="358"/>
        <v>0</v>
      </c>
      <c r="AN680">
        <f t="shared" si="361"/>
        <v>0</v>
      </c>
      <c r="AO680" t="s">
        <v>3100</v>
      </c>
      <c r="AV680" t="str">
        <f>IF(F680&gt;0,(COUNT($AV$1:AV679)+1),"")</f>
        <v/>
      </c>
    </row>
    <row r="681" spans="1:48" ht="15" customHeight="1" x14ac:dyDescent="0.25">
      <c r="A681" s="1"/>
      <c r="B681" s="30">
        <v>12510</v>
      </c>
      <c r="C681" s="20">
        <v>4620008851525</v>
      </c>
      <c r="D681" s="225" t="s">
        <v>259</v>
      </c>
      <c r="E681" s="67">
        <v>15</v>
      </c>
      <c r="F681" s="222"/>
      <c r="G681" s="107">
        <v>940</v>
      </c>
      <c r="H681" s="21">
        <v>985</v>
      </c>
      <c r="I681" s="22">
        <v>1085</v>
      </c>
      <c r="J681" s="112" t="s">
        <v>222</v>
      </c>
      <c r="K681" s="45" t="s">
        <v>19</v>
      </c>
      <c r="L681" s="437"/>
      <c r="M681" s="474" t="s">
        <v>1856</v>
      </c>
      <c r="N681" s="1013" t="s">
        <v>1856</v>
      </c>
      <c r="O681" s="209"/>
      <c r="P681" s="66" t="s">
        <v>72</v>
      </c>
      <c r="Q681" s="100">
        <f t="shared" si="352"/>
        <v>0</v>
      </c>
      <c r="R681" s="13" t="str">
        <f t="shared" si="356"/>
        <v>Фото &gt;&gt;</v>
      </c>
      <c r="S681" s="14" t="s">
        <v>258</v>
      </c>
      <c r="U681" s="4"/>
      <c r="V681" s="4"/>
      <c r="AK681">
        <v>0.54</v>
      </c>
      <c r="AL681">
        <f t="shared" ref="AL681:AL708" si="364">F681*G681</f>
        <v>0</v>
      </c>
      <c r="AM681">
        <f t="shared" ref="AM681:AM708" si="365">F681*H681</f>
        <v>0</v>
      </c>
      <c r="AN681">
        <f t="shared" si="361"/>
        <v>0</v>
      </c>
      <c r="AO681" t="s">
        <v>3101</v>
      </c>
      <c r="AV681" t="str">
        <f>IF(F681&gt;0,(COUNT($AV$1:AV680)+1),"")</f>
        <v/>
      </c>
    </row>
    <row r="682" spans="1:48" ht="15" customHeight="1" x14ac:dyDescent="0.25">
      <c r="A682" s="1"/>
      <c r="B682" s="31">
        <v>16716</v>
      </c>
      <c r="C682" s="16">
        <v>4620008855158</v>
      </c>
      <c r="D682" s="226" t="s">
        <v>260</v>
      </c>
      <c r="E682" s="69">
        <v>20</v>
      </c>
      <c r="F682" s="222"/>
      <c r="G682" s="108">
        <v>241</v>
      </c>
      <c r="H682" s="17">
        <v>258</v>
      </c>
      <c r="I682" s="18">
        <v>290</v>
      </c>
      <c r="J682" s="113" t="s">
        <v>222</v>
      </c>
      <c r="K682" s="44" t="s">
        <v>19</v>
      </c>
      <c r="L682" s="442"/>
      <c r="M682" s="480" t="s">
        <v>1856</v>
      </c>
      <c r="N682" s="1015" t="s">
        <v>1856</v>
      </c>
      <c r="O682" s="210"/>
      <c r="P682" s="68" t="s">
        <v>72</v>
      </c>
      <c r="Q682" s="100">
        <f t="shared" si="352"/>
        <v>0</v>
      </c>
      <c r="R682" s="13" t="str">
        <f t="shared" si="356"/>
        <v>Фото &gt;&gt;</v>
      </c>
      <c r="S682" s="14" t="s">
        <v>261</v>
      </c>
      <c r="U682" s="4"/>
      <c r="V682" s="4"/>
      <c r="AK682">
        <v>0.24</v>
      </c>
      <c r="AL682">
        <f t="shared" si="364"/>
        <v>0</v>
      </c>
      <c r="AM682">
        <f t="shared" si="365"/>
        <v>0</v>
      </c>
      <c r="AN682">
        <f t="shared" si="361"/>
        <v>0</v>
      </c>
      <c r="AO682" t="s">
        <v>3465</v>
      </c>
      <c r="AV682" t="str">
        <f>IF(F682&gt;0,(COUNT($AV$1:AV681)+1),"")</f>
        <v/>
      </c>
    </row>
    <row r="683" spans="1:48" ht="15" customHeight="1" x14ac:dyDescent="0.25">
      <c r="A683" s="1"/>
      <c r="B683" s="30">
        <v>16717</v>
      </c>
      <c r="C683" s="20">
        <v>4620008855363</v>
      </c>
      <c r="D683" s="225" t="s">
        <v>262</v>
      </c>
      <c r="E683" s="67">
        <v>10</v>
      </c>
      <c r="F683" s="222"/>
      <c r="G683" s="107">
        <v>526</v>
      </c>
      <c r="H683" s="21">
        <v>563</v>
      </c>
      <c r="I683" s="22">
        <v>631</v>
      </c>
      <c r="J683" s="112" t="s">
        <v>222</v>
      </c>
      <c r="K683" s="45" t="s">
        <v>19</v>
      </c>
      <c r="L683" s="437"/>
      <c r="M683" s="474" t="s">
        <v>1856</v>
      </c>
      <c r="N683" s="1013" t="s">
        <v>1856</v>
      </c>
      <c r="O683" s="209"/>
      <c r="P683" s="66" t="s">
        <v>72</v>
      </c>
      <c r="Q683" s="100">
        <f t="shared" si="352"/>
        <v>0</v>
      </c>
      <c r="R683" s="13" t="str">
        <f t="shared" si="356"/>
        <v>Фото &gt;&gt;</v>
      </c>
      <c r="S683" s="14" t="s">
        <v>261</v>
      </c>
      <c r="U683" s="4"/>
      <c r="V683" s="4"/>
      <c r="AK683">
        <v>0.45</v>
      </c>
      <c r="AL683">
        <f t="shared" si="364"/>
        <v>0</v>
      </c>
      <c r="AM683">
        <f t="shared" si="365"/>
        <v>0</v>
      </c>
      <c r="AN683">
        <f t="shared" si="361"/>
        <v>0</v>
      </c>
      <c r="AO683" t="s">
        <v>3466</v>
      </c>
      <c r="AV683" t="str">
        <f>IF(F683&gt;0,(COUNT($AV$1:AV682)+1),"")</f>
        <v/>
      </c>
    </row>
    <row r="684" spans="1:48" ht="15" customHeight="1" x14ac:dyDescent="0.25">
      <c r="A684" s="1"/>
      <c r="B684" s="31">
        <v>13065</v>
      </c>
      <c r="C684" s="16">
        <v>4620008851716</v>
      </c>
      <c r="D684" s="226" t="s">
        <v>263</v>
      </c>
      <c r="E684" s="69">
        <v>20</v>
      </c>
      <c r="F684" s="222"/>
      <c r="G684" s="108">
        <v>326.60000000000002</v>
      </c>
      <c r="H684" s="17">
        <v>349.4</v>
      </c>
      <c r="I684" s="18">
        <v>395</v>
      </c>
      <c r="J684" s="113" t="s">
        <v>222</v>
      </c>
      <c r="K684" s="44" t="s">
        <v>19</v>
      </c>
      <c r="L684" s="442"/>
      <c r="M684" s="480" t="s">
        <v>1856</v>
      </c>
      <c r="N684" s="1015" t="s">
        <v>1856</v>
      </c>
      <c r="O684" s="210"/>
      <c r="P684" s="68" t="s">
        <v>72</v>
      </c>
      <c r="Q684" s="100">
        <f t="shared" si="352"/>
        <v>0</v>
      </c>
      <c r="R684" s="13" t="str">
        <f t="shared" si="356"/>
        <v>Фото &gt;&gt;</v>
      </c>
      <c r="S684" s="14" t="s">
        <v>264</v>
      </c>
      <c r="U684" s="4"/>
      <c r="V684" s="4"/>
      <c r="AK684">
        <v>0.24</v>
      </c>
      <c r="AL684">
        <f t="shared" si="364"/>
        <v>0</v>
      </c>
      <c r="AM684">
        <f t="shared" si="365"/>
        <v>0</v>
      </c>
      <c r="AN684">
        <f t="shared" si="361"/>
        <v>0</v>
      </c>
      <c r="AO684" t="s">
        <v>3102</v>
      </c>
      <c r="AV684" t="str">
        <f>IF(F684&gt;0,(COUNT($AV$1:AV683)+1),"")</f>
        <v/>
      </c>
    </row>
    <row r="685" spans="1:48" ht="15" customHeight="1" x14ac:dyDescent="0.25">
      <c r="A685" s="1"/>
      <c r="B685" s="30">
        <v>13066</v>
      </c>
      <c r="C685" s="20">
        <v>4620008851723</v>
      </c>
      <c r="D685" s="225" t="s">
        <v>265</v>
      </c>
      <c r="E685" s="67">
        <v>10</v>
      </c>
      <c r="F685" s="222"/>
      <c r="G685" s="107">
        <v>786.2</v>
      </c>
      <c r="H685" s="21">
        <v>841</v>
      </c>
      <c r="I685" s="22">
        <v>943.5</v>
      </c>
      <c r="J685" s="112" t="s">
        <v>222</v>
      </c>
      <c r="K685" s="45" t="s">
        <v>19</v>
      </c>
      <c r="L685" s="437"/>
      <c r="M685" s="474" t="s">
        <v>1856</v>
      </c>
      <c r="N685" s="1013" t="s">
        <v>1856</v>
      </c>
      <c r="O685" s="209"/>
      <c r="P685" s="66" t="s">
        <v>72</v>
      </c>
      <c r="Q685" s="100">
        <f t="shared" si="352"/>
        <v>0</v>
      </c>
      <c r="R685" s="13" t="str">
        <f t="shared" si="356"/>
        <v>Фото &gt;&gt;</v>
      </c>
      <c r="S685" s="14" t="s">
        <v>264</v>
      </c>
      <c r="U685" s="4"/>
      <c r="V685" s="4"/>
      <c r="AK685">
        <v>0.52</v>
      </c>
      <c r="AL685">
        <f t="shared" si="364"/>
        <v>0</v>
      </c>
      <c r="AM685">
        <f t="shared" si="365"/>
        <v>0</v>
      </c>
      <c r="AN685">
        <f t="shared" si="361"/>
        <v>0</v>
      </c>
      <c r="AO685" t="s">
        <v>3103</v>
      </c>
      <c r="AV685" t="str">
        <f>IF(F685&gt;0,(COUNT($AV$1:AV684)+1),"")</f>
        <v/>
      </c>
    </row>
    <row r="686" spans="1:48" ht="15" customHeight="1" x14ac:dyDescent="0.25">
      <c r="A686" s="1"/>
      <c r="B686" s="25"/>
      <c r="C686" s="26"/>
      <c r="D686" s="228" t="s">
        <v>6706</v>
      </c>
      <c r="E686" s="80"/>
      <c r="F686" s="96"/>
      <c r="G686" s="28"/>
      <c r="H686" s="29"/>
      <c r="I686" s="29"/>
      <c r="J686" s="51"/>
      <c r="K686" s="47"/>
      <c r="L686" s="447"/>
      <c r="M686" s="489"/>
      <c r="N686" s="716"/>
      <c r="O686" s="186"/>
      <c r="P686" s="79"/>
      <c r="Q686" s="104"/>
      <c r="R686" s="13"/>
      <c r="S686" s="14"/>
      <c r="U686" s="4"/>
      <c r="V686" s="4"/>
      <c r="AL686">
        <f t="shared" si="364"/>
        <v>0</v>
      </c>
      <c r="AM686">
        <f t="shared" si="365"/>
        <v>0</v>
      </c>
      <c r="AN686">
        <f t="shared" si="361"/>
        <v>0</v>
      </c>
      <c r="AO686" t="s">
        <v>104</v>
      </c>
      <c r="AV686" t="str">
        <f>IF(F686&gt;0,(COUNT($AV$1:AV685)+1),"")</f>
        <v/>
      </c>
    </row>
    <row r="687" spans="1:48" ht="15" customHeight="1" x14ac:dyDescent="0.25">
      <c r="A687" s="1"/>
      <c r="B687" s="31">
        <v>18630</v>
      </c>
      <c r="C687" s="16">
        <v>4620008856124</v>
      </c>
      <c r="D687" s="226" t="s">
        <v>267</v>
      </c>
      <c r="E687" s="69">
        <v>10</v>
      </c>
      <c r="F687" s="222"/>
      <c r="G687" s="108">
        <v>80.599999999999994</v>
      </c>
      <c r="H687" s="17">
        <v>84.6</v>
      </c>
      <c r="I687" s="18">
        <v>93</v>
      </c>
      <c r="J687" s="113" t="s">
        <v>222</v>
      </c>
      <c r="K687" s="44" t="s">
        <v>78</v>
      </c>
      <c r="L687" s="442"/>
      <c r="M687" s="480" t="s">
        <v>1856</v>
      </c>
      <c r="N687" s="1015" t="s">
        <v>1856</v>
      </c>
      <c r="O687" s="217"/>
      <c r="P687" s="68" t="s">
        <v>72</v>
      </c>
      <c r="Q687" s="100">
        <f t="shared" ref="Q687:Q695" si="366">IF(AND($AO$636=1,MOD(F687,E687)=0),F687*G687,IF($AO$636&lt;=2,F687*H687,F687*I687))</f>
        <v>0</v>
      </c>
      <c r="R687" s="13" t="str">
        <f t="shared" si="356"/>
        <v>Фото &gt;&gt;</v>
      </c>
      <c r="S687" s="14" t="s">
        <v>3108</v>
      </c>
      <c r="U687" s="4"/>
      <c r="V687" s="4"/>
      <c r="AK687">
        <v>0.17</v>
      </c>
      <c r="AL687">
        <f t="shared" si="364"/>
        <v>0</v>
      </c>
      <c r="AM687">
        <f t="shared" si="365"/>
        <v>0</v>
      </c>
      <c r="AN687">
        <f t="shared" si="361"/>
        <v>0</v>
      </c>
      <c r="AO687" t="s">
        <v>3115</v>
      </c>
      <c r="AV687" t="str">
        <f>IF(F687&gt;0,(COUNT($AV$1:AV686)+1),"")</f>
        <v/>
      </c>
    </row>
    <row r="688" spans="1:48" ht="15" customHeight="1" x14ac:dyDescent="0.25">
      <c r="A688" s="1"/>
      <c r="B688" s="30">
        <v>18631</v>
      </c>
      <c r="C688" s="20">
        <v>4620008856155</v>
      </c>
      <c r="D688" s="225" t="s">
        <v>268</v>
      </c>
      <c r="E688" s="67">
        <v>10</v>
      </c>
      <c r="F688" s="222"/>
      <c r="G688" s="107">
        <v>75.400000000000006</v>
      </c>
      <c r="H688" s="21">
        <v>79.2</v>
      </c>
      <c r="I688" s="22">
        <v>87</v>
      </c>
      <c r="J688" s="112" t="s">
        <v>222</v>
      </c>
      <c r="K688" s="45" t="s">
        <v>78</v>
      </c>
      <c r="L688" s="437"/>
      <c r="M688" s="474" t="s">
        <v>1856</v>
      </c>
      <c r="N688" s="1013" t="s">
        <v>1856</v>
      </c>
      <c r="O688" s="209"/>
      <c r="P688" s="66" t="s">
        <v>72</v>
      </c>
      <c r="Q688" s="100">
        <f t="shared" si="366"/>
        <v>0</v>
      </c>
      <c r="R688" s="13" t="str">
        <f t="shared" si="356"/>
        <v>Фото &gt;&gt;</v>
      </c>
      <c r="S688" s="14" t="s">
        <v>3104</v>
      </c>
      <c r="U688" s="4"/>
      <c r="V688" s="4"/>
      <c r="AK688">
        <v>0.17</v>
      </c>
      <c r="AL688">
        <f t="shared" si="364"/>
        <v>0</v>
      </c>
      <c r="AM688">
        <f t="shared" si="365"/>
        <v>0</v>
      </c>
      <c r="AN688">
        <f t="shared" si="361"/>
        <v>0</v>
      </c>
      <c r="AO688" t="s">
        <v>3110</v>
      </c>
      <c r="AV688" t="str">
        <f>IF(F688&gt;0,(COUNT($AV$1:AV687)+1),"")</f>
        <v/>
      </c>
    </row>
    <row r="689" spans="1:48" ht="15" customHeight="1" x14ac:dyDescent="0.25">
      <c r="A689" s="1"/>
      <c r="B689" s="31">
        <v>18632</v>
      </c>
      <c r="C689" s="16">
        <v>4620008856018</v>
      </c>
      <c r="D689" s="226" t="s">
        <v>269</v>
      </c>
      <c r="E689" s="69">
        <v>10</v>
      </c>
      <c r="F689" s="222"/>
      <c r="G689" s="108">
        <v>50</v>
      </c>
      <c r="H689" s="17">
        <v>53.5</v>
      </c>
      <c r="I689" s="18">
        <v>60</v>
      </c>
      <c r="J689" s="113" t="s">
        <v>222</v>
      </c>
      <c r="K689" s="44" t="s">
        <v>78</v>
      </c>
      <c r="L689" s="442"/>
      <c r="M689" s="480" t="s">
        <v>1856</v>
      </c>
      <c r="N689" s="1015" t="s">
        <v>1856</v>
      </c>
      <c r="O689" s="217"/>
      <c r="P689" s="68" t="s">
        <v>72</v>
      </c>
      <c r="Q689" s="100">
        <f t="shared" si="366"/>
        <v>0</v>
      </c>
      <c r="R689" s="13" t="str">
        <f t="shared" si="356"/>
        <v>Фото &gt;&gt;</v>
      </c>
      <c r="S689" s="14" t="s">
        <v>3109</v>
      </c>
      <c r="U689" s="4"/>
      <c r="V689" s="4"/>
      <c r="AK689">
        <v>0.17</v>
      </c>
      <c r="AL689">
        <f t="shared" si="364"/>
        <v>0</v>
      </c>
      <c r="AM689">
        <f t="shared" si="365"/>
        <v>0</v>
      </c>
      <c r="AN689">
        <f t="shared" si="361"/>
        <v>0</v>
      </c>
      <c r="AO689" t="s">
        <v>3111</v>
      </c>
      <c r="AV689" t="str">
        <f>IF(F689&gt;0,(COUNT($AV$1:AV688)+1),"")</f>
        <v/>
      </c>
    </row>
    <row r="690" spans="1:48" ht="15" customHeight="1" x14ac:dyDescent="0.25">
      <c r="A690" s="1"/>
      <c r="B690" s="30">
        <v>18633</v>
      </c>
      <c r="C690" s="20">
        <v>4620008856162</v>
      </c>
      <c r="D690" s="225" t="s">
        <v>270</v>
      </c>
      <c r="E690" s="67">
        <v>10</v>
      </c>
      <c r="F690" s="222"/>
      <c r="G690" s="107">
        <v>52</v>
      </c>
      <c r="H690" s="21">
        <v>55</v>
      </c>
      <c r="I690" s="22">
        <v>60</v>
      </c>
      <c r="J690" s="112" t="s">
        <v>222</v>
      </c>
      <c r="K690" s="45" t="s">
        <v>78</v>
      </c>
      <c r="L690" s="437"/>
      <c r="M690" s="474" t="s">
        <v>1856</v>
      </c>
      <c r="N690" s="1013" t="s">
        <v>1856</v>
      </c>
      <c r="O690" s="209"/>
      <c r="P690" s="66" t="s">
        <v>72</v>
      </c>
      <c r="Q690" s="100">
        <f t="shared" si="366"/>
        <v>0</v>
      </c>
      <c r="R690" s="13" t="str">
        <f t="shared" si="356"/>
        <v>Фото &gt;&gt;</v>
      </c>
      <c r="S690" s="14" t="s">
        <v>3107</v>
      </c>
      <c r="U690" s="4"/>
      <c r="V690" s="4"/>
      <c r="AK690">
        <v>0.17</v>
      </c>
      <c r="AL690">
        <f t="shared" si="364"/>
        <v>0</v>
      </c>
      <c r="AM690">
        <f t="shared" si="365"/>
        <v>0</v>
      </c>
      <c r="AN690">
        <f t="shared" si="361"/>
        <v>0</v>
      </c>
      <c r="AO690" t="s">
        <v>3112</v>
      </c>
      <c r="AV690" t="str">
        <f>IF(F690&gt;0,(COUNT($AV$1:AV689)+1),"")</f>
        <v/>
      </c>
    </row>
    <row r="691" spans="1:48" ht="15" customHeight="1" x14ac:dyDescent="0.25">
      <c r="A691" s="1"/>
      <c r="B691" s="31">
        <v>18618</v>
      </c>
      <c r="C691" s="16">
        <v>4620008856179</v>
      </c>
      <c r="D691" s="226" t="s">
        <v>271</v>
      </c>
      <c r="E691" s="69">
        <v>10</v>
      </c>
      <c r="F691" s="222"/>
      <c r="G691" s="108">
        <v>81.5</v>
      </c>
      <c r="H691" s="17">
        <v>85.6</v>
      </c>
      <c r="I691" s="18">
        <v>105.6</v>
      </c>
      <c r="J691" s="113" t="s">
        <v>222</v>
      </c>
      <c r="K691" s="44" t="s">
        <v>78</v>
      </c>
      <c r="L691" s="442"/>
      <c r="M691" s="480" t="s">
        <v>1856</v>
      </c>
      <c r="N691" s="1015" t="s">
        <v>1856</v>
      </c>
      <c r="O691" s="217"/>
      <c r="P691" s="68" t="s">
        <v>72</v>
      </c>
      <c r="Q691" s="100">
        <f t="shared" si="366"/>
        <v>0</v>
      </c>
      <c r="R691" s="13" t="str">
        <f t="shared" si="356"/>
        <v>Фото &gt;&gt;</v>
      </c>
      <c r="S691" s="14" t="s">
        <v>3106</v>
      </c>
      <c r="U691" s="4"/>
      <c r="V691" s="4"/>
      <c r="AK691">
        <v>0.17</v>
      </c>
      <c r="AL691">
        <f t="shared" si="364"/>
        <v>0</v>
      </c>
      <c r="AM691">
        <f t="shared" si="365"/>
        <v>0</v>
      </c>
      <c r="AN691">
        <f t="shared" si="361"/>
        <v>0</v>
      </c>
      <c r="AO691" t="s">
        <v>3113</v>
      </c>
      <c r="AV691" t="str">
        <f>IF(F691&gt;0,(COUNT($AV$1:AV690)+1),"")</f>
        <v/>
      </c>
    </row>
    <row r="692" spans="1:48" ht="15" customHeight="1" x14ac:dyDescent="0.25">
      <c r="A692" s="1"/>
      <c r="B692" s="30">
        <v>18634</v>
      </c>
      <c r="C692" s="20">
        <v>4620008856186</v>
      </c>
      <c r="D692" s="225" t="s">
        <v>272</v>
      </c>
      <c r="E692" s="67">
        <v>10</v>
      </c>
      <c r="F692" s="222"/>
      <c r="G692" s="107">
        <v>54.3</v>
      </c>
      <c r="H692" s="21">
        <v>57</v>
      </c>
      <c r="I692" s="22">
        <v>71</v>
      </c>
      <c r="J692" s="112" t="s">
        <v>222</v>
      </c>
      <c r="K692" s="45" t="s">
        <v>78</v>
      </c>
      <c r="L692" s="437"/>
      <c r="M692" s="474" t="s">
        <v>1856</v>
      </c>
      <c r="N692" s="1013" t="s">
        <v>1856</v>
      </c>
      <c r="O692" s="209"/>
      <c r="P692" s="66" t="s">
        <v>72</v>
      </c>
      <c r="Q692" s="100">
        <f t="shared" si="366"/>
        <v>0</v>
      </c>
      <c r="R692" s="13" t="str">
        <f t="shared" si="356"/>
        <v>Фото &gt;&gt;</v>
      </c>
      <c r="S692" s="14" t="s">
        <v>3105</v>
      </c>
      <c r="U692" s="4"/>
      <c r="V692" s="4"/>
      <c r="AK692">
        <v>0.17</v>
      </c>
      <c r="AL692">
        <f t="shared" si="364"/>
        <v>0</v>
      </c>
      <c r="AM692">
        <f t="shared" si="365"/>
        <v>0</v>
      </c>
      <c r="AN692">
        <f t="shared" si="361"/>
        <v>0</v>
      </c>
      <c r="AO692" t="s">
        <v>3114</v>
      </c>
      <c r="AV692" t="str">
        <f>IF(F692&gt;0,(COUNT($AV$1:AV691)+1),"")</f>
        <v/>
      </c>
    </row>
    <row r="693" spans="1:48" ht="15" customHeight="1" x14ac:dyDescent="0.25">
      <c r="A693" s="1"/>
      <c r="B693" s="31">
        <v>19630</v>
      </c>
      <c r="C693" s="16">
        <v>4620008856810</v>
      </c>
      <c r="D693" s="226" t="s">
        <v>2051</v>
      </c>
      <c r="E693" s="69">
        <v>20</v>
      </c>
      <c r="F693" s="222"/>
      <c r="G693" s="108">
        <v>45.9</v>
      </c>
      <c r="H693" s="17">
        <v>49</v>
      </c>
      <c r="I693" s="18">
        <v>56.1</v>
      </c>
      <c r="J693" s="113" t="s">
        <v>222</v>
      </c>
      <c r="K693" s="44" t="s">
        <v>199</v>
      </c>
      <c r="L693" s="442"/>
      <c r="M693" s="480" t="s">
        <v>1856</v>
      </c>
      <c r="N693" s="1015" t="s">
        <v>1856</v>
      </c>
      <c r="O693" s="217"/>
      <c r="P693" s="68" t="s">
        <v>20</v>
      </c>
      <c r="Q693" s="100">
        <f t="shared" si="366"/>
        <v>0</v>
      </c>
      <c r="R693" s="13" t="str">
        <f t="shared" si="356"/>
        <v>Фото &gt;&gt;</v>
      </c>
      <c r="S693" s="14" t="s">
        <v>2177</v>
      </c>
      <c r="U693" s="4"/>
      <c r="V693" s="4"/>
      <c r="AK693">
        <v>7.0000000000000007E-2</v>
      </c>
      <c r="AL693">
        <f t="shared" ref="AL693:AL694" si="367">F693*G693</f>
        <v>0</v>
      </c>
      <c r="AM693">
        <f t="shared" ref="AM693:AM694" si="368">F693*H693</f>
        <v>0</v>
      </c>
      <c r="AN693">
        <f t="shared" si="361"/>
        <v>0</v>
      </c>
      <c r="AO693" t="s">
        <v>2546</v>
      </c>
      <c r="AV693" t="str">
        <f>IF(F693&gt;0,(COUNT($AV$1:AV692)+1),"")</f>
        <v/>
      </c>
    </row>
    <row r="694" spans="1:48" ht="15" customHeight="1" x14ac:dyDescent="0.25">
      <c r="A694" s="1"/>
      <c r="B694" s="30">
        <v>19631</v>
      </c>
      <c r="C694" s="20">
        <v>4620008856827</v>
      </c>
      <c r="D694" s="225" t="s">
        <v>2052</v>
      </c>
      <c r="E694" s="67">
        <v>20</v>
      </c>
      <c r="F694" s="222"/>
      <c r="G694" s="107">
        <v>58.1</v>
      </c>
      <c r="H694" s="21">
        <v>62.2</v>
      </c>
      <c r="I694" s="22">
        <v>69.400000000000006</v>
      </c>
      <c r="J694" s="112" t="s">
        <v>222</v>
      </c>
      <c r="K694" s="45" t="s">
        <v>199</v>
      </c>
      <c r="L694" s="437"/>
      <c r="M694" s="474" t="s">
        <v>1856</v>
      </c>
      <c r="N694" s="1013" t="s">
        <v>1856</v>
      </c>
      <c r="O694" s="209"/>
      <c r="P694" s="66" t="s">
        <v>20</v>
      </c>
      <c r="Q694" s="100">
        <f t="shared" si="366"/>
        <v>0</v>
      </c>
      <c r="R694" s="13" t="str">
        <f t="shared" si="356"/>
        <v>Фото &gt;&gt;</v>
      </c>
      <c r="S694" s="14" t="s">
        <v>2178</v>
      </c>
      <c r="U694" s="4"/>
      <c r="V694" s="4"/>
      <c r="AK694">
        <v>7.0000000000000007E-2</v>
      </c>
      <c r="AL694">
        <f t="shared" si="367"/>
        <v>0</v>
      </c>
      <c r="AM694">
        <f t="shared" si="368"/>
        <v>0</v>
      </c>
      <c r="AN694">
        <f t="shared" si="361"/>
        <v>0</v>
      </c>
      <c r="AO694" t="s">
        <v>2547</v>
      </c>
      <c r="AV694" t="str">
        <f>IF(F694&gt;0,(COUNT($AV$1:AV693)+1),"")</f>
        <v/>
      </c>
    </row>
    <row r="695" spans="1:48" ht="15" customHeight="1" x14ac:dyDescent="0.25">
      <c r="A695" s="1"/>
      <c r="B695" s="31">
        <v>21354</v>
      </c>
      <c r="C695" s="16">
        <v>4620008856032</v>
      </c>
      <c r="D695" s="422" t="s">
        <v>6708</v>
      </c>
      <c r="E695" s="69">
        <v>10</v>
      </c>
      <c r="F695" s="222"/>
      <c r="G695" s="108">
        <v>196.4</v>
      </c>
      <c r="H695" s="17">
        <v>207.1</v>
      </c>
      <c r="I695" s="18">
        <v>226.4</v>
      </c>
      <c r="J695" s="113" t="s">
        <v>222</v>
      </c>
      <c r="K695" s="44" t="s">
        <v>49</v>
      </c>
      <c r="L695" s="442"/>
      <c r="M695" s="480" t="s">
        <v>1856</v>
      </c>
      <c r="N695" s="1015" t="s">
        <v>1856</v>
      </c>
      <c r="O695" s="210" t="s">
        <v>1637</v>
      </c>
      <c r="P695" s="68" t="s">
        <v>20</v>
      </c>
      <c r="Q695" s="100">
        <f t="shared" si="366"/>
        <v>0</v>
      </c>
      <c r="R695" s="94" t="str">
        <f t="shared" si="356"/>
        <v>Фото &gt;&gt;</v>
      </c>
      <c r="S695" s="14" t="s">
        <v>6707</v>
      </c>
      <c r="U695" s="4"/>
      <c r="V695" s="4"/>
      <c r="AK695">
        <v>0.11</v>
      </c>
      <c r="AL695">
        <f t="shared" ref="AL695:AL696" si="369">F695*G695</f>
        <v>0</v>
      </c>
      <c r="AM695">
        <f t="shared" ref="AM695:AM696" si="370">F695*H695</f>
        <v>0</v>
      </c>
      <c r="AN695">
        <f t="shared" ref="AN695:AN696" si="371">AK695*F695+IF(E695&gt;1.01,F695/E695*0.2,0)</f>
        <v>0</v>
      </c>
      <c r="AO695" t="s">
        <v>6709</v>
      </c>
      <c r="AV695" t="str">
        <f>IF(F695&gt;0,(COUNT($AV$1:AV694)+1),"")</f>
        <v/>
      </c>
    </row>
    <row r="696" spans="1:48" ht="15" customHeight="1" x14ac:dyDescent="0.25">
      <c r="A696" s="1"/>
      <c r="B696" s="25"/>
      <c r="C696" s="26"/>
      <c r="D696" s="228" t="s">
        <v>101</v>
      </c>
      <c r="E696" s="80"/>
      <c r="F696" s="96"/>
      <c r="G696" s="28"/>
      <c r="H696" s="29"/>
      <c r="I696" s="29"/>
      <c r="J696" s="51"/>
      <c r="K696" s="47"/>
      <c r="L696" s="447"/>
      <c r="M696" s="489" t="s">
        <v>104</v>
      </c>
      <c r="N696" s="716"/>
      <c r="O696" s="186"/>
      <c r="P696" s="79"/>
      <c r="Q696" s="104"/>
      <c r="R696" s="13"/>
      <c r="S696" s="14"/>
      <c r="U696" s="4"/>
      <c r="V696" s="4"/>
      <c r="AL696">
        <f t="shared" si="369"/>
        <v>0</v>
      </c>
      <c r="AM696">
        <f t="shared" si="370"/>
        <v>0</v>
      </c>
      <c r="AN696">
        <f t="shared" si="371"/>
        <v>0</v>
      </c>
      <c r="AO696" t="s">
        <v>104</v>
      </c>
      <c r="AV696" t="str">
        <f>IF(F696&gt;0,(COUNT($AV$1:AV695)+1),"")</f>
        <v/>
      </c>
    </row>
    <row r="697" spans="1:48" ht="15" customHeight="1" x14ac:dyDescent="0.25">
      <c r="A697" s="1"/>
      <c r="B697" s="30">
        <v>15674</v>
      </c>
      <c r="C697" s="20">
        <v>4620008854052</v>
      </c>
      <c r="D697" s="153" t="s">
        <v>2070</v>
      </c>
      <c r="E697" s="67">
        <v>14</v>
      </c>
      <c r="F697" s="222"/>
      <c r="G697" s="107">
        <v>85.3</v>
      </c>
      <c r="H697" s="21">
        <v>91</v>
      </c>
      <c r="I697" s="22">
        <v>100</v>
      </c>
      <c r="J697" s="112" t="s">
        <v>222</v>
      </c>
      <c r="K697" s="45" t="s">
        <v>101</v>
      </c>
      <c r="L697" s="437"/>
      <c r="M697" s="474" t="s">
        <v>1856</v>
      </c>
      <c r="N697" s="1013" t="s">
        <v>1856</v>
      </c>
      <c r="O697" s="212"/>
      <c r="P697" s="66" t="s">
        <v>20</v>
      </c>
      <c r="Q697" s="100">
        <f t="shared" ref="Q697:Q709" si="372">IF(AND($AO$636=1,MOD(F697,E697)=0),F697*G697,IF($AO$636&lt;=2,F697*H697,F697*I697))</f>
        <v>0</v>
      </c>
      <c r="R697" s="13" t="str">
        <f t="shared" si="356"/>
        <v>Фото &gt;&gt;</v>
      </c>
      <c r="S697" s="14" t="s">
        <v>2071</v>
      </c>
      <c r="U697" s="4"/>
      <c r="V697" s="4"/>
      <c r="AK697">
        <v>0.24</v>
      </c>
      <c r="AL697">
        <f t="shared" si="364"/>
        <v>0</v>
      </c>
      <c r="AM697">
        <f t="shared" si="365"/>
        <v>0</v>
      </c>
      <c r="AN697">
        <f t="shared" si="361"/>
        <v>0</v>
      </c>
      <c r="AO697" t="s">
        <v>2548</v>
      </c>
      <c r="AV697" t="str">
        <f>IF(F697&gt;0,(COUNT($AV$1:AV696)+1),"")</f>
        <v/>
      </c>
    </row>
    <row r="698" spans="1:48" ht="15" customHeight="1" x14ac:dyDescent="0.25">
      <c r="A698" s="1"/>
      <c r="B698" s="31">
        <v>13415</v>
      </c>
      <c r="C698" s="16">
        <v>4620008852935</v>
      </c>
      <c r="D698" s="226" t="s">
        <v>273</v>
      </c>
      <c r="E698" s="69">
        <v>14</v>
      </c>
      <c r="F698" s="222"/>
      <c r="G698" s="108">
        <v>160.5</v>
      </c>
      <c r="H698" s="17">
        <v>171.5</v>
      </c>
      <c r="I698" s="18">
        <v>189</v>
      </c>
      <c r="J698" s="113" t="s">
        <v>222</v>
      </c>
      <c r="K698" s="44" t="s">
        <v>101</v>
      </c>
      <c r="L698" s="442"/>
      <c r="M698" s="480" t="s">
        <v>1856</v>
      </c>
      <c r="N698" s="1015" t="s">
        <v>1856</v>
      </c>
      <c r="O698" s="210"/>
      <c r="P698" s="68" t="s">
        <v>20</v>
      </c>
      <c r="Q698" s="100">
        <f t="shared" si="372"/>
        <v>0</v>
      </c>
      <c r="R698" s="13" t="str">
        <f t="shared" si="356"/>
        <v>Фото &gt;&gt;</v>
      </c>
      <c r="S698" s="14" t="s">
        <v>274</v>
      </c>
      <c r="U698" s="4"/>
      <c r="V698" s="4"/>
      <c r="AK698">
        <v>0.24</v>
      </c>
      <c r="AL698">
        <f t="shared" si="364"/>
        <v>0</v>
      </c>
      <c r="AM698">
        <f t="shared" si="365"/>
        <v>0</v>
      </c>
      <c r="AN698">
        <f t="shared" si="361"/>
        <v>0</v>
      </c>
      <c r="AO698" t="s">
        <v>2549</v>
      </c>
      <c r="AV698" t="str">
        <f>IF(F698&gt;0,(COUNT($AV$1:AV697)+1),"")</f>
        <v/>
      </c>
    </row>
    <row r="699" spans="1:48" ht="15" customHeight="1" x14ac:dyDescent="0.25">
      <c r="A699" s="1"/>
      <c r="B699" s="30">
        <v>15671</v>
      </c>
      <c r="C699" s="20">
        <v>4620008854007</v>
      </c>
      <c r="D699" s="153" t="s">
        <v>275</v>
      </c>
      <c r="E699" s="67">
        <v>14</v>
      </c>
      <c r="F699" s="222"/>
      <c r="G699" s="107">
        <v>136</v>
      </c>
      <c r="H699" s="21">
        <v>142.5</v>
      </c>
      <c r="I699" s="22">
        <v>157</v>
      </c>
      <c r="J699" s="112" t="s">
        <v>222</v>
      </c>
      <c r="K699" s="45" t="s">
        <v>101</v>
      </c>
      <c r="L699" s="437"/>
      <c r="M699" s="474" t="s">
        <v>1856</v>
      </c>
      <c r="N699" s="1013" t="s">
        <v>1856</v>
      </c>
      <c r="O699" s="212"/>
      <c r="P699" s="66" t="s">
        <v>20</v>
      </c>
      <c r="Q699" s="100">
        <f t="shared" si="372"/>
        <v>0</v>
      </c>
      <c r="R699" s="13" t="str">
        <f t="shared" si="356"/>
        <v>Фото &gt;&gt;</v>
      </c>
      <c r="S699" s="14" t="s">
        <v>276</v>
      </c>
      <c r="U699" s="4"/>
      <c r="V699" s="4"/>
      <c r="AK699">
        <v>0.24</v>
      </c>
      <c r="AL699">
        <f t="shared" si="364"/>
        <v>0</v>
      </c>
      <c r="AM699">
        <f t="shared" si="365"/>
        <v>0</v>
      </c>
      <c r="AN699">
        <f t="shared" si="361"/>
        <v>0</v>
      </c>
      <c r="AO699" t="s">
        <v>2550</v>
      </c>
      <c r="AV699" t="str">
        <f>IF(F699&gt;0,(COUNT($AV$1:AV698)+1),"")</f>
        <v/>
      </c>
    </row>
    <row r="700" spans="1:48" ht="15" customHeight="1" x14ac:dyDescent="0.25">
      <c r="A700" s="1"/>
      <c r="B700" s="31">
        <v>17749</v>
      </c>
      <c r="C700" s="16">
        <v>4620008855837</v>
      </c>
      <c r="D700" s="226" t="s">
        <v>1834</v>
      </c>
      <c r="E700" s="69">
        <v>14</v>
      </c>
      <c r="F700" s="222"/>
      <c r="G700" s="108">
        <v>82.3</v>
      </c>
      <c r="H700" s="17">
        <v>91</v>
      </c>
      <c r="I700" s="18">
        <v>100</v>
      </c>
      <c r="J700" s="113" t="s">
        <v>222</v>
      </c>
      <c r="K700" s="44" t="s">
        <v>101</v>
      </c>
      <c r="L700" s="442"/>
      <c r="M700" s="480" t="s">
        <v>1856</v>
      </c>
      <c r="N700" s="1015" t="s">
        <v>1856</v>
      </c>
      <c r="O700" s="210"/>
      <c r="P700" s="68" t="s">
        <v>20</v>
      </c>
      <c r="Q700" s="100">
        <f t="shared" si="372"/>
        <v>0</v>
      </c>
      <c r="R700" s="13" t="str">
        <f t="shared" si="356"/>
        <v>Фото &gt;&gt;</v>
      </c>
      <c r="S700" s="14" t="s">
        <v>277</v>
      </c>
      <c r="U700" s="4"/>
      <c r="V700" s="4"/>
      <c r="AK700">
        <v>0.22</v>
      </c>
      <c r="AL700">
        <f t="shared" si="364"/>
        <v>0</v>
      </c>
      <c r="AM700">
        <f t="shared" si="365"/>
        <v>0</v>
      </c>
      <c r="AN700">
        <f t="shared" si="361"/>
        <v>0</v>
      </c>
      <c r="AO700" t="s">
        <v>2551</v>
      </c>
      <c r="AV700" t="str">
        <f>IF(F700&gt;0,(COUNT($AV$1:AV699)+1),"")</f>
        <v/>
      </c>
    </row>
    <row r="701" spans="1:48" ht="15" customHeight="1" x14ac:dyDescent="0.25">
      <c r="A701" s="1"/>
      <c r="B701" s="30">
        <v>17750</v>
      </c>
      <c r="C701" s="20">
        <v>4620008855820</v>
      </c>
      <c r="D701" s="153" t="s">
        <v>2099</v>
      </c>
      <c r="E701" s="67">
        <v>14</v>
      </c>
      <c r="F701" s="222"/>
      <c r="G701" s="107">
        <v>96.3</v>
      </c>
      <c r="H701" s="21">
        <v>103</v>
      </c>
      <c r="I701" s="22">
        <v>113</v>
      </c>
      <c r="J701" s="112" t="s">
        <v>222</v>
      </c>
      <c r="K701" s="45" t="s">
        <v>101</v>
      </c>
      <c r="L701" s="437"/>
      <c r="M701" s="474" t="s">
        <v>1856</v>
      </c>
      <c r="N701" s="1013" t="s">
        <v>1856</v>
      </c>
      <c r="O701" s="212"/>
      <c r="P701" s="66" t="s">
        <v>20</v>
      </c>
      <c r="Q701" s="100">
        <f t="shared" si="372"/>
        <v>0</v>
      </c>
      <c r="R701" s="13" t="str">
        <f t="shared" si="356"/>
        <v>Фото &gt;&gt;</v>
      </c>
      <c r="S701" s="14" t="s">
        <v>278</v>
      </c>
      <c r="U701" s="4"/>
      <c r="V701" s="4"/>
      <c r="AK701">
        <v>0.22</v>
      </c>
      <c r="AL701">
        <f t="shared" si="364"/>
        <v>0</v>
      </c>
      <c r="AM701">
        <f t="shared" si="365"/>
        <v>0</v>
      </c>
      <c r="AN701">
        <f t="shared" si="361"/>
        <v>0</v>
      </c>
      <c r="AO701" t="s">
        <v>2552</v>
      </c>
      <c r="AV701" t="str">
        <f>IF(F701&gt;0,(COUNT($AV$1:AV700)+1),"")</f>
        <v/>
      </c>
    </row>
    <row r="702" spans="1:48" ht="15" customHeight="1" x14ac:dyDescent="0.25">
      <c r="A702" s="1"/>
      <c r="B702" s="31">
        <v>13414</v>
      </c>
      <c r="C702" s="16">
        <v>4620008852959</v>
      </c>
      <c r="D702" s="226" t="s">
        <v>279</v>
      </c>
      <c r="E702" s="69">
        <v>14</v>
      </c>
      <c r="F702" s="222"/>
      <c r="G702" s="108">
        <v>87</v>
      </c>
      <c r="H702" s="17">
        <v>93</v>
      </c>
      <c r="I702" s="18">
        <v>102</v>
      </c>
      <c r="J702" s="113" t="s">
        <v>222</v>
      </c>
      <c r="K702" s="44" t="s">
        <v>101</v>
      </c>
      <c r="L702" s="442"/>
      <c r="M702" s="480" t="s">
        <v>1856</v>
      </c>
      <c r="N702" s="1015" t="s">
        <v>1856</v>
      </c>
      <c r="O702" s="210"/>
      <c r="P702" s="68" t="s">
        <v>20</v>
      </c>
      <c r="Q702" s="100">
        <f t="shared" si="372"/>
        <v>0</v>
      </c>
      <c r="R702" s="13" t="str">
        <f t="shared" si="356"/>
        <v>Фото &gt;&gt;</v>
      </c>
      <c r="S702" s="14" t="s">
        <v>280</v>
      </c>
      <c r="U702" s="4"/>
      <c r="V702" s="4"/>
      <c r="AK702">
        <v>0.24</v>
      </c>
      <c r="AL702">
        <f t="shared" si="364"/>
        <v>0</v>
      </c>
      <c r="AM702">
        <f t="shared" si="365"/>
        <v>0</v>
      </c>
      <c r="AN702">
        <f t="shared" si="361"/>
        <v>0</v>
      </c>
      <c r="AO702" t="s">
        <v>2553</v>
      </c>
      <c r="AV702" t="str">
        <f>IF(F702&gt;0,(COUNT($AV$1:AV701)+1),"")</f>
        <v/>
      </c>
    </row>
    <row r="703" spans="1:48" ht="15" customHeight="1" x14ac:dyDescent="0.25">
      <c r="A703" s="1"/>
      <c r="B703" s="30">
        <v>15672</v>
      </c>
      <c r="C703" s="20">
        <v>4620008854014</v>
      </c>
      <c r="D703" s="153" t="s">
        <v>2100</v>
      </c>
      <c r="E703" s="67">
        <v>14</v>
      </c>
      <c r="F703" s="222"/>
      <c r="G703" s="107">
        <v>80.599999999999994</v>
      </c>
      <c r="H703" s="21">
        <v>84.6</v>
      </c>
      <c r="I703" s="22">
        <v>95</v>
      </c>
      <c r="J703" s="112" t="s">
        <v>222</v>
      </c>
      <c r="K703" s="45" t="s">
        <v>101</v>
      </c>
      <c r="L703" s="437"/>
      <c r="M703" s="474" t="s">
        <v>1856</v>
      </c>
      <c r="N703" s="1013" t="s">
        <v>1856</v>
      </c>
      <c r="O703" s="212"/>
      <c r="P703" s="66" t="s">
        <v>20</v>
      </c>
      <c r="Q703" s="100">
        <f t="shared" si="372"/>
        <v>0</v>
      </c>
      <c r="R703" s="13" t="str">
        <f t="shared" si="356"/>
        <v>Фото &gt;&gt;</v>
      </c>
      <c r="S703" s="14" t="s">
        <v>281</v>
      </c>
      <c r="U703" s="4"/>
      <c r="V703" s="4"/>
      <c r="AK703">
        <v>0.24</v>
      </c>
      <c r="AL703">
        <f t="shared" si="364"/>
        <v>0</v>
      </c>
      <c r="AM703">
        <f t="shared" si="365"/>
        <v>0</v>
      </c>
      <c r="AN703">
        <f t="shared" si="361"/>
        <v>0</v>
      </c>
      <c r="AO703" t="s">
        <v>2554</v>
      </c>
      <c r="AV703" t="str">
        <f>IF(F703&gt;0,(COUNT($AV$1:AV702)+1),"")</f>
        <v/>
      </c>
    </row>
    <row r="704" spans="1:48" ht="15" customHeight="1" x14ac:dyDescent="0.25">
      <c r="A704" s="1"/>
      <c r="B704" s="31">
        <v>20988</v>
      </c>
      <c r="C704" s="16">
        <v>4620008857527</v>
      </c>
      <c r="D704" s="226" t="s">
        <v>6364</v>
      </c>
      <c r="E704" s="69">
        <v>14</v>
      </c>
      <c r="F704" s="222"/>
      <c r="G704" s="108">
        <v>129.69999999999999</v>
      </c>
      <c r="H704" s="17">
        <v>139</v>
      </c>
      <c r="I704" s="18">
        <v>153</v>
      </c>
      <c r="J704" s="113" t="s">
        <v>222</v>
      </c>
      <c r="K704" s="44" t="s">
        <v>101</v>
      </c>
      <c r="L704" s="442"/>
      <c r="M704" s="480"/>
      <c r="N704" s="1015" t="s">
        <v>1856</v>
      </c>
      <c r="O704" s="210"/>
      <c r="P704" s="68" t="s">
        <v>20</v>
      </c>
      <c r="Q704" s="100">
        <f t="shared" si="372"/>
        <v>0</v>
      </c>
      <c r="R704" s="13" t="str">
        <f t="shared" si="356"/>
        <v>Фото &gt;&gt;</v>
      </c>
      <c r="S704" s="14"/>
      <c r="U704" s="4"/>
      <c r="V704" s="4"/>
      <c r="AK704">
        <v>0.22</v>
      </c>
      <c r="AL704">
        <f t="shared" si="364"/>
        <v>0</v>
      </c>
      <c r="AM704">
        <f t="shared" si="365"/>
        <v>0</v>
      </c>
      <c r="AN704">
        <f t="shared" si="361"/>
        <v>0</v>
      </c>
      <c r="AO704" t="s">
        <v>5743</v>
      </c>
      <c r="AV704" t="str">
        <f>IF(F704&gt;0,(COUNT($AV$1:AV703)+1),"")</f>
        <v/>
      </c>
    </row>
    <row r="705" spans="1:48" ht="15" customHeight="1" x14ac:dyDescent="0.25">
      <c r="A705" s="1"/>
      <c r="B705" s="30">
        <v>20989</v>
      </c>
      <c r="C705" s="20">
        <v>4620008857510</v>
      </c>
      <c r="D705" s="225" t="s">
        <v>6365</v>
      </c>
      <c r="E705" s="67">
        <v>14</v>
      </c>
      <c r="F705" s="222"/>
      <c r="G705" s="107">
        <v>158</v>
      </c>
      <c r="H705" s="21">
        <v>169</v>
      </c>
      <c r="I705" s="22">
        <v>186</v>
      </c>
      <c r="J705" s="112" t="s">
        <v>222</v>
      </c>
      <c r="K705" s="45" t="s">
        <v>101</v>
      </c>
      <c r="L705" s="437"/>
      <c r="M705" s="474"/>
      <c r="N705" s="1013" t="s">
        <v>1856</v>
      </c>
      <c r="O705" s="209"/>
      <c r="P705" s="66" t="s">
        <v>20</v>
      </c>
      <c r="Q705" s="100">
        <f t="shared" si="372"/>
        <v>0</v>
      </c>
      <c r="R705" s="13" t="str">
        <f t="shared" si="356"/>
        <v>Фото &gt;&gt;</v>
      </c>
      <c r="S705" s="14"/>
      <c r="U705" s="4"/>
      <c r="V705" s="4"/>
      <c r="AK705">
        <v>0.22</v>
      </c>
      <c r="AL705">
        <f t="shared" si="364"/>
        <v>0</v>
      </c>
      <c r="AM705">
        <f t="shared" si="365"/>
        <v>0</v>
      </c>
      <c r="AN705">
        <f t="shared" si="361"/>
        <v>0</v>
      </c>
      <c r="AO705" t="s">
        <v>5744</v>
      </c>
      <c r="AV705" t="str">
        <f>IF(F705&gt;0,(COUNT($AV$1:AV704)+1),"")</f>
        <v/>
      </c>
    </row>
    <row r="706" spans="1:48" ht="15" customHeight="1" x14ac:dyDescent="0.25">
      <c r="A706" s="1"/>
      <c r="B706" s="31">
        <v>20990</v>
      </c>
      <c r="C706" s="16">
        <v>4620008857503</v>
      </c>
      <c r="D706" s="226" t="s">
        <v>6366</v>
      </c>
      <c r="E706" s="69">
        <v>14</v>
      </c>
      <c r="F706" s="222"/>
      <c r="G706" s="108">
        <v>111</v>
      </c>
      <c r="H706" s="17">
        <v>119</v>
      </c>
      <c r="I706" s="18">
        <v>131</v>
      </c>
      <c r="J706" s="113" t="s">
        <v>222</v>
      </c>
      <c r="K706" s="44" t="s">
        <v>101</v>
      </c>
      <c r="L706" s="442"/>
      <c r="M706" s="480"/>
      <c r="N706" s="1015" t="s">
        <v>1856</v>
      </c>
      <c r="O706" s="210"/>
      <c r="P706" s="68" t="s">
        <v>20</v>
      </c>
      <c r="Q706" s="100">
        <f t="shared" si="372"/>
        <v>0</v>
      </c>
      <c r="R706" s="13" t="str">
        <f t="shared" si="356"/>
        <v>Фото &gt;&gt;</v>
      </c>
      <c r="S706" s="14"/>
      <c r="U706" s="4"/>
      <c r="V706" s="4"/>
      <c r="AK706">
        <v>0.22</v>
      </c>
      <c r="AL706">
        <f t="shared" si="364"/>
        <v>0</v>
      </c>
      <c r="AM706">
        <f t="shared" si="365"/>
        <v>0</v>
      </c>
      <c r="AN706">
        <f t="shared" si="361"/>
        <v>0</v>
      </c>
      <c r="AO706" t="s">
        <v>5745</v>
      </c>
      <c r="AV706" t="str">
        <f>IF(F706&gt;0,(COUNT($AV$1:AV705)+1),"")</f>
        <v/>
      </c>
    </row>
    <row r="707" spans="1:48" ht="15" customHeight="1" x14ac:dyDescent="0.25">
      <c r="A707" s="1"/>
      <c r="B707" s="30">
        <v>15675</v>
      </c>
      <c r="C707" s="20">
        <v>4620008854038</v>
      </c>
      <c r="D707" s="153" t="s">
        <v>282</v>
      </c>
      <c r="E707" s="67">
        <v>14</v>
      </c>
      <c r="F707" s="222"/>
      <c r="G707" s="107">
        <v>117.3</v>
      </c>
      <c r="H707" s="21">
        <v>125.5</v>
      </c>
      <c r="I707" s="22">
        <v>138</v>
      </c>
      <c r="J707" s="112" t="s">
        <v>222</v>
      </c>
      <c r="K707" s="45" t="s">
        <v>101</v>
      </c>
      <c r="L707" s="437"/>
      <c r="M707" s="474" t="s">
        <v>1856</v>
      </c>
      <c r="N707" s="1013" t="s">
        <v>1856</v>
      </c>
      <c r="O707" s="212"/>
      <c r="P707" s="66" t="s">
        <v>20</v>
      </c>
      <c r="Q707" s="100">
        <f t="shared" si="372"/>
        <v>0</v>
      </c>
      <c r="R707" s="13" t="str">
        <f t="shared" si="356"/>
        <v>Фото &gt;&gt;</v>
      </c>
      <c r="S707" s="14" t="s">
        <v>283</v>
      </c>
      <c r="U707" s="4"/>
      <c r="V707" s="4"/>
      <c r="AK707">
        <v>0.24</v>
      </c>
      <c r="AL707">
        <f t="shared" si="364"/>
        <v>0</v>
      </c>
      <c r="AM707">
        <f t="shared" si="365"/>
        <v>0</v>
      </c>
      <c r="AN707">
        <f t="shared" si="361"/>
        <v>0</v>
      </c>
      <c r="AO707" t="s">
        <v>2555</v>
      </c>
      <c r="AV707" t="str">
        <f>IF(F707&gt;0,(COUNT($AV$1:AV706)+1),"")</f>
        <v/>
      </c>
    </row>
    <row r="708" spans="1:48" ht="15" customHeight="1" x14ac:dyDescent="0.25">
      <c r="A708" s="1"/>
      <c r="B708" s="31">
        <v>13413</v>
      </c>
      <c r="C708" s="16">
        <v>4620008852942</v>
      </c>
      <c r="D708" s="226" t="s">
        <v>284</v>
      </c>
      <c r="E708" s="69">
        <v>14</v>
      </c>
      <c r="F708" s="222"/>
      <c r="G708" s="108">
        <v>92.6</v>
      </c>
      <c r="H708" s="17">
        <v>99</v>
      </c>
      <c r="I708" s="18">
        <v>109</v>
      </c>
      <c r="J708" s="113" t="s">
        <v>222</v>
      </c>
      <c r="K708" s="44" t="s">
        <v>101</v>
      </c>
      <c r="L708" s="442"/>
      <c r="M708" s="480" t="s">
        <v>1856</v>
      </c>
      <c r="N708" s="1015" t="s">
        <v>1856</v>
      </c>
      <c r="O708" s="210"/>
      <c r="P708" s="68" t="s">
        <v>20</v>
      </c>
      <c r="Q708" s="100">
        <f t="shared" si="372"/>
        <v>0</v>
      </c>
      <c r="R708" s="13" t="str">
        <f t="shared" si="356"/>
        <v>Фото &gt;&gt;</v>
      </c>
      <c r="S708" s="14" t="s">
        <v>285</v>
      </c>
      <c r="U708" s="4"/>
      <c r="V708" s="4"/>
      <c r="AK708">
        <v>0.24</v>
      </c>
      <c r="AL708">
        <f t="shared" si="364"/>
        <v>0</v>
      </c>
      <c r="AM708">
        <f t="shared" si="365"/>
        <v>0</v>
      </c>
      <c r="AN708">
        <f t="shared" si="361"/>
        <v>0</v>
      </c>
      <c r="AO708" t="s">
        <v>2556</v>
      </c>
      <c r="AV708" t="str">
        <f>IF(F708&gt;0,(COUNT($AV$1:AV707)+1),"")</f>
        <v/>
      </c>
    </row>
    <row r="709" spans="1:48" ht="15" customHeight="1" x14ac:dyDescent="0.25">
      <c r="A709" s="1"/>
      <c r="B709" s="30">
        <v>15673</v>
      </c>
      <c r="C709" s="20">
        <v>4620008854021</v>
      </c>
      <c r="D709" s="153" t="s">
        <v>286</v>
      </c>
      <c r="E709" s="67">
        <v>14</v>
      </c>
      <c r="F709" s="222"/>
      <c r="G709" s="107">
        <v>100.3</v>
      </c>
      <c r="H709" s="21">
        <v>107.3</v>
      </c>
      <c r="I709" s="22">
        <v>118</v>
      </c>
      <c r="J709" s="112" t="s">
        <v>222</v>
      </c>
      <c r="K709" s="45" t="s">
        <v>101</v>
      </c>
      <c r="L709" s="437"/>
      <c r="M709" s="474" t="s">
        <v>1856</v>
      </c>
      <c r="N709" s="1013" t="s">
        <v>1856</v>
      </c>
      <c r="O709" s="212"/>
      <c r="P709" s="66" t="s">
        <v>20</v>
      </c>
      <c r="Q709" s="100">
        <f t="shared" si="372"/>
        <v>0</v>
      </c>
      <c r="R709" s="13" t="str">
        <f t="shared" si="356"/>
        <v>Фото &gt;&gt;</v>
      </c>
      <c r="S709" s="14" t="s">
        <v>287</v>
      </c>
      <c r="U709" s="4"/>
      <c r="V709" s="4"/>
      <c r="AK709">
        <v>0.24</v>
      </c>
      <c r="AL709">
        <f t="shared" ref="AL709:AL721" si="373">F709*G709</f>
        <v>0</v>
      </c>
      <c r="AM709">
        <f t="shared" ref="AM709:AM721" si="374">F709*H709</f>
        <v>0</v>
      </c>
      <c r="AN709">
        <f t="shared" ref="AN709:AN721" si="375">AK709*F709+IF(E709&gt;1.01,F709/E709*0.2,0)</f>
        <v>0</v>
      </c>
      <c r="AO709" t="s">
        <v>2557</v>
      </c>
      <c r="AV709" t="str">
        <f>IF(F709&gt;0,(COUNT($AV$1:AV708)+1),"")</f>
        <v/>
      </c>
    </row>
    <row r="710" spans="1:48" ht="15" customHeight="1" x14ac:dyDescent="0.25">
      <c r="A710" s="1"/>
      <c r="B710" s="25"/>
      <c r="C710" s="26"/>
      <c r="D710" s="27" t="s">
        <v>1886</v>
      </c>
      <c r="E710" s="80"/>
      <c r="F710" s="96"/>
      <c r="G710" s="28"/>
      <c r="H710" s="29"/>
      <c r="I710" s="29"/>
      <c r="J710" s="51"/>
      <c r="K710" s="47"/>
      <c r="L710" s="447"/>
      <c r="M710" s="489" t="s">
        <v>104</v>
      </c>
      <c r="N710" s="716"/>
      <c r="O710" s="186"/>
      <c r="P710" s="79"/>
      <c r="Q710" s="104"/>
      <c r="R710" s="13"/>
      <c r="S710" s="14"/>
      <c r="U710" s="4"/>
      <c r="V710" s="4"/>
      <c r="AL710">
        <f t="shared" si="373"/>
        <v>0</v>
      </c>
      <c r="AM710">
        <f t="shared" si="374"/>
        <v>0</v>
      </c>
      <c r="AN710">
        <f t="shared" si="375"/>
        <v>0</v>
      </c>
      <c r="AO710" t="s">
        <v>104</v>
      </c>
      <c r="AV710" t="str">
        <f>IF(F710&gt;0,(COUNT($AV$1:AV709)+1),"")</f>
        <v/>
      </c>
    </row>
    <row r="711" spans="1:48" ht="15" customHeight="1" x14ac:dyDescent="0.25">
      <c r="A711" s="1"/>
      <c r="B711" s="30">
        <v>20876</v>
      </c>
      <c r="C711" s="20">
        <v>4620008857411</v>
      </c>
      <c r="D711" s="225" t="s">
        <v>6144</v>
      </c>
      <c r="E711" s="85">
        <v>15</v>
      </c>
      <c r="F711" s="222"/>
      <c r="G711" s="107">
        <v>48.4</v>
      </c>
      <c r="H711" s="21">
        <v>51</v>
      </c>
      <c r="I711" s="22">
        <v>56</v>
      </c>
      <c r="J711" s="112" t="s">
        <v>222</v>
      </c>
      <c r="K711" s="45" t="s">
        <v>97</v>
      </c>
      <c r="L711" s="437"/>
      <c r="M711" s="474"/>
      <c r="N711" s="1013" t="s">
        <v>1856</v>
      </c>
      <c r="O711" s="212" t="s">
        <v>1567</v>
      </c>
      <c r="P711" s="66" t="s">
        <v>72</v>
      </c>
      <c r="Q711" s="100">
        <f t="shared" ref="Q711:Q720" si="376">IF(AND($AO$636=1,MOD(F711,E711)=0),F711*G711,IF($AO$636&lt;=2,F711*H711,F711*I711))</f>
        <v>0</v>
      </c>
      <c r="R711" s="13" t="str">
        <f t="shared" si="356"/>
        <v>Фото &gt;&gt;</v>
      </c>
      <c r="S711" s="14" t="s">
        <v>4631</v>
      </c>
      <c r="U711" s="4"/>
      <c r="V711" s="4"/>
      <c r="AK711">
        <v>3.5000000000000003E-2</v>
      </c>
      <c r="AL711">
        <f t="shared" si="373"/>
        <v>0</v>
      </c>
      <c r="AM711">
        <f t="shared" si="374"/>
        <v>0</v>
      </c>
      <c r="AN711">
        <f t="shared" si="375"/>
        <v>0</v>
      </c>
      <c r="AO711" t="s">
        <v>4636</v>
      </c>
      <c r="AV711" t="str">
        <f>IF(F711&gt;0,(COUNT($AV$1:AV710)+1),"")</f>
        <v/>
      </c>
    </row>
    <row r="712" spans="1:48" ht="15" customHeight="1" x14ac:dyDescent="0.25">
      <c r="A712" s="1"/>
      <c r="B712" s="31">
        <v>20877</v>
      </c>
      <c r="C712" s="16">
        <v>4620008857435</v>
      </c>
      <c r="D712" s="226" t="s">
        <v>6145</v>
      </c>
      <c r="E712" s="86">
        <v>15</v>
      </c>
      <c r="F712" s="222"/>
      <c r="G712" s="108">
        <v>48.4</v>
      </c>
      <c r="H712" s="17">
        <v>51</v>
      </c>
      <c r="I712" s="18">
        <v>56</v>
      </c>
      <c r="J712" s="113" t="s">
        <v>222</v>
      </c>
      <c r="K712" s="44" t="s">
        <v>97</v>
      </c>
      <c r="L712" s="442"/>
      <c r="M712" s="480" t="s">
        <v>104</v>
      </c>
      <c r="N712" s="1015" t="s">
        <v>1856</v>
      </c>
      <c r="O712" s="217" t="s">
        <v>1567</v>
      </c>
      <c r="P712" s="68" t="s">
        <v>72</v>
      </c>
      <c r="Q712" s="100">
        <f t="shared" si="376"/>
        <v>0</v>
      </c>
      <c r="R712" s="13" t="str">
        <f t="shared" si="356"/>
        <v>Фото &gt;&gt;</v>
      </c>
      <c r="S712" s="14" t="s">
        <v>4632</v>
      </c>
      <c r="U712" s="4"/>
      <c r="V712" s="4"/>
      <c r="AK712">
        <v>3.5000000000000003E-2</v>
      </c>
      <c r="AL712">
        <f t="shared" si="373"/>
        <v>0</v>
      </c>
      <c r="AM712">
        <f t="shared" si="374"/>
        <v>0</v>
      </c>
      <c r="AN712">
        <f t="shared" si="375"/>
        <v>0</v>
      </c>
      <c r="AO712" t="s">
        <v>4637</v>
      </c>
      <c r="AV712" t="str">
        <f>IF(F712&gt;0,(COUNT($AV$1:AV711)+1),"")</f>
        <v/>
      </c>
    </row>
    <row r="713" spans="1:48" ht="15" customHeight="1" x14ac:dyDescent="0.25">
      <c r="A713" s="1"/>
      <c r="B713" s="30">
        <v>19579</v>
      </c>
      <c r="C713" s="20">
        <v>4620008856469</v>
      </c>
      <c r="D713" s="421" t="s">
        <v>6941</v>
      </c>
      <c r="E713" s="85">
        <v>15</v>
      </c>
      <c r="F713" s="222"/>
      <c r="G713" s="107">
        <v>48.4</v>
      </c>
      <c r="H713" s="21">
        <v>51</v>
      </c>
      <c r="I713" s="22">
        <v>56</v>
      </c>
      <c r="J713" s="112" t="s">
        <v>222</v>
      </c>
      <c r="K713" s="45" t="s">
        <v>97</v>
      </c>
      <c r="L713" s="437"/>
      <c r="M713" s="474" t="s">
        <v>104</v>
      </c>
      <c r="N713" s="1013" t="s">
        <v>1856</v>
      </c>
      <c r="O713" s="209" t="s">
        <v>5594</v>
      </c>
      <c r="P713" s="66" t="s">
        <v>72</v>
      </c>
      <c r="Q713" s="100">
        <f t="shared" si="376"/>
        <v>0</v>
      </c>
      <c r="R713" s="13" t="str">
        <f t="shared" si="356"/>
        <v>Фото &gt;&gt;</v>
      </c>
      <c r="S713" s="14" t="s">
        <v>6937</v>
      </c>
      <c r="U713" s="4"/>
      <c r="V713" s="4"/>
      <c r="AK713">
        <v>3.5000000000000003E-2</v>
      </c>
      <c r="AL713">
        <f t="shared" si="373"/>
        <v>0</v>
      </c>
      <c r="AM713">
        <f t="shared" si="374"/>
        <v>0</v>
      </c>
      <c r="AN713">
        <f t="shared" si="375"/>
        <v>0</v>
      </c>
      <c r="AO713" t="s">
        <v>2559</v>
      </c>
      <c r="AV713" t="str">
        <f>IF(F713&gt;0,(COUNT($AV$1:AV712)+1),"")</f>
        <v/>
      </c>
    </row>
    <row r="714" spans="1:48" ht="15" customHeight="1" x14ac:dyDescent="0.25">
      <c r="A714" s="1"/>
      <c r="B714" s="31">
        <v>19580</v>
      </c>
      <c r="C714" s="16">
        <v>4620008856544</v>
      </c>
      <c r="D714" s="422" t="s">
        <v>6942</v>
      </c>
      <c r="E714" s="86">
        <v>15</v>
      </c>
      <c r="F714" s="222"/>
      <c r="G714" s="108">
        <v>48.4</v>
      </c>
      <c r="H714" s="17">
        <v>51</v>
      </c>
      <c r="I714" s="18">
        <v>56</v>
      </c>
      <c r="J714" s="113" t="s">
        <v>222</v>
      </c>
      <c r="K714" s="44" t="s">
        <v>97</v>
      </c>
      <c r="L714" s="442"/>
      <c r="M714" s="480" t="s">
        <v>104</v>
      </c>
      <c r="N714" s="1015" t="s">
        <v>1856</v>
      </c>
      <c r="O714" s="210" t="s">
        <v>5594</v>
      </c>
      <c r="P714" s="68" t="s">
        <v>72</v>
      </c>
      <c r="Q714" s="100">
        <f t="shared" si="376"/>
        <v>0</v>
      </c>
      <c r="R714" s="13" t="str">
        <f t="shared" si="356"/>
        <v>Фото &gt;&gt;</v>
      </c>
      <c r="S714" s="14" t="s">
        <v>6938</v>
      </c>
      <c r="U714" s="4"/>
      <c r="V714" s="4"/>
      <c r="AK714">
        <v>3.5000000000000003E-2</v>
      </c>
      <c r="AL714">
        <f t="shared" si="373"/>
        <v>0</v>
      </c>
      <c r="AM714">
        <f t="shared" si="374"/>
        <v>0</v>
      </c>
      <c r="AN714">
        <f t="shared" si="375"/>
        <v>0</v>
      </c>
      <c r="AO714" t="s">
        <v>2560</v>
      </c>
      <c r="AV714" t="str">
        <f>IF(F714&gt;0,(COUNT($AV$1:AV713)+1),"")</f>
        <v/>
      </c>
    </row>
    <row r="715" spans="1:48" ht="15" customHeight="1" x14ac:dyDescent="0.25">
      <c r="A715" s="1"/>
      <c r="B715" s="30">
        <v>19581</v>
      </c>
      <c r="C715" s="20">
        <v>4620008856490</v>
      </c>
      <c r="D715" s="421" t="s">
        <v>6943</v>
      </c>
      <c r="E715" s="85">
        <v>15</v>
      </c>
      <c r="F715" s="222"/>
      <c r="G715" s="107">
        <v>48.4</v>
      </c>
      <c r="H715" s="21">
        <v>51</v>
      </c>
      <c r="I715" s="22">
        <v>56</v>
      </c>
      <c r="J715" s="112" t="s">
        <v>222</v>
      </c>
      <c r="K715" s="45" t="s">
        <v>97</v>
      </c>
      <c r="L715" s="437"/>
      <c r="M715" s="474" t="s">
        <v>104</v>
      </c>
      <c r="N715" s="1013" t="s">
        <v>1856</v>
      </c>
      <c r="O715" s="209" t="s">
        <v>5594</v>
      </c>
      <c r="P715" s="66" t="s">
        <v>72</v>
      </c>
      <c r="Q715" s="100">
        <f t="shared" si="376"/>
        <v>0</v>
      </c>
      <c r="R715" s="13" t="str">
        <f t="shared" si="356"/>
        <v>Фото &gt;&gt;</v>
      </c>
      <c r="S715" s="14" t="s">
        <v>6939</v>
      </c>
      <c r="U715" s="4"/>
      <c r="V715" s="4"/>
      <c r="AK715">
        <v>3.5000000000000003E-2</v>
      </c>
      <c r="AL715">
        <f t="shared" si="373"/>
        <v>0</v>
      </c>
      <c r="AM715">
        <f t="shared" si="374"/>
        <v>0</v>
      </c>
      <c r="AN715">
        <f t="shared" si="375"/>
        <v>0</v>
      </c>
      <c r="AO715" t="s">
        <v>2561</v>
      </c>
      <c r="AV715" t="str">
        <f>IF(F715&gt;0,(COUNT($AV$1:AV714)+1),"")</f>
        <v/>
      </c>
    </row>
    <row r="716" spans="1:48" ht="15" customHeight="1" x14ac:dyDescent="0.25">
      <c r="A716" s="1"/>
      <c r="B716" s="31">
        <v>19582</v>
      </c>
      <c r="C716" s="16">
        <v>4620008856445</v>
      </c>
      <c r="D716" s="422" t="s">
        <v>6944</v>
      </c>
      <c r="E716" s="86">
        <v>15</v>
      </c>
      <c r="F716" s="222"/>
      <c r="G716" s="108">
        <v>48.4</v>
      </c>
      <c r="H716" s="17">
        <v>51</v>
      </c>
      <c r="I716" s="18">
        <v>56</v>
      </c>
      <c r="J716" s="113" t="s">
        <v>222</v>
      </c>
      <c r="K716" s="44" t="s">
        <v>97</v>
      </c>
      <c r="L716" s="442"/>
      <c r="M716" s="480" t="s">
        <v>104</v>
      </c>
      <c r="N716" s="1015" t="s">
        <v>1856</v>
      </c>
      <c r="O716" s="210" t="s">
        <v>5594</v>
      </c>
      <c r="P716" s="68" t="s">
        <v>72</v>
      </c>
      <c r="Q716" s="100">
        <f t="shared" si="376"/>
        <v>0</v>
      </c>
      <c r="R716" s="13" t="str">
        <f t="shared" si="356"/>
        <v>Фото &gt;&gt;</v>
      </c>
      <c r="S716" s="14" t="s">
        <v>6940</v>
      </c>
      <c r="U716" s="4"/>
      <c r="V716" s="4"/>
      <c r="AK716">
        <v>3.5000000000000003E-2</v>
      </c>
      <c r="AL716">
        <f t="shared" si="373"/>
        <v>0</v>
      </c>
      <c r="AM716">
        <f t="shared" si="374"/>
        <v>0</v>
      </c>
      <c r="AN716">
        <f t="shared" si="375"/>
        <v>0</v>
      </c>
      <c r="AO716" t="s">
        <v>2558</v>
      </c>
      <c r="AV716" t="str">
        <f>IF(F716&gt;0,(COUNT($AV$1:AV715)+1),"")</f>
        <v/>
      </c>
    </row>
    <row r="717" spans="1:48" ht="15" customHeight="1" x14ac:dyDescent="0.25">
      <c r="A717" s="1"/>
      <c r="B717" s="30">
        <v>19583</v>
      </c>
      <c r="C717" s="20">
        <v>4620008856483</v>
      </c>
      <c r="D717" s="225" t="s">
        <v>2098</v>
      </c>
      <c r="E717" s="85">
        <v>15</v>
      </c>
      <c r="F717" s="222"/>
      <c r="G717" s="107">
        <v>48.4</v>
      </c>
      <c r="H717" s="21">
        <v>51</v>
      </c>
      <c r="I717" s="22">
        <v>56</v>
      </c>
      <c r="J717" s="112" t="s">
        <v>222</v>
      </c>
      <c r="K717" s="45" t="s">
        <v>97</v>
      </c>
      <c r="L717" s="437"/>
      <c r="M717" s="474" t="s">
        <v>104</v>
      </c>
      <c r="N717" s="1013" t="s">
        <v>1856</v>
      </c>
      <c r="O717" s="212" t="s">
        <v>1567</v>
      </c>
      <c r="P717" s="66" t="s">
        <v>72</v>
      </c>
      <c r="Q717" s="100">
        <f t="shared" si="376"/>
        <v>0</v>
      </c>
      <c r="R717" s="13" t="str">
        <f t="shared" si="356"/>
        <v>Фото &gt;&gt;</v>
      </c>
      <c r="S717" s="14" t="s">
        <v>1887</v>
      </c>
      <c r="U717" s="4"/>
      <c r="V717" s="4"/>
      <c r="AK717">
        <v>3.5000000000000003E-2</v>
      </c>
      <c r="AL717">
        <f t="shared" si="373"/>
        <v>0</v>
      </c>
      <c r="AM717">
        <f t="shared" si="374"/>
        <v>0</v>
      </c>
      <c r="AN717">
        <f t="shared" si="375"/>
        <v>0</v>
      </c>
      <c r="AO717" t="s">
        <v>2562</v>
      </c>
      <c r="AV717" t="str">
        <f>IF(F717&gt;0,(COUNT($AV$1:AV716)+1),"")</f>
        <v/>
      </c>
    </row>
    <row r="718" spans="1:48" ht="15" customHeight="1" x14ac:dyDescent="0.25">
      <c r="A718" s="1"/>
      <c r="B718" s="31">
        <v>20878</v>
      </c>
      <c r="C718" s="16">
        <v>4620008857398</v>
      </c>
      <c r="D718" s="226" t="s">
        <v>6146</v>
      </c>
      <c r="E718" s="86">
        <v>15</v>
      </c>
      <c r="F718" s="222"/>
      <c r="G718" s="108">
        <v>48.4</v>
      </c>
      <c r="H718" s="17">
        <v>51</v>
      </c>
      <c r="I718" s="18">
        <v>56</v>
      </c>
      <c r="J718" s="113" t="s">
        <v>222</v>
      </c>
      <c r="K718" s="44" t="s">
        <v>97</v>
      </c>
      <c r="L718" s="442"/>
      <c r="M718" s="480"/>
      <c r="N718" s="1015" t="s">
        <v>1856</v>
      </c>
      <c r="O718" s="217" t="s">
        <v>1567</v>
      </c>
      <c r="P718" s="68" t="s">
        <v>72</v>
      </c>
      <c r="Q718" s="100">
        <f t="shared" si="376"/>
        <v>0</v>
      </c>
      <c r="R718" s="13" t="str">
        <f t="shared" ref="R718" si="377">IF(AO718&gt;0,HYPERLINK(AO718,"Фото &gt;&gt;"),"")</f>
        <v>Фото &gt;&gt;</v>
      </c>
      <c r="S718" s="14" t="s">
        <v>4633</v>
      </c>
      <c r="U718" s="4"/>
      <c r="V718" s="4"/>
      <c r="AK718">
        <v>3.5000000000000003E-2</v>
      </c>
      <c r="AL718">
        <f t="shared" si="373"/>
        <v>0</v>
      </c>
      <c r="AM718">
        <f t="shared" si="374"/>
        <v>0</v>
      </c>
      <c r="AN718">
        <f t="shared" si="375"/>
        <v>0</v>
      </c>
      <c r="AO718" t="s">
        <v>4638</v>
      </c>
      <c r="AV718" t="str">
        <f>IF(F718&gt;0,(COUNT($AV$1:AV717)+1),"")</f>
        <v/>
      </c>
    </row>
    <row r="719" spans="1:48" ht="15" customHeight="1" x14ac:dyDescent="0.25">
      <c r="A719" s="1"/>
      <c r="B719" s="30">
        <v>20879</v>
      </c>
      <c r="C719" s="20">
        <v>4620008857404</v>
      </c>
      <c r="D719" s="225" t="s">
        <v>6147</v>
      </c>
      <c r="E719" s="85">
        <v>15</v>
      </c>
      <c r="F719" s="222"/>
      <c r="G719" s="107">
        <v>48.4</v>
      </c>
      <c r="H719" s="21">
        <v>51</v>
      </c>
      <c r="I719" s="22">
        <v>56</v>
      </c>
      <c r="J719" s="112" t="s">
        <v>222</v>
      </c>
      <c r="K719" s="45" t="s">
        <v>97</v>
      </c>
      <c r="L719" s="437"/>
      <c r="M719" s="474" t="s">
        <v>104</v>
      </c>
      <c r="N719" s="1013" t="s">
        <v>1856</v>
      </c>
      <c r="O719" s="212" t="s">
        <v>1567</v>
      </c>
      <c r="P719" s="66" t="s">
        <v>72</v>
      </c>
      <c r="Q719" s="100">
        <f t="shared" si="376"/>
        <v>0</v>
      </c>
      <c r="R719" s="13" t="str">
        <f t="shared" ref="R719:R720" si="378">IF(AO719&gt;0,HYPERLINK(AO719,"Фото &gt;&gt;"),"")</f>
        <v>Фото &gt;&gt;</v>
      </c>
      <c r="S719" s="14" t="s">
        <v>4634</v>
      </c>
      <c r="U719" s="4"/>
      <c r="V719" s="4"/>
      <c r="AK719">
        <v>3.5000000000000003E-2</v>
      </c>
      <c r="AL719">
        <f t="shared" si="373"/>
        <v>0</v>
      </c>
      <c r="AM719">
        <f t="shared" si="374"/>
        <v>0</v>
      </c>
      <c r="AN719">
        <f t="shared" si="375"/>
        <v>0</v>
      </c>
      <c r="AO719" t="s">
        <v>4639</v>
      </c>
      <c r="AV719" t="str">
        <f>IF(F719&gt;0,(COUNT($AV$1:AV718)+1),"")</f>
        <v/>
      </c>
    </row>
    <row r="720" spans="1:48" ht="15" customHeight="1" x14ac:dyDescent="0.25">
      <c r="A720" s="1"/>
      <c r="B720" s="31">
        <v>20880</v>
      </c>
      <c r="C720" s="16">
        <v>4620008857428</v>
      </c>
      <c r="D720" s="226" t="s">
        <v>6148</v>
      </c>
      <c r="E720" s="86">
        <v>15</v>
      </c>
      <c r="F720" s="222"/>
      <c r="G720" s="108">
        <v>48.4</v>
      </c>
      <c r="H720" s="17">
        <v>51</v>
      </c>
      <c r="I720" s="18">
        <v>56</v>
      </c>
      <c r="J720" s="113" t="s">
        <v>222</v>
      </c>
      <c r="K720" s="44" t="s">
        <v>97</v>
      </c>
      <c r="L720" s="442"/>
      <c r="M720" s="480"/>
      <c r="N720" s="1015" t="s">
        <v>1856</v>
      </c>
      <c r="O720" s="217" t="s">
        <v>1567</v>
      </c>
      <c r="P720" s="68" t="s">
        <v>72</v>
      </c>
      <c r="Q720" s="100">
        <f t="shared" si="376"/>
        <v>0</v>
      </c>
      <c r="R720" s="13" t="str">
        <f t="shared" si="378"/>
        <v>Фото &gt;&gt;</v>
      </c>
      <c r="S720" s="14" t="s">
        <v>4635</v>
      </c>
      <c r="U720" s="4"/>
      <c r="V720" s="4"/>
      <c r="AK720">
        <v>3.5000000000000003E-2</v>
      </c>
      <c r="AL720">
        <f t="shared" si="373"/>
        <v>0</v>
      </c>
      <c r="AM720">
        <f t="shared" si="374"/>
        <v>0</v>
      </c>
      <c r="AN720">
        <f t="shared" si="375"/>
        <v>0</v>
      </c>
      <c r="AO720" t="s">
        <v>4640</v>
      </c>
      <c r="AV720" t="str">
        <f>IF(F720&gt;0,(COUNT($AV$1:AV719)+1),"")</f>
        <v/>
      </c>
    </row>
    <row r="721" spans="1:48" ht="15" customHeight="1" x14ac:dyDescent="0.25">
      <c r="A721" s="1"/>
      <c r="B721" s="25"/>
      <c r="C721" s="26"/>
      <c r="D721" s="27" t="s">
        <v>6936</v>
      </c>
      <c r="E721" s="80"/>
      <c r="F721" s="96"/>
      <c r="G721" s="28">
        <v>0</v>
      </c>
      <c r="H721" s="29">
        <v>0</v>
      </c>
      <c r="I721" s="29">
        <v>0</v>
      </c>
      <c r="J721" s="51"/>
      <c r="K721" s="47"/>
      <c r="L721" s="447"/>
      <c r="M721" s="489" t="s">
        <v>104</v>
      </c>
      <c r="N721" s="716"/>
      <c r="O721" s="186"/>
      <c r="P721" s="79"/>
      <c r="Q721" s="104"/>
      <c r="R721" s="13"/>
      <c r="S721" s="14"/>
      <c r="U721" s="4"/>
      <c r="V721" s="4"/>
      <c r="AL721">
        <f t="shared" si="373"/>
        <v>0</v>
      </c>
      <c r="AM721">
        <f t="shared" si="374"/>
        <v>0</v>
      </c>
      <c r="AN721">
        <f t="shared" si="375"/>
        <v>0</v>
      </c>
      <c r="AO721" t="s">
        <v>104</v>
      </c>
      <c r="AV721" t="str">
        <f>IF(F721&gt;0,(COUNT($AV$1:AV720)+1),"")</f>
        <v/>
      </c>
    </row>
    <row r="722" spans="1:48" ht="15" customHeight="1" x14ac:dyDescent="0.25">
      <c r="A722" s="1"/>
      <c r="B722" s="30">
        <v>21363</v>
      </c>
      <c r="C722" s="20" t="s">
        <v>104</v>
      </c>
      <c r="D722" s="421" t="s">
        <v>6698</v>
      </c>
      <c r="E722" s="85">
        <v>15</v>
      </c>
      <c r="F722" s="222"/>
      <c r="G722" s="107">
        <v>60.4</v>
      </c>
      <c r="H722" s="21">
        <v>64.8</v>
      </c>
      <c r="I722" s="22">
        <v>71.400000000000006</v>
      </c>
      <c r="J722" s="112" t="s">
        <v>222</v>
      </c>
      <c r="K722" s="45" t="s">
        <v>97</v>
      </c>
      <c r="L722" s="437"/>
      <c r="M722" s="474" t="s">
        <v>1856</v>
      </c>
      <c r="N722" s="1013" t="s">
        <v>1856</v>
      </c>
      <c r="O722" s="209" t="s">
        <v>6702</v>
      </c>
      <c r="P722" s="66" t="s">
        <v>72</v>
      </c>
      <c r="Q722" s="100">
        <f>IF(AND($AO$636=1,MOD(F722,E722)=0),F722*G722,IF($AO$636&lt;=2,F722*H722,F722*I722))</f>
        <v>0</v>
      </c>
      <c r="R722" s="94" t="str">
        <f>IF(AO722&gt;0,HYPERLINK(AO722,"Фото &gt;&gt;"),"")</f>
        <v>Фото &gt;&gt;</v>
      </c>
      <c r="S722" s="14" t="s">
        <v>6697</v>
      </c>
      <c r="U722" s="4"/>
      <c r="V722" s="4"/>
      <c r="AK722">
        <v>3.5000000000000003E-2</v>
      </c>
      <c r="AL722">
        <f t="shared" ref="AL722:AL725" si="379">F722*G722</f>
        <v>0</v>
      </c>
      <c r="AM722">
        <f t="shared" ref="AM722:AM725" si="380">F722*H722</f>
        <v>0</v>
      </c>
      <c r="AN722">
        <f t="shared" ref="AN722:AN725" si="381">AK722*F722+IF(E722&gt;1.01,F722/E722*0.2,0)</f>
        <v>0</v>
      </c>
      <c r="AO722" t="s">
        <v>2559</v>
      </c>
      <c r="AV722" t="str">
        <f>IF(F722&gt;0,(COUNT($AV$1:AV721)+1),"")</f>
        <v/>
      </c>
    </row>
    <row r="723" spans="1:48" ht="15" customHeight="1" x14ac:dyDescent="0.25">
      <c r="A723" s="1"/>
      <c r="B723" s="31">
        <v>21362</v>
      </c>
      <c r="C723" s="16">
        <v>4620008856858</v>
      </c>
      <c r="D723" s="422" t="s">
        <v>6699</v>
      </c>
      <c r="E723" s="86">
        <v>15</v>
      </c>
      <c r="F723" s="222"/>
      <c r="G723" s="108">
        <v>60.4</v>
      </c>
      <c r="H723" s="17">
        <v>64.8</v>
      </c>
      <c r="I723" s="18">
        <v>71.400000000000006</v>
      </c>
      <c r="J723" s="113" t="s">
        <v>222</v>
      </c>
      <c r="K723" s="44" t="s">
        <v>97</v>
      </c>
      <c r="L723" s="442"/>
      <c r="M723" s="480" t="s">
        <v>1856</v>
      </c>
      <c r="N723" s="1015" t="s">
        <v>1856</v>
      </c>
      <c r="O723" s="210" t="s">
        <v>6702</v>
      </c>
      <c r="P723" s="68" t="s">
        <v>72</v>
      </c>
      <c r="Q723" s="100">
        <f>IF(AND($AO$636=1,MOD(F723,E723)=0),F723*G723,IF($AO$636&lt;=2,F723*H723,F723*I723))</f>
        <v>0</v>
      </c>
      <c r="R723" s="94" t="str">
        <f>IF(AO723&gt;0,HYPERLINK(AO723,"Фото &gt;&gt;"),"")</f>
        <v>Фото &gt;&gt;</v>
      </c>
      <c r="S723" s="14" t="s">
        <v>6703</v>
      </c>
      <c r="U723" s="4"/>
      <c r="V723" s="4"/>
      <c r="AK723">
        <v>3.5000000000000003E-2</v>
      </c>
      <c r="AL723">
        <f t="shared" si="379"/>
        <v>0</v>
      </c>
      <c r="AM723">
        <f t="shared" si="380"/>
        <v>0</v>
      </c>
      <c r="AN723">
        <f t="shared" si="381"/>
        <v>0</v>
      </c>
      <c r="AO723" t="s">
        <v>2560</v>
      </c>
      <c r="AV723" t="str">
        <f>IF(F723&gt;0,(COUNT($AV$1:AV722)+1),"")</f>
        <v/>
      </c>
    </row>
    <row r="724" spans="1:48" ht="15" customHeight="1" x14ac:dyDescent="0.25">
      <c r="A724" s="1"/>
      <c r="B724" s="30">
        <v>21365</v>
      </c>
      <c r="C724" s="20" t="s">
        <v>104</v>
      </c>
      <c r="D724" s="421" t="s">
        <v>6700</v>
      </c>
      <c r="E724" s="85">
        <v>15</v>
      </c>
      <c r="F724" s="222"/>
      <c r="G724" s="107">
        <v>60.4</v>
      </c>
      <c r="H724" s="21">
        <v>64.8</v>
      </c>
      <c r="I724" s="22">
        <v>71.400000000000006</v>
      </c>
      <c r="J724" s="112" t="s">
        <v>222</v>
      </c>
      <c r="K724" s="45" t="s">
        <v>97</v>
      </c>
      <c r="L724" s="437"/>
      <c r="M724" s="474" t="s">
        <v>1856</v>
      </c>
      <c r="N724" s="1013" t="s">
        <v>1856</v>
      </c>
      <c r="O724" s="209" t="s">
        <v>6702</v>
      </c>
      <c r="P724" s="66" t="s">
        <v>72</v>
      </c>
      <c r="Q724" s="100">
        <f>IF(AND($AO$636=1,MOD(F724,E724)=0),F724*G724,IF($AO$636&lt;=2,F724*H724,F724*I724))</f>
        <v>0</v>
      </c>
      <c r="R724" s="94" t="str">
        <f>IF(AO724&gt;0,HYPERLINK(AO724,"Фото &gt;&gt;"),"")</f>
        <v>Фото &gt;&gt;</v>
      </c>
      <c r="S724" s="14" t="s">
        <v>6704</v>
      </c>
      <c r="U724" s="4"/>
      <c r="V724" s="4"/>
      <c r="AK724">
        <v>3.5000000000000003E-2</v>
      </c>
      <c r="AL724">
        <f t="shared" si="379"/>
        <v>0</v>
      </c>
      <c r="AM724">
        <f t="shared" si="380"/>
        <v>0</v>
      </c>
      <c r="AN724">
        <f t="shared" si="381"/>
        <v>0</v>
      </c>
      <c r="AO724" t="s">
        <v>2561</v>
      </c>
      <c r="AV724" t="str">
        <f>IF(F724&gt;0,(COUNT($AV$1:AV723)+1),"")</f>
        <v/>
      </c>
    </row>
    <row r="725" spans="1:48" ht="15" customHeight="1" x14ac:dyDescent="0.25">
      <c r="A725" s="1"/>
      <c r="B725" s="31">
        <v>21364</v>
      </c>
      <c r="C725" s="16" t="s">
        <v>104</v>
      </c>
      <c r="D725" s="422" t="s">
        <v>6701</v>
      </c>
      <c r="E725" s="86">
        <v>15</v>
      </c>
      <c r="F725" s="222"/>
      <c r="G725" s="108">
        <v>60.4</v>
      </c>
      <c r="H725" s="17">
        <v>64.8</v>
      </c>
      <c r="I725" s="18">
        <v>71.400000000000006</v>
      </c>
      <c r="J725" s="113" t="s">
        <v>222</v>
      </c>
      <c r="K725" s="44" t="s">
        <v>97</v>
      </c>
      <c r="L725" s="442"/>
      <c r="M725" s="480" t="s">
        <v>1856</v>
      </c>
      <c r="N725" s="1015" t="s">
        <v>1856</v>
      </c>
      <c r="O725" s="210" t="s">
        <v>6702</v>
      </c>
      <c r="P725" s="68" t="s">
        <v>72</v>
      </c>
      <c r="Q725" s="100">
        <f>IF(AND($AO$636=1,MOD(F725,E725)=0),F725*G725,IF($AO$636&lt;=2,F725*H725,F725*I725))</f>
        <v>0</v>
      </c>
      <c r="R725" s="94" t="str">
        <f>IF(AO725&gt;0,HYPERLINK(AO725,"Фото &gt;&gt;"),"")</f>
        <v>Фото &gt;&gt;</v>
      </c>
      <c r="S725" s="14" t="s">
        <v>6705</v>
      </c>
      <c r="U725" s="4"/>
      <c r="V725" s="4"/>
      <c r="AK725">
        <v>3.5000000000000003E-2</v>
      </c>
      <c r="AL725">
        <f t="shared" si="379"/>
        <v>0</v>
      </c>
      <c r="AM725">
        <f t="shared" si="380"/>
        <v>0</v>
      </c>
      <c r="AN725">
        <f t="shared" si="381"/>
        <v>0</v>
      </c>
      <c r="AO725" t="s">
        <v>2558</v>
      </c>
      <c r="AV725" t="str">
        <f>IF(F725&gt;0,(COUNT($AV$1:AV724)+1),"")</f>
        <v/>
      </c>
    </row>
    <row r="726" spans="1:48" ht="15" customHeight="1" x14ac:dyDescent="0.25">
      <c r="A726" s="1"/>
      <c r="B726" s="25"/>
      <c r="C726" s="26"/>
      <c r="D726" s="27" t="s">
        <v>288</v>
      </c>
      <c r="E726" s="80"/>
      <c r="F726" s="96"/>
      <c r="G726" s="28"/>
      <c r="H726" s="29"/>
      <c r="I726" s="29"/>
      <c r="J726" s="51"/>
      <c r="K726" s="47"/>
      <c r="L726" s="447"/>
      <c r="M726" s="489" t="s">
        <v>104</v>
      </c>
      <c r="N726" s="716"/>
      <c r="O726" s="186"/>
      <c r="P726" s="79"/>
      <c r="Q726" s="104"/>
      <c r="R726" s="13"/>
      <c r="S726" s="14"/>
      <c r="U726" s="4"/>
      <c r="V726" s="4"/>
      <c r="AL726">
        <f t="shared" ref="AL726" si="382">F726*G726</f>
        <v>0</v>
      </c>
      <c r="AM726">
        <f t="shared" ref="AM726" si="383">F726*H726</f>
        <v>0</v>
      </c>
      <c r="AN726">
        <f t="shared" ref="AN726:AN746" si="384">AK726*F726+IF(E726&gt;1.01,F726/E726*0.2,0)</f>
        <v>0</v>
      </c>
      <c r="AO726" t="s">
        <v>104</v>
      </c>
      <c r="AV726" t="str">
        <f>IF(F726&gt;0,(COUNT($AV$1:AV725)+1),"")</f>
        <v/>
      </c>
    </row>
    <row r="727" spans="1:48" ht="15" customHeight="1" x14ac:dyDescent="0.25">
      <c r="A727" s="1"/>
      <c r="B727" s="30">
        <v>21199</v>
      </c>
      <c r="C727" s="20">
        <v>4620008857794</v>
      </c>
      <c r="D727" s="225" t="s">
        <v>6356</v>
      </c>
      <c r="E727" s="67">
        <v>10</v>
      </c>
      <c r="F727" s="222"/>
      <c r="G727" s="107">
        <v>107.1</v>
      </c>
      <c r="H727" s="21">
        <v>114.2</v>
      </c>
      <c r="I727" s="22">
        <v>125.5</v>
      </c>
      <c r="J727" s="112" t="s">
        <v>222</v>
      </c>
      <c r="K727" s="45" t="s">
        <v>92</v>
      </c>
      <c r="L727" s="437"/>
      <c r="M727" s="474" t="s">
        <v>1856</v>
      </c>
      <c r="N727" s="1013" t="s">
        <v>1856</v>
      </c>
      <c r="O727" s="209" t="s">
        <v>5757</v>
      </c>
      <c r="P727" s="66" t="s">
        <v>72</v>
      </c>
      <c r="Q727" s="100">
        <f t="shared" ref="Q727:Q732" si="385">IF(AND($AO$636=1,MOD(F727,E727)=0),F727*G727,IF($AO$636&lt;=2,F727*H727,F727*I727))</f>
        <v>0</v>
      </c>
      <c r="R727" s="94" t="str">
        <f t="shared" ref="R727:R792" si="386">IF(AO727&gt;0,HYPERLINK(AO727,"Фото &gt;&gt;"),"")</f>
        <v>Фото &gt;&gt;</v>
      </c>
      <c r="S727" s="14" t="s">
        <v>6354</v>
      </c>
      <c r="U727" s="4"/>
      <c r="V727" s="4"/>
      <c r="AK727">
        <v>0.1</v>
      </c>
      <c r="AL727">
        <f t="shared" ref="AL727:AL729" si="387">F727*G727</f>
        <v>0</v>
      </c>
      <c r="AM727">
        <f t="shared" ref="AM727:AM729" si="388">F727*H727</f>
        <v>0</v>
      </c>
      <c r="AN727">
        <f t="shared" ref="AN727:AN729" si="389">AK727*F727+IF(E727&gt;1.01,F727/E727*0.2,0)</f>
        <v>0</v>
      </c>
      <c r="AO727" t="s">
        <v>6355</v>
      </c>
      <c r="AV727" t="str">
        <f>IF(F727&gt;0,(COUNT($AV$1:AV726)+1),"")</f>
        <v/>
      </c>
    </row>
    <row r="728" spans="1:48" ht="15" customHeight="1" x14ac:dyDescent="0.25">
      <c r="A728" s="1"/>
      <c r="B728" s="31">
        <v>21161</v>
      </c>
      <c r="C728" s="16">
        <v>4620008853178</v>
      </c>
      <c r="D728" s="154" t="s">
        <v>6296</v>
      </c>
      <c r="E728" s="69">
        <v>10</v>
      </c>
      <c r="F728" s="222"/>
      <c r="G728" s="108">
        <v>105</v>
      </c>
      <c r="H728" s="17">
        <v>111</v>
      </c>
      <c r="I728" s="18">
        <v>122</v>
      </c>
      <c r="J728" s="113" t="s">
        <v>222</v>
      </c>
      <c r="K728" s="44" t="s">
        <v>92</v>
      </c>
      <c r="L728" s="442"/>
      <c r="M728" s="480" t="s">
        <v>1856</v>
      </c>
      <c r="N728" s="1015" t="s">
        <v>1856</v>
      </c>
      <c r="O728" s="210" t="s">
        <v>5757</v>
      </c>
      <c r="P728" s="68" t="s">
        <v>72</v>
      </c>
      <c r="Q728" s="100">
        <f t="shared" si="385"/>
        <v>0</v>
      </c>
      <c r="R728" s="94" t="str">
        <f t="shared" si="386"/>
        <v>Фото &gt;&gt;</v>
      </c>
      <c r="S728" s="14" t="s">
        <v>289</v>
      </c>
      <c r="U728" s="4"/>
      <c r="V728" s="4"/>
      <c r="AK728">
        <v>0.1</v>
      </c>
      <c r="AL728">
        <f t="shared" si="387"/>
        <v>0</v>
      </c>
      <c r="AM728">
        <f t="shared" si="388"/>
        <v>0</v>
      </c>
      <c r="AN728">
        <f t="shared" si="389"/>
        <v>0</v>
      </c>
      <c r="AO728" t="s">
        <v>6711</v>
      </c>
      <c r="AV728" t="str">
        <f>IF(F728&gt;0,(COUNT($AV$1:AV727)+1),"")</f>
        <v/>
      </c>
    </row>
    <row r="729" spans="1:48" ht="15" customHeight="1" x14ac:dyDescent="0.25">
      <c r="A729" s="1"/>
      <c r="B729" s="30">
        <v>21162</v>
      </c>
      <c r="C729" s="20">
        <v>4620008853208</v>
      </c>
      <c r="D729" s="153" t="s">
        <v>6297</v>
      </c>
      <c r="E729" s="67">
        <v>10</v>
      </c>
      <c r="F729" s="222"/>
      <c r="G729" s="107">
        <v>105</v>
      </c>
      <c r="H729" s="21">
        <v>111</v>
      </c>
      <c r="I729" s="22">
        <v>122</v>
      </c>
      <c r="J729" s="112" t="s">
        <v>222</v>
      </c>
      <c r="K729" s="45" t="s">
        <v>92</v>
      </c>
      <c r="L729" s="437"/>
      <c r="M729" s="474" t="s">
        <v>1856</v>
      </c>
      <c r="N729" s="1013" t="s">
        <v>1856</v>
      </c>
      <c r="O729" s="209" t="s">
        <v>5757</v>
      </c>
      <c r="P729" s="66" t="s">
        <v>72</v>
      </c>
      <c r="Q729" s="100">
        <f t="shared" si="385"/>
        <v>0</v>
      </c>
      <c r="R729" s="94" t="str">
        <f t="shared" si="386"/>
        <v>Фото &gt;&gt;</v>
      </c>
      <c r="S729" s="14" t="s">
        <v>290</v>
      </c>
      <c r="U729" s="4"/>
      <c r="V729" s="4"/>
      <c r="AK729">
        <v>0.1</v>
      </c>
      <c r="AL729">
        <f t="shared" si="387"/>
        <v>0</v>
      </c>
      <c r="AM729">
        <f t="shared" si="388"/>
        <v>0</v>
      </c>
      <c r="AN729">
        <f t="shared" si="389"/>
        <v>0</v>
      </c>
      <c r="AO729" t="s">
        <v>6712</v>
      </c>
      <c r="AV729" t="str">
        <f>IF(F729&gt;0,(COUNT($AV$1:AV728)+1),"")</f>
        <v/>
      </c>
    </row>
    <row r="730" spans="1:48" ht="15" customHeight="1" x14ac:dyDescent="0.25">
      <c r="A730" s="1"/>
      <c r="B730" s="31">
        <v>21290</v>
      </c>
      <c r="C730" s="16">
        <v>4620008857732</v>
      </c>
      <c r="D730" s="154" t="s">
        <v>6710</v>
      </c>
      <c r="E730" s="69">
        <v>10</v>
      </c>
      <c r="F730" s="222"/>
      <c r="G730" s="108">
        <v>105</v>
      </c>
      <c r="H730" s="17">
        <v>111</v>
      </c>
      <c r="I730" s="18">
        <v>122</v>
      </c>
      <c r="J730" s="113" t="s">
        <v>222</v>
      </c>
      <c r="K730" s="44" t="s">
        <v>92</v>
      </c>
      <c r="L730" s="442"/>
      <c r="M730" s="480" t="s">
        <v>1856</v>
      </c>
      <c r="N730" s="1015" t="s">
        <v>1856</v>
      </c>
      <c r="O730" s="210" t="s">
        <v>5757</v>
      </c>
      <c r="P730" s="68" t="s">
        <v>72</v>
      </c>
      <c r="Q730" s="100">
        <f t="shared" si="385"/>
        <v>0</v>
      </c>
      <c r="R730" s="94" t="str">
        <f t="shared" si="386"/>
        <v>Фото &gt;&gt;</v>
      </c>
      <c r="S730" s="14" t="s">
        <v>6714</v>
      </c>
      <c r="U730" s="4"/>
      <c r="V730" s="4"/>
      <c r="AK730">
        <v>0.1</v>
      </c>
      <c r="AL730">
        <f t="shared" ref="AL730" si="390">F730*G730</f>
        <v>0</v>
      </c>
      <c r="AM730">
        <f t="shared" ref="AM730" si="391">F730*H730</f>
        <v>0</v>
      </c>
      <c r="AN730">
        <f t="shared" ref="AN730" si="392">AK730*F730+IF(E730&gt;1.01,F730/E730*0.2,0)</f>
        <v>0</v>
      </c>
      <c r="AO730" t="s">
        <v>6715</v>
      </c>
      <c r="AV730" t="str">
        <f>IF(F730&gt;0,(COUNT($AV$1:AV729)+1),"")</f>
        <v/>
      </c>
    </row>
    <row r="731" spans="1:48" ht="15" customHeight="1" x14ac:dyDescent="0.25">
      <c r="A731" s="1"/>
      <c r="B731" s="30">
        <v>21218</v>
      </c>
      <c r="C731" s="20">
        <v>4620008853611</v>
      </c>
      <c r="D731" s="153" t="s">
        <v>6298</v>
      </c>
      <c r="E731" s="67">
        <v>10</v>
      </c>
      <c r="F731" s="222"/>
      <c r="G731" s="107">
        <v>105</v>
      </c>
      <c r="H731" s="21">
        <v>112</v>
      </c>
      <c r="I731" s="22">
        <v>122</v>
      </c>
      <c r="J731" s="112" t="s">
        <v>222</v>
      </c>
      <c r="K731" s="45" t="s">
        <v>92</v>
      </c>
      <c r="L731" s="437"/>
      <c r="M731" s="474" t="s">
        <v>1856</v>
      </c>
      <c r="N731" s="1013" t="s">
        <v>1856</v>
      </c>
      <c r="O731" s="209" t="s">
        <v>5757</v>
      </c>
      <c r="P731" s="66" t="s">
        <v>72</v>
      </c>
      <c r="Q731" s="100">
        <f t="shared" si="385"/>
        <v>0</v>
      </c>
      <c r="R731" s="94" t="str">
        <f t="shared" si="386"/>
        <v>Фото &gt;&gt;</v>
      </c>
      <c r="S731" s="14" t="s">
        <v>291</v>
      </c>
      <c r="U731" s="4"/>
      <c r="V731" s="4"/>
      <c r="AK731">
        <v>0.1</v>
      </c>
      <c r="AL731">
        <f t="shared" ref="AL731:AL732" si="393">F731*G731</f>
        <v>0</v>
      </c>
      <c r="AM731">
        <f t="shared" ref="AM731:AM732" si="394">F731*H731</f>
        <v>0</v>
      </c>
      <c r="AN731">
        <f t="shared" si="384"/>
        <v>0</v>
      </c>
      <c r="AO731" t="s">
        <v>6713</v>
      </c>
      <c r="AV731" t="str">
        <f>IF(F731&gt;0,(COUNT($AV$1:AV730)+1),"")</f>
        <v/>
      </c>
    </row>
    <row r="732" spans="1:48" ht="15" customHeight="1" x14ac:dyDescent="0.25">
      <c r="A732" s="1"/>
      <c r="B732" s="31">
        <v>21180</v>
      </c>
      <c r="C732" s="16">
        <v>4620008853314</v>
      </c>
      <c r="D732" s="154" t="s">
        <v>6285</v>
      </c>
      <c r="E732" s="69">
        <v>10</v>
      </c>
      <c r="F732" s="222"/>
      <c r="G732" s="108">
        <v>105</v>
      </c>
      <c r="H732" s="17">
        <v>111</v>
      </c>
      <c r="I732" s="18">
        <v>122</v>
      </c>
      <c r="J732" s="113" t="s">
        <v>222</v>
      </c>
      <c r="K732" s="44" t="s">
        <v>92</v>
      </c>
      <c r="L732" s="442"/>
      <c r="M732" s="480" t="s">
        <v>1856</v>
      </c>
      <c r="N732" s="1015" t="s">
        <v>1856</v>
      </c>
      <c r="O732" s="210" t="s">
        <v>5757</v>
      </c>
      <c r="P732" s="68" t="s">
        <v>72</v>
      </c>
      <c r="Q732" s="100">
        <f t="shared" si="385"/>
        <v>0</v>
      </c>
      <c r="R732" s="94" t="str">
        <f t="shared" si="386"/>
        <v>Фото &gt;&gt;</v>
      </c>
      <c r="S732" s="14" t="s">
        <v>292</v>
      </c>
      <c r="U732" s="4"/>
      <c r="V732" s="4"/>
      <c r="AK732">
        <v>0.1</v>
      </c>
      <c r="AL732">
        <f t="shared" si="393"/>
        <v>0</v>
      </c>
      <c r="AM732">
        <f t="shared" si="394"/>
        <v>0</v>
      </c>
      <c r="AN732">
        <f t="shared" si="384"/>
        <v>0</v>
      </c>
      <c r="AO732" t="s">
        <v>6284</v>
      </c>
      <c r="AV732" t="str">
        <f>IF(F732&gt;0,(COUNT($AV$1:AV731)+1),"")</f>
        <v/>
      </c>
    </row>
    <row r="733" spans="1:48" ht="15" customHeight="1" x14ac:dyDescent="0.25">
      <c r="A733" s="1"/>
      <c r="B733" s="25"/>
      <c r="C733" s="26"/>
      <c r="D733" s="27" t="s">
        <v>2017</v>
      </c>
      <c r="E733" s="80"/>
      <c r="F733" s="96"/>
      <c r="G733" s="28"/>
      <c r="H733" s="29"/>
      <c r="I733" s="29"/>
      <c r="J733" s="51"/>
      <c r="K733" s="47"/>
      <c r="L733" s="447"/>
      <c r="M733" s="489" t="s">
        <v>104</v>
      </c>
      <c r="N733" s="716"/>
      <c r="O733" s="186"/>
      <c r="P733" s="79"/>
      <c r="Q733" s="104"/>
      <c r="R733" s="13"/>
      <c r="S733" s="14"/>
      <c r="U733" s="4"/>
      <c r="V733" s="4"/>
      <c r="AL733">
        <f t="shared" ref="AL733:AL734" si="395">F733*G733</f>
        <v>0</v>
      </c>
      <c r="AM733">
        <f t="shared" ref="AM733:AM734" si="396">F733*H733</f>
        <v>0</v>
      </c>
      <c r="AN733">
        <f t="shared" si="384"/>
        <v>0</v>
      </c>
      <c r="AO733" t="s">
        <v>104</v>
      </c>
      <c r="AV733" t="str">
        <f>IF(F733&gt;0,(COUNT($AV$1:AV732)+1),"")</f>
        <v/>
      </c>
    </row>
    <row r="734" spans="1:48" ht="15" customHeight="1" x14ac:dyDescent="0.25">
      <c r="A734" s="1"/>
      <c r="B734" s="30">
        <v>20252</v>
      </c>
      <c r="C734" s="20">
        <v>4620008857039</v>
      </c>
      <c r="D734" s="225" t="s">
        <v>2960</v>
      </c>
      <c r="E734" s="67">
        <v>10</v>
      </c>
      <c r="F734" s="222"/>
      <c r="G734" s="107">
        <v>95</v>
      </c>
      <c r="H734" s="21">
        <v>101.5</v>
      </c>
      <c r="I734" s="22">
        <v>112</v>
      </c>
      <c r="J734" s="112" t="s">
        <v>222</v>
      </c>
      <c r="K734" s="45" t="s">
        <v>49</v>
      </c>
      <c r="L734" s="437"/>
      <c r="M734" s="474" t="s">
        <v>1856</v>
      </c>
      <c r="N734" s="1013" t="s">
        <v>1856</v>
      </c>
      <c r="O734" s="209"/>
      <c r="P734" s="66" t="s">
        <v>72</v>
      </c>
      <c r="Q734" s="100">
        <f>IF(AND($AO$636=1,MOD(F734,E734)=0),F734*G734,IF($AO$636&lt;=2,F734*H734,F734*I734))</f>
        <v>0</v>
      </c>
      <c r="R734" s="13" t="str">
        <f t="shared" si="386"/>
        <v>Фото &gt;&gt;</v>
      </c>
      <c r="S734" s="14" t="s">
        <v>2961</v>
      </c>
      <c r="U734" s="4"/>
      <c r="V734" s="4"/>
      <c r="AK734">
        <v>0.115</v>
      </c>
      <c r="AL734">
        <f t="shared" si="395"/>
        <v>0</v>
      </c>
      <c r="AM734">
        <f t="shared" si="396"/>
        <v>0</v>
      </c>
      <c r="AN734">
        <f t="shared" si="384"/>
        <v>0</v>
      </c>
      <c r="AO734" t="s">
        <v>2962</v>
      </c>
      <c r="AV734" t="str">
        <f>IF(F734&gt;0,(COUNT($AV$1:AV733)+1),"")</f>
        <v/>
      </c>
    </row>
    <row r="735" spans="1:48" ht="15" customHeight="1" x14ac:dyDescent="0.25">
      <c r="A735" s="1"/>
      <c r="B735" s="25"/>
      <c r="C735" s="26"/>
      <c r="D735" s="228" t="s">
        <v>116</v>
      </c>
      <c r="E735" s="80"/>
      <c r="F735" s="96"/>
      <c r="G735" s="28"/>
      <c r="H735" s="29"/>
      <c r="I735" s="29"/>
      <c r="J735" s="51"/>
      <c r="K735" s="47"/>
      <c r="L735" s="447"/>
      <c r="M735" s="489" t="s">
        <v>104</v>
      </c>
      <c r="N735" s="716"/>
      <c r="O735" s="186"/>
      <c r="P735" s="79"/>
      <c r="Q735" s="104"/>
      <c r="R735" s="13"/>
      <c r="S735" s="14"/>
      <c r="U735" s="4"/>
      <c r="V735" s="4"/>
      <c r="AL735">
        <f t="shared" ref="AL735:AL740" si="397">F735*G735</f>
        <v>0</v>
      </c>
      <c r="AM735">
        <f t="shared" ref="AM735:AM740" si="398">F735*H735</f>
        <v>0</v>
      </c>
      <c r="AN735">
        <f t="shared" ref="AN735:AN740" si="399">AK735*F735+IF(E735&gt;1.01,F735/E735*0.2,0)</f>
        <v>0</v>
      </c>
      <c r="AO735" t="s">
        <v>104</v>
      </c>
      <c r="AV735" t="str">
        <f>IF(F735&gt;0,(COUNT($AV$1:AV734)+1),"")</f>
        <v/>
      </c>
    </row>
    <row r="736" spans="1:48" ht="15" customHeight="1" x14ac:dyDescent="0.25">
      <c r="A736" s="1"/>
      <c r="B736" s="30">
        <v>20896</v>
      </c>
      <c r="C736" s="20">
        <v>4620008857381</v>
      </c>
      <c r="D736" s="153" t="s">
        <v>6149</v>
      </c>
      <c r="E736" s="67">
        <v>14</v>
      </c>
      <c r="F736" s="222"/>
      <c r="G736" s="107">
        <v>155.5</v>
      </c>
      <c r="H736" s="21">
        <v>162.69999999999999</v>
      </c>
      <c r="I736" s="22">
        <v>177.5</v>
      </c>
      <c r="J736" s="112" t="s">
        <v>222</v>
      </c>
      <c r="K736" s="45" t="s">
        <v>110</v>
      </c>
      <c r="L736" s="437"/>
      <c r="M736" s="474" t="s">
        <v>1856</v>
      </c>
      <c r="N736" s="1013" t="s">
        <v>1856</v>
      </c>
      <c r="O736" s="212"/>
      <c r="P736" s="66" t="s">
        <v>72</v>
      </c>
      <c r="Q736" s="100">
        <f t="shared" ref="Q736:Q763" si="400">IF(AND($AO$636=1,MOD(F736,E736)=0),F736*G736,IF($AO$636&lt;=2,F736*H736,F736*I736))</f>
        <v>0</v>
      </c>
      <c r="R736" s="13" t="str">
        <f t="shared" si="386"/>
        <v>Фото &gt;&gt;</v>
      </c>
      <c r="S736" s="14" t="s">
        <v>4675</v>
      </c>
      <c r="U736" s="4"/>
      <c r="V736" s="4"/>
      <c r="AK736">
        <v>0.17</v>
      </c>
      <c r="AL736">
        <f t="shared" ref="AL736:AL739" si="401">F736*G736</f>
        <v>0</v>
      </c>
      <c r="AM736">
        <f t="shared" ref="AM736:AM739" si="402">F736*H736</f>
        <v>0</v>
      </c>
      <c r="AN736">
        <f t="shared" ref="AN736:AN739" si="403">AK736*F736+IF(E736&gt;1.01,F736/E736*0.2,0)</f>
        <v>0</v>
      </c>
      <c r="AO736" t="s">
        <v>4676</v>
      </c>
      <c r="AV736" t="str">
        <f>IF(F736&gt;0,(COUNT($AV$1:AV735)+1),"")</f>
        <v/>
      </c>
    </row>
    <row r="737" spans="1:48" ht="15" customHeight="1" x14ac:dyDescent="0.25">
      <c r="A737" s="1"/>
      <c r="B737" s="31">
        <v>20460</v>
      </c>
      <c r="C737" s="16">
        <v>4620008857138</v>
      </c>
      <c r="D737" s="154" t="s">
        <v>4223</v>
      </c>
      <c r="E737" s="69">
        <v>14</v>
      </c>
      <c r="F737" s="222"/>
      <c r="G737" s="108">
        <v>155.5</v>
      </c>
      <c r="H737" s="17">
        <v>162.69999999999999</v>
      </c>
      <c r="I737" s="18">
        <v>177</v>
      </c>
      <c r="J737" s="113" t="s">
        <v>222</v>
      </c>
      <c r="K737" s="44" t="s">
        <v>110</v>
      </c>
      <c r="L737" s="442"/>
      <c r="M737" s="480" t="s">
        <v>1856</v>
      </c>
      <c r="N737" s="1015" t="s">
        <v>1856</v>
      </c>
      <c r="O737" s="217"/>
      <c r="P737" s="68" t="s">
        <v>72</v>
      </c>
      <c r="Q737" s="100">
        <f t="shared" si="400"/>
        <v>0</v>
      </c>
      <c r="R737" s="13" t="str">
        <f t="shared" si="386"/>
        <v>Фото &gt;&gt;</v>
      </c>
      <c r="S737" s="14" t="s">
        <v>3892</v>
      </c>
      <c r="U737" s="4"/>
      <c r="V737" s="4"/>
      <c r="AK737">
        <v>0.17</v>
      </c>
      <c r="AL737">
        <f t="shared" si="401"/>
        <v>0</v>
      </c>
      <c r="AM737">
        <f t="shared" si="402"/>
        <v>0</v>
      </c>
      <c r="AN737">
        <f t="shared" si="403"/>
        <v>0</v>
      </c>
      <c r="AO737" t="s">
        <v>3893</v>
      </c>
      <c r="AV737" t="str">
        <f>IF(F737&gt;0,(COUNT($AV$1:AV736)+1),"")</f>
        <v/>
      </c>
    </row>
    <row r="738" spans="1:48" ht="15" customHeight="1" x14ac:dyDescent="0.25">
      <c r="A738" s="1"/>
      <c r="B738" s="30">
        <v>20459</v>
      </c>
      <c r="C738" s="20">
        <v>4620008857121</v>
      </c>
      <c r="D738" s="153" t="s">
        <v>4224</v>
      </c>
      <c r="E738" s="67">
        <v>14</v>
      </c>
      <c r="F738" s="222"/>
      <c r="G738" s="107">
        <v>155.5</v>
      </c>
      <c r="H738" s="21">
        <v>162.69999999999999</v>
      </c>
      <c r="I738" s="22">
        <v>177.5</v>
      </c>
      <c r="J738" s="112" t="s">
        <v>222</v>
      </c>
      <c r="K738" s="45" t="s">
        <v>110</v>
      </c>
      <c r="L738" s="437"/>
      <c r="M738" s="474" t="s">
        <v>1856</v>
      </c>
      <c r="N738" s="1013" t="s">
        <v>1856</v>
      </c>
      <c r="O738" s="212"/>
      <c r="P738" s="66" t="s">
        <v>72</v>
      </c>
      <c r="Q738" s="100">
        <f t="shared" si="400"/>
        <v>0</v>
      </c>
      <c r="R738" s="13" t="str">
        <f t="shared" si="386"/>
        <v>Фото &gt;&gt;</v>
      </c>
      <c r="S738" s="14" t="s">
        <v>3895</v>
      </c>
      <c r="U738" s="4"/>
      <c r="V738" s="4"/>
      <c r="AK738">
        <v>0.17</v>
      </c>
      <c r="AL738">
        <f t="shared" si="401"/>
        <v>0</v>
      </c>
      <c r="AM738">
        <f t="shared" si="402"/>
        <v>0</v>
      </c>
      <c r="AN738">
        <f t="shared" si="403"/>
        <v>0</v>
      </c>
      <c r="AO738" t="s">
        <v>3894</v>
      </c>
      <c r="AV738" t="str">
        <f>IF(F738&gt;0,(COUNT($AV$1:AV737)+1),"")</f>
        <v/>
      </c>
    </row>
    <row r="739" spans="1:48" ht="15" customHeight="1" x14ac:dyDescent="0.25">
      <c r="A739" s="1"/>
      <c r="B739" s="31">
        <v>20895</v>
      </c>
      <c r="C739" s="16">
        <v>4620008857442</v>
      </c>
      <c r="D739" s="154" t="s">
        <v>6150</v>
      </c>
      <c r="E739" s="69">
        <v>14</v>
      </c>
      <c r="F739" s="222"/>
      <c r="G739" s="108">
        <v>155.5</v>
      </c>
      <c r="H739" s="17">
        <v>162.69999999999999</v>
      </c>
      <c r="I739" s="18">
        <v>177</v>
      </c>
      <c r="J739" s="113" t="s">
        <v>222</v>
      </c>
      <c r="K739" s="44" t="s">
        <v>110</v>
      </c>
      <c r="L739" s="442"/>
      <c r="M739" s="480" t="s">
        <v>1856</v>
      </c>
      <c r="N739" s="1015" t="s">
        <v>1856</v>
      </c>
      <c r="O739" s="217"/>
      <c r="P739" s="68" t="s">
        <v>72</v>
      </c>
      <c r="Q739" s="100">
        <f t="shared" si="400"/>
        <v>0</v>
      </c>
      <c r="R739" s="13" t="str">
        <f t="shared" si="386"/>
        <v>Фото &gt;&gt;</v>
      </c>
      <c r="S739" s="14" t="s">
        <v>4674</v>
      </c>
      <c r="U739" s="4"/>
      <c r="V739" s="4"/>
      <c r="AK739">
        <v>0.17</v>
      </c>
      <c r="AL739">
        <f t="shared" si="401"/>
        <v>0</v>
      </c>
      <c r="AM739">
        <f t="shared" si="402"/>
        <v>0</v>
      </c>
      <c r="AN739">
        <f t="shared" si="403"/>
        <v>0</v>
      </c>
      <c r="AO739" t="s">
        <v>4677</v>
      </c>
      <c r="AV739" t="str">
        <f>IF(F739&gt;0,(COUNT($AV$1:AV738)+1),"")</f>
        <v/>
      </c>
    </row>
    <row r="740" spans="1:48" ht="15" customHeight="1" x14ac:dyDescent="0.25">
      <c r="A740" s="1"/>
      <c r="B740" s="30">
        <v>19070</v>
      </c>
      <c r="C740" s="20">
        <v>4620008856421</v>
      </c>
      <c r="D740" s="153" t="s">
        <v>2979</v>
      </c>
      <c r="E740" s="67">
        <v>14</v>
      </c>
      <c r="F740" s="222"/>
      <c r="G740" s="107">
        <v>154.19999999999999</v>
      </c>
      <c r="H740" s="21">
        <v>162</v>
      </c>
      <c r="I740" s="22">
        <v>175.4</v>
      </c>
      <c r="J740" s="112" t="s">
        <v>222</v>
      </c>
      <c r="K740" s="45" t="s">
        <v>110</v>
      </c>
      <c r="L740" s="437"/>
      <c r="M740" s="474" t="s">
        <v>104</v>
      </c>
      <c r="N740" s="1013" t="s">
        <v>1856</v>
      </c>
      <c r="O740" s="212"/>
      <c r="P740" s="66" t="s">
        <v>72</v>
      </c>
      <c r="Q740" s="100">
        <f t="shared" si="400"/>
        <v>0</v>
      </c>
      <c r="R740" s="13" t="str">
        <f t="shared" si="386"/>
        <v>Фото &gt;&gt;</v>
      </c>
      <c r="S740" s="14" t="s">
        <v>3467</v>
      </c>
      <c r="U740" s="4"/>
      <c r="V740" s="4"/>
      <c r="AK740">
        <v>0.17</v>
      </c>
      <c r="AL740">
        <f t="shared" si="397"/>
        <v>0</v>
      </c>
      <c r="AM740">
        <f t="shared" si="398"/>
        <v>0</v>
      </c>
      <c r="AN740">
        <f t="shared" si="399"/>
        <v>0</v>
      </c>
      <c r="AO740" t="s">
        <v>3470</v>
      </c>
      <c r="AV740" t="str">
        <f>IF(F740&gt;0,(COUNT($AV$1:AV739)+1),"")</f>
        <v/>
      </c>
    </row>
    <row r="741" spans="1:48" ht="15" customHeight="1" x14ac:dyDescent="0.25">
      <c r="A741" s="1"/>
      <c r="B741" s="31">
        <v>19014</v>
      </c>
      <c r="C741" s="16">
        <v>4620008856384</v>
      </c>
      <c r="D741" s="154" t="s">
        <v>2980</v>
      </c>
      <c r="E741" s="69">
        <v>14</v>
      </c>
      <c r="F741" s="222"/>
      <c r="G741" s="108">
        <v>100.3</v>
      </c>
      <c r="H741" s="17">
        <v>105</v>
      </c>
      <c r="I741" s="18">
        <v>114</v>
      </c>
      <c r="J741" s="113" t="s">
        <v>222</v>
      </c>
      <c r="K741" s="44" t="s">
        <v>110</v>
      </c>
      <c r="L741" s="442"/>
      <c r="M741" s="480" t="s">
        <v>104</v>
      </c>
      <c r="N741" s="1015" t="s">
        <v>1856</v>
      </c>
      <c r="O741" s="217"/>
      <c r="P741" s="68" t="s">
        <v>72</v>
      </c>
      <c r="Q741" s="100">
        <f t="shared" si="400"/>
        <v>0</v>
      </c>
      <c r="R741" s="13" t="str">
        <f t="shared" si="386"/>
        <v>Фото &gt;&gt;</v>
      </c>
      <c r="S741" s="14" t="s">
        <v>3468</v>
      </c>
      <c r="U741" s="4"/>
      <c r="V741" s="4"/>
      <c r="AK741">
        <v>0.17</v>
      </c>
      <c r="AL741">
        <f t="shared" ref="AL741:AL748" si="404">F741*G741</f>
        <v>0</v>
      </c>
      <c r="AM741">
        <f t="shared" ref="AM741:AM748" si="405">F741*H741</f>
        <v>0</v>
      </c>
      <c r="AN741">
        <f t="shared" si="384"/>
        <v>0</v>
      </c>
      <c r="AO741" t="s">
        <v>3471</v>
      </c>
      <c r="AV741" t="str">
        <f>IF(F741&gt;0,(COUNT($AV$1:AV740)+1),"")</f>
        <v/>
      </c>
    </row>
    <row r="742" spans="1:48" ht="15" customHeight="1" x14ac:dyDescent="0.25">
      <c r="A742" s="1"/>
      <c r="B742" s="30">
        <v>16913</v>
      </c>
      <c r="C742" s="20">
        <v>4620008855578</v>
      </c>
      <c r="D742" s="153" t="s">
        <v>3469</v>
      </c>
      <c r="E742" s="67">
        <v>14</v>
      </c>
      <c r="F742" s="222"/>
      <c r="G742" s="107">
        <v>129.19999999999999</v>
      </c>
      <c r="H742" s="21">
        <v>135</v>
      </c>
      <c r="I742" s="22">
        <v>147</v>
      </c>
      <c r="J742" s="112" t="s">
        <v>222</v>
      </c>
      <c r="K742" s="45" t="s">
        <v>110</v>
      </c>
      <c r="L742" s="437"/>
      <c r="M742" s="474" t="s">
        <v>104</v>
      </c>
      <c r="N742" s="1013" t="s">
        <v>1856</v>
      </c>
      <c r="O742" s="212"/>
      <c r="P742" s="66" t="s">
        <v>72</v>
      </c>
      <c r="Q742" s="100">
        <f t="shared" si="400"/>
        <v>0</v>
      </c>
      <c r="R742" s="13" t="str">
        <f t="shared" si="386"/>
        <v>Фото &gt;&gt;</v>
      </c>
      <c r="S742" s="14" t="s">
        <v>3468</v>
      </c>
      <c r="U742" s="4"/>
      <c r="V742" s="4"/>
      <c r="AK742">
        <v>0.17</v>
      </c>
      <c r="AL742">
        <f t="shared" si="404"/>
        <v>0</v>
      </c>
      <c r="AM742">
        <f t="shared" si="405"/>
        <v>0</v>
      </c>
      <c r="AN742">
        <f t="shared" si="384"/>
        <v>0</v>
      </c>
      <c r="AO742" t="s">
        <v>3472</v>
      </c>
      <c r="AV742" t="str">
        <f>IF(F742&gt;0,(COUNT($AV$1:AV741)+1),"")</f>
        <v/>
      </c>
    </row>
    <row r="743" spans="1:48" ht="15" customHeight="1" x14ac:dyDescent="0.25">
      <c r="A743" s="1"/>
      <c r="B743" s="31">
        <v>16914</v>
      </c>
      <c r="C743" s="16">
        <v>4620008855561</v>
      </c>
      <c r="D743" s="154" t="s">
        <v>2981</v>
      </c>
      <c r="E743" s="69">
        <v>14</v>
      </c>
      <c r="F743" s="222"/>
      <c r="G743" s="108">
        <v>154.19999999999999</v>
      </c>
      <c r="H743" s="17">
        <v>161.30000000000001</v>
      </c>
      <c r="I743" s="18">
        <v>177.5</v>
      </c>
      <c r="J743" s="113" t="s">
        <v>222</v>
      </c>
      <c r="K743" s="44" t="s">
        <v>110</v>
      </c>
      <c r="L743" s="442"/>
      <c r="M743" s="480" t="s">
        <v>104</v>
      </c>
      <c r="N743" s="1015" t="s">
        <v>1856</v>
      </c>
      <c r="O743" s="217"/>
      <c r="P743" s="68" t="s">
        <v>72</v>
      </c>
      <c r="Q743" s="100">
        <f t="shared" si="400"/>
        <v>0</v>
      </c>
      <c r="R743" s="13" t="str">
        <f t="shared" si="386"/>
        <v>Фото &gt;&gt;</v>
      </c>
      <c r="S743" s="14" t="s">
        <v>293</v>
      </c>
      <c r="U743" s="4"/>
      <c r="V743" s="4"/>
      <c r="AK743">
        <v>0.17</v>
      </c>
      <c r="AL743">
        <f t="shared" si="404"/>
        <v>0</v>
      </c>
      <c r="AM743">
        <f t="shared" si="405"/>
        <v>0</v>
      </c>
      <c r="AN743">
        <f t="shared" si="384"/>
        <v>0</v>
      </c>
      <c r="AO743" t="s">
        <v>3473</v>
      </c>
      <c r="AV743" t="str">
        <f>IF(F743&gt;0,(COUNT($AV$1:AV742)+1),"")</f>
        <v/>
      </c>
    </row>
    <row r="744" spans="1:48" ht="15" customHeight="1" x14ac:dyDescent="0.25">
      <c r="A744" s="1"/>
      <c r="B744" s="30">
        <v>16911</v>
      </c>
      <c r="C744" s="20">
        <v>4620008855554</v>
      </c>
      <c r="D744" s="153" t="s">
        <v>2982</v>
      </c>
      <c r="E744" s="67">
        <v>14</v>
      </c>
      <c r="F744" s="222"/>
      <c r="G744" s="107">
        <v>90.3</v>
      </c>
      <c r="H744" s="21">
        <v>94.4</v>
      </c>
      <c r="I744" s="22">
        <v>103</v>
      </c>
      <c r="J744" s="112" t="s">
        <v>222</v>
      </c>
      <c r="K744" s="45" t="s">
        <v>110</v>
      </c>
      <c r="L744" s="437"/>
      <c r="M744" s="474" t="s">
        <v>104</v>
      </c>
      <c r="N744" s="1013" t="s">
        <v>1856</v>
      </c>
      <c r="O744" s="212"/>
      <c r="P744" s="66" t="s">
        <v>72</v>
      </c>
      <c r="Q744" s="100">
        <f t="shared" si="400"/>
        <v>0</v>
      </c>
      <c r="R744" s="13" t="str">
        <f t="shared" si="386"/>
        <v>Фото &gt;&gt;</v>
      </c>
      <c r="S744" s="14" t="s">
        <v>294</v>
      </c>
      <c r="U744" s="4"/>
      <c r="V744" s="4"/>
      <c r="AK744">
        <v>0.17</v>
      </c>
      <c r="AL744">
        <f t="shared" si="404"/>
        <v>0</v>
      </c>
      <c r="AM744">
        <f t="shared" si="405"/>
        <v>0</v>
      </c>
      <c r="AN744">
        <f t="shared" si="384"/>
        <v>0</v>
      </c>
      <c r="AO744" t="s">
        <v>3474</v>
      </c>
      <c r="AV744" t="str">
        <f>IF(F744&gt;0,(COUNT($AV$1:AV743)+1),"")</f>
        <v/>
      </c>
    </row>
    <row r="745" spans="1:48" ht="15" customHeight="1" x14ac:dyDescent="0.25">
      <c r="A745" s="1"/>
      <c r="B745" s="31">
        <v>17751</v>
      </c>
      <c r="C745" s="16">
        <v>4620008855707</v>
      </c>
      <c r="D745" s="154" t="s">
        <v>1835</v>
      </c>
      <c r="E745" s="69">
        <v>6</v>
      </c>
      <c r="F745" s="222"/>
      <c r="G745" s="108">
        <v>263.60000000000002</v>
      </c>
      <c r="H745" s="17">
        <v>275.3</v>
      </c>
      <c r="I745" s="18">
        <v>299</v>
      </c>
      <c r="J745" s="113" t="s">
        <v>222</v>
      </c>
      <c r="K745" s="44" t="s">
        <v>116</v>
      </c>
      <c r="L745" s="442"/>
      <c r="M745" s="480" t="s">
        <v>1856</v>
      </c>
      <c r="N745" s="1015" t="s">
        <v>1856</v>
      </c>
      <c r="O745" s="217"/>
      <c r="P745" s="68" t="s">
        <v>72</v>
      </c>
      <c r="Q745" s="100">
        <f t="shared" si="400"/>
        <v>0</v>
      </c>
      <c r="R745" s="13" t="str">
        <f t="shared" si="386"/>
        <v>Фото &gt;&gt;</v>
      </c>
      <c r="S745" s="14" t="s">
        <v>2133</v>
      </c>
      <c r="U745" s="4"/>
      <c r="V745" s="4"/>
      <c r="AK745">
        <v>0.1</v>
      </c>
      <c r="AL745">
        <f t="shared" si="404"/>
        <v>0</v>
      </c>
      <c r="AM745">
        <f t="shared" si="405"/>
        <v>0</v>
      </c>
      <c r="AN745">
        <f t="shared" si="384"/>
        <v>0</v>
      </c>
      <c r="AO745" t="s">
        <v>2563</v>
      </c>
      <c r="AV745" t="str">
        <f>IF(F745&gt;0,(COUNT($AV$1:AV744)+1),"")</f>
        <v/>
      </c>
    </row>
    <row r="746" spans="1:48" ht="15" customHeight="1" x14ac:dyDescent="0.25">
      <c r="A746" s="1"/>
      <c r="B746" s="30">
        <v>17871</v>
      </c>
      <c r="C746" s="20">
        <v>4620008855721</v>
      </c>
      <c r="D746" s="153" t="s">
        <v>2020</v>
      </c>
      <c r="E746" s="67">
        <v>6</v>
      </c>
      <c r="F746" s="222"/>
      <c r="G746" s="107">
        <v>229.5</v>
      </c>
      <c r="H746" s="21">
        <v>239.9</v>
      </c>
      <c r="I746" s="22">
        <v>262</v>
      </c>
      <c r="J746" s="112" t="s">
        <v>222</v>
      </c>
      <c r="K746" s="45" t="s">
        <v>116</v>
      </c>
      <c r="L746" s="437"/>
      <c r="M746" s="474" t="s">
        <v>104</v>
      </c>
      <c r="N746" s="1013" t="s">
        <v>1856</v>
      </c>
      <c r="O746" s="212"/>
      <c r="P746" s="66" t="s">
        <v>72</v>
      </c>
      <c r="Q746" s="100">
        <f t="shared" si="400"/>
        <v>0</v>
      </c>
      <c r="R746" s="13" t="str">
        <f t="shared" si="386"/>
        <v>Фото &gt;&gt;</v>
      </c>
      <c r="S746" s="14" t="s">
        <v>3475</v>
      </c>
      <c r="U746" s="4"/>
      <c r="V746" s="4"/>
      <c r="AK746">
        <v>0.1</v>
      </c>
      <c r="AL746">
        <f t="shared" si="404"/>
        <v>0</v>
      </c>
      <c r="AM746">
        <f t="shared" si="405"/>
        <v>0</v>
      </c>
      <c r="AN746">
        <f t="shared" si="384"/>
        <v>0</v>
      </c>
      <c r="AO746" t="s">
        <v>3476</v>
      </c>
      <c r="AV746" t="str">
        <f>IF(F746&gt;0,(COUNT($AV$1:AV745)+1),"")</f>
        <v/>
      </c>
    </row>
    <row r="747" spans="1:48" ht="15" customHeight="1" x14ac:dyDescent="0.25">
      <c r="A747" s="1"/>
      <c r="B747" s="31">
        <v>21270</v>
      </c>
      <c r="C747" s="16">
        <v>4620008856667</v>
      </c>
      <c r="D747" s="226" t="s">
        <v>7275</v>
      </c>
      <c r="E747" s="69">
        <v>10</v>
      </c>
      <c r="F747" s="222"/>
      <c r="G747" s="108">
        <v>209.4</v>
      </c>
      <c r="H747" s="17">
        <v>219</v>
      </c>
      <c r="I747" s="18">
        <v>238</v>
      </c>
      <c r="J747" s="113" t="s">
        <v>222</v>
      </c>
      <c r="K747" s="44" t="s">
        <v>116</v>
      </c>
      <c r="L747" s="442"/>
      <c r="M747" s="480" t="s">
        <v>104</v>
      </c>
      <c r="N747" s="1015" t="s">
        <v>1856</v>
      </c>
      <c r="O747" s="210"/>
      <c r="P747" s="68" t="s">
        <v>72</v>
      </c>
      <c r="Q747" s="100">
        <f t="shared" si="400"/>
        <v>0</v>
      </c>
      <c r="R747" s="13" t="str">
        <f t="shared" si="386"/>
        <v>Фото &gt;&gt;</v>
      </c>
      <c r="S747" s="14" t="s">
        <v>6352</v>
      </c>
      <c r="U747" s="4"/>
      <c r="V747" s="4"/>
      <c r="AK747">
        <v>0.17</v>
      </c>
      <c r="AL747">
        <f t="shared" ref="AL747" si="406">F747*G747</f>
        <v>0</v>
      </c>
      <c r="AM747">
        <f t="shared" ref="AM747" si="407">F747*H747</f>
        <v>0</v>
      </c>
      <c r="AN747">
        <f t="shared" ref="AN747:AN751" si="408">AK747*F747+IF(E747&gt;1.01,F747/E747*0.2,0)</f>
        <v>0</v>
      </c>
      <c r="AO747" t="s">
        <v>6353</v>
      </c>
      <c r="AV747" t="str">
        <f>IF(F747&gt;0,(COUNT($AV$1:AV746)+1),"")</f>
        <v/>
      </c>
    </row>
    <row r="748" spans="1:48" ht="15" customHeight="1" x14ac:dyDescent="0.25">
      <c r="A748" s="1"/>
      <c r="B748" s="30">
        <v>19586</v>
      </c>
      <c r="C748" s="20">
        <v>4620008856605</v>
      </c>
      <c r="D748" s="153" t="s">
        <v>1998</v>
      </c>
      <c r="E748" s="67">
        <v>10</v>
      </c>
      <c r="F748" s="222"/>
      <c r="G748" s="107">
        <v>209.4</v>
      </c>
      <c r="H748" s="21">
        <v>219</v>
      </c>
      <c r="I748" s="22">
        <v>238</v>
      </c>
      <c r="J748" s="112" t="s">
        <v>222</v>
      </c>
      <c r="K748" s="45" t="s">
        <v>116</v>
      </c>
      <c r="L748" s="437"/>
      <c r="M748" s="474" t="s">
        <v>1856</v>
      </c>
      <c r="N748" s="1013" t="s">
        <v>1856</v>
      </c>
      <c r="O748" s="212"/>
      <c r="P748" s="66" t="s">
        <v>72</v>
      </c>
      <c r="Q748" s="100">
        <f t="shared" si="400"/>
        <v>0</v>
      </c>
      <c r="R748" s="13" t="str">
        <f t="shared" si="386"/>
        <v>Фото &gt;&gt;</v>
      </c>
      <c r="S748" s="14" t="s">
        <v>2179</v>
      </c>
      <c r="U748" s="4"/>
      <c r="V748" s="4"/>
      <c r="AK748">
        <v>0.17</v>
      </c>
      <c r="AL748">
        <f t="shared" si="404"/>
        <v>0</v>
      </c>
      <c r="AM748">
        <f t="shared" si="405"/>
        <v>0</v>
      </c>
      <c r="AN748">
        <f t="shared" si="408"/>
        <v>0</v>
      </c>
      <c r="AO748" t="s">
        <v>2564</v>
      </c>
      <c r="AV748" t="str">
        <f>IF(F748&gt;0,(COUNT($AV$1:AV747)+1),"")</f>
        <v/>
      </c>
    </row>
    <row r="749" spans="1:48" ht="15" customHeight="1" x14ac:dyDescent="0.25">
      <c r="A749" s="1"/>
      <c r="B749" s="31">
        <v>21070</v>
      </c>
      <c r="C749" s="16">
        <v>4620008857237</v>
      </c>
      <c r="D749" s="226" t="s">
        <v>5910</v>
      </c>
      <c r="E749" s="69">
        <v>10</v>
      </c>
      <c r="F749" s="222"/>
      <c r="G749" s="108">
        <v>224.5</v>
      </c>
      <c r="H749" s="17">
        <v>234.7</v>
      </c>
      <c r="I749" s="18">
        <v>255</v>
      </c>
      <c r="J749" s="113" t="s">
        <v>222</v>
      </c>
      <c r="K749" s="44" t="s">
        <v>116</v>
      </c>
      <c r="L749" s="442"/>
      <c r="M749" s="480" t="s">
        <v>1856</v>
      </c>
      <c r="N749" s="1015" t="s">
        <v>1856</v>
      </c>
      <c r="O749" s="210"/>
      <c r="P749" s="68" t="s">
        <v>72</v>
      </c>
      <c r="Q749" s="100">
        <f t="shared" si="400"/>
        <v>0</v>
      </c>
      <c r="R749" s="13" t="str">
        <f t="shared" si="386"/>
        <v>Фото &gt;&gt;</v>
      </c>
      <c r="S749" s="14" t="s">
        <v>5911</v>
      </c>
      <c r="U749" s="4"/>
      <c r="V749" s="4"/>
      <c r="AK749">
        <v>0.17</v>
      </c>
      <c r="AL749">
        <f t="shared" ref="AL749" si="409">F749*G749</f>
        <v>0</v>
      </c>
      <c r="AM749">
        <f t="shared" ref="AM749" si="410">F749*H749</f>
        <v>0</v>
      </c>
      <c r="AN749">
        <f t="shared" ref="AN749" si="411">AK749*F749+IF(E749&gt;1.01,F749/E749*0.2,0)</f>
        <v>0</v>
      </c>
      <c r="AO749" t="s">
        <v>5912</v>
      </c>
      <c r="AV749" t="str">
        <f>IF(F749&gt;0,(COUNT($AV$1:AV748)+1),"")</f>
        <v/>
      </c>
    </row>
    <row r="750" spans="1:48" ht="15" customHeight="1" x14ac:dyDescent="0.25">
      <c r="A750" s="1"/>
      <c r="B750" s="30">
        <v>20128</v>
      </c>
      <c r="C750" s="20">
        <v>4620008857008</v>
      </c>
      <c r="D750" s="153" t="s">
        <v>3804</v>
      </c>
      <c r="E750" s="67">
        <v>10</v>
      </c>
      <c r="F750" s="222"/>
      <c r="G750" s="107">
        <v>312.2</v>
      </c>
      <c r="H750" s="21">
        <v>326.39999999999998</v>
      </c>
      <c r="I750" s="22">
        <v>357</v>
      </c>
      <c r="J750" s="112" t="s">
        <v>222</v>
      </c>
      <c r="K750" s="45" t="s">
        <v>118</v>
      </c>
      <c r="L750" s="437"/>
      <c r="M750" s="474" t="s">
        <v>1856</v>
      </c>
      <c r="N750" s="1013" t="s">
        <v>1856</v>
      </c>
      <c r="O750" s="212"/>
      <c r="P750" s="66" t="s">
        <v>72</v>
      </c>
      <c r="Q750" s="100">
        <f t="shared" si="400"/>
        <v>0</v>
      </c>
      <c r="R750" s="13" t="str">
        <f t="shared" si="386"/>
        <v>Фото &gt;&gt;</v>
      </c>
      <c r="S750" s="14" t="s">
        <v>2326</v>
      </c>
      <c r="U750" s="4"/>
      <c r="V750" s="4"/>
      <c r="AK750">
        <v>0.15</v>
      </c>
      <c r="AL750">
        <f t="shared" ref="AL750:AL751" si="412">F750*G750</f>
        <v>0</v>
      </c>
      <c r="AM750">
        <f t="shared" ref="AM750:AM751" si="413">F750*H750</f>
        <v>0</v>
      </c>
      <c r="AN750">
        <f t="shared" si="408"/>
        <v>0</v>
      </c>
      <c r="AO750" t="s">
        <v>2565</v>
      </c>
      <c r="AV750" t="str">
        <f>IF(F750&gt;0,(COUNT($AV$1:AV749)+1),"")</f>
        <v/>
      </c>
    </row>
    <row r="751" spans="1:48" ht="15" customHeight="1" x14ac:dyDescent="0.25">
      <c r="A751" s="1"/>
      <c r="B751" s="31">
        <v>19073</v>
      </c>
      <c r="C751" s="16">
        <v>4620008856407</v>
      </c>
      <c r="D751" s="154" t="s">
        <v>1836</v>
      </c>
      <c r="E751" s="69">
        <v>10</v>
      </c>
      <c r="F751" s="222"/>
      <c r="G751" s="108">
        <v>224.5</v>
      </c>
      <c r="H751" s="17">
        <v>234.7</v>
      </c>
      <c r="I751" s="18">
        <v>255</v>
      </c>
      <c r="J751" s="113" t="s">
        <v>222</v>
      </c>
      <c r="K751" s="44" t="s">
        <v>118</v>
      </c>
      <c r="L751" s="442"/>
      <c r="M751" s="480" t="s">
        <v>1856</v>
      </c>
      <c r="N751" s="1015" t="s">
        <v>1856</v>
      </c>
      <c r="O751" s="217"/>
      <c r="P751" s="68" t="s">
        <v>72</v>
      </c>
      <c r="Q751" s="100">
        <f t="shared" si="400"/>
        <v>0</v>
      </c>
      <c r="R751" s="13" t="str">
        <f t="shared" ref="R751" si="414">IF(AO751&gt;0,HYPERLINK(AO751,"Фото &gt;&gt;"),"")</f>
        <v>Фото &gt;&gt;</v>
      </c>
      <c r="S751" s="14" t="s">
        <v>1756</v>
      </c>
      <c r="U751" s="4"/>
      <c r="V751" s="4"/>
      <c r="AK751">
        <v>0.17</v>
      </c>
      <c r="AL751">
        <f t="shared" si="412"/>
        <v>0</v>
      </c>
      <c r="AM751">
        <f t="shared" si="413"/>
        <v>0</v>
      </c>
      <c r="AN751">
        <f t="shared" si="408"/>
        <v>0</v>
      </c>
      <c r="AO751" t="s">
        <v>5521</v>
      </c>
      <c r="AV751" t="str">
        <f>IF(F751&gt;0,(COUNT($AV$1:AV750)+1),"")</f>
        <v/>
      </c>
    </row>
    <row r="752" spans="1:48" ht="15" customHeight="1" x14ac:dyDescent="0.25">
      <c r="A752" s="1"/>
      <c r="B752" s="30">
        <v>19587</v>
      </c>
      <c r="C752" s="20">
        <v>4620008856582</v>
      </c>
      <c r="D752" s="153" t="s">
        <v>1999</v>
      </c>
      <c r="E752" s="67">
        <v>10</v>
      </c>
      <c r="F752" s="222"/>
      <c r="G752" s="107">
        <v>284.7</v>
      </c>
      <c r="H752" s="21">
        <v>297.60000000000002</v>
      </c>
      <c r="I752" s="22">
        <v>323.5</v>
      </c>
      <c r="J752" s="112" t="s">
        <v>222</v>
      </c>
      <c r="K752" s="45" t="s">
        <v>116</v>
      </c>
      <c r="L752" s="437"/>
      <c r="M752" s="474" t="s">
        <v>1856</v>
      </c>
      <c r="N752" s="1013" t="s">
        <v>1856</v>
      </c>
      <c r="O752" s="212"/>
      <c r="P752" s="66" t="s">
        <v>72</v>
      </c>
      <c r="Q752" s="100">
        <f t="shared" si="400"/>
        <v>0</v>
      </c>
      <c r="R752" s="13" t="str">
        <f t="shared" ref="R752:R763" si="415">IF(AO752&gt;0,HYPERLINK(AO752,"Фото &gt;&gt;"),"")</f>
        <v>Фото &gt;&gt;</v>
      </c>
      <c r="S752" s="14" t="s">
        <v>2180</v>
      </c>
      <c r="U752" s="4"/>
      <c r="V752" s="4"/>
      <c r="AK752">
        <v>0.17</v>
      </c>
      <c r="AL752">
        <f t="shared" ref="AL752" si="416">F752*G752</f>
        <v>0</v>
      </c>
      <c r="AM752">
        <f t="shared" ref="AM752" si="417">F752*H752</f>
        <v>0</v>
      </c>
      <c r="AN752">
        <f t="shared" ref="AN752" si="418">AK752*F752+IF(E752&gt;1.01,F752/E752*0.2,0)</f>
        <v>0</v>
      </c>
      <c r="AO752" t="s">
        <v>2566</v>
      </c>
      <c r="AV752" t="str">
        <f>IF(F752&gt;0,(COUNT($AV$1:AV751)+1),"")</f>
        <v/>
      </c>
    </row>
    <row r="753" spans="1:48" ht="15" customHeight="1" x14ac:dyDescent="0.25">
      <c r="A753" s="1"/>
      <c r="B753" s="31">
        <v>20575</v>
      </c>
      <c r="C753" s="16">
        <v>4620008857220</v>
      </c>
      <c r="D753" s="154" t="s">
        <v>4437</v>
      </c>
      <c r="E753" s="69">
        <v>10</v>
      </c>
      <c r="F753" s="222"/>
      <c r="G753" s="108">
        <v>224.5</v>
      </c>
      <c r="H753" s="17">
        <v>234.7</v>
      </c>
      <c r="I753" s="18">
        <v>255</v>
      </c>
      <c r="J753" s="113" t="s">
        <v>222</v>
      </c>
      <c r="K753" s="44" t="s">
        <v>116</v>
      </c>
      <c r="L753" s="442"/>
      <c r="M753" s="480"/>
      <c r="N753" s="1015" t="s">
        <v>1856</v>
      </c>
      <c r="O753" s="217"/>
      <c r="P753" s="68" t="s">
        <v>72</v>
      </c>
      <c r="Q753" s="100">
        <f t="shared" si="400"/>
        <v>0</v>
      </c>
      <c r="R753" s="13" t="str">
        <f t="shared" si="415"/>
        <v>Фото &gt;&gt;</v>
      </c>
      <c r="S753" s="14" t="s">
        <v>4085</v>
      </c>
      <c r="U753" s="4"/>
      <c r="V753" s="4"/>
      <c r="AK753">
        <v>0.17</v>
      </c>
      <c r="AL753">
        <f t="shared" ref="AL753:AL757" si="419">F753*G753</f>
        <v>0</v>
      </c>
      <c r="AM753">
        <f t="shared" ref="AM753:AM757" si="420">F753*H753</f>
        <v>0</v>
      </c>
      <c r="AN753">
        <f t="shared" ref="AN753:AN757" si="421">AK753*F753+IF(E753&gt;1.01,F753/E753*0.2,0)</f>
        <v>0</v>
      </c>
      <c r="AO753" t="s">
        <v>4087</v>
      </c>
      <c r="AV753" t="str">
        <f>IF(F753&gt;0,(COUNT($AV$1:AV752)+1),"")</f>
        <v/>
      </c>
    </row>
    <row r="754" spans="1:48" ht="15" customHeight="1" x14ac:dyDescent="0.25">
      <c r="A754" s="1"/>
      <c r="B754" s="30">
        <v>20894</v>
      </c>
      <c r="C754" s="20">
        <v>4620008857459</v>
      </c>
      <c r="D754" s="153" t="s">
        <v>4673</v>
      </c>
      <c r="E754" s="67">
        <v>10</v>
      </c>
      <c r="F754" s="222"/>
      <c r="G754" s="107">
        <v>214.4</v>
      </c>
      <c r="H754" s="21">
        <v>224.2</v>
      </c>
      <c r="I754" s="22">
        <v>244</v>
      </c>
      <c r="J754" s="112" t="s">
        <v>222</v>
      </c>
      <c r="K754" s="45" t="s">
        <v>116</v>
      </c>
      <c r="L754" s="437"/>
      <c r="M754" s="474" t="s">
        <v>1856</v>
      </c>
      <c r="N754" s="1013" t="s">
        <v>1856</v>
      </c>
      <c r="O754" s="212"/>
      <c r="P754" s="66" t="s">
        <v>72</v>
      </c>
      <c r="Q754" s="100">
        <f t="shared" si="400"/>
        <v>0</v>
      </c>
      <c r="R754" s="13" t="str">
        <f t="shared" si="415"/>
        <v>Фото &gt;&gt;</v>
      </c>
      <c r="S754" s="14" t="s">
        <v>4671</v>
      </c>
      <c r="U754" s="4"/>
      <c r="V754" s="4"/>
      <c r="AK754">
        <v>0.17</v>
      </c>
      <c r="AL754">
        <f t="shared" ref="AL754:AL755" si="422">F754*G754</f>
        <v>0</v>
      </c>
      <c r="AM754">
        <f t="shared" ref="AM754:AM755" si="423">F754*H754</f>
        <v>0</v>
      </c>
      <c r="AN754">
        <f t="shared" ref="AN754:AN755" si="424">AK754*F754+IF(E754&gt;1.01,F754/E754*0.2,0)</f>
        <v>0</v>
      </c>
      <c r="AO754" t="s">
        <v>4672</v>
      </c>
      <c r="AV754" t="str">
        <f>IF(F754&gt;0,(COUNT($AV$1:AV753)+1),"")</f>
        <v/>
      </c>
    </row>
    <row r="755" spans="1:48" ht="15" customHeight="1" x14ac:dyDescent="0.25">
      <c r="A755" s="1"/>
      <c r="B755" s="31">
        <v>20577</v>
      </c>
      <c r="C755" s="16">
        <v>4620008857251</v>
      </c>
      <c r="D755" s="154" t="s">
        <v>4750</v>
      </c>
      <c r="E755" s="69">
        <v>10</v>
      </c>
      <c r="F755" s="222"/>
      <c r="G755" s="108">
        <v>217</v>
      </c>
      <c r="H755" s="17">
        <v>227</v>
      </c>
      <c r="I755" s="18">
        <v>247</v>
      </c>
      <c r="J755" s="113" t="s">
        <v>222</v>
      </c>
      <c r="K755" s="44" t="s">
        <v>116</v>
      </c>
      <c r="L755" s="442"/>
      <c r="M755" s="480"/>
      <c r="N755" s="1015" t="s">
        <v>1856</v>
      </c>
      <c r="O755" s="217"/>
      <c r="P755" s="68" t="s">
        <v>72</v>
      </c>
      <c r="Q755" s="100">
        <f t="shared" si="400"/>
        <v>0</v>
      </c>
      <c r="R755" s="13" t="str">
        <f t="shared" si="415"/>
        <v>Фото &gt;&gt;</v>
      </c>
      <c r="S755" s="14" t="s">
        <v>4119</v>
      </c>
      <c r="U755" s="4"/>
      <c r="V755" s="4"/>
      <c r="AK755">
        <v>0.17</v>
      </c>
      <c r="AL755">
        <f t="shared" si="422"/>
        <v>0</v>
      </c>
      <c r="AM755">
        <f t="shared" si="423"/>
        <v>0</v>
      </c>
      <c r="AN755">
        <f t="shared" si="424"/>
        <v>0</v>
      </c>
      <c r="AO755" t="s">
        <v>4120</v>
      </c>
      <c r="AV755" t="str">
        <f>IF(F755&gt;0,(COUNT($AV$1:AV754)+1),"")</f>
        <v/>
      </c>
    </row>
    <row r="756" spans="1:48" ht="15" customHeight="1" x14ac:dyDescent="0.25">
      <c r="A756" s="1"/>
      <c r="B756" s="30">
        <v>20612</v>
      </c>
      <c r="C756" s="20">
        <v>4620008857268</v>
      </c>
      <c r="D756" s="153" t="s">
        <v>4751</v>
      </c>
      <c r="E756" s="67">
        <v>10</v>
      </c>
      <c r="F756" s="222"/>
      <c r="G756" s="107">
        <v>217</v>
      </c>
      <c r="H756" s="21">
        <v>227</v>
      </c>
      <c r="I756" s="22">
        <v>247</v>
      </c>
      <c r="J756" s="112" t="s">
        <v>222</v>
      </c>
      <c r="K756" s="45" t="s">
        <v>116</v>
      </c>
      <c r="L756" s="437"/>
      <c r="M756" s="474"/>
      <c r="N756" s="1013" t="s">
        <v>1856</v>
      </c>
      <c r="O756" s="212"/>
      <c r="P756" s="66" t="s">
        <v>72</v>
      </c>
      <c r="Q756" s="100">
        <f t="shared" si="400"/>
        <v>0</v>
      </c>
      <c r="R756" s="13" t="str">
        <f t="shared" si="415"/>
        <v>Фото &gt;&gt;</v>
      </c>
      <c r="S756" s="14" t="s">
        <v>4172</v>
      </c>
      <c r="U756" s="4"/>
      <c r="V756" s="4"/>
      <c r="AK756">
        <v>0.17</v>
      </c>
      <c r="AL756">
        <f t="shared" ref="AL756" si="425">F756*G756</f>
        <v>0</v>
      </c>
      <c r="AM756">
        <f t="shared" ref="AM756" si="426">F756*H756</f>
        <v>0</v>
      </c>
      <c r="AN756">
        <f t="shared" ref="AN756" si="427">AK756*F756+IF(E756&gt;1.01,F756/E756*0.2,0)</f>
        <v>0</v>
      </c>
      <c r="AO756" t="s">
        <v>4173</v>
      </c>
      <c r="AV756" t="str">
        <f>IF(F756&gt;0,(COUNT($AV$1:AV755)+1),"")</f>
        <v/>
      </c>
    </row>
    <row r="757" spans="1:48" ht="15" customHeight="1" x14ac:dyDescent="0.25">
      <c r="A757" s="1"/>
      <c r="B757" s="31">
        <v>20574</v>
      </c>
      <c r="C757" s="16">
        <v>4620008857244</v>
      </c>
      <c r="D757" s="154" t="s">
        <v>4752</v>
      </c>
      <c r="E757" s="69">
        <v>10</v>
      </c>
      <c r="F757" s="222"/>
      <c r="G757" s="108">
        <v>217</v>
      </c>
      <c r="H757" s="17">
        <v>227</v>
      </c>
      <c r="I757" s="18">
        <v>247</v>
      </c>
      <c r="J757" s="113" t="s">
        <v>222</v>
      </c>
      <c r="K757" s="44" t="s">
        <v>116</v>
      </c>
      <c r="L757" s="442"/>
      <c r="M757" s="480"/>
      <c r="N757" s="1015" t="s">
        <v>1856</v>
      </c>
      <c r="O757" s="217"/>
      <c r="P757" s="68" t="s">
        <v>72</v>
      </c>
      <c r="Q757" s="100">
        <f t="shared" si="400"/>
        <v>0</v>
      </c>
      <c r="R757" s="13" t="str">
        <f t="shared" si="415"/>
        <v>Фото &gt;&gt;</v>
      </c>
      <c r="S757" s="14" t="s">
        <v>4086</v>
      </c>
      <c r="U757" s="4"/>
      <c r="V757" s="4"/>
      <c r="AK757">
        <v>0.17</v>
      </c>
      <c r="AL757">
        <f t="shared" si="419"/>
        <v>0</v>
      </c>
      <c r="AM757">
        <f t="shared" si="420"/>
        <v>0</v>
      </c>
      <c r="AN757">
        <f t="shared" si="421"/>
        <v>0</v>
      </c>
      <c r="AO757" t="s">
        <v>4088</v>
      </c>
      <c r="AV757" t="str">
        <f>IF(F757&gt;0,(COUNT($AV$1:AV756)+1),"")</f>
        <v/>
      </c>
    </row>
    <row r="758" spans="1:48" ht="15" customHeight="1" x14ac:dyDescent="0.25">
      <c r="A758" s="1"/>
      <c r="B758" s="30">
        <v>20578</v>
      </c>
      <c r="C758" s="20">
        <v>4620008857312</v>
      </c>
      <c r="D758" s="153" t="s">
        <v>4753</v>
      </c>
      <c r="E758" s="67">
        <v>10</v>
      </c>
      <c r="F758" s="222"/>
      <c r="G758" s="107">
        <v>244.5</v>
      </c>
      <c r="H758" s="21">
        <v>255.6</v>
      </c>
      <c r="I758" s="22">
        <v>278</v>
      </c>
      <c r="J758" s="112" t="s">
        <v>222</v>
      </c>
      <c r="K758" s="45" t="s">
        <v>116</v>
      </c>
      <c r="L758" s="437"/>
      <c r="M758" s="474" t="s">
        <v>1856</v>
      </c>
      <c r="N758" s="1013" t="s">
        <v>1856</v>
      </c>
      <c r="O758" s="212"/>
      <c r="P758" s="66" t="s">
        <v>72</v>
      </c>
      <c r="Q758" s="100">
        <f t="shared" si="400"/>
        <v>0</v>
      </c>
      <c r="R758" s="13" t="str">
        <f t="shared" si="415"/>
        <v>Фото &gt;&gt;</v>
      </c>
      <c r="S758" s="14" t="s">
        <v>4127</v>
      </c>
      <c r="U758" s="4"/>
      <c r="V758" s="4"/>
      <c r="AK758">
        <v>0.17</v>
      </c>
      <c r="AL758">
        <f t="shared" ref="AL758:AL763" si="428">F758*G758</f>
        <v>0</v>
      </c>
      <c r="AM758">
        <f t="shared" ref="AM758:AM763" si="429">F758*H758</f>
        <v>0</v>
      </c>
      <c r="AN758">
        <f t="shared" ref="AN758:AN763" si="430">AK758*F758+IF(E758&gt;1.01,F758/E758*0.2,0)</f>
        <v>0</v>
      </c>
      <c r="AO758" t="s">
        <v>4122</v>
      </c>
      <c r="AV758" t="str">
        <f>IF(F758&gt;0,(COUNT($AV$1:AV757)+1),"")</f>
        <v/>
      </c>
    </row>
    <row r="759" spans="1:48" ht="15" customHeight="1" x14ac:dyDescent="0.25">
      <c r="A759" s="1"/>
      <c r="B759" s="31">
        <v>20579</v>
      </c>
      <c r="C759" s="16">
        <v>4620008857299</v>
      </c>
      <c r="D759" s="154" t="s">
        <v>4754</v>
      </c>
      <c r="E759" s="69">
        <v>10</v>
      </c>
      <c r="F759" s="222"/>
      <c r="G759" s="108">
        <v>244.5</v>
      </c>
      <c r="H759" s="17">
        <v>255.6</v>
      </c>
      <c r="I759" s="18">
        <v>278</v>
      </c>
      <c r="J759" s="113" t="s">
        <v>222</v>
      </c>
      <c r="K759" s="44" t="s">
        <v>116</v>
      </c>
      <c r="L759" s="442"/>
      <c r="M759" s="480" t="s">
        <v>1856</v>
      </c>
      <c r="N759" s="1015" t="s">
        <v>1856</v>
      </c>
      <c r="O759" s="217"/>
      <c r="P759" s="68" t="s">
        <v>72</v>
      </c>
      <c r="Q759" s="100">
        <f t="shared" si="400"/>
        <v>0</v>
      </c>
      <c r="R759" s="13" t="str">
        <f t="shared" si="415"/>
        <v>Фото &gt;&gt;</v>
      </c>
      <c r="S759" s="14" t="s">
        <v>4128</v>
      </c>
      <c r="U759" s="4"/>
      <c r="V759" s="4"/>
      <c r="AK759">
        <v>0.17</v>
      </c>
      <c r="AL759">
        <f t="shared" si="428"/>
        <v>0</v>
      </c>
      <c r="AM759">
        <f t="shared" si="429"/>
        <v>0</v>
      </c>
      <c r="AN759">
        <f t="shared" si="430"/>
        <v>0</v>
      </c>
      <c r="AO759" t="s">
        <v>4123</v>
      </c>
      <c r="AV759" t="str">
        <f>IF(F759&gt;0,(COUNT($AV$1:AV758)+1),"")</f>
        <v/>
      </c>
    </row>
    <row r="760" spans="1:48" ht="15" customHeight="1" x14ac:dyDescent="0.25">
      <c r="A760" s="1"/>
      <c r="B760" s="30">
        <v>20580</v>
      </c>
      <c r="C760" s="20">
        <v>4620008857305</v>
      </c>
      <c r="D760" s="153" t="s">
        <v>4755</v>
      </c>
      <c r="E760" s="67">
        <v>10</v>
      </c>
      <c r="F760" s="222"/>
      <c r="G760" s="107">
        <v>244.5</v>
      </c>
      <c r="H760" s="21">
        <v>255.6</v>
      </c>
      <c r="I760" s="22">
        <v>278</v>
      </c>
      <c r="J760" s="112" t="s">
        <v>222</v>
      </c>
      <c r="K760" s="45" t="s">
        <v>116</v>
      </c>
      <c r="L760" s="437"/>
      <c r="M760" s="474" t="s">
        <v>1856</v>
      </c>
      <c r="N760" s="1013" t="s">
        <v>1856</v>
      </c>
      <c r="O760" s="212"/>
      <c r="P760" s="66" t="s">
        <v>72</v>
      </c>
      <c r="Q760" s="100">
        <f t="shared" si="400"/>
        <v>0</v>
      </c>
      <c r="R760" s="13" t="str">
        <f t="shared" si="415"/>
        <v>Фото &gt;&gt;</v>
      </c>
      <c r="S760" s="14" t="s">
        <v>4129</v>
      </c>
      <c r="U760" s="4"/>
      <c r="V760" s="4"/>
      <c r="AK760">
        <v>0.17</v>
      </c>
      <c r="AL760">
        <f t="shared" si="428"/>
        <v>0</v>
      </c>
      <c r="AM760">
        <f t="shared" si="429"/>
        <v>0</v>
      </c>
      <c r="AN760">
        <f t="shared" si="430"/>
        <v>0</v>
      </c>
      <c r="AO760" t="s">
        <v>4124</v>
      </c>
      <c r="AV760" t="str">
        <f>IF(F760&gt;0,(COUNT($AV$1:AV759)+1),"")</f>
        <v/>
      </c>
    </row>
    <row r="761" spans="1:48" ht="15" customHeight="1" x14ac:dyDescent="0.25">
      <c r="A761" s="1"/>
      <c r="B761" s="31">
        <v>20588</v>
      </c>
      <c r="C761" s="16">
        <v>4620008857329</v>
      </c>
      <c r="D761" s="154" t="s">
        <v>4756</v>
      </c>
      <c r="E761" s="69">
        <v>10</v>
      </c>
      <c r="F761" s="222"/>
      <c r="G761" s="108">
        <v>244.5</v>
      </c>
      <c r="H761" s="17">
        <v>255.6</v>
      </c>
      <c r="I761" s="18">
        <v>278</v>
      </c>
      <c r="J761" s="113" t="s">
        <v>222</v>
      </c>
      <c r="K761" s="44" t="s">
        <v>116</v>
      </c>
      <c r="L761" s="442"/>
      <c r="M761" s="480" t="s">
        <v>1856</v>
      </c>
      <c r="N761" s="1015" t="s">
        <v>1856</v>
      </c>
      <c r="O761" s="217"/>
      <c r="P761" s="68" t="s">
        <v>72</v>
      </c>
      <c r="Q761" s="100">
        <f t="shared" si="400"/>
        <v>0</v>
      </c>
      <c r="R761" s="13" t="str">
        <f t="shared" si="415"/>
        <v>Фото &gt;&gt;</v>
      </c>
      <c r="S761" s="14" t="s">
        <v>4126</v>
      </c>
      <c r="U761" s="4"/>
      <c r="V761" s="4"/>
      <c r="AK761">
        <v>0.17</v>
      </c>
      <c r="AL761">
        <f t="shared" ref="AL761" si="431">F761*G761</f>
        <v>0</v>
      </c>
      <c r="AM761">
        <f t="shared" ref="AM761" si="432">F761*H761</f>
        <v>0</v>
      </c>
      <c r="AN761">
        <f t="shared" ref="AN761" si="433">AK761*F761+IF(E761&gt;1.01,F761/E761*0.2,0)</f>
        <v>0</v>
      </c>
      <c r="AO761" t="s">
        <v>4125</v>
      </c>
      <c r="AV761" t="str">
        <f>IF(F761&gt;0,(COUNT($AV$1:AV760)+1),"")</f>
        <v/>
      </c>
    </row>
    <row r="762" spans="1:48" ht="15" customHeight="1" x14ac:dyDescent="0.25">
      <c r="A762" s="1"/>
      <c r="B762" s="30">
        <v>21041</v>
      </c>
      <c r="C762" s="20">
        <v>4620008857558</v>
      </c>
      <c r="D762" s="153" t="s">
        <v>5921</v>
      </c>
      <c r="E762" s="67">
        <v>10</v>
      </c>
      <c r="F762" s="222"/>
      <c r="G762" s="107">
        <v>127.9</v>
      </c>
      <c r="H762" s="21">
        <v>133.69999999999999</v>
      </c>
      <c r="I762" s="22">
        <v>145.4</v>
      </c>
      <c r="J762" s="112" t="s">
        <v>222</v>
      </c>
      <c r="K762" s="45" t="s">
        <v>556</v>
      </c>
      <c r="L762" s="437"/>
      <c r="M762" s="474"/>
      <c r="N762" s="1013" t="s">
        <v>1856</v>
      </c>
      <c r="O762" s="209"/>
      <c r="P762" s="66" t="s">
        <v>72</v>
      </c>
      <c r="Q762" s="100">
        <f t="shared" si="400"/>
        <v>0</v>
      </c>
      <c r="R762" s="13" t="str">
        <f t="shared" si="415"/>
        <v>Фото &gt;&gt;</v>
      </c>
      <c r="S762" s="14" t="s">
        <v>5920</v>
      </c>
      <c r="U762" s="4"/>
      <c r="V762" s="4"/>
      <c r="AK762">
        <v>0.17</v>
      </c>
      <c r="AL762">
        <f t="shared" ref="AL762" si="434">F762*G762</f>
        <v>0</v>
      </c>
      <c r="AM762">
        <f t="shared" ref="AM762" si="435">F762*H762</f>
        <v>0</v>
      </c>
      <c r="AN762">
        <f t="shared" ref="AN762" si="436">AK762*F762+IF(E762&gt;1.01,F762/E762*0.2,0)</f>
        <v>0</v>
      </c>
      <c r="AO762" t="s">
        <v>5922</v>
      </c>
      <c r="AV762" t="str">
        <f>IF(F762&gt;0,(COUNT($AV$1:AV761)+1),"")</f>
        <v/>
      </c>
    </row>
    <row r="763" spans="1:48" ht="15" customHeight="1" x14ac:dyDescent="0.25">
      <c r="A763" s="1"/>
      <c r="B763" s="31">
        <v>20874</v>
      </c>
      <c r="C763" s="16">
        <v>4620008857350</v>
      </c>
      <c r="D763" s="154" t="s">
        <v>4628</v>
      </c>
      <c r="E763" s="69">
        <v>10</v>
      </c>
      <c r="F763" s="222"/>
      <c r="G763" s="108">
        <v>158.1</v>
      </c>
      <c r="H763" s="17">
        <v>166.3</v>
      </c>
      <c r="I763" s="18">
        <v>174.4</v>
      </c>
      <c r="J763" s="113" t="s">
        <v>222</v>
      </c>
      <c r="K763" s="44" t="s">
        <v>116</v>
      </c>
      <c r="L763" s="442"/>
      <c r="M763" s="480" t="s">
        <v>1856</v>
      </c>
      <c r="N763" s="1015" t="s">
        <v>1856</v>
      </c>
      <c r="O763" s="217"/>
      <c r="P763" s="68" t="s">
        <v>50</v>
      </c>
      <c r="Q763" s="100">
        <f t="shared" si="400"/>
        <v>0</v>
      </c>
      <c r="R763" s="13" t="str">
        <f t="shared" si="415"/>
        <v>Фото &gt;&gt;</v>
      </c>
      <c r="S763" s="14" t="s">
        <v>4629</v>
      </c>
      <c r="U763" s="4"/>
      <c r="V763" s="4"/>
      <c r="AK763">
        <v>0.14000000000000001</v>
      </c>
      <c r="AL763">
        <f t="shared" si="428"/>
        <v>0</v>
      </c>
      <c r="AM763">
        <f t="shared" si="429"/>
        <v>0</v>
      </c>
      <c r="AN763">
        <f t="shared" si="430"/>
        <v>0</v>
      </c>
      <c r="AO763" t="s">
        <v>4630</v>
      </c>
      <c r="AV763" t="str">
        <f>IF(F763&gt;0,(COUNT($AV$1:AV762)+1),"")</f>
        <v/>
      </c>
    </row>
    <row r="764" spans="1:48" ht="15" customHeight="1" x14ac:dyDescent="0.25">
      <c r="A764" s="1"/>
      <c r="B764" s="125"/>
      <c r="C764" s="126"/>
      <c r="D764" s="127"/>
      <c r="E764" s="134"/>
      <c r="F764" s="189"/>
      <c r="G764" s="130"/>
      <c r="H764" s="131"/>
      <c r="I764" s="132"/>
      <c r="J764" s="128"/>
      <c r="K764" s="129"/>
      <c r="L764" s="433"/>
      <c r="M764" s="481" t="s">
        <v>104</v>
      </c>
      <c r="N764" s="471"/>
      <c r="O764" s="181"/>
      <c r="P764" s="133"/>
      <c r="Q764" s="135"/>
      <c r="R764" s="13"/>
      <c r="S764" s="14"/>
      <c r="AV764" t="str">
        <f>IF(F764&gt;0,(COUNT($AV$1:AV763)+1),"")</f>
        <v/>
      </c>
    </row>
    <row r="765" spans="1:48" ht="15" customHeight="1" thickBot="1" x14ac:dyDescent="0.3">
      <c r="A765" s="1"/>
      <c r="B765" s="136"/>
      <c r="C765" s="137"/>
      <c r="D765" s="138"/>
      <c r="E765" s="145"/>
      <c r="F765" s="190"/>
      <c r="G765" s="141"/>
      <c r="H765" s="142"/>
      <c r="I765" s="143"/>
      <c r="J765" s="139"/>
      <c r="K765" s="140"/>
      <c r="L765" s="434"/>
      <c r="M765" s="477" t="s">
        <v>104</v>
      </c>
      <c r="N765" s="468"/>
      <c r="O765" s="182"/>
      <c r="P765" s="144"/>
      <c r="Q765" s="146"/>
      <c r="R765" s="13"/>
      <c r="S765" s="14"/>
      <c r="AV765" t="str">
        <f>IF(F765&gt;0,(COUNT($AV$1:AV764)+1),"")</f>
        <v/>
      </c>
    </row>
    <row r="766" spans="1:48" ht="24.95" customHeight="1" thickBot="1" x14ac:dyDescent="0.3">
      <c r="A766" s="1"/>
      <c r="B766" s="169"/>
      <c r="C766" s="170"/>
      <c r="D766" s="171" t="str">
        <f>CONCATENATE("Дивинка","     |     Сумма заказа: ",AK766," руб.")</f>
        <v>Дивинка     |     Сумма заказа: 0 руб.</v>
      </c>
      <c r="E766" s="176"/>
      <c r="F766" s="177"/>
      <c r="G766" s="180" t="str">
        <f>CONCATENATE("Ценовая колонка: ",AO766,"   |   До следующей скидки: ",AJ766," руб.")</f>
        <v>Ценовая колонка: 3   |   До следующей скидки: 20000 руб.</v>
      </c>
      <c r="H766" s="174"/>
      <c r="I766" s="174"/>
      <c r="J766" s="172" t="s">
        <v>295</v>
      </c>
      <c r="K766" s="173"/>
      <c r="L766" s="444"/>
      <c r="M766" s="486" t="s">
        <v>104</v>
      </c>
      <c r="N766" s="717"/>
      <c r="O766" s="184"/>
      <c r="P766" s="175"/>
      <c r="Q766" s="178"/>
      <c r="R766" s="179" t="s">
        <v>1558</v>
      </c>
      <c r="S766" s="14"/>
      <c r="AJ766">
        <f>ROUND(IF(AL766&gt;50000,"0", IF(AND(AL766&lt;50000,AM766&gt;20000),50000-AL766,20000-AM766)),2)</f>
        <v>20000</v>
      </c>
      <c r="AK766">
        <f>SUM(Q768:Q830)</f>
        <v>0</v>
      </c>
      <c r="AL766">
        <f>SUM(AL768:AL830)</f>
        <v>0</v>
      </c>
      <c r="AM766">
        <f>SUM(AM768:AM830)</f>
        <v>0</v>
      </c>
      <c r="AO766">
        <f>IF(AM766&gt;20000,IF(AL766&gt;50000,1,2),3)</f>
        <v>3</v>
      </c>
      <c r="AV766" t="str">
        <f>IF(F766&gt;0,(COUNT($AV$1:AV765)+1),"")</f>
        <v/>
      </c>
    </row>
    <row r="767" spans="1:48" ht="15" customHeight="1" x14ac:dyDescent="0.25">
      <c r="A767" s="1"/>
      <c r="B767" s="296"/>
      <c r="C767" s="38"/>
      <c r="D767" s="39" t="s">
        <v>266</v>
      </c>
      <c r="E767" s="82"/>
      <c r="F767" s="97"/>
      <c r="G767" s="40" t="s">
        <v>169</v>
      </c>
      <c r="H767" s="41" t="s">
        <v>15</v>
      </c>
      <c r="I767" s="41" t="s">
        <v>16</v>
      </c>
      <c r="J767" s="52"/>
      <c r="K767" s="48"/>
      <c r="L767" s="448"/>
      <c r="M767" s="491" t="s">
        <v>104</v>
      </c>
      <c r="N767" s="715"/>
      <c r="O767" s="187"/>
      <c r="P767" s="81"/>
      <c r="Q767" s="105"/>
      <c r="R767" s="13"/>
      <c r="S767" s="14"/>
      <c r="AV767" t="str">
        <f>IF(F767&gt;0,(COUNT($AV$1:AV766)+1),"")</f>
        <v/>
      </c>
    </row>
    <row r="768" spans="1:48" ht="15" customHeight="1" x14ac:dyDescent="0.25">
      <c r="A768" s="1"/>
      <c r="B768" s="31">
        <v>17034</v>
      </c>
      <c r="C768" s="16">
        <v>4680288031369</v>
      </c>
      <c r="D768" s="154" t="s">
        <v>2338</v>
      </c>
      <c r="E768" s="69">
        <v>12</v>
      </c>
      <c r="F768" s="222"/>
      <c r="G768" s="108">
        <v>130.69999999999999</v>
      </c>
      <c r="H768" s="17">
        <v>134.69999999999999</v>
      </c>
      <c r="I768" s="18">
        <v>142.6</v>
      </c>
      <c r="J768" s="113" t="s">
        <v>295</v>
      </c>
      <c r="K768" s="44" t="s">
        <v>78</v>
      </c>
      <c r="L768" s="442"/>
      <c r="M768" s="480" t="s">
        <v>1856</v>
      </c>
      <c r="N768" s="1015" t="s">
        <v>1856</v>
      </c>
      <c r="O768" s="220"/>
      <c r="P768" s="68" t="s">
        <v>20</v>
      </c>
      <c r="Q768" s="100">
        <f t="shared" ref="Q768:Q785" si="437">IF($AO$766=2,F768*H768,IF($AO$766=1,F768*G768,F768*I768))</f>
        <v>0</v>
      </c>
      <c r="R768" s="13" t="str">
        <f t="shared" si="386"/>
        <v>Фото &gt;&gt;</v>
      </c>
      <c r="S768" s="14" t="s">
        <v>296</v>
      </c>
      <c r="AK768">
        <v>0.31</v>
      </c>
      <c r="AL768">
        <f t="shared" ref="AL768:AL793" si="438">F768*G768</f>
        <v>0</v>
      </c>
      <c r="AM768">
        <f t="shared" ref="AM768:AM793" si="439">F768*H768</f>
        <v>0</v>
      </c>
      <c r="AN768">
        <f t="shared" ref="AN768:AN797" si="440">AK768*F768+IF(E768&gt;1.01,F768/E768*0.2,0)</f>
        <v>0</v>
      </c>
      <c r="AO768" t="s">
        <v>2567</v>
      </c>
      <c r="AV768" t="str">
        <f>IF(F768&gt;0,(COUNT($AV$1:AV767)+1),"")</f>
        <v/>
      </c>
    </row>
    <row r="769" spans="1:48" ht="15" customHeight="1" x14ac:dyDescent="0.25">
      <c r="A769" s="1"/>
      <c r="B769" s="30">
        <v>17035</v>
      </c>
      <c r="C769" s="20">
        <v>4680288033820</v>
      </c>
      <c r="D769" s="153" t="s">
        <v>297</v>
      </c>
      <c r="E769" s="67">
        <v>12</v>
      </c>
      <c r="F769" s="222"/>
      <c r="G769" s="107">
        <v>83.2</v>
      </c>
      <c r="H769" s="21">
        <v>85.7</v>
      </c>
      <c r="I769" s="22">
        <v>90.7</v>
      </c>
      <c r="J769" s="112" t="s">
        <v>295</v>
      </c>
      <c r="K769" s="45" t="s">
        <v>78</v>
      </c>
      <c r="L769" s="437"/>
      <c r="M769" s="474" t="s">
        <v>1856</v>
      </c>
      <c r="N769" s="1013" t="s">
        <v>1856</v>
      </c>
      <c r="O769" s="216"/>
      <c r="P769" s="66" t="s">
        <v>20</v>
      </c>
      <c r="Q769" s="100">
        <f t="shared" si="437"/>
        <v>0</v>
      </c>
      <c r="R769" s="13" t="str">
        <f t="shared" si="386"/>
        <v>Фото &gt;&gt;</v>
      </c>
      <c r="S769" s="14" t="s">
        <v>298</v>
      </c>
      <c r="AK769">
        <v>0.32</v>
      </c>
      <c r="AL769">
        <f t="shared" si="438"/>
        <v>0</v>
      </c>
      <c r="AM769">
        <f t="shared" si="439"/>
        <v>0</v>
      </c>
      <c r="AN769">
        <f t="shared" si="440"/>
        <v>0</v>
      </c>
      <c r="AO769" t="s">
        <v>3073</v>
      </c>
      <c r="AV769" t="str">
        <f>IF(F769&gt;0,(COUNT($AV$1:AV768)+1),"")</f>
        <v/>
      </c>
    </row>
    <row r="770" spans="1:48" ht="15" customHeight="1" x14ac:dyDescent="0.25">
      <c r="A770" s="1"/>
      <c r="B770" s="31">
        <v>16838</v>
      </c>
      <c r="C770" s="16">
        <v>4680288033844</v>
      </c>
      <c r="D770" s="226" t="s">
        <v>2339</v>
      </c>
      <c r="E770" s="86">
        <v>12</v>
      </c>
      <c r="F770" s="222"/>
      <c r="G770" s="108">
        <v>66.099999999999994</v>
      </c>
      <c r="H770" s="17">
        <v>68</v>
      </c>
      <c r="I770" s="18">
        <v>72</v>
      </c>
      <c r="J770" s="113" t="s">
        <v>295</v>
      </c>
      <c r="K770" s="44" t="s">
        <v>78</v>
      </c>
      <c r="L770" s="442"/>
      <c r="M770" s="480" t="s">
        <v>1856</v>
      </c>
      <c r="N770" s="1015" t="s">
        <v>1856</v>
      </c>
      <c r="O770" s="217" t="s">
        <v>4226</v>
      </c>
      <c r="P770" s="68" t="s">
        <v>195</v>
      </c>
      <c r="Q770" s="100">
        <f t="shared" si="437"/>
        <v>0</v>
      </c>
      <c r="R770" s="13" t="str">
        <f t="shared" si="386"/>
        <v>Фото &gt;&gt;</v>
      </c>
      <c r="S770" s="14" t="s">
        <v>80</v>
      </c>
      <c r="AK770">
        <v>0.42</v>
      </c>
      <c r="AL770">
        <f t="shared" si="438"/>
        <v>0</v>
      </c>
      <c r="AM770">
        <f t="shared" si="439"/>
        <v>0</v>
      </c>
      <c r="AN770">
        <f t="shared" si="440"/>
        <v>0</v>
      </c>
      <c r="AO770" t="s">
        <v>3074</v>
      </c>
      <c r="AV770" t="str">
        <f>IF(F770&gt;0,(COUNT($AV$1:AV769)+1),"")</f>
        <v/>
      </c>
    </row>
    <row r="771" spans="1:48" ht="15" customHeight="1" x14ac:dyDescent="0.25">
      <c r="A771" s="1"/>
      <c r="B771" s="30">
        <v>17007</v>
      </c>
      <c r="C771" s="20">
        <v>4680288031314</v>
      </c>
      <c r="D771" s="225" t="s">
        <v>196</v>
      </c>
      <c r="E771" s="67">
        <v>12</v>
      </c>
      <c r="F771" s="222"/>
      <c r="G771" s="107">
        <v>121.8</v>
      </c>
      <c r="H771" s="21">
        <v>125.5</v>
      </c>
      <c r="I771" s="22">
        <v>132.9</v>
      </c>
      <c r="J771" s="112" t="s">
        <v>295</v>
      </c>
      <c r="K771" s="45" t="s">
        <v>78</v>
      </c>
      <c r="L771" s="437"/>
      <c r="M771" s="474" t="s">
        <v>1856</v>
      </c>
      <c r="N771" s="1013" t="s">
        <v>1856</v>
      </c>
      <c r="O771" s="216"/>
      <c r="P771" s="66" t="s">
        <v>53</v>
      </c>
      <c r="Q771" s="100">
        <f t="shared" si="437"/>
        <v>0</v>
      </c>
      <c r="R771" s="13" t="str">
        <f t="shared" si="386"/>
        <v>Фото &gt;&gt;</v>
      </c>
      <c r="S771" s="14" t="s">
        <v>299</v>
      </c>
      <c r="AK771">
        <v>0.52</v>
      </c>
      <c r="AL771">
        <f t="shared" si="438"/>
        <v>0</v>
      </c>
      <c r="AM771">
        <f t="shared" si="439"/>
        <v>0</v>
      </c>
      <c r="AN771">
        <f t="shared" si="440"/>
        <v>0</v>
      </c>
      <c r="AO771" t="s">
        <v>3075</v>
      </c>
      <c r="AV771" t="str">
        <f>IF(F771&gt;0,(COUNT($AV$1:AV770)+1),"")</f>
        <v/>
      </c>
    </row>
    <row r="772" spans="1:48" ht="15" customHeight="1" x14ac:dyDescent="0.25">
      <c r="A772" s="1"/>
      <c r="B772" s="31">
        <v>13484</v>
      </c>
      <c r="C772" s="16">
        <v>4680288033806</v>
      </c>
      <c r="D772" s="154" t="s">
        <v>300</v>
      </c>
      <c r="E772" s="69">
        <v>14</v>
      </c>
      <c r="F772" s="222"/>
      <c r="G772" s="108">
        <v>141.19999999999999</v>
      </c>
      <c r="H772" s="17">
        <v>145.4</v>
      </c>
      <c r="I772" s="18">
        <v>154</v>
      </c>
      <c r="J772" s="113" t="s">
        <v>295</v>
      </c>
      <c r="K772" s="44" t="s">
        <v>78</v>
      </c>
      <c r="L772" s="442"/>
      <c r="M772" s="480" t="s">
        <v>1856</v>
      </c>
      <c r="N772" s="1015" t="s">
        <v>1856</v>
      </c>
      <c r="O772" s="210"/>
      <c r="P772" s="68" t="s">
        <v>72</v>
      </c>
      <c r="Q772" s="100">
        <f t="shared" si="437"/>
        <v>0</v>
      </c>
      <c r="R772" s="13" t="str">
        <f t="shared" si="386"/>
        <v>Фото &gt;&gt;</v>
      </c>
      <c r="S772" s="14" t="s">
        <v>301</v>
      </c>
      <c r="AK772">
        <v>0.41</v>
      </c>
      <c r="AL772">
        <f t="shared" si="438"/>
        <v>0</v>
      </c>
      <c r="AM772">
        <f t="shared" si="439"/>
        <v>0</v>
      </c>
      <c r="AN772">
        <f t="shared" si="440"/>
        <v>0</v>
      </c>
      <c r="AO772" t="s">
        <v>3076</v>
      </c>
      <c r="AV772" t="str">
        <f>IF(F772&gt;0,(COUNT($AV$1:AV771)+1),"")</f>
        <v/>
      </c>
    </row>
    <row r="773" spans="1:48" ht="15" customHeight="1" x14ac:dyDescent="0.25">
      <c r="A773" s="1"/>
      <c r="B773" s="30">
        <v>12201</v>
      </c>
      <c r="C773" s="20">
        <v>4607160651538</v>
      </c>
      <c r="D773" s="225" t="s">
        <v>2340</v>
      </c>
      <c r="E773" s="67">
        <v>12</v>
      </c>
      <c r="F773" s="222"/>
      <c r="G773" s="107">
        <v>86.9</v>
      </c>
      <c r="H773" s="21">
        <v>89.5</v>
      </c>
      <c r="I773" s="22">
        <v>94.7</v>
      </c>
      <c r="J773" s="112" t="s">
        <v>295</v>
      </c>
      <c r="K773" s="45" t="s">
        <v>78</v>
      </c>
      <c r="L773" s="437"/>
      <c r="M773" s="474" t="s">
        <v>1856</v>
      </c>
      <c r="N773" s="1013" t="s">
        <v>1856</v>
      </c>
      <c r="O773" s="216"/>
      <c r="P773" s="66" t="s">
        <v>72</v>
      </c>
      <c r="Q773" s="100">
        <f t="shared" si="437"/>
        <v>0</v>
      </c>
      <c r="R773" s="13" t="str">
        <f t="shared" ref="R773" si="441">IF(AO773&gt;0,HYPERLINK(AO773,"Фото &gt;&gt;"),"")</f>
        <v>Фото &gt;&gt;</v>
      </c>
      <c r="S773" s="14" t="s">
        <v>303</v>
      </c>
      <c r="AK773">
        <v>0.71</v>
      </c>
      <c r="AL773">
        <f t="shared" ref="AL773" si="442">F773*G773</f>
        <v>0</v>
      </c>
      <c r="AM773">
        <f t="shared" ref="AM773" si="443">F773*H773</f>
        <v>0</v>
      </c>
      <c r="AN773">
        <f t="shared" si="440"/>
        <v>0</v>
      </c>
      <c r="AO773" t="s">
        <v>3077</v>
      </c>
      <c r="AV773" t="str">
        <f>IF(F773&gt;0,(COUNT($AV$1:AV772)+1),"")</f>
        <v/>
      </c>
    </row>
    <row r="774" spans="1:48" ht="15" customHeight="1" x14ac:dyDescent="0.25">
      <c r="A774" s="1"/>
      <c r="B774" s="31">
        <v>17548</v>
      </c>
      <c r="C774" s="16">
        <v>4607160654607</v>
      </c>
      <c r="D774" s="226" t="s">
        <v>2341</v>
      </c>
      <c r="E774" s="86">
        <v>4</v>
      </c>
      <c r="F774" s="222"/>
      <c r="G774" s="108">
        <v>328.3</v>
      </c>
      <c r="H774" s="17">
        <v>338.9</v>
      </c>
      <c r="I774" s="18">
        <v>360</v>
      </c>
      <c r="J774" s="113" t="s">
        <v>295</v>
      </c>
      <c r="K774" s="44" t="s">
        <v>78</v>
      </c>
      <c r="L774" s="442"/>
      <c r="M774" s="480" t="s">
        <v>1856</v>
      </c>
      <c r="N774" s="1015" t="s">
        <v>1856</v>
      </c>
      <c r="O774" s="217" t="s">
        <v>4227</v>
      </c>
      <c r="P774" s="68" t="s">
        <v>72</v>
      </c>
      <c r="Q774" s="100">
        <f t="shared" si="437"/>
        <v>0</v>
      </c>
      <c r="R774" s="13" t="str">
        <f t="shared" si="386"/>
        <v>Фото &gt;&gt;</v>
      </c>
      <c r="S774" s="14" t="s">
        <v>302</v>
      </c>
      <c r="AK774">
        <v>4.25</v>
      </c>
      <c r="AL774">
        <f t="shared" si="438"/>
        <v>0</v>
      </c>
      <c r="AM774">
        <f t="shared" si="439"/>
        <v>0</v>
      </c>
      <c r="AN774">
        <f t="shared" si="440"/>
        <v>0</v>
      </c>
      <c r="AO774" t="s">
        <v>3481</v>
      </c>
      <c r="AV774" t="str">
        <f>IF(F774&gt;0,(COUNT($AV$1:AV773)+1),"")</f>
        <v/>
      </c>
    </row>
    <row r="775" spans="1:48" ht="15" customHeight="1" x14ac:dyDescent="0.25">
      <c r="A775" s="1"/>
      <c r="B775" s="30">
        <v>17557</v>
      </c>
      <c r="C775" s="20">
        <v>4607160654591</v>
      </c>
      <c r="D775" s="225" t="s">
        <v>2342</v>
      </c>
      <c r="E775" s="85">
        <v>4</v>
      </c>
      <c r="F775" s="222"/>
      <c r="G775" s="107">
        <v>328.3</v>
      </c>
      <c r="H775" s="21">
        <v>338.9</v>
      </c>
      <c r="I775" s="22">
        <v>360</v>
      </c>
      <c r="J775" s="112" t="s">
        <v>295</v>
      </c>
      <c r="K775" s="45" t="s">
        <v>78</v>
      </c>
      <c r="L775" s="437"/>
      <c r="M775" s="474" t="s">
        <v>1856</v>
      </c>
      <c r="N775" s="1013" t="s">
        <v>1856</v>
      </c>
      <c r="O775" s="212" t="s">
        <v>4227</v>
      </c>
      <c r="P775" s="66" t="s">
        <v>72</v>
      </c>
      <c r="Q775" s="100">
        <f t="shared" si="437"/>
        <v>0</v>
      </c>
      <c r="R775" s="13" t="str">
        <f t="shared" si="386"/>
        <v>Фото &gt;&gt;</v>
      </c>
      <c r="S775" s="14" t="s">
        <v>303</v>
      </c>
      <c r="AK775">
        <v>4.25</v>
      </c>
      <c r="AL775">
        <f t="shared" si="438"/>
        <v>0</v>
      </c>
      <c r="AM775">
        <f t="shared" si="439"/>
        <v>0</v>
      </c>
      <c r="AN775">
        <f t="shared" si="440"/>
        <v>0</v>
      </c>
      <c r="AO775" t="s">
        <v>3480</v>
      </c>
      <c r="AV775" t="str">
        <f>IF(F775&gt;0,(COUNT($AV$1:AV774)+1),"")</f>
        <v/>
      </c>
    </row>
    <row r="776" spans="1:48" ht="15" customHeight="1" x14ac:dyDescent="0.25">
      <c r="A776" s="1"/>
      <c r="B776" s="31">
        <v>15124</v>
      </c>
      <c r="C776" s="16">
        <v>4607160650272</v>
      </c>
      <c r="D776" s="226" t="s">
        <v>1852</v>
      </c>
      <c r="E776" s="86">
        <v>6</v>
      </c>
      <c r="F776" s="222"/>
      <c r="G776" s="108">
        <v>181.5</v>
      </c>
      <c r="H776" s="17">
        <v>187</v>
      </c>
      <c r="I776" s="18">
        <v>192.8</v>
      </c>
      <c r="J776" s="113" t="s">
        <v>295</v>
      </c>
      <c r="K776" s="44" t="s">
        <v>78</v>
      </c>
      <c r="L776" s="442"/>
      <c r="M776" s="480" t="s">
        <v>1856</v>
      </c>
      <c r="N776" s="1015" t="s">
        <v>1856</v>
      </c>
      <c r="O776" s="217" t="s">
        <v>2000</v>
      </c>
      <c r="P776" s="68" t="s">
        <v>72</v>
      </c>
      <c r="Q776" s="100">
        <f t="shared" si="437"/>
        <v>0</v>
      </c>
      <c r="R776" s="13" t="str">
        <f t="shared" si="386"/>
        <v>Фото &gt;&gt;</v>
      </c>
      <c r="S776" s="14" t="s">
        <v>3478</v>
      </c>
      <c r="AK776">
        <v>2.1</v>
      </c>
      <c r="AL776">
        <f t="shared" si="438"/>
        <v>0</v>
      </c>
      <c r="AM776">
        <f t="shared" si="439"/>
        <v>0</v>
      </c>
      <c r="AN776">
        <f t="shared" si="440"/>
        <v>0</v>
      </c>
      <c r="AO776" t="s">
        <v>3477</v>
      </c>
      <c r="AV776" t="str">
        <f>IF(F776&gt;0,(COUNT($AV$1:AV775)+1),"")</f>
        <v/>
      </c>
    </row>
    <row r="777" spans="1:48" ht="15" customHeight="1" x14ac:dyDescent="0.25">
      <c r="A777" s="1"/>
      <c r="B777" s="30">
        <v>18759</v>
      </c>
      <c r="C777" s="20">
        <v>4607160650944</v>
      </c>
      <c r="D777" s="225" t="s">
        <v>1853</v>
      </c>
      <c r="E777" s="85">
        <v>4</v>
      </c>
      <c r="F777" s="222"/>
      <c r="G777" s="107">
        <v>351.6</v>
      </c>
      <c r="H777" s="21">
        <v>363</v>
      </c>
      <c r="I777" s="22">
        <v>385</v>
      </c>
      <c r="J777" s="112" t="s">
        <v>295</v>
      </c>
      <c r="K777" s="45" t="s">
        <v>78</v>
      </c>
      <c r="L777" s="437"/>
      <c r="M777" s="474" t="s">
        <v>1856</v>
      </c>
      <c r="N777" s="1013" t="s">
        <v>1856</v>
      </c>
      <c r="O777" s="212" t="s">
        <v>4227</v>
      </c>
      <c r="P777" s="66" t="s">
        <v>72</v>
      </c>
      <c r="Q777" s="100">
        <f t="shared" si="437"/>
        <v>0</v>
      </c>
      <c r="R777" s="13" t="str">
        <f t="shared" si="386"/>
        <v>Фото &gt;&gt;</v>
      </c>
      <c r="S777" s="14" t="s">
        <v>3478</v>
      </c>
      <c r="AK777">
        <v>4.25</v>
      </c>
      <c r="AL777">
        <f t="shared" si="438"/>
        <v>0</v>
      </c>
      <c r="AM777">
        <f t="shared" si="439"/>
        <v>0</v>
      </c>
      <c r="AN777">
        <f t="shared" si="440"/>
        <v>0</v>
      </c>
      <c r="AO777" t="s">
        <v>3479</v>
      </c>
      <c r="AV777" t="str">
        <f>IF(F777&gt;0,(COUNT($AV$1:AV776)+1),"")</f>
        <v/>
      </c>
    </row>
    <row r="778" spans="1:48" ht="15" customHeight="1" x14ac:dyDescent="0.25">
      <c r="A778" s="1"/>
      <c r="B778" s="31">
        <v>13321</v>
      </c>
      <c r="C778" s="16">
        <v>4607160651026</v>
      </c>
      <c r="D778" s="226" t="s">
        <v>2344</v>
      </c>
      <c r="E778" s="86">
        <v>4</v>
      </c>
      <c r="F778" s="222"/>
      <c r="G778" s="108">
        <v>361.5</v>
      </c>
      <c r="H778" s="17">
        <v>373.2</v>
      </c>
      <c r="I778" s="18">
        <v>396.5</v>
      </c>
      <c r="J778" s="113" t="s">
        <v>295</v>
      </c>
      <c r="K778" s="44" t="s">
        <v>78</v>
      </c>
      <c r="L778" s="442"/>
      <c r="M778" s="480" t="s">
        <v>1856</v>
      </c>
      <c r="N778" s="1015" t="s">
        <v>1856</v>
      </c>
      <c r="O778" s="217" t="s">
        <v>4227</v>
      </c>
      <c r="P778" s="68" t="s">
        <v>72</v>
      </c>
      <c r="Q778" s="100">
        <f t="shared" si="437"/>
        <v>0</v>
      </c>
      <c r="R778" s="13" t="str">
        <f t="shared" si="386"/>
        <v>Фото &gt;&gt;</v>
      </c>
      <c r="S778" s="14" t="s">
        <v>304</v>
      </c>
      <c r="AK778">
        <v>4.22</v>
      </c>
      <c r="AL778">
        <f t="shared" si="438"/>
        <v>0</v>
      </c>
      <c r="AM778">
        <f t="shared" si="439"/>
        <v>0</v>
      </c>
      <c r="AN778">
        <f t="shared" si="440"/>
        <v>0</v>
      </c>
      <c r="AO778" t="s">
        <v>4834</v>
      </c>
      <c r="AV778" t="str">
        <f>IF(F778&gt;0,(COUNT($AV$1:AV777)+1),"")</f>
        <v/>
      </c>
    </row>
    <row r="779" spans="1:48" ht="15" customHeight="1" x14ac:dyDescent="0.25">
      <c r="A779" s="1"/>
      <c r="B779" s="30">
        <v>11882</v>
      </c>
      <c r="C779" s="20">
        <v>4680288033660</v>
      </c>
      <c r="D779" s="153" t="s">
        <v>2345</v>
      </c>
      <c r="E779" s="85">
        <v>8</v>
      </c>
      <c r="F779" s="222"/>
      <c r="G779" s="107">
        <v>107</v>
      </c>
      <c r="H779" s="21">
        <v>110.3</v>
      </c>
      <c r="I779" s="22">
        <v>116.8</v>
      </c>
      <c r="J779" s="112" t="s">
        <v>295</v>
      </c>
      <c r="K779" s="45" t="s">
        <v>78</v>
      </c>
      <c r="L779" s="437"/>
      <c r="M779" s="474" t="s">
        <v>1856</v>
      </c>
      <c r="N779" s="1013" t="s">
        <v>1856</v>
      </c>
      <c r="O779" s="212" t="s">
        <v>2348</v>
      </c>
      <c r="P779" s="66" t="s">
        <v>72</v>
      </c>
      <c r="Q779" s="100">
        <f t="shared" si="437"/>
        <v>0</v>
      </c>
      <c r="R779" s="13" t="str">
        <f t="shared" si="386"/>
        <v>Фото &gt;&gt;</v>
      </c>
      <c r="S779" s="14" t="s">
        <v>304</v>
      </c>
      <c r="AK779">
        <v>1.05</v>
      </c>
      <c r="AL779">
        <f t="shared" si="438"/>
        <v>0</v>
      </c>
      <c r="AM779">
        <f t="shared" si="439"/>
        <v>0</v>
      </c>
      <c r="AN779">
        <f t="shared" si="440"/>
        <v>0</v>
      </c>
      <c r="AO779" t="s">
        <v>5382</v>
      </c>
      <c r="AV779" t="str">
        <f>IF(F779&gt;0,(COUNT($AV$1:AV778)+1),"")</f>
        <v/>
      </c>
    </row>
    <row r="780" spans="1:48" ht="15" customHeight="1" x14ac:dyDescent="0.25">
      <c r="A780" s="1"/>
      <c r="B780" s="31">
        <v>15218</v>
      </c>
      <c r="C780" s="16">
        <v>4680288033707</v>
      </c>
      <c r="D780" s="154" t="s">
        <v>1573</v>
      </c>
      <c r="E780" s="86">
        <v>6</v>
      </c>
      <c r="F780" s="222"/>
      <c r="G780" s="108">
        <v>166.1</v>
      </c>
      <c r="H780" s="17">
        <v>171.3</v>
      </c>
      <c r="I780" s="18">
        <v>176.5</v>
      </c>
      <c r="J780" s="113" t="s">
        <v>295</v>
      </c>
      <c r="K780" s="44" t="s">
        <v>78</v>
      </c>
      <c r="L780" s="442"/>
      <c r="M780" s="480" t="s">
        <v>1856</v>
      </c>
      <c r="N780" s="1015" t="s">
        <v>1856</v>
      </c>
      <c r="O780" s="217" t="s">
        <v>2000</v>
      </c>
      <c r="P780" s="68" t="s">
        <v>72</v>
      </c>
      <c r="Q780" s="100">
        <f t="shared" si="437"/>
        <v>0</v>
      </c>
      <c r="R780" s="13" t="str">
        <f t="shared" si="386"/>
        <v>Фото &gt;&gt;</v>
      </c>
      <c r="S780" s="14" t="s">
        <v>302</v>
      </c>
      <c r="AK780">
        <v>2.0499999999999998</v>
      </c>
      <c r="AL780">
        <f t="shared" si="438"/>
        <v>0</v>
      </c>
      <c r="AM780">
        <f t="shared" si="439"/>
        <v>0</v>
      </c>
      <c r="AN780">
        <f t="shared" si="440"/>
        <v>0</v>
      </c>
      <c r="AO780" t="s">
        <v>4835</v>
      </c>
      <c r="AV780" t="str">
        <f>IF(F780&gt;0,(COUNT($AV$1:AV779)+1),"")</f>
        <v/>
      </c>
    </row>
    <row r="781" spans="1:48" ht="15" customHeight="1" x14ac:dyDescent="0.25">
      <c r="A781" s="1"/>
      <c r="B781" s="30">
        <v>11881</v>
      </c>
      <c r="C781" s="20">
        <v>4680288031215</v>
      </c>
      <c r="D781" s="153" t="s">
        <v>2346</v>
      </c>
      <c r="E781" s="85">
        <v>8</v>
      </c>
      <c r="F781" s="222"/>
      <c r="G781" s="107">
        <v>92.3</v>
      </c>
      <c r="H781" s="21">
        <v>95.1</v>
      </c>
      <c r="I781" s="22">
        <v>100.7</v>
      </c>
      <c r="J781" s="112" t="s">
        <v>295</v>
      </c>
      <c r="K781" s="45" t="s">
        <v>78</v>
      </c>
      <c r="L781" s="437"/>
      <c r="M781" s="474" t="s">
        <v>1856</v>
      </c>
      <c r="N781" s="1013" t="s">
        <v>1856</v>
      </c>
      <c r="O781" s="212" t="s">
        <v>2348</v>
      </c>
      <c r="P781" s="66" t="s">
        <v>72</v>
      </c>
      <c r="Q781" s="100">
        <f t="shared" si="437"/>
        <v>0</v>
      </c>
      <c r="R781" s="13" t="str">
        <f t="shared" si="386"/>
        <v>Фото &gt;&gt;</v>
      </c>
      <c r="S781" s="14" t="s">
        <v>305</v>
      </c>
      <c r="AK781">
        <v>1.05</v>
      </c>
      <c r="AL781">
        <f t="shared" si="438"/>
        <v>0</v>
      </c>
      <c r="AM781">
        <f t="shared" si="439"/>
        <v>0</v>
      </c>
      <c r="AN781">
        <f t="shared" si="440"/>
        <v>0</v>
      </c>
      <c r="AO781" t="s">
        <v>3482</v>
      </c>
      <c r="AV781" t="str">
        <f>IF(F781&gt;0,(COUNT($AV$1:AV780)+1),"")</f>
        <v/>
      </c>
    </row>
    <row r="782" spans="1:48" ht="15" customHeight="1" x14ac:dyDescent="0.25">
      <c r="A782" s="1"/>
      <c r="B782" s="31">
        <v>16839</v>
      </c>
      <c r="C782" s="16">
        <v>4680288033899</v>
      </c>
      <c r="D782" s="154" t="s">
        <v>4735</v>
      </c>
      <c r="E782" s="69">
        <v>12</v>
      </c>
      <c r="F782" s="222"/>
      <c r="G782" s="108">
        <v>114.3</v>
      </c>
      <c r="H782" s="17">
        <v>117.8</v>
      </c>
      <c r="I782" s="18">
        <v>124.7</v>
      </c>
      <c r="J782" s="113" t="s">
        <v>295</v>
      </c>
      <c r="K782" s="44" t="s">
        <v>78</v>
      </c>
      <c r="L782" s="442"/>
      <c r="M782" s="480" t="s">
        <v>1856</v>
      </c>
      <c r="N782" s="1015" t="s">
        <v>1856</v>
      </c>
      <c r="O782" s="217"/>
      <c r="P782" s="68" t="s">
        <v>53</v>
      </c>
      <c r="Q782" s="100">
        <f t="shared" si="437"/>
        <v>0</v>
      </c>
      <c r="R782" s="13" t="str">
        <f t="shared" si="386"/>
        <v>Фото &gt;&gt;</v>
      </c>
      <c r="S782" s="14" t="s">
        <v>197</v>
      </c>
      <c r="AK782">
        <v>0.32</v>
      </c>
      <c r="AL782">
        <f t="shared" si="438"/>
        <v>0</v>
      </c>
      <c r="AM782">
        <f t="shared" si="439"/>
        <v>0</v>
      </c>
      <c r="AN782">
        <f t="shared" si="440"/>
        <v>0</v>
      </c>
      <c r="AO782" t="s">
        <v>5383</v>
      </c>
      <c r="AV782" t="str">
        <f>IF(F782&gt;0,(COUNT($AV$1:AV781)+1),"")</f>
        <v/>
      </c>
    </row>
    <row r="783" spans="1:48" ht="15" customHeight="1" x14ac:dyDescent="0.25">
      <c r="A783" s="1"/>
      <c r="B783" s="30">
        <v>12540</v>
      </c>
      <c r="C783" s="20">
        <v>4607160651781</v>
      </c>
      <c r="D783" s="153" t="s">
        <v>306</v>
      </c>
      <c r="E783" s="67">
        <v>12</v>
      </c>
      <c r="F783" s="222"/>
      <c r="G783" s="107">
        <v>101.5</v>
      </c>
      <c r="H783" s="21">
        <v>104.6</v>
      </c>
      <c r="I783" s="22">
        <v>110.7</v>
      </c>
      <c r="J783" s="112" t="s">
        <v>295</v>
      </c>
      <c r="K783" s="45" t="s">
        <v>78</v>
      </c>
      <c r="L783" s="437"/>
      <c r="M783" s="474" t="s">
        <v>1856</v>
      </c>
      <c r="N783" s="1013" t="s">
        <v>1856</v>
      </c>
      <c r="O783" s="209"/>
      <c r="P783" s="66" t="s">
        <v>72</v>
      </c>
      <c r="Q783" s="100">
        <f t="shared" si="437"/>
        <v>0</v>
      </c>
      <c r="R783" s="13" t="str">
        <f t="shared" si="386"/>
        <v>Фото &gt;&gt;</v>
      </c>
      <c r="S783" s="14" t="s">
        <v>307</v>
      </c>
      <c r="AK783">
        <v>0.71</v>
      </c>
      <c r="AL783">
        <f t="shared" si="438"/>
        <v>0</v>
      </c>
      <c r="AM783">
        <f t="shared" si="439"/>
        <v>0</v>
      </c>
      <c r="AN783">
        <f t="shared" si="440"/>
        <v>0</v>
      </c>
      <c r="AO783" t="s">
        <v>5384</v>
      </c>
      <c r="AV783" t="str">
        <f>IF(F783&gt;0,(COUNT($AV$1:AV782)+1),"")</f>
        <v/>
      </c>
    </row>
    <row r="784" spans="1:48" ht="15" customHeight="1" x14ac:dyDescent="0.25">
      <c r="A784" s="1"/>
      <c r="B784" s="31">
        <v>17458</v>
      </c>
      <c r="C784" s="16">
        <v>4680288030515</v>
      </c>
      <c r="D784" s="226" t="s">
        <v>2295</v>
      </c>
      <c r="E784" s="69">
        <v>15</v>
      </c>
      <c r="F784" s="222"/>
      <c r="G784" s="108">
        <v>123.7</v>
      </c>
      <c r="H784" s="17">
        <v>127.4</v>
      </c>
      <c r="I784" s="18">
        <v>135</v>
      </c>
      <c r="J784" s="113" t="s">
        <v>295</v>
      </c>
      <c r="K784" s="44" t="s">
        <v>78</v>
      </c>
      <c r="L784" s="442"/>
      <c r="M784" s="480" t="s">
        <v>1856</v>
      </c>
      <c r="N784" s="1015" t="s">
        <v>1856</v>
      </c>
      <c r="O784" s="210"/>
      <c r="P784" s="68" t="s">
        <v>72</v>
      </c>
      <c r="Q784" s="100">
        <f t="shared" si="437"/>
        <v>0</v>
      </c>
      <c r="R784" s="13" t="str">
        <f t="shared" si="386"/>
        <v>Фото &gt;&gt;</v>
      </c>
      <c r="S784" s="14" t="s">
        <v>308</v>
      </c>
      <c r="AK784">
        <v>0.55000000000000004</v>
      </c>
      <c r="AL784">
        <f t="shared" si="438"/>
        <v>0</v>
      </c>
      <c r="AM784">
        <f t="shared" si="439"/>
        <v>0</v>
      </c>
      <c r="AN784">
        <f t="shared" si="440"/>
        <v>0</v>
      </c>
      <c r="AO784" t="s">
        <v>3483</v>
      </c>
      <c r="AV784" t="str">
        <f>IF(F784&gt;0,(COUNT($AV$1:AV783)+1),"")</f>
        <v/>
      </c>
    </row>
    <row r="785" spans="1:48" ht="15" customHeight="1" x14ac:dyDescent="0.25">
      <c r="A785" s="1"/>
      <c r="B785" s="30">
        <v>17296</v>
      </c>
      <c r="C785" s="20">
        <v>4680288030539</v>
      </c>
      <c r="D785" s="225" t="s">
        <v>2343</v>
      </c>
      <c r="E785" s="67">
        <v>20</v>
      </c>
      <c r="F785" s="222"/>
      <c r="G785" s="107">
        <v>114</v>
      </c>
      <c r="H785" s="21">
        <v>117.5</v>
      </c>
      <c r="I785" s="22">
        <v>124.4</v>
      </c>
      <c r="J785" s="112" t="s">
        <v>295</v>
      </c>
      <c r="K785" s="45" t="s">
        <v>78</v>
      </c>
      <c r="L785" s="437"/>
      <c r="M785" s="474" t="s">
        <v>1856</v>
      </c>
      <c r="N785" s="1013" t="s">
        <v>1856</v>
      </c>
      <c r="O785" s="209"/>
      <c r="P785" s="66" t="s">
        <v>72</v>
      </c>
      <c r="Q785" s="100">
        <f t="shared" si="437"/>
        <v>0</v>
      </c>
      <c r="R785" s="13" t="str">
        <f t="shared" si="386"/>
        <v>Фото &gt;&gt;</v>
      </c>
      <c r="S785" s="14" t="s">
        <v>308</v>
      </c>
      <c r="AK785">
        <v>0.55000000000000004</v>
      </c>
      <c r="AL785">
        <f t="shared" si="438"/>
        <v>0</v>
      </c>
      <c r="AM785">
        <f t="shared" si="439"/>
        <v>0</v>
      </c>
      <c r="AN785">
        <f t="shared" si="440"/>
        <v>0</v>
      </c>
      <c r="AO785" t="s">
        <v>3484</v>
      </c>
      <c r="AV785" t="str">
        <f>IF(F785&gt;0,(COUNT($AV$1:AV784)+1),"")</f>
        <v/>
      </c>
    </row>
    <row r="786" spans="1:48" ht="15" customHeight="1" x14ac:dyDescent="0.25">
      <c r="A786" s="1"/>
      <c r="B786" s="25"/>
      <c r="C786" s="26"/>
      <c r="D786" s="756" t="s">
        <v>49</v>
      </c>
      <c r="E786" s="80"/>
      <c r="F786" s="96"/>
      <c r="G786" s="28"/>
      <c r="H786" s="29"/>
      <c r="I786" s="29"/>
      <c r="J786" s="51"/>
      <c r="K786" s="47"/>
      <c r="L786" s="447"/>
      <c r="M786" s="489"/>
      <c r="N786" s="716"/>
      <c r="O786" s="186"/>
      <c r="P786" s="79"/>
      <c r="Q786" s="104"/>
      <c r="R786" s="13"/>
      <c r="S786" s="14"/>
      <c r="AL786">
        <f t="shared" ref="AL786:AL787" si="444">F786*G786</f>
        <v>0</v>
      </c>
      <c r="AM786">
        <f t="shared" ref="AM786:AM787" si="445">F786*H786</f>
        <v>0</v>
      </c>
      <c r="AN786">
        <f t="shared" si="440"/>
        <v>0</v>
      </c>
      <c r="AO786" t="s">
        <v>104</v>
      </c>
      <c r="AV786" t="str">
        <f>IF(F786&gt;0,(COUNT($AV$1:AV785)+1),"")</f>
        <v/>
      </c>
    </row>
    <row r="787" spans="1:48" ht="15" customHeight="1" x14ac:dyDescent="0.25">
      <c r="A787" s="1"/>
      <c r="B787" s="30">
        <v>13679</v>
      </c>
      <c r="C787" s="20">
        <v>4680288034353</v>
      </c>
      <c r="D787" s="225" t="s">
        <v>4788</v>
      </c>
      <c r="E787" s="67">
        <v>12</v>
      </c>
      <c r="F787" s="222"/>
      <c r="G787" s="107">
        <v>158.6</v>
      </c>
      <c r="H787" s="21">
        <v>163.6</v>
      </c>
      <c r="I787" s="22">
        <v>173.5</v>
      </c>
      <c r="J787" s="112" t="s">
        <v>295</v>
      </c>
      <c r="K787" s="45" t="s">
        <v>49</v>
      </c>
      <c r="L787" s="437"/>
      <c r="M787" s="474" t="s">
        <v>1856</v>
      </c>
      <c r="N787" s="1013" t="s">
        <v>1856</v>
      </c>
      <c r="O787" s="212"/>
      <c r="P787" s="66" t="s">
        <v>132</v>
      </c>
      <c r="Q787" s="100">
        <f t="shared" ref="Q787:Q792" si="446">IF($AO$766=2,F787*H787,IF($AO$766=1,F787*G787,F787*I787))</f>
        <v>0</v>
      </c>
      <c r="R787" s="13" t="str">
        <f t="shared" si="386"/>
        <v>Фото &gt;&gt;</v>
      </c>
      <c r="S787" s="14" t="s">
        <v>310</v>
      </c>
      <c r="AK787">
        <v>0.51</v>
      </c>
      <c r="AL787">
        <f t="shared" si="444"/>
        <v>0</v>
      </c>
      <c r="AM787">
        <f t="shared" si="445"/>
        <v>0</v>
      </c>
      <c r="AN787">
        <f t="shared" si="440"/>
        <v>0</v>
      </c>
      <c r="AO787" t="s">
        <v>4837</v>
      </c>
      <c r="AV787" t="str">
        <f>IF(F787&gt;0,(COUNT($AV$1:AV786)+1),"")</f>
        <v/>
      </c>
    </row>
    <row r="788" spans="1:48" ht="15" customHeight="1" x14ac:dyDescent="0.25">
      <c r="A788" s="1"/>
      <c r="B788" s="31">
        <v>13682</v>
      </c>
      <c r="C788" s="16">
        <v>4607160652283</v>
      </c>
      <c r="D788" s="226" t="s">
        <v>311</v>
      </c>
      <c r="E788" s="69">
        <v>11</v>
      </c>
      <c r="F788" s="222"/>
      <c r="G788" s="108">
        <v>235</v>
      </c>
      <c r="H788" s="17">
        <v>242.7</v>
      </c>
      <c r="I788" s="18">
        <v>258.3</v>
      </c>
      <c r="J788" s="113" t="s">
        <v>295</v>
      </c>
      <c r="K788" s="44" t="s">
        <v>49</v>
      </c>
      <c r="L788" s="442"/>
      <c r="M788" s="480" t="s">
        <v>1856</v>
      </c>
      <c r="N788" s="1015" t="s">
        <v>1856</v>
      </c>
      <c r="O788" s="217"/>
      <c r="P788" s="68" t="s">
        <v>132</v>
      </c>
      <c r="Q788" s="100">
        <f t="shared" si="446"/>
        <v>0</v>
      </c>
      <c r="R788" s="13" t="str">
        <f t="shared" si="386"/>
        <v>Фото &gt;&gt;</v>
      </c>
      <c r="S788" s="14" t="s">
        <v>312</v>
      </c>
      <c r="AK788">
        <v>0.17</v>
      </c>
      <c r="AL788">
        <f t="shared" si="438"/>
        <v>0</v>
      </c>
      <c r="AM788">
        <f t="shared" si="439"/>
        <v>0</v>
      </c>
      <c r="AN788">
        <f t="shared" si="440"/>
        <v>0</v>
      </c>
      <c r="AO788" t="s">
        <v>3485</v>
      </c>
      <c r="AV788" t="str">
        <f>IF(F788&gt;0,(COUNT($AV$1:AV787)+1),"")</f>
        <v/>
      </c>
    </row>
    <row r="789" spans="1:48" ht="15" customHeight="1" x14ac:dyDescent="0.25">
      <c r="A789" s="1"/>
      <c r="B789" s="30">
        <v>13680</v>
      </c>
      <c r="C789" s="20">
        <v>4607160652160</v>
      </c>
      <c r="D789" s="225" t="s">
        <v>313</v>
      </c>
      <c r="E789" s="324">
        <v>11</v>
      </c>
      <c r="F789" s="222"/>
      <c r="G789" s="107">
        <v>107.3</v>
      </c>
      <c r="H789" s="21">
        <v>110.7</v>
      </c>
      <c r="I789" s="22">
        <v>117.4</v>
      </c>
      <c r="J789" s="112" t="s">
        <v>295</v>
      </c>
      <c r="K789" s="45" t="s">
        <v>49</v>
      </c>
      <c r="L789" s="437"/>
      <c r="M789" s="474" t="s">
        <v>1856</v>
      </c>
      <c r="N789" s="1013" t="s">
        <v>1856</v>
      </c>
      <c r="O789" s="212" t="s">
        <v>4228</v>
      </c>
      <c r="P789" s="66" t="s">
        <v>72</v>
      </c>
      <c r="Q789" s="100">
        <f t="shared" si="446"/>
        <v>0</v>
      </c>
      <c r="R789" s="13" t="str">
        <f t="shared" si="386"/>
        <v>Фото &gt;&gt;</v>
      </c>
      <c r="S789" s="14" t="s">
        <v>82</v>
      </c>
      <c r="AK789">
        <v>0.28000000000000003</v>
      </c>
      <c r="AL789">
        <f t="shared" si="438"/>
        <v>0</v>
      </c>
      <c r="AM789">
        <f t="shared" si="439"/>
        <v>0</v>
      </c>
      <c r="AN789">
        <f t="shared" si="440"/>
        <v>0</v>
      </c>
      <c r="AO789" t="s">
        <v>5385</v>
      </c>
      <c r="AV789" t="str">
        <f>IF(F789&gt;0,(COUNT($AV$1:AV788)+1),"")</f>
        <v/>
      </c>
    </row>
    <row r="790" spans="1:48" ht="15" customHeight="1" x14ac:dyDescent="0.25">
      <c r="A790" s="1"/>
      <c r="B790" s="31">
        <v>11884</v>
      </c>
      <c r="C790" s="16">
        <v>4680288034377</v>
      </c>
      <c r="D790" s="226" t="s">
        <v>4787</v>
      </c>
      <c r="E790" s="323">
        <v>12</v>
      </c>
      <c r="F790" s="222"/>
      <c r="G790" s="108">
        <v>66.099999999999994</v>
      </c>
      <c r="H790" s="17">
        <v>68</v>
      </c>
      <c r="I790" s="18">
        <v>72</v>
      </c>
      <c r="J790" s="113" t="s">
        <v>295</v>
      </c>
      <c r="K790" s="44" t="s">
        <v>49</v>
      </c>
      <c r="L790" s="442"/>
      <c r="M790" s="480" t="s">
        <v>1856</v>
      </c>
      <c r="N790" s="1015" t="s">
        <v>1856</v>
      </c>
      <c r="O790" s="217" t="s">
        <v>4226</v>
      </c>
      <c r="P790" s="68" t="s">
        <v>72</v>
      </c>
      <c r="Q790" s="100">
        <f t="shared" si="446"/>
        <v>0</v>
      </c>
      <c r="R790" s="13" t="str">
        <f t="shared" si="386"/>
        <v>Фото &gt;&gt;</v>
      </c>
      <c r="S790" s="14" t="s">
        <v>314</v>
      </c>
      <c r="AK790">
        <v>0.51</v>
      </c>
      <c r="AL790">
        <f t="shared" si="438"/>
        <v>0</v>
      </c>
      <c r="AM790">
        <f t="shared" si="439"/>
        <v>0</v>
      </c>
      <c r="AN790">
        <f t="shared" si="440"/>
        <v>0</v>
      </c>
      <c r="AO790" t="s">
        <v>5386</v>
      </c>
      <c r="AV790" t="str">
        <f>IF(F790&gt;0,(COUNT($AV$1:AV789)+1),"")</f>
        <v/>
      </c>
    </row>
    <row r="791" spans="1:48" ht="15" customHeight="1" x14ac:dyDescent="0.25">
      <c r="A791" s="1"/>
      <c r="B791" s="30">
        <v>11883</v>
      </c>
      <c r="C791" s="20">
        <v>4607160650968</v>
      </c>
      <c r="D791" s="225" t="s">
        <v>2407</v>
      </c>
      <c r="E791" s="67">
        <v>20</v>
      </c>
      <c r="F791" s="222"/>
      <c r="G791" s="107">
        <v>59</v>
      </c>
      <c r="H791" s="21">
        <v>60.7</v>
      </c>
      <c r="I791" s="22">
        <v>64.2</v>
      </c>
      <c r="J791" s="112" t="s">
        <v>295</v>
      </c>
      <c r="K791" s="45" t="s">
        <v>49</v>
      </c>
      <c r="L791" s="437"/>
      <c r="M791" s="474" t="s">
        <v>1856</v>
      </c>
      <c r="N791" s="1013" t="s">
        <v>1856</v>
      </c>
      <c r="O791" s="209"/>
      <c r="P791" s="66" t="s">
        <v>72</v>
      </c>
      <c r="Q791" s="100">
        <f t="shared" si="446"/>
        <v>0</v>
      </c>
      <c r="R791" s="13" t="str">
        <f t="shared" si="386"/>
        <v>Фото &gt;&gt;</v>
      </c>
      <c r="S791" s="14" t="s">
        <v>1635</v>
      </c>
      <c r="AK791">
        <v>0.52</v>
      </c>
      <c r="AL791">
        <f t="shared" ref="AL791:AL792" si="447">F791*G791</f>
        <v>0</v>
      </c>
      <c r="AM791">
        <f t="shared" ref="AM791:AM792" si="448">F791*H791</f>
        <v>0</v>
      </c>
      <c r="AN791">
        <f t="shared" si="440"/>
        <v>0</v>
      </c>
      <c r="AO791" t="s">
        <v>3486</v>
      </c>
      <c r="AV791" t="str">
        <f>IF(F791&gt;0,(COUNT($AV$1:AV790)+1),"")</f>
        <v/>
      </c>
    </row>
    <row r="792" spans="1:48" ht="15" customHeight="1" x14ac:dyDescent="0.25">
      <c r="A792" s="1"/>
      <c r="B792" s="31">
        <v>15789</v>
      </c>
      <c r="C792" s="16">
        <v>4607160652337</v>
      </c>
      <c r="D792" s="226" t="s">
        <v>315</v>
      </c>
      <c r="E792" s="69">
        <v>12</v>
      </c>
      <c r="F792" s="222"/>
      <c r="G792" s="108">
        <v>149.69999999999999</v>
      </c>
      <c r="H792" s="17">
        <v>154.5</v>
      </c>
      <c r="I792" s="18">
        <v>163.80000000000001</v>
      </c>
      <c r="J792" s="113" t="s">
        <v>295</v>
      </c>
      <c r="K792" s="44" t="s">
        <v>49</v>
      </c>
      <c r="L792" s="442"/>
      <c r="M792" s="480" t="s">
        <v>1856</v>
      </c>
      <c r="N792" s="1015" t="s">
        <v>1856</v>
      </c>
      <c r="O792" s="217"/>
      <c r="P792" s="68" t="s">
        <v>72</v>
      </c>
      <c r="Q792" s="100">
        <f t="shared" si="446"/>
        <v>0</v>
      </c>
      <c r="R792" s="13" t="str">
        <f t="shared" si="386"/>
        <v>Фото &gt;&gt;</v>
      </c>
      <c r="S792" s="14" t="s">
        <v>316</v>
      </c>
      <c r="AK792">
        <v>0.52</v>
      </c>
      <c r="AL792">
        <f t="shared" si="447"/>
        <v>0</v>
      </c>
      <c r="AM792">
        <f t="shared" si="448"/>
        <v>0</v>
      </c>
      <c r="AN792">
        <f t="shared" si="440"/>
        <v>0</v>
      </c>
      <c r="AO792" t="s">
        <v>4838</v>
      </c>
      <c r="AV792" t="str">
        <f>IF(F792&gt;0,(COUNT($AV$1:AV791)+1),"")</f>
        <v/>
      </c>
    </row>
    <row r="793" spans="1:48" ht="15" customHeight="1" x14ac:dyDescent="0.25">
      <c r="A793" s="1"/>
      <c r="B793" s="25"/>
      <c r="C793" s="26"/>
      <c r="D793" s="756" t="s">
        <v>83</v>
      </c>
      <c r="E793" s="80"/>
      <c r="F793" s="96"/>
      <c r="G793" s="28"/>
      <c r="H793" s="29"/>
      <c r="I793" s="29"/>
      <c r="J793" s="51"/>
      <c r="K793" s="47"/>
      <c r="L793" s="447"/>
      <c r="M793" s="489"/>
      <c r="N793" s="716"/>
      <c r="O793" s="186"/>
      <c r="P793" s="79"/>
      <c r="Q793" s="104"/>
      <c r="R793" s="13"/>
      <c r="S793" s="14"/>
      <c r="AL793">
        <f t="shared" si="438"/>
        <v>0</v>
      </c>
      <c r="AM793">
        <f t="shared" si="439"/>
        <v>0</v>
      </c>
      <c r="AN793">
        <f t="shared" si="440"/>
        <v>0</v>
      </c>
      <c r="AO793" t="s">
        <v>104</v>
      </c>
      <c r="AV793" t="str">
        <f>IF(F793&gt;0,(COUNT($AV$1:AV792)+1),"")</f>
        <v/>
      </c>
    </row>
    <row r="794" spans="1:48" ht="15" customHeight="1" x14ac:dyDescent="0.25">
      <c r="A794" s="1"/>
      <c r="B794" s="31">
        <v>12619</v>
      </c>
      <c r="C794" s="16">
        <v>4680288030324</v>
      </c>
      <c r="D794" s="422" t="s">
        <v>4789</v>
      </c>
      <c r="E794" s="69">
        <v>20</v>
      </c>
      <c r="F794" s="222"/>
      <c r="G794" s="108">
        <v>123.6</v>
      </c>
      <c r="H794" s="17">
        <v>129.80000000000001</v>
      </c>
      <c r="I794" s="18">
        <v>136</v>
      </c>
      <c r="J794" s="113" t="s">
        <v>295</v>
      </c>
      <c r="K794" s="44" t="s">
        <v>85</v>
      </c>
      <c r="L794" s="442"/>
      <c r="M794" s="480" t="s">
        <v>104</v>
      </c>
      <c r="N794" s="1015" t="s">
        <v>1856</v>
      </c>
      <c r="O794" s="210"/>
      <c r="P794" s="68" t="s">
        <v>72</v>
      </c>
      <c r="Q794" s="100">
        <f t="shared" ref="Q794:Q803" si="449">IF($AO$766=2,F794*H794,IF($AO$766=1,F794*G794,F794*I794))</f>
        <v>0</v>
      </c>
      <c r="R794" s="13" t="str">
        <f t="shared" ref="R794:R1135" si="450">IF(AO794&gt;0,HYPERLINK(AO794,"Фото &gt;&gt;"),"")</f>
        <v>Фото &gt;&gt;</v>
      </c>
      <c r="S794" s="14" t="s">
        <v>301</v>
      </c>
      <c r="AK794">
        <v>0.41</v>
      </c>
      <c r="AL794">
        <f t="shared" ref="AL794:AL819" si="451">F794*G794</f>
        <v>0</v>
      </c>
      <c r="AM794">
        <f t="shared" ref="AM794:AM819" si="452">F794*H794</f>
        <v>0</v>
      </c>
      <c r="AN794">
        <f t="shared" si="440"/>
        <v>0</v>
      </c>
      <c r="AO794" t="s">
        <v>3487</v>
      </c>
      <c r="AV794" t="str">
        <f>IF(F794&gt;0,(COUNT($AV$1:AV793)+1),"")</f>
        <v/>
      </c>
    </row>
    <row r="795" spans="1:48" ht="15" customHeight="1" x14ac:dyDescent="0.25">
      <c r="A795" s="1"/>
      <c r="B795" s="30">
        <v>19442</v>
      </c>
      <c r="C795" s="20">
        <v>4680288030416</v>
      </c>
      <c r="D795" s="421" t="s">
        <v>4790</v>
      </c>
      <c r="E795" s="67">
        <v>20</v>
      </c>
      <c r="F795" s="222"/>
      <c r="G795" s="107">
        <v>58.9</v>
      </c>
      <c r="H795" s="21">
        <v>61.9</v>
      </c>
      <c r="I795" s="22">
        <v>68</v>
      </c>
      <c r="J795" s="112" t="s">
        <v>295</v>
      </c>
      <c r="K795" s="45" t="s">
        <v>85</v>
      </c>
      <c r="L795" s="437"/>
      <c r="M795" s="474" t="s">
        <v>104</v>
      </c>
      <c r="N795" s="1013" t="s">
        <v>1856</v>
      </c>
      <c r="O795" s="209"/>
      <c r="P795" s="66" t="s">
        <v>72</v>
      </c>
      <c r="Q795" s="100">
        <f t="shared" si="449"/>
        <v>0</v>
      </c>
      <c r="R795" s="13" t="str">
        <f t="shared" si="450"/>
        <v>Фото &gt;&gt;</v>
      </c>
      <c r="S795" s="14" t="s">
        <v>317</v>
      </c>
      <c r="AG795"/>
      <c r="AH795"/>
      <c r="AK795">
        <v>0.36</v>
      </c>
      <c r="AL795">
        <f t="shared" si="451"/>
        <v>0</v>
      </c>
      <c r="AM795">
        <f t="shared" si="452"/>
        <v>0</v>
      </c>
      <c r="AN795">
        <f t="shared" si="440"/>
        <v>0</v>
      </c>
      <c r="AO795" t="s">
        <v>3488</v>
      </c>
      <c r="AV795" t="str">
        <f>IF(F795&gt;0,(COUNT($AV$1:AV794)+1),"")</f>
        <v/>
      </c>
    </row>
    <row r="796" spans="1:48" ht="15" customHeight="1" x14ac:dyDescent="0.25">
      <c r="A796" s="1"/>
      <c r="B796" s="31">
        <v>19443</v>
      </c>
      <c r="C796" s="16">
        <v>4680288030430</v>
      </c>
      <c r="D796" s="226" t="s">
        <v>4791</v>
      </c>
      <c r="E796" s="69">
        <v>20</v>
      </c>
      <c r="F796" s="222"/>
      <c r="G796" s="108">
        <v>58.9</v>
      </c>
      <c r="H796" s="17">
        <v>61.9</v>
      </c>
      <c r="I796" s="18">
        <v>68</v>
      </c>
      <c r="J796" s="113" t="s">
        <v>295</v>
      </c>
      <c r="K796" s="44" t="s">
        <v>85</v>
      </c>
      <c r="L796" s="442"/>
      <c r="M796" s="480" t="s">
        <v>104</v>
      </c>
      <c r="N796" s="1015" t="s">
        <v>1856</v>
      </c>
      <c r="O796" s="210"/>
      <c r="P796" s="68" t="s">
        <v>72</v>
      </c>
      <c r="Q796" s="100">
        <f t="shared" si="449"/>
        <v>0</v>
      </c>
      <c r="R796" s="13" t="str">
        <f t="shared" si="450"/>
        <v>Фото &gt;&gt;</v>
      </c>
      <c r="S796" s="14" t="s">
        <v>318</v>
      </c>
      <c r="AK796">
        <v>0.36</v>
      </c>
      <c r="AL796">
        <f t="shared" si="451"/>
        <v>0</v>
      </c>
      <c r="AM796">
        <f t="shared" si="452"/>
        <v>0</v>
      </c>
      <c r="AN796">
        <f t="shared" si="440"/>
        <v>0</v>
      </c>
      <c r="AO796" t="s">
        <v>3489</v>
      </c>
      <c r="AV796" t="str">
        <f>IF(F796&gt;0,(COUNT($AV$1:AV795)+1),"")</f>
        <v/>
      </c>
    </row>
    <row r="797" spans="1:48" ht="15" customHeight="1" x14ac:dyDescent="0.25">
      <c r="A797" s="1"/>
      <c r="B797" s="30">
        <v>15142</v>
      </c>
      <c r="C797" s="20">
        <v>4680288034506</v>
      </c>
      <c r="D797" s="225" t="s">
        <v>5867</v>
      </c>
      <c r="E797" s="67">
        <v>10</v>
      </c>
      <c r="F797" s="222"/>
      <c r="G797" s="107">
        <v>89.8</v>
      </c>
      <c r="H797" s="21">
        <v>92.5</v>
      </c>
      <c r="I797" s="22">
        <v>97.9</v>
      </c>
      <c r="J797" s="112" t="s">
        <v>295</v>
      </c>
      <c r="K797" s="45" t="s">
        <v>88</v>
      </c>
      <c r="L797" s="437"/>
      <c r="M797" s="474" t="s">
        <v>104</v>
      </c>
      <c r="N797" s="1013" t="s">
        <v>1856</v>
      </c>
      <c r="O797" s="209"/>
      <c r="P797" s="66" t="s">
        <v>72</v>
      </c>
      <c r="Q797" s="100">
        <f t="shared" si="449"/>
        <v>0</v>
      </c>
      <c r="R797" s="13" t="str">
        <f t="shared" si="450"/>
        <v>Фото &gt;&gt;</v>
      </c>
      <c r="S797" s="14" t="s">
        <v>319</v>
      </c>
      <c r="AG797"/>
      <c r="AH797"/>
      <c r="AK797">
        <v>0.31</v>
      </c>
      <c r="AL797">
        <f t="shared" si="451"/>
        <v>0</v>
      </c>
      <c r="AM797">
        <f t="shared" si="452"/>
        <v>0</v>
      </c>
      <c r="AN797">
        <f t="shared" si="440"/>
        <v>0</v>
      </c>
      <c r="AO797" t="s">
        <v>4839</v>
      </c>
      <c r="AV797" t="str">
        <f>IF(F797&gt;0,(COUNT($AV$1:AV796)+1),"")</f>
        <v/>
      </c>
    </row>
    <row r="798" spans="1:48" ht="15" customHeight="1" x14ac:dyDescent="0.25">
      <c r="A798" s="1"/>
      <c r="B798" s="31">
        <v>15140</v>
      </c>
      <c r="C798" s="16">
        <v>4680288034520</v>
      </c>
      <c r="D798" s="226" t="s">
        <v>6843</v>
      </c>
      <c r="E798" s="69">
        <v>10</v>
      </c>
      <c r="F798" s="222"/>
      <c r="G798" s="108">
        <v>91.9</v>
      </c>
      <c r="H798" s="17">
        <v>94.7</v>
      </c>
      <c r="I798" s="18">
        <v>100.2</v>
      </c>
      <c r="J798" s="113" t="s">
        <v>295</v>
      </c>
      <c r="K798" s="44" t="s">
        <v>88</v>
      </c>
      <c r="L798" s="442"/>
      <c r="M798" s="480" t="s">
        <v>104</v>
      </c>
      <c r="N798" s="1015" t="s">
        <v>1856</v>
      </c>
      <c r="O798" s="210"/>
      <c r="P798" s="68" t="s">
        <v>72</v>
      </c>
      <c r="Q798" s="100">
        <f t="shared" si="449"/>
        <v>0</v>
      </c>
      <c r="R798" s="13" t="str">
        <f t="shared" si="450"/>
        <v>Фото &gt;&gt;</v>
      </c>
      <c r="S798" s="14" t="s">
        <v>320</v>
      </c>
      <c r="AK798">
        <v>0.31</v>
      </c>
      <c r="AL798">
        <f t="shared" si="451"/>
        <v>0</v>
      </c>
      <c r="AM798">
        <f t="shared" si="452"/>
        <v>0</v>
      </c>
      <c r="AN798">
        <f t="shared" ref="AN798:AN830" si="453">AK798*F798+IF(E798&gt;1.01,F798/E798*0.2,0)</f>
        <v>0</v>
      </c>
      <c r="AO798" t="s">
        <v>4840</v>
      </c>
      <c r="AV798" t="str">
        <f>IF(F798&gt;0,(COUNT($AV$1:AV797)+1),"")</f>
        <v/>
      </c>
    </row>
    <row r="799" spans="1:48" ht="15" customHeight="1" x14ac:dyDescent="0.25">
      <c r="A799" s="1"/>
      <c r="B799" s="30">
        <v>13842</v>
      </c>
      <c r="C799" s="20">
        <v>4680288034544</v>
      </c>
      <c r="D799" s="421" t="s">
        <v>7263</v>
      </c>
      <c r="E799" s="67">
        <v>10</v>
      </c>
      <c r="F799" s="222"/>
      <c r="G799" s="107">
        <v>91.9</v>
      </c>
      <c r="H799" s="21">
        <v>94.7</v>
      </c>
      <c r="I799" s="22">
        <v>100.2</v>
      </c>
      <c r="J799" s="112" t="s">
        <v>295</v>
      </c>
      <c r="K799" s="45" t="s">
        <v>88</v>
      </c>
      <c r="L799" s="437"/>
      <c r="M799" s="474" t="s">
        <v>104</v>
      </c>
      <c r="N799" s="1013" t="s">
        <v>1856</v>
      </c>
      <c r="O799" s="209"/>
      <c r="P799" s="66" t="s">
        <v>72</v>
      </c>
      <c r="Q799" s="100">
        <f t="shared" si="449"/>
        <v>0</v>
      </c>
      <c r="R799" s="13" t="str">
        <f t="shared" si="450"/>
        <v>Фото &gt;&gt;</v>
      </c>
      <c r="S799" s="14" t="s">
        <v>321</v>
      </c>
      <c r="AG799"/>
      <c r="AH799"/>
      <c r="AK799">
        <v>0.31</v>
      </c>
      <c r="AL799">
        <f t="shared" si="451"/>
        <v>0</v>
      </c>
      <c r="AM799">
        <f t="shared" si="452"/>
        <v>0</v>
      </c>
      <c r="AN799">
        <f t="shared" si="453"/>
        <v>0</v>
      </c>
      <c r="AO799" t="s">
        <v>5387</v>
      </c>
      <c r="AV799" t="str">
        <f>IF(F799&gt;0,(COUNT($AV$1:AV798)+1),"")</f>
        <v/>
      </c>
    </row>
    <row r="800" spans="1:48" ht="15" customHeight="1" x14ac:dyDescent="0.25">
      <c r="A800" s="1"/>
      <c r="B800" s="31">
        <v>15141</v>
      </c>
      <c r="C800" s="16">
        <v>4680288034551</v>
      </c>
      <c r="D800" s="226" t="s">
        <v>6844</v>
      </c>
      <c r="E800" s="69">
        <v>10</v>
      </c>
      <c r="F800" s="222"/>
      <c r="G800" s="108">
        <v>91.9</v>
      </c>
      <c r="H800" s="17">
        <v>94.7</v>
      </c>
      <c r="I800" s="18">
        <v>100.2</v>
      </c>
      <c r="J800" s="113" t="s">
        <v>295</v>
      </c>
      <c r="K800" s="44" t="s">
        <v>88</v>
      </c>
      <c r="L800" s="442"/>
      <c r="M800" s="480" t="s">
        <v>104</v>
      </c>
      <c r="N800" s="1015" t="s">
        <v>1856</v>
      </c>
      <c r="O800" s="210"/>
      <c r="P800" s="68" t="s">
        <v>72</v>
      </c>
      <c r="Q800" s="100">
        <f t="shared" si="449"/>
        <v>0</v>
      </c>
      <c r="R800" s="13" t="str">
        <f t="shared" si="450"/>
        <v>Фото &gt;&gt;</v>
      </c>
      <c r="S800" s="14" t="s">
        <v>322</v>
      </c>
      <c r="AK800">
        <v>0.31</v>
      </c>
      <c r="AL800">
        <f t="shared" si="451"/>
        <v>0</v>
      </c>
      <c r="AM800">
        <f t="shared" si="452"/>
        <v>0</v>
      </c>
      <c r="AN800">
        <f t="shared" si="453"/>
        <v>0</v>
      </c>
      <c r="AO800" t="s">
        <v>4841</v>
      </c>
      <c r="AV800" t="str">
        <f>IF(F800&gt;0,(COUNT($AV$1:AV799)+1),"")</f>
        <v/>
      </c>
    </row>
    <row r="801" spans="1:48" ht="15" customHeight="1" x14ac:dyDescent="0.25">
      <c r="A801" s="1"/>
      <c r="B801" s="30">
        <v>13838</v>
      </c>
      <c r="C801" s="20">
        <v>4680288034575</v>
      </c>
      <c r="D801" s="225" t="s">
        <v>6845</v>
      </c>
      <c r="E801" s="67">
        <v>10</v>
      </c>
      <c r="F801" s="222"/>
      <c r="G801" s="107">
        <v>91.9</v>
      </c>
      <c r="H801" s="21">
        <v>94.7</v>
      </c>
      <c r="I801" s="22">
        <v>100.2</v>
      </c>
      <c r="J801" s="112" t="s">
        <v>295</v>
      </c>
      <c r="K801" s="45" t="s">
        <v>88</v>
      </c>
      <c r="L801" s="437"/>
      <c r="M801" s="474" t="s">
        <v>104</v>
      </c>
      <c r="N801" s="1013" t="s">
        <v>1856</v>
      </c>
      <c r="O801" s="209"/>
      <c r="P801" s="66" t="s">
        <v>72</v>
      </c>
      <c r="Q801" s="100">
        <f t="shared" si="449"/>
        <v>0</v>
      </c>
      <c r="R801" s="13" t="str">
        <f t="shared" si="450"/>
        <v>Фото &gt;&gt;</v>
      </c>
      <c r="S801" s="14" t="s">
        <v>323</v>
      </c>
      <c r="AG801"/>
      <c r="AH801"/>
      <c r="AK801">
        <v>0.31</v>
      </c>
      <c r="AL801">
        <f t="shared" si="451"/>
        <v>0</v>
      </c>
      <c r="AM801">
        <f t="shared" si="452"/>
        <v>0</v>
      </c>
      <c r="AN801">
        <f t="shared" si="453"/>
        <v>0</v>
      </c>
      <c r="AO801" t="s">
        <v>4842</v>
      </c>
      <c r="AV801" t="str">
        <f>IF(F801&gt;0,(COUNT($AV$1:AV800)+1),"")</f>
        <v/>
      </c>
    </row>
    <row r="802" spans="1:48" ht="15" customHeight="1" x14ac:dyDescent="0.25">
      <c r="A802" s="1"/>
      <c r="B802" s="31">
        <v>13840</v>
      </c>
      <c r="C802" s="16">
        <v>4680288034582</v>
      </c>
      <c r="D802" s="226" t="s">
        <v>6846</v>
      </c>
      <c r="E802" s="69">
        <v>10</v>
      </c>
      <c r="F802" s="222"/>
      <c r="G802" s="108">
        <v>91.9</v>
      </c>
      <c r="H802" s="17">
        <v>94.7</v>
      </c>
      <c r="I802" s="18">
        <v>100.2</v>
      </c>
      <c r="J802" s="113" t="s">
        <v>295</v>
      </c>
      <c r="K802" s="44" t="s">
        <v>88</v>
      </c>
      <c r="L802" s="442"/>
      <c r="M802" s="480" t="s">
        <v>104</v>
      </c>
      <c r="N802" s="1015" t="s">
        <v>1856</v>
      </c>
      <c r="O802" s="210"/>
      <c r="P802" s="68" t="s">
        <v>72</v>
      </c>
      <c r="Q802" s="100">
        <f t="shared" si="449"/>
        <v>0</v>
      </c>
      <c r="R802" s="13" t="str">
        <f t="shared" si="450"/>
        <v>Фото &gt;&gt;</v>
      </c>
      <c r="S802" s="14" t="s">
        <v>324</v>
      </c>
      <c r="AK802">
        <v>0.31</v>
      </c>
      <c r="AL802">
        <f t="shared" si="451"/>
        <v>0</v>
      </c>
      <c r="AM802">
        <f t="shared" si="452"/>
        <v>0</v>
      </c>
      <c r="AN802">
        <f t="shared" si="453"/>
        <v>0</v>
      </c>
      <c r="AO802" t="s">
        <v>4843</v>
      </c>
      <c r="AV802" t="str">
        <f>IF(F802&gt;0,(COUNT($AV$1:AV801)+1),"")</f>
        <v/>
      </c>
    </row>
    <row r="803" spans="1:48" ht="15" customHeight="1" x14ac:dyDescent="0.25">
      <c r="A803" s="1"/>
      <c r="B803" s="30">
        <v>13839</v>
      </c>
      <c r="C803" s="20">
        <v>4680288034599</v>
      </c>
      <c r="D803" s="225" t="s">
        <v>6847</v>
      </c>
      <c r="E803" s="67">
        <v>10</v>
      </c>
      <c r="F803" s="222"/>
      <c r="G803" s="107">
        <v>91.9</v>
      </c>
      <c r="H803" s="21">
        <v>94.7</v>
      </c>
      <c r="I803" s="22">
        <v>100.2</v>
      </c>
      <c r="J803" s="112" t="s">
        <v>295</v>
      </c>
      <c r="K803" s="45" t="s">
        <v>88</v>
      </c>
      <c r="L803" s="437"/>
      <c r="M803" s="474" t="s">
        <v>104</v>
      </c>
      <c r="N803" s="1013" t="s">
        <v>1856</v>
      </c>
      <c r="O803" s="209"/>
      <c r="P803" s="66" t="s">
        <v>72</v>
      </c>
      <c r="Q803" s="100">
        <f t="shared" si="449"/>
        <v>0</v>
      </c>
      <c r="R803" s="13" t="str">
        <f t="shared" si="450"/>
        <v>Фото &gt;&gt;</v>
      </c>
      <c r="S803" s="14" t="s">
        <v>325</v>
      </c>
      <c r="AG803"/>
      <c r="AH803"/>
      <c r="AK803">
        <v>0.31</v>
      </c>
      <c r="AL803">
        <f t="shared" si="451"/>
        <v>0</v>
      </c>
      <c r="AM803">
        <f t="shared" si="452"/>
        <v>0</v>
      </c>
      <c r="AN803">
        <f t="shared" si="453"/>
        <v>0</v>
      </c>
      <c r="AO803" t="s">
        <v>5388</v>
      </c>
      <c r="AV803" t="str">
        <f>IF(F803&gt;0,(COUNT($AV$1:AV802)+1),"")</f>
        <v/>
      </c>
    </row>
    <row r="804" spans="1:48" ht="15" customHeight="1" x14ac:dyDescent="0.25">
      <c r="A804" s="1"/>
      <c r="B804" s="25"/>
      <c r="C804" s="26"/>
      <c r="D804" s="756" t="s">
        <v>1642</v>
      </c>
      <c r="E804" s="80"/>
      <c r="F804" s="96"/>
      <c r="G804" s="28"/>
      <c r="H804" s="29"/>
      <c r="I804" s="29"/>
      <c r="J804" s="51"/>
      <c r="K804" s="47"/>
      <c r="L804" s="447"/>
      <c r="M804" s="489"/>
      <c r="N804" s="716"/>
      <c r="O804" s="186"/>
      <c r="P804" s="79"/>
      <c r="Q804" s="104"/>
      <c r="R804" s="13"/>
      <c r="S804" s="14"/>
      <c r="AG804" s="400"/>
      <c r="AH804" s="400"/>
      <c r="AL804">
        <f t="shared" ref="AL804:AL809" si="454">F804*G804</f>
        <v>0</v>
      </c>
      <c r="AM804">
        <f t="shared" ref="AM804:AM809" si="455">F804*H804</f>
        <v>0</v>
      </c>
      <c r="AN804">
        <f t="shared" ref="AN804:AN809" si="456">AK804*F804+IF(E804&gt;1.01,F804/E804*0.2,0)</f>
        <v>0</v>
      </c>
      <c r="AO804" t="s">
        <v>104</v>
      </c>
      <c r="AV804" t="str">
        <f>IF(F804&gt;0,(COUNT($AV$1:AV803)+1),"")</f>
        <v/>
      </c>
    </row>
    <row r="805" spans="1:48" ht="15" customHeight="1" x14ac:dyDescent="0.25">
      <c r="A805" s="1"/>
      <c r="B805" s="30">
        <v>20715</v>
      </c>
      <c r="C805" s="20">
        <v>4680288044956</v>
      </c>
      <c r="D805" s="225" t="s">
        <v>4380</v>
      </c>
      <c r="E805" s="67">
        <v>10</v>
      </c>
      <c r="F805" s="222"/>
      <c r="G805" s="107">
        <v>178.8</v>
      </c>
      <c r="H805" s="21">
        <v>184.4</v>
      </c>
      <c r="I805" s="22">
        <v>190.1</v>
      </c>
      <c r="J805" s="112" t="s">
        <v>295</v>
      </c>
      <c r="K805" s="45" t="s">
        <v>326</v>
      </c>
      <c r="L805" s="437"/>
      <c r="M805" s="474"/>
      <c r="N805" s="1013"/>
      <c r="O805" s="209"/>
      <c r="P805" s="66" t="s">
        <v>122</v>
      </c>
      <c r="Q805" s="100">
        <f t="shared" ref="Q805:Q819" si="457">IF($AO$766=2,F805*H805,IF($AO$766=1,F805*G805,F805*I805))</f>
        <v>0</v>
      </c>
      <c r="R805" s="13" t="str">
        <f t="shared" ref="R805:R814" si="458">IF(AO805&gt;0,HYPERLINK(AO805,"Фото &gt;&gt;"),"")</f>
        <v>Фото &gt;&gt;</v>
      </c>
      <c r="S805" s="14"/>
      <c r="AG805"/>
      <c r="AH805"/>
      <c r="AK805">
        <v>0.33</v>
      </c>
      <c r="AL805">
        <f t="shared" si="454"/>
        <v>0</v>
      </c>
      <c r="AM805">
        <f t="shared" si="455"/>
        <v>0</v>
      </c>
      <c r="AN805">
        <f t="shared" si="456"/>
        <v>0</v>
      </c>
      <c r="AO805" t="s">
        <v>4416</v>
      </c>
      <c r="AV805" t="str">
        <f>IF(F805&gt;0,(COUNT($AV$1:AV804)+1),"")</f>
        <v/>
      </c>
    </row>
    <row r="806" spans="1:48" ht="15" customHeight="1" x14ac:dyDescent="0.25">
      <c r="A806" s="1"/>
      <c r="B806" s="31">
        <v>20716</v>
      </c>
      <c r="C806" s="16">
        <v>4680288044949</v>
      </c>
      <c r="D806" s="422" t="s">
        <v>4381</v>
      </c>
      <c r="E806" s="69">
        <v>10</v>
      </c>
      <c r="F806" s="222"/>
      <c r="G806" s="108">
        <v>178.8</v>
      </c>
      <c r="H806" s="17">
        <v>184.4</v>
      </c>
      <c r="I806" s="18">
        <v>190.1</v>
      </c>
      <c r="J806" s="113" t="s">
        <v>295</v>
      </c>
      <c r="K806" s="44" t="s">
        <v>326</v>
      </c>
      <c r="L806" s="442"/>
      <c r="M806" s="480"/>
      <c r="N806" s="1015"/>
      <c r="O806" s="210"/>
      <c r="P806" s="68" t="s">
        <v>122</v>
      </c>
      <c r="Q806" s="100">
        <f t="shared" si="457"/>
        <v>0</v>
      </c>
      <c r="R806" s="13" t="str">
        <f t="shared" si="458"/>
        <v>Фото &gt;&gt;</v>
      </c>
      <c r="S806" s="14"/>
      <c r="AK806">
        <v>0.33</v>
      </c>
      <c r="AL806">
        <f t="shared" si="454"/>
        <v>0</v>
      </c>
      <c r="AM806">
        <f t="shared" si="455"/>
        <v>0</v>
      </c>
      <c r="AN806">
        <f t="shared" si="456"/>
        <v>0</v>
      </c>
      <c r="AO806" t="s">
        <v>4417</v>
      </c>
      <c r="AV806" t="str">
        <f>IF(F806&gt;0,(COUNT($AV$1:AV805)+1),"")</f>
        <v/>
      </c>
    </row>
    <row r="807" spans="1:48" ht="15" customHeight="1" x14ac:dyDescent="0.25">
      <c r="A807" s="1"/>
      <c r="B807" s="30">
        <v>15788</v>
      </c>
      <c r="C807" s="20">
        <v>4680288030195</v>
      </c>
      <c r="D807" s="225" t="s">
        <v>6291</v>
      </c>
      <c r="E807" s="67">
        <v>10</v>
      </c>
      <c r="F807" s="222"/>
      <c r="G807" s="107">
        <v>171.7</v>
      </c>
      <c r="H807" s="21">
        <v>177.2</v>
      </c>
      <c r="I807" s="22">
        <v>182.6</v>
      </c>
      <c r="J807" s="112" t="s">
        <v>295</v>
      </c>
      <c r="K807" s="45" t="s">
        <v>326</v>
      </c>
      <c r="L807" s="437"/>
      <c r="M807" s="474" t="s">
        <v>1856</v>
      </c>
      <c r="N807" s="1013"/>
      <c r="O807" s="209"/>
      <c r="P807" s="66" t="s">
        <v>122</v>
      </c>
      <c r="Q807" s="100">
        <f t="shared" si="457"/>
        <v>0</v>
      </c>
      <c r="R807" s="13" t="str">
        <f t="shared" si="458"/>
        <v>Фото &gt;&gt;</v>
      </c>
      <c r="S807" s="14" t="s">
        <v>327</v>
      </c>
      <c r="AG807" s="400"/>
      <c r="AH807" s="400"/>
      <c r="AK807">
        <v>0.33</v>
      </c>
      <c r="AL807">
        <f t="shared" si="454"/>
        <v>0</v>
      </c>
      <c r="AM807">
        <f t="shared" si="455"/>
        <v>0</v>
      </c>
      <c r="AN807">
        <f t="shared" si="456"/>
        <v>0</v>
      </c>
      <c r="AO807" t="s">
        <v>4452</v>
      </c>
      <c r="AV807" t="str">
        <f>IF(F807&gt;0,(COUNT($AV$1:AV806)+1),"")</f>
        <v/>
      </c>
    </row>
    <row r="808" spans="1:48" ht="15" customHeight="1" x14ac:dyDescent="0.25">
      <c r="A808" s="1"/>
      <c r="B808" s="31">
        <v>14401</v>
      </c>
      <c r="C808" s="16">
        <v>4680288030294</v>
      </c>
      <c r="D808" s="422" t="s">
        <v>7264</v>
      </c>
      <c r="E808" s="69">
        <v>15</v>
      </c>
      <c r="F808" s="222"/>
      <c r="G808" s="108">
        <v>143.80000000000001</v>
      </c>
      <c r="H808" s="17">
        <v>148.6</v>
      </c>
      <c r="I808" s="18">
        <v>153.19999999999999</v>
      </c>
      <c r="J808" s="113" t="s">
        <v>295</v>
      </c>
      <c r="K808" s="44" t="s">
        <v>326</v>
      </c>
      <c r="L808" s="442"/>
      <c r="M808" s="480" t="s">
        <v>104</v>
      </c>
      <c r="N808" s="1015"/>
      <c r="O808" s="210"/>
      <c r="P808" s="68" t="s">
        <v>53</v>
      </c>
      <c r="Q808" s="100">
        <f t="shared" si="457"/>
        <v>0</v>
      </c>
      <c r="R808" s="13" t="str">
        <f t="shared" si="458"/>
        <v>Фото &gt;&gt;</v>
      </c>
      <c r="S808" s="14" t="s">
        <v>328</v>
      </c>
      <c r="AG808" s="400"/>
      <c r="AH808" s="400"/>
      <c r="AK808">
        <v>0.31</v>
      </c>
      <c r="AL808">
        <f t="shared" si="454"/>
        <v>0</v>
      </c>
      <c r="AM808">
        <f t="shared" si="455"/>
        <v>0</v>
      </c>
      <c r="AN808">
        <f t="shared" si="456"/>
        <v>0</v>
      </c>
      <c r="AO808" t="s">
        <v>4455</v>
      </c>
      <c r="AV808" t="str">
        <f>IF(F808&gt;0,(COUNT($AV$1:AV807)+1),"")</f>
        <v/>
      </c>
    </row>
    <row r="809" spans="1:48" ht="15" customHeight="1" x14ac:dyDescent="0.25">
      <c r="A809" s="1"/>
      <c r="B809" s="30">
        <v>13499</v>
      </c>
      <c r="C809" s="20">
        <v>4680288030270</v>
      </c>
      <c r="D809" s="225" t="s">
        <v>6292</v>
      </c>
      <c r="E809" s="67">
        <v>10</v>
      </c>
      <c r="F809" s="222"/>
      <c r="G809" s="107">
        <v>126.5</v>
      </c>
      <c r="H809" s="21">
        <v>130.6</v>
      </c>
      <c r="I809" s="22">
        <v>134.69999999999999</v>
      </c>
      <c r="J809" s="112" t="s">
        <v>295</v>
      </c>
      <c r="K809" s="45" t="s">
        <v>326</v>
      </c>
      <c r="L809" s="437"/>
      <c r="M809" s="474" t="s">
        <v>104</v>
      </c>
      <c r="N809" s="1013"/>
      <c r="O809" s="209"/>
      <c r="P809" s="66" t="s">
        <v>53</v>
      </c>
      <c r="Q809" s="100">
        <f t="shared" si="457"/>
        <v>0</v>
      </c>
      <c r="R809" s="13" t="str">
        <f t="shared" ref="R809:R810" si="459">IF(AO809&gt;0,HYPERLINK(AO809,"Фото &gt;&gt;"),"")</f>
        <v>Фото &gt;&gt;</v>
      </c>
      <c r="S809" s="14" t="s">
        <v>329</v>
      </c>
      <c r="AG809" s="400"/>
      <c r="AH809" s="400"/>
      <c r="AK809">
        <v>0.31</v>
      </c>
      <c r="AL809">
        <f t="shared" si="454"/>
        <v>0</v>
      </c>
      <c r="AM809">
        <f t="shared" si="455"/>
        <v>0</v>
      </c>
      <c r="AN809">
        <f t="shared" si="456"/>
        <v>0</v>
      </c>
      <c r="AO809" t="s">
        <v>4457</v>
      </c>
      <c r="AV809" t="str">
        <f>IF(F809&gt;0,(COUNT($AV$1:AV808)+1),"")</f>
        <v/>
      </c>
    </row>
    <row r="810" spans="1:48" ht="15" customHeight="1" x14ac:dyDescent="0.25">
      <c r="A810" s="1"/>
      <c r="B810" s="31">
        <v>13104</v>
      </c>
      <c r="C810" s="16">
        <v>4680288030348</v>
      </c>
      <c r="D810" s="226" t="s">
        <v>7212</v>
      </c>
      <c r="E810" s="69">
        <v>10</v>
      </c>
      <c r="F810" s="222"/>
      <c r="G810" s="108">
        <v>128.4</v>
      </c>
      <c r="H810" s="17">
        <v>132.6</v>
      </c>
      <c r="I810" s="18">
        <v>136.69999999999999</v>
      </c>
      <c r="J810" s="113" t="s">
        <v>295</v>
      </c>
      <c r="K810" s="44" t="s">
        <v>326</v>
      </c>
      <c r="L810" s="442"/>
      <c r="M810" s="480" t="s">
        <v>104</v>
      </c>
      <c r="N810" s="1015"/>
      <c r="O810" s="210"/>
      <c r="P810" s="68" t="s">
        <v>53</v>
      </c>
      <c r="Q810" s="100">
        <f t="shared" si="457"/>
        <v>0</v>
      </c>
      <c r="R810" s="13" t="str">
        <f t="shared" si="459"/>
        <v>Фото &gt;&gt;</v>
      </c>
      <c r="S810" s="14" t="s">
        <v>329</v>
      </c>
      <c r="AG810" s="400"/>
      <c r="AH810" s="400"/>
      <c r="AK810">
        <v>0.31</v>
      </c>
      <c r="AL810">
        <f t="shared" ref="AL810:AL811" si="460">F810*G810</f>
        <v>0</v>
      </c>
      <c r="AM810">
        <f t="shared" ref="AM810:AM811" si="461">F810*H810</f>
        <v>0</v>
      </c>
      <c r="AN810">
        <f t="shared" si="453"/>
        <v>0</v>
      </c>
      <c r="AO810" t="s">
        <v>4456</v>
      </c>
      <c r="AV810" t="str">
        <f>IF(F810&gt;0,(COUNT($AV$1:AV809)+1),"")</f>
        <v/>
      </c>
    </row>
    <row r="811" spans="1:48" ht="15" customHeight="1" x14ac:dyDescent="0.25">
      <c r="A811" s="1"/>
      <c r="B811" s="30">
        <v>18339</v>
      </c>
      <c r="C811" s="20">
        <v>4680288030317</v>
      </c>
      <c r="D811" s="225" t="s">
        <v>6293</v>
      </c>
      <c r="E811" s="67">
        <v>10</v>
      </c>
      <c r="F811" s="222"/>
      <c r="G811" s="107">
        <v>182.2</v>
      </c>
      <c r="H811" s="21">
        <v>188</v>
      </c>
      <c r="I811" s="22">
        <v>193.8</v>
      </c>
      <c r="J811" s="112" t="s">
        <v>295</v>
      </c>
      <c r="K811" s="45" t="s">
        <v>326</v>
      </c>
      <c r="L811" s="437"/>
      <c r="M811" s="474" t="s">
        <v>1856</v>
      </c>
      <c r="N811" s="1013"/>
      <c r="O811" s="209"/>
      <c r="P811" s="66" t="s">
        <v>122</v>
      </c>
      <c r="Q811" s="100">
        <f t="shared" si="457"/>
        <v>0</v>
      </c>
      <c r="R811" s="13" t="str">
        <f t="shared" ref="R811" si="462">IF(AO811&gt;0,HYPERLINK(AO811,"Фото &gt;&gt;"),"")</f>
        <v>Фото &gt;&gt;</v>
      </c>
      <c r="S811" s="14" t="s">
        <v>3490</v>
      </c>
      <c r="AG811" s="400"/>
      <c r="AH811" s="400"/>
      <c r="AK811">
        <v>0.31</v>
      </c>
      <c r="AL811">
        <f t="shared" si="460"/>
        <v>0</v>
      </c>
      <c r="AM811">
        <f t="shared" si="461"/>
        <v>0</v>
      </c>
      <c r="AN811">
        <f t="shared" si="453"/>
        <v>0</v>
      </c>
      <c r="AO811" t="s">
        <v>4454</v>
      </c>
      <c r="AV811" t="str">
        <f>IF(F811&gt;0,(COUNT($AV$1:AV810)+1),"")</f>
        <v/>
      </c>
    </row>
    <row r="812" spans="1:48" ht="15" customHeight="1" x14ac:dyDescent="0.25">
      <c r="A812" s="1"/>
      <c r="B812" s="31">
        <v>14503</v>
      </c>
      <c r="C812" s="16">
        <v>4680288030362</v>
      </c>
      <c r="D812" s="226" t="s">
        <v>6294</v>
      </c>
      <c r="E812" s="69">
        <v>10</v>
      </c>
      <c r="F812" s="222"/>
      <c r="G812" s="108">
        <v>168.2</v>
      </c>
      <c r="H812" s="17">
        <v>173.7</v>
      </c>
      <c r="I812" s="18">
        <v>179.1</v>
      </c>
      <c r="J812" s="113" t="s">
        <v>295</v>
      </c>
      <c r="K812" s="44" t="s">
        <v>326</v>
      </c>
      <c r="L812" s="442"/>
      <c r="M812" s="480" t="s">
        <v>1856</v>
      </c>
      <c r="N812" s="1015"/>
      <c r="O812" s="210"/>
      <c r="P812" s="68" t="s">
        <v>122</v>
      </c>
      <c r="Q812" s="100">
        <f t="shared" si="457"/>
        <v>0</v>
      </c>
      <c r="R812" s="13" t="str">
        <f t="shared" si="458"/>
        <v>Фото &gt;&gt;</v>
      </c>
      <c r="S812" s="14" t="s">
        <v>330</v>
      </c>
      <c r="AG812" s="400"/>
      <c r="AH812" s="400"/>
      <c r="AK812">
        <v>0.33</v>
      </c>
      <c r="AL812">
        <f t="shared" si="451"/>
        <v>0</v>
      </c>
      <c r="AM812">
        <f t="shared" si="452"/>
        <v>0</v>
      </c>
      <c r="AN812">
        <f t="shared" si="453"/>
        <v>0</v>
      </c>
      <c r="AO812" t="s">
        <v>4453</v>
      </c>
      <c r="AV812" t="str">
        <f>IF(F812&gt;0,(COUNT($AV$1:AV811)+1),"")</f>
        <v/>
      </c>
    </row>
    <row r="813" spans="1:48" ht="15" customHeight="1" x14ac:dyDescent="0.25">
      <c r="A813" s="1"/>
      <c r="B813" s="30">
        <v>18720</v>
      </c>
      <c r="C813" s="20">
        <v>4680288030775</v>
      </c>
      <c r="D813" s="225" t="s">
        <v>1741</v>
      </c>
      <c r="E813" s="67">
        <v>12</v>
      </c>
      <c r="F813" s="222"/>
      <c r="G813" s="107">
        <v>109.5</v>
      </c>
      <c r="H813" s="21">
        <v>112.6</v>
      </c>
      <c r="I813" s="22">
        <v>119.5</v>
      </c>
      <c r="J813" s="112" t="s">
        <v>295</v>
      </c>
      <c r="K813" s="45" t="s">
        <v>326</v>
      </c>
      <c r="L813" s="437"/>
      <c r="M813" s="474" t="s">
        <v>1856</v>
      </c>
      <c r="N813" s="1013" t="s">
        <v>1856</v>
      </c>
      <c r="O813" s="212"/>
      <c r="P813" s="66" t="s">
        <v>53</v>
      </c>
      <c r="Q813" s="100">
        <f t="shared" si="457"/>
        <v>0</v>
      </c>
      <c r="R813" s="13" t="str">
        <f t="shared" si="458"/>
        <v>Фото &gt;&gt;</v>
      </c>
      <c r="S813" s="14" t="s">
        <v>1708</v>
      </c>
      <c r="AG813" s="400"/>
      <c r="AH813" s="400"/>
      <c r="AK813">
        <v>0.16</v>
      </c>
      <c r="AL813">
        <f t="shared" si="451"/>
        <v>0</v>
      </c>
      <c r="AM813">
        <f t="shared" si="452"/>
        <v>0</v>
      </c>
      <c r="AN813">
        <f t="shared" si="453"/>
        <v>0</v>
      </c>
      <c r="AO813" t="s">
        <v>2568</v>
      </c>
      <c r="AV813" t="str">
        <f>IF(F813&gt;0,(COUNT($AV$1:AV812)+1),"")</f>
        <v/>
      </c>
    </row>
    <row r="814" spans="1:48" ht="15" customHeight="1" x14ac:dyDescent="0.25">
      <c r="A814" s="1"/>
      <c r="B814" s="31">
        <v>18539</v>
      </c>
      <c r="C814" s="16">
        <v>4680288030799</v>
      </c>
      <c r="D814" s="226" t="s">
        <v>1742</v>
      </c>
      <c r="E814" s="69">
        <v>12</v>
      </c>
      <c r="F814" s="222"/>
      <c r="G814" s="108">
        <v>109.5</v>
      </c>
      <c r="H814" s="17">
        <v>112.6</v>
      </c>
      <c r="I814" s="18">
        <v>119.5</v>
      </c>
      <c r="J814" s="113" t="s">
        <v>295</v>
      </c>
      <c r="K814" s="44" t="s">
        <v>326</v>
      </c>
      <c r="L814" s="442"/>
      <c r="M814" s="480" t="s">
        <v>1856</v>
      </c>
      <c r="N814" s="1015"/>
      <c r="O814" s="210"/>
      <c r="P814" s="68" t="s">
        <v>53</v>
      </c>
      <c r="Q814" s="100">
        <f t="shared" si="457"/>
        <v>0</v>
      </c>
      <c r="R814" s="13" t="str">
        <f t="shared" si="458"/>
        <v>Фото &gt;&gt;</v>
      </c>
      <c r="S814" s="14" t="s">
        <v>1709</v>
      </c>
      <c r="AG814" s="400"/>
      <c r="AH814" s="400"/>
      <c r="AK814">
        <v>0.16</v>
      </c>
      <c r="AL814">
        <f t="shared" si="451"/>
        <v>0</v>
      </c>
      <c r="AM814">
        <f t="shared" si="452"/>
        <v>0</v>
      </c>
      <c r="AN814">
        <f t="shared" si="453"/>
        <v>0</v>
      </c>
      <c r="AO814" t="s">
        <v>2569</v>
      </c>
      <c r="AV814" t="str">
        <f>IF(F814&gt;0,(COUNT($AV$1:AV813)+1),"")</f>
        <v/>
      </c>
    </row>
    <row r="815" spans="1:48" ht="15" customHeight="1" x14ac:dyDescent="0.25">
      <c r="A815" s="1"/>
      <c r="B815" s="30">
        <v>15213</v>
      </c>
      <c r="C815" s="20">
        <v>4690679001369</v>
      </c>
      <c r="D815" s="225" t="s">
        <v>2014</v>
      </c>
      <c r="E815" s="67">
        <v>6</v>
      </c>
      <c r="F815" s="222"/>
      <c r="G815" s="107">
        <v>214.2</v>
      </c>
      <c r="H815" s="21">
        <v>221.1</v>
      </c>
      <c r="I815" s="22">
        <v>234.9</v>
      </c>
      <c r="J815" s="112" t="s">
        <v>295</v>
      </c>
      <c r="K815" s="45" t="s">
        <v>331</v>
      </c>
      <c r="L815" s="437"/>
      <c r="M815" s="474"/>
      <c r="N815" s="1013" t="s">
        <v>1856</v>
      </c>
      <c r="O815" s="212"/>
      <c r="P815" s="66" t="s">
        <v>53</v>
      </c>
      <c r="Q815" s="100">
        <f t="shared" si="457"/>
        <v>0</v>
      </c>
      <c r="R815" s="13" t="str">
        <f t="shared" si="450"/>
        <v>Фото &gt;&gt;</v>
      </c>
      <c r="S815" s="14" t="s">
        <v>1791</v>
      </c>
      <c r="AG815" s="400"/>
      <c r="AH815" s="400"/>
      <c r="AK815">
        <v>0.43</v>
      </c>
      <c r="AL815">
        <f t="shared" si="451"/>
        <v>0</v>
      </c>
      <c r="AM815">
        <f t="shared" si="452"/>
        <v>0</v>
      </c>
      <c r="AN815">
        <f t="shared" si="453"/>
        <v>0</v>
      </c>
      <c r="AO815" t="s">
        <v>4844</v>
      </c>
      <c r="AV815" t="str">
        <f>IF(F815&gt;0,(COUNT($AV$1:AV814)+1),"")</f>
        <v/>
      </c>
    </row>
    <row r="816" spans="1:48" ht="15" customHeight="1" x14ac:dyDescent="0.25">
      <c r="A816" s="1"/>
      <c r="B816" s="31">
        <v>14876</v>
      </c>
      <c r="C816" s="16">
        <v>4690679003462</v>
      </c>
      <c r="D816" s="226" t="s">
        <v>1820</v>
      </c>
      <c r="E816" s="69">
        <v>16</v>
      </c>
      <c r="F816" s="222"/>
      <c r="G816" s="108">
        <v>125.6</v>
      </c>
      <c r="H816" s="17">
        <v>129.4</v>
      </c>
      <c r="I816" s="18">
        <v>137</v>
      </c>
      <c r="J816" s="113" t="s">
        <v>295</v>
      </c>
      <c r="K816" s="44" t="s">
        <v>331</v>
      </c>
      <c r="L816" s="442"/>
      <c r="M816" s="480" t="s">
        <v>1856</v>
      </c>
      <c r="N816" s="1015" t="s">
        <v>1856</v>
      </c>
      <c r="O816" s="210"/>
      <c r="P816" s="68" t="s">
        <v>53</v>
      </c>
      <c r="Q816" s="100">
        <f t="shared" si="457"/>
        <v>0</v>
      </c>
      <c r="R816" s="13" t="str">
        <f>IF(AO816&gt;0,HYPERLINK(AO816,"Фото &gt;&gt;"),"")</f>
        <v>Фото &gt;&gt;</v>
      </c>
      <c r="S816" s="14" t="s">
        <v>332</v>
      </c>
      <c r="AG816" s="400"/>
      <c r="AH816" s="400"/>
      <c r="AK816">
        <v>0.26</v>
      </c>
      <c r="AL816">
        <f t="shared" si="451"/>
        <v>0</v>
      </c>
      <c r="AM816">
        <f t="shared" si="452"/>
        <v>0</v>
      </c>
      <c r="AN816">
        <f t="shared" si="453"/>
        <v>0</v>
      </c>
      <c r="AO816" t="s">
        <v>5389</v>
      </c>
      <c r="AV816" t="str">
        <f>IF(F816&gt;0,(COUNT($AV$1:AV815)+1),"")</f>
        <v/>
      </c>
    </row>
    <row r="817" spans="1:48" ht="15" customHeight="1" x14ac:dyDescent="0.25">
      <c r="A817" s="1"/>
      <c r="B817" s="30">
        <v>17480</v>
      </c>
      <c r="C817" s="20">
        <v>4690679006807</v>
      </c>
      <c r="D817" s="225" t="s">
        <v>333</v>
      </c>
      <c r="E817" s="67">
        <v>28</v>
      </c>
      <c r="F817" s="222"/>
      <c r="G817" s="107">
        <v>76.5</v>
      </c>
      <c r="H817" s="21">
        <v>78.8</v>
      </c>
      <c r="I817" s="22">
        <v>83.3</v>
      </c>
      <c r="J817" s="112" t="s">
        <v>295</v>
      </c>
      <c r="K817" s="45" t="s">
        <v>331</v>
      </c>
      <c r="L817" s="437"/>
      <c r="M817" s="474" t="s">
        <v>1856</v>
      </c>
      <c r="N817" s="1013" t="s">
        <v>1856</v>
      </c>
      <c r="O817" s="212"/>
      <c r="P817" s="66" t="s">
        <v>53</v>
      </c>
      <c r="Q817" s="100">
        <f t="shared" si="457"/>
        <v>0</v>
      </c>
      <c r="R817" s="13" t="str">
        <f t="shared" si="450"/>
        <v>Фото &gt;&gt;</v>
      </c>
      <c r="S817" s="14" t="s">
        <v>1790</v>
      </c>
      <c r="AG817" s="400"/>
      <c r="AH817" s="400"/>
      <c r="AK817">
        <v>0.09</v>
      </c>
      <c r="AL817">
        <f t="shared" si="451"/>
        <v>0</v>
      </c>
      <c r="AM817">
        <f t="shared" si="452"/>
        <v>0</v>
      </c>
      <c r="AN817">
        <f t="shared" si="453"/>
        <v>0</v>
      </c>
      <c r="AO817" t="s">
        <v>2570</v>
      </c>
      <c r="AV817" t="str">
        <f>IF(F817&gt;0,(COUNT($AV$1:AV816)+1),"")</f>
        <v/>
      </c>
    </row>
    <row r="818" spans="1:48" ht="15" customHeight="1" x14ac:dyDescent="0.25">
      <c r="A818" s="1"/>
      <c r="B818" s="31">
        <v>17446</v>
      </c>
      <c r="C818" s="16">
        <v>4680288030935</v>
      </c>
      <c r="D818" s="226" t="s">
        <v>2182</v>
      </c>
      <c r="E818" s="86">
        <v>6</v>
      </c>
      <c r="F818" s="222"/>
      <c r="G818" s="108">
        <v>78.2</v>
      </c>
      <c r="H818" s="17">
        <v>80.5</v>
      </c>
      <c r="I818" s="18">
        <v>85</v>
      </c>
      <c r="J818" s="113" t="s">
        <v>295</v>
      </c>
      <c r="K818" s="44" t="s">
        <v>334</v>
      </c>
      <c r="L818" s="442"/>
      <c r="M818" s="480" t="s">
        <v>1856</v>
      </c>
      <c r="N818" s="1015" t="s">
        <v>1856</v>
      </c>
      <c r="O818" s="217" t="s">
        <v>2000</v>
      </c>
      <c r="P818" s="68" t="s">
        <v>53</v>
      </c>
      <c r="Q818" s="100">
        <f t="shared" si="457"/>
        <v>0</v>
      </c>
      <c r="R818" s="13" t="str">
        <f t="shared" si="450"/>
        <v>Фото &gt;&gt;</v>
      </c>
      <c r="S818" s="14" t="s">
        <v>3491</v>
      </c>
      <c r="AG818" s="400"/>
      <c r="AH818" s="400"/>
      <c r="AK818">
        <v>0.33</v>
      </c>
      <c r="AL818">
        <f t="shared" si="451"/>
        <v>0</v>
      </c>
      <c r="AM818">
        <f t="shared" si="452"/>
        <v>0</v>
      </c>
      <c r="AN818">
        <f t="shared" si="453"/>
        <v>0</v>
      </c>
      <c r="AO818" t="s">
        <v>2571</v>
      </c>
      <c r="AV818" t="str">
        <f>IF(F818&gt;0,(COUNT($AV$1:AV817)+1),"")</f>
        <v/>
      </c>
    </row>
    <row r="819" spans="1:48" ht="15" customHeight="1" x14ac:dyDescent="0.25">
      <c r="A819" s="1"/>
      <c r="B819" s="30">
        <v>14201</v>
      </c>
      <c r="C819" s="20">
        <v>4607160651866</v>
      </c>
      <c r="D819" s="225" t="s">
        <v>2036</v>
      </c>
      <c r="E819" s="85">
        <v>15</v>
      </c>
      <c r="F819" s="222"/>
      <c r="G819" s="107">
        <v>140.69999999999999</v>
      </c>
      <c r="H819" s="21">
        <v>145</v>
      </c>
      <c r="I819" s="22">
        <v>154</v>
      </c>
      <c r="J819" s="112" t="s">
        <v>295</v>
      </c>
      <c r="K819" s="45" t="s">
        <v>124</v>
      </c>
      <c r="L819" s="437"/>
      <c r="M819" s="474" t="s">
        <v>1856</v>
      </c>
      <c r="N819" s="1013" t="s">
        <v>1856</v>
      </c>
      <c r="O819" s="212" t="s">
        <v>3827</v>
      </c>
      <c r="P819" s="66" t="s">
        <v>53</v>
      </c>
      <c r="Q819" s="100">
        <f t="shared" si="457"/>
        <v>0</v>
      </c>
      <c r="R819" s="13" t="str">
        <f t="shared" si="450"/>
        <v>Фото &gt;&gt;</v>
      </c>
      <c r="S819" s="14" t="s">
        <v>2037</v>
      </c>
      <c r="AG819" s="400"/>
      <c r="AH819" s="400"/>
      <c r="AK819">
        <v>0.27</v>
      </c>
      <c r="AL819">
        <f t="shared" si="451"/>
        <v>0</v>
      </c>
      <c r="AM819">
        <f t="shared" si="452"/>
        <v>0</v>
      </c>
      <c r="AN819">
        <f t="shared" si="453"/>
        <v>0</v>
      </c>
      <c r="AO819" t="s">
        <v>4836</v>
      </c>
      <c r="AV819" t="str">
        <f>IF(F819&gt;0,(COUNT($AV$1:AV818)+1),"")</f>
        <v/>
      </c>
    </row>
    <row r="820" spans="1:48" ht="15" customHeight="1" x14ac:dyDescent="0.25">
      <c r="A820" s="1"/>
      <c r="B820" s="25"/>
      <c r="C820" s="26"/>
      <c r="D820" s="27" t="s">
        <v>116</v>
      </c>
      <c r="E820" s="80"/>
      <c r="F820" s="96"/>
      <c r="G820" s="28"/>
      <c r="H820" s="29"/>
      <c r="I820" s="29"/>
      <c r="J820" s="51"/>
      <c r="K820" s="47"/>
      <c r="L820" s="447"/>
      <c r="M820" s="489"/>
      <c r="N820" s="716"/>
      <c r="O820" s="186"/>
      <c r="P820" s="79"/>
      <c r="Q820" s="104"/>
      <c r="R820" s="13"/>
      <c r="S820" s="14"/>
      <c r="AG820" s="400"/>
      <c r="AH820" s="400"/>
      <c r="AL820">
        <f t="shared" ref="AL820:AL830" si="463">F820*G820</f>
        <v>0</v>
      </c>
      <c r="AM820">
        <f t="shared" ref="AM820:AM830" si="464">F820*H820</f>
        <v>0</v>
      </c>
      <c r="AN820">
        <f t="shared" si="453"/>
        <v>0</v>
      </c>
      <c r="AO820" t="s">
        <v>104</v>
      </c>
      <c r="AV820" t="str">
        <f>IF(F820&gt;0,(COUNT($AV$1:AV819)+1),"")</f>
        <v/>
      </c>
    </row>
    <row r="821" spans="1:48" ht="15" customHeight="1" x14ac:dyDescent="0.25">
      <c r="A821" s="1"/>
      <c r="B821" s="31">
        <v>13069</v>
      </c>
      <c r="C821" s="16">
        <v>4680288030454</v>
      </c>
      <c r="D821" s="226" t="s">
        <v>6848</v>
      </c>
      <c r="E821" s="69">
        <v>12</v>
      </c>
      <c r="F821" s="222"/>
      <c r="G821" s="108">
        <v>122.6</v>
      </c>
      <c r="H821" s="17">
        <v>126.6</v>
      </c>
      <c r="I821" s="18">
        <v>134</v>
      </c>
      <c r="J821" s="113" t="s">
        <v>295</v>
      </c>
      <c r="K821" s="44" t="s">
        <v>116</v>
      </c>
      <c r="L821" s="442"/>
      <c r="M821" s="480" t="s">
        <v>1856</v>
      </c>
      <c r="N821" s="1015" t="s">
        <v>1856</v>
      </c>
      <c r="O821" s="210"/>
      <c r="P821" s="68" t="s">
        <v>72</v>
      </c>
      <c r="Q821" s="100">
        <f>IF($AO$766=2,F821*H821,IF($AO$766=1,F821*G821,F821*I821))</f>
        <v>0</v>
      </c>
      <c r="R821" s="13" t="str">
        <f t="shared" si="450"/>
        <v>Фото &gt;&gt;</v>
      </c>
      <c r="S821" s="14" t="s">
        <v>3492</v>
      </c>
      <c r="U821" s="4"/>
      <c r="V821" s="4"/>
      <c r="AG821" s="400"/>
      <c r="AH821" s="400"/>
      <c r="AK821">
        <v>0.71</v>
      </c>
      <c r="AL821">
        <f t="shared" si="463"/>
        <v>0</v>
      </c>
      <c r="AM821">
        <f t="shared" si="464"/>
        <v>0</v>
      </c>
      <c r="AN821">
        <f t="shared" si="453"/>
        <v>0</v>
      </c>
      <c r="AO821" t="s">
        <v>3494</v>
      </c>
      <c r="AV821" t="str">
        <f>IF(F821&gt;0,(COUNT($AV$1:AV820)+1),"")</f>
        <v/>
      </c>
    </row>
    <row r="822" spans="1:48" ht="15" customHeight="1" x14ac:dyDescent="0.25">
      <c r="A822" s="1"/>
      <c r="B822" s="30">
        <v>13070</v>
      </c>
      <c r="C822" s="20">
        <v>4680288030478</v>
      </c>
      <c r="D822" s="225" t="s">
        <v>6849</v>
      </c>
      <c r="E822" s="67">
        <v>12</v>
      </c>
      <c r="F822" s="222"/>
      <c r="G822" s="107">
        <v>130.6</v>
      </c>
      <c r="H822" s="21">
        <v>134.69999999999999</v>
      </c>
      <c r="I822" s="22">
        <v>142.69999999999999</v>
      </c>
      <c r="J822" s="112" t="s">
        <v>295</v>
      </c>
      <c r="K822" s="45" t="s">
        <v>116</v>
      </c>
      <c r="L822" s="437"/>
      <c r="M822" s="474" t="s">
        <v>1856</v>
      </c>
      <c r="N822" s="1013" t="s">
        <v>1856</v>
      </c>
      <c r="O822" s="209"/>
      <c r="P822" s="66" t="s">
        <v>72</v>
      </c>
      <c r="Q822" s="100">
        <f>IF($AO$766=2,F822*H822,IF($AO$766=1,F822*G822,F822*I822))</f>
        <v>0</v>
      </c>
      <c r="R822" s="13" t="str">
        <f t="shared" si="450"/>
        <v>Фото &gt;&gt;</v>
      </c>
      <c r="S822" s="14" t="s">
        <v>3493</v>
      </c>
      <c r="U822" s="4"/>
      <c r="V822" s="4"/>
      <c r="AG822" s="400"/>
      <c r="AH822" s="400"/>
      <c r="AK822">
        <v>0.71</v>
      </c>
      <c r="AL822">
        <f t="shared" si="463"/>
        <v>0</v>
      </c>
      <c r="AM822">
        <f t="shared" si="464"/>
        <v>0</v>
      </c>
      <c r="AN822">
        <f t="shared" si="453"/>
        <v>0</v>
      </c>
      <c r="AO822" t="s">
        <v>3495</v>
      </c>
      <c r="AV822" t="str">
        <f>IF(F822&gt;0,(COUNT($AV$1:AV821)+1),"")</f>
        <v/>
      </c>
    </row>
    <row r="823" spans="1:48" ht="15" customHeight="1" x14ac:dyDescent="0.25">
      <c r="A823" s="1"/>
      <c r="B823" s="25"/>
      <c r="C823" s="26"/>
      <c r="D823" s="27" t="s">
        <v>1420</v>
      </c>
      <c r="E823" s="80"/>
      <c r="F823" s="96"/>
      <c r="G823" s="28"/>
      <c r="H823" s="29"/>
      <c r="I823" s="29"/>
      <c r="J823" s="51"/>
      <c r="K823" s="47"/>
      <c r="L823" s="447"/>
      <c r="M823" s="489"/>
      <c r="N823" s="716"/>
      <c r="O823" s="186"/>
      <c r="P823" s="79"/>
      <c r="Q823" s="104"/>
      <c r="R823" s="13"/>
      <c r="S823" s="14"/>
      <c r="AG823" s="400"/>
      <c r="AH823" s="400"/>
      <c r="AL823">
        <f t="shared" si="463"/>
        <v>0</v>
      </c>
      <c r="AM823">
        <f t="shared" si="464"/>
        <v>0</v>
      </c>
      <c r="AN823">
        <f t="shared" si="453"/>
        <v>0</v>
      </c>
      <c r="AO823" t="s">
        <v>104</v>
      </c>
      <c r="AV823" t="str">
        <f>IF(F823&gt;0,(COUNT($AV$1:AV822)+1),"")</f>
        <v/>
      </c>
    </row>
    <row r="824" spans="1:48" ht="15" customHeight="1" x14ac:dyDescent="0.25">
      <c r="A824" s="1"/>
      <c r="B824" s="30">
        <v>13843</v>
      </c>
      <c r="C824" s="20">
        <v>4680288031765</v>
      </c>
      <c r="D824" s="225" t="s">
        <v>335</v>
      </c>
      <c r="E824" s="67">
        <v>15</v>
      </c>
      <c r="F824" s="222"/>
      <c r="G824" s="107">
        <v>103.4</v>
      </c>
      <c r="H824" s="21">
        <v>108.6</v>
      </c>
      <c r="I824" s="22">
        <v>114</v>
      </c>
      <c r="J824" s="112" t="s">
        <v>295</v>
      </c>
      <c r="K824" s="45" t="s">
        <v>99</v>
      </c>
      <c r="L824" s="437"/>
      <c r="M824" s="474" t="s">
        <v>1856</v>
      </c>
      <c r="N824" s="1013" t="s">
        <v>1856</v>
      </c>
      <c r="O824" s="212"/>
      <c r="P824" s="66" t="s">
        <v>72</v>
      </c>
      <c r="Q824" s="100">
        <f>IF($AO$766=2,F824*H824,IF($AO$766=1,F824*G824,F824*I824))</f>
        <v>0</v>
      </c>
      <c r="R824" s="13" t="str">
        <f t="shared" si="450"/>
        <v>Фото &gt;&gt;</v>
      </c>
      <c r="S824" s="14" t="s">
        <v>3523</v>
      </c>
      <c r="AG824" s="400"/>
      <c r="AH824" s="400"/>
      <c r="AK824">
        <v>0.31</v>
      </c>
      <c r="AL824">
        <f t="shared" si="463"/>
        <v>0</v>
      </c>
      <c r="AM824">
        <f t="shared" si="464"/>
        <v>0</v>
      </c>
      <c r="AN824">
        <f t="shared" si="453"/>
        <v>0</v>
      </c>
      <c r="AO824" t="s">
        <v>4845</v>
      </c>
      <c r="AV824" t="str">
        <f>IF(F824&gt;0,(COUNT($AV$1:AV823)+1),"")</f>
        <v/>
      </c>
    </row>
    <row r="825" spans="1:48" ht="15" customHeight="1" x14ac:dyDescent="0.25">
      <c r="A825" s="1"/>
      <c r="B825" s="31">
        <v>13844</v>
      </c>
      <c r="C825" s="16">
        <v>4680288031789</v>
      </c>
      <c r="D825" s="226" t="s">
        <v>336</v>
      </c>
      <c r="E825" s="69">
        <v>15</v>
      </c>
      <c r="F825" s="222"/>
      <c r="G825" s="108">
        <v>89.5</v>
      </c>
      <c r="H825" s="17">
        <v>93.5</v>
      </c>
      <c r="I825" s="18">
        <v>100.5</v>
      </c>
      <c r="J825" s="113" t="s">
        <v>295</v>
      </c>
      <c r="K825" s="44" t="s">
        <v>99</v>
      </c>
      <c r="L825" s="442"/>
      <c r="M825" s="480" t="s">
        <v>1856</v>
      </c>
      <c r="N825" s="1015" t="s">
        <v>1856</v>
      </c>
      <c r="O825" s="210"/>
      <c r="P825" s="68" t="s">
        <v>72</v>
      </c>
      <c r="Q825" s="100">
        <f>IF($AO$766=2,F825*H825,IF($AO$766=1,F825*G825,F825*I825))</f>
        <v>0</v>
      </c>
      <c r="R825" s="13" t="str">
        <f t="shared" si="450"/>
        <v>Фото &gt;&gt;</v>
      </c>
      <c r="S825" s="14" t="s">
        <v>337</v>
      </c>
      <c r="AG825" s="400"/>
      <c r="AH825" s="400"/>
      <c r="AK825">
        <v>0.31</v>
      </c>
      <c r="AL825">
        <f t="shared" si="463"/>
        <v>0</v>
      </c>
      <c r="AM825">
        <f t="shared" si="464"/>
        <v>0</v>
      </c>
      <c r="AN825">
        <f t="shared" si="453"/>
        <v>0</v>
      </c>
      <c r="AO825" t="s">
        <v>4846</v>
      </c>
      <c r="AV825" t="str">
        <f>IF(F825&gt;0,(COUNT($AV$1:AV824)+1),"")</f>
        <v/>
      </c>
    </row>
    <row r="826" spans="1:48" ht="15" customHeight="1" x14ac:dyDescent="0.25">
      <c r="A826" s="1"/>
      <c r="B826" s="25"/>
      <c r="C826" s="26"/>
      <c r="D826" s="27" t="s">
        <v>1421</v>
      </c>
      <c r="E826" s="80"/>
      <c r="F826" s="96"/>
      <c r="G826" s="28"/>
      <c r="H826" s="29"/>
      <c r="I826" s="29"/>
      <c r="J826" s="51"/>
      <c r="K826" s="47"/>
      <c r="L826" s="447"/>
      <c r="M826" s="489"/>
      <c r="N826" s="716"/>
      <c r="O826" s="186"/>
      <c r="P826" s="79"/>
      <c r="Q826" s="104"/>
      <c r="R826" s="13"/>
      <c r="S826" s="14"/>
      <c r="AG826" s="400"/>
      <c r="AH826" s="400"/>
      <c r="AL826">
        <f t="shared" si="463"/>
        <v>0</v>
      </c>
      <c r="AM826">
        <f t="shared" si="464"/>
        <v>0</v>
      </c>
      <c r="AN826">
        <f t="shared" si="453"/>
        <v>0</v>
      </c>
      <c r="AO826" t="s">
        <v>104</v>
      </c>
      <c r="AV826" t="str">
        <f>IF(F826&gt;0,(COUNT($AV$1:AV825)+1),"")</f>
        <v/>
      </c>
    </row>
    <row r="827" spans="1:48" ht="15" customHeight="1" x14ac:dyDescent="0.25">
      <c r="A827" s="1"/>
      <c r="B827" s="30">
        <v>15489</v>
      </c>
      <c r="C827" s="20">
        <v>4607160652511</v>
      </c>
      <c r="D827" s="225" t="s">
        <v>6850</v>
      </c>
      <c r="E827" s="67">
        <v>20</v>
      </c>
      <c r="F827" s="222"/>
      <c r="G827" s="107">
        <v>73.900000000000006</v>
      </c>
      <c r="H827" s="21">
        <v>77.599999999999994</v>
      </c>
      <c r="I827" s="22">
        <v>85.4</v>
      </c>
      <c r="J827" s="112" t="s">
        <v>295</v>
      </c>
      <c r="K827" s="45" t="s">
        <v>105</v>
      </c>
      <c r="L827" s="437"/>
      <c r="M827" s="474" t="s">
        <v>1856</v>
      </c>
      <c r="N827" s="1013" t="s">
        <v>1856</v>
      </c>
      <c r="O827" s="212"/>
      <c r="P827" s="66" t="s">
        <v>72</v>
      </c>
      <c r="Q827" s="100">
        <f>IF($AO$766=2,F827*H827,IF($AO$766=1,F827*G827,F827*I827))</f>
        <v>0</v>
      </c>
      <c r="R827" s="13" t="str">
        <f t="shared" si="450"/>
        <v>Фото &gt;&gt;</v>
      </c>
      <c r="S827" s="14" t="s">
        <v>338</v>
      </c>
      <c r="AG827" s="400"/>
      <c r="AH827" s="400"/>
      <c r="AK827">
        <v>0.4</v>
      </c>
      <c r="AL827">
        <f t="shared" si="463"/>
        <v>0</v>
      </c>
      <c r="AM827">
        <f t="shared" si="464"/>
        <v>0</v>
      </c>
      <c r="AN827">
        <f t="shared" si="453"/>
        <v>0</v>
      </c>
      <c r="AO827" t="s">
        <v>3497</v>
      </c>
      <c r="AV827" t="str">
        <f>IF(F827&gt;0,(COUNT($AV$1:AV826)+1),"")</f>
        <v/>
      </c>
    </row>
    <row r="828" spans="1:48" ht="15" customHeight="1" x14ac:dyDescent="0.25">
      <c r="A828" s="1"/>
      <c r="B828" s="31">
        <v>16272</v>
      </c>
      <c r="C828" s="16">
        <v>4680288030683</v>
      </c>
      <c r="D828" s="226" t="s">
        <v>4297</v>
      </c>
      <c r="E828" s="69">
        <v>20</v>
      </c>
      <c r="F828" s="222"/>
      <c r="G828" s="108">
        <v>66.900000000000006</v>
      </c>
      <c r="H828" s="17">
        <v>70.2</v>
      </c>
      <c r="I828" s="18">
        <v>77</v>
      </c>
      <c r="J828" s="113" t="s">
        <v>295</v>
      </c>
      <c r="K828" s="44" t="s">
        <v>105</v>
      </c>
      <c r="L828" s="442"/>
      <c r="M828" s="480" t="s">
        <v>1856</v>
      </c>
      <c r="N828" s="1015" t="s">
        <v>1856</v>
      </c>
      <c r="O828" s="210"/>
      <c r="P828" s="68" t="s">
        <v>72</v>
      </c>
      <c r="Q828" s="100">
        <f>IF($AO$766=2,F828*H828,IF($AO$766=1,F828*G828,F828*I828))</f>
        <v>0</v>
      </c>
      <c r="R828" s="13" t="str">
        <f t="shared" si="450"/>
        <v>Фото &gt;&gt;</v>
      </c>
      <c r="S828" s="14" t="s">
        <v>1858</v>
      </c>
      <c r="AG828" s="400"/>
      <c r="AH828" s="400"/>
      <c r="AK828">
        <v>0.36</v>
      </c>
      <c r="AL828">
        <f t="shared" si="463"/>
        <v>0</v>
      </c>
      <c r="AM828">
        <f t="shared" si="464"/>
        <v>0</v>
      </c>
      <c r="AN828">
        <f t="shared" si="453"/>
        <v>0</v>
      </c>
      <c r="AO828" t="s">
        <v>3498</v>
      </c>
      <c r="AV828" t="str">
        <f>IF(F828&gt;0,(COUNT($AV$1:AV827)+1),"")</f>
        <v/>
      </c>
    </row>
    <row r="829" spans="1:48" ht="15" customHeight="1" x14ac:dyDescent="0.25">
      <c r="A829" s="1"/>
      <c r="B829" s="578">
        <v>12383</v>
      </c>
      <c r="C829" s="579">
        <v>4680288030676</v>
      </c>
      <c r="D829" s="595" t="s">
        <v>7801</v>
      </c>
      <c r="E829" s="580">
        <v>20</v>
      </c>
      <c r="F829" s="1251"/>
      <c r="G829" s="582">
        <v>72.2</v>
      </c>
      <c r="H829" s="583">
        <v>75.8</v>
      </c>
      <c r="I829" s="584">
        <v>83.4</v>
      </c>
      <c r="J829" s="585" t="s">
        <v>295</v>
      </c>
      <c r="K829" s="586" t="s">
        <v>105</v>
      </c>
      <c r="L829" s="437"/>
      <c r="M829" s="474" t="s">
        <v>1856</v>
      </c>
      <c r="N829" s="1013" t="s">
        <v>1856</v>
      </c>
      <c r="O829" s="212" t="s">
        <v>1690</v>
      </c>
      <c r="P829" s="66" t="s">
        <v>72</v>
      </c>
      <c r="Q829" s="100">
        <f>IF($AO$766=2,F829*H829,IF($AO$766=1,F829*G829,F829*I829))</f>
        <v>0</v>
      </c>
      <c r="R829" s="13" t="str">
        <f t="shared" si="450"/>
        <v>Фото &gt;&gt;</v>
      </c>
      <c r="S829" s="14" t="s">
        <v>3496</v>
      </c>
      <c r="AG829" s="400"/>
      <c r="AH829" s="400"/>
      <c r="AK829">
        <v>0.36</v>
      </c>
      <c r="AL829">
        <f t="shared" si="463"/>
        <v>0</v>
      </c>
      <c r="AM829">
        <f t="shared" si="464"/>
        <v>0</v>
      </c>
      <c r="AN829">
        <f t="shared" si="453"/>
        <v>0</v>
      </c>
      <c r="AO829" t="s">
        <v>3499</v>
      </c>
      <c r="AV829" t="str">
        <f>IF(F829&gt;0,(COUNT($AV$1:AV828)+1),"")</f>
        <v/>
      </c>
    </row>
    <row r="830" spans="1:48" ht="15" customHeight="1" x14ac:dyDescent="0.25">
      <c r="A830" s="1"/>
      <c r="B830" s="31">
        <v>16083</v>
      </c>
      <c r="C830" s="16">
        <v>4680288030706</v>
      </c>
      <c r="D830" s="226" t="s">
        <v>3165</v>
      </c>
      <c r="E830" s="69">
        <v>20</v>
      </c>
      <c r="F830" s="222"/>
      <c r="G830" s="108">
        <v>85.2</v>
      </c>
      <c r="H830" s="17">
        <v>89.5</v>
      </c>
      <c r="I830" s="18">
        <v>98.4</v>
      </c>
      <c r="J830" s="113" t="s">
        <v>295</v>
      </c>
      <c r="K830" s="44" t="s">
        <v>105</v>
      </c>
      <c r="L830" s="442"/>
      <c r="M830" s="480" t="s">
        <v>1856</v>
      </c>
      <c r="N830" s="1015" t="s">
        <v>1856</v>
      </c>
      <c r="O830" s="210"/>
      <c r="P830" s="68" t="s">
        <v>72</v>
      </c>
      <c r="Q830" s="100">
        <f>IF($AO$766=2,F830*H830,IF($AO$766=1,F830*G830,F830*I830))</f>
        <v>0</v>
      </c>
      <c r="R830" s="13" t="str">
        <f t="shared" si="450"/>
        <v>Фото &gt;&gt;</v>
      </c>
      <c r="S830" s="14" t="s">
        <v>339</v>
      </c>
      <c r="AG830" s="400"/>
      <c r="AH830" s="400"/>
      <c r="AK830">
        <v>0.31</v>
      </c>
      <c r="AL830">
        <f t="shared" si="463"/>
        <v>0</v>
      </c>
      <c r="AM830">
        <f t="shared" si="464"/>
        <v>0</v>
      </c>
      <c r="AN830">
        <f t="shared" si="453"/>
        <v>0</v>
      </c>
      <c r="AO830" t="s">
        <v>3500</v>
      </c>
      <c r="AV830" t="str">
        <f>IF(F830&gt;0,(COUNT($AV$1:AV829)+1),"")</f>
        <v/>
      </c>
    </row>
    <row r="831" spans="1:48" ht="15" customHeight="1" x14ac:dyDescent="0.25">
      <c r="A831" s="1"/>
      <c r="B831" s="125"/>
      <c r="C831" s="126"/>
      <c r="D831" s="127"/>
      <c r="E831" s="134"/>
      <c r="F831" s="189"/>
      <c r="G831" s="130"/>
      <c r="H831" s="131"/>
      <c r="I831" s="132"/>
      <c r="J831" s="128"/>
      <c r="K831" s="129"/>
      <c r="L831" s="433"/>
      <c r="M831" s="481" t="s">
        <v>104</v>
      </c>
      <c r="N831" s="471"/>
      <c r="O831" s="181"/>
      <c r="P831" s="133"/>
      <c r="Q831" s="135"/>
      <c r="R831" s="13"/>
      <c r="S831" s="14"/>
      <c r="AG831" s="400"/>
      <c r="AH831" s="400"/>
      <c r="AV831" t="str">
        <f>IF(F831&gt;0,(COUNT($AV$1:AV830)+1),"")</f>
        <v/>
      </c>
    </row>
    <row r="832" spans="1:48" ht="15" customHeight="1" thickBot="1" x14ac:dyDescent="0.3">
      <c r="A832" s="1"/>
      <c r="B832" s="136"/>
      <c r="C832" s="137"/>
      <c r="D832" s="138"/>
      <c r="E832" s="145"/>
      <c r="F832" s="190"/>
      <c r="G832" s="141"/>
      <c r="H832" s="142"/>
      <c r="I832" s="143"/>
      <c r="J832" s="139"/>
      <c r="K832" s="140"/>
      <c r="L832" s="434"/>
      <c r="M832" s="477" t="s">
        <v>104</v>
      </c>
      <c r="N832" s="468"/>
      <c r="O832" s="182"/>
      <c r="P832" s="144"/>
      <c r="Q832" s="146"/>
      <c r="R832" s="13"/>
      <c r="S832" s="14"/>
      <c r="AG832" s="84"/>
      <c r="AH832" s="84"/>
      <c r="AV832" t="str">
        <f>IF(F832&gt;0,(COUNT($AV$1:AV831)+1),"")</f>
        <v/>
      </c>
    </row>
    <row r="833" spans="1:48" ht="24.95" customHeight="1" thickBot="1" x14ac:dyDescent="0.3">
      <c r="A833" s="1"/>
      <c r="B833" s="169"/>
      <c r="C833" s="170"/>
      <c r="D833" s="171" t="str">
        <f>CONCATENATE("Ди энд Ди","     |     Сумма заказа: ",AK833," руб.")</f>
        <v>Ди энд Ди     |     Сумма заказа: 0 руб.</v>
      </c>
      <c r="E833" s="176"/>
      <c r="F833" s="177"/>
      <c r="G833" s="180" t="str">
        <f>CONCATENATE("Ценовая колонка: ",AO833,"   |   До следующей скидки: ",AJ833," руб.")</f>
        <v>Ценовая колонка: 3   |   До следующей скидки: 5000 руб.</v>
      </c>
      <c r="H833" s="174"/>
      <c r="I833" s="174"/>
      <c r="J833" s="172" t="s">
        <v>421</v>
      </c>
      <c r="K833" s="173"/>
      <c r="L833" s="444"/>
      <c r="M833" s="486" t="s">
        <v>104</v>
      </c>
      <c r="N833" s="717"/>
      <c r="O833" s="184"/>
      <c r="P833" s="175"/>
      <c r="Q833" s="178"/>
      <c r="R833" s="179" t="s">
        <v>1558</v>
      </c>
      <c r="S833" s="14"/>
      <c r="AJ833">
        <f>ROUND(IF(AL833&gt;30000,"0", IF(AND(AL833&lt;30000,AM833&gt;5000),30000-AL833,5000-AM833)),2)</f>
        <v>5000</v>
      </c>
      <c r="AK833">
        <f>SUM(Q834:Q955)</f>
        <v>0</v>
      </c>
      <c r="AL833">
        <f>SUM(AL834:AL955)</f>
        <v>0</v>
      </c>
      <c r="AM833">
        <f>SUM(AM834:AM955)</f>
        <v>0</v>
      </c>
      <c r="AO833">
        <f>IF(AM833&gt;5000,IF(AL833&gt;30000,1,2),3)</f>
        <v>3</v>
      </c>
      <c r="AV833" t="str">
        <f>IF(F833&gt;0,(COUNT($AV$1:AV832)+1),"")</f>
        <v/>
      </c>
    </row>
    <row r="834" spans="1:48" ht="27.95" customHeight="1" x14ac:dyDescent="0.25">
      <c r="A834" s="1"/>
      <c r="B834" s="25"/>
      <c r="C834" s="26"/>
      <c r="D834" s="228" t="s">
        <v>1431</v>
      </c>
      <c r="E834" s="80"/>
      <c r="F834" s="96"/>
      <c r="G834" s="1230" t="s">
        <v>7586</v>
      </c>
      <c r="H834" s="1116" t="s">
        <v>16</v>
      </c>
      <c r="I834" s="29"/>
      <c r="J834" s="51"/>
      <c r="K834" s="47"/>
      <c r="L834" s="447"/>
      <c r="M834" s="489"/>
      <c r="N834" s="716"/>
      <c r="O834" s="186"/>
      <c r="P834" s="79"/>
      <c r="Q834" s="104"/>
      <c r="R834" s="13"/>
      <c r="S834" s="14"/>
      <c r="U834" s="4"/>
      <c r="V834" s="4"/>
      <c r="AV834" t="str">
        <f>IF(F834&gt;0,(COUNT($AV$1:AV833)+1),"")</f>
        <v/>
      </c>
    </row>
    <row r="835" spans="1:48" ht="15" customHeight="1" x14ac:dyDescent="0.25">
      <c r="A835" s="1"/>
      <c r="B835" s="31">
        <v>15821</v>
      </c>
      <c r="C835" s="16">
        <v>4650061333119</v>
      </c>
      <c r="D835" s="422" t="s">
        <v>7667</v>
      </c>
      <c r="E835" s="323">
        <v>20</v>
      </c>
      <c r="F835" s="222"/>
      <c r="G835" s="420">
        <v>26.6</v>
      </c>
      <c r="H835" s="415">
        <v>27.9</v>
      </c>
      <c r="I835" s="416">
        <v>31.5</v>
      </c>
      <c r="J835" s="113" t="s">
        <v>421</v>
      </c>
      <c r="K835" s="44" t="s">
        <v>96</v>
      </c>
      <c r="L835" s="442"/>
      <c r="M835" s="480" t="s">
        <v>1856</v>
      </c>
      <c r="N835" s="1015"/>
      <c r="O835" s="210" t="s">
        <v>7694</v>
      </c>
      <c r="P835" s="68" t="s">
        <v>72</v>
      </c>
      <c r="Q835" s="100">
        <f t="shared" ref="Q835:Q866" si="465">IF(AND($AO$833=1,MOD(F835,E835)=0),F835*G835,IF($AO$833&lt;=2,F835*H835,F835*I835))</f>
        <v>0</v>
      </c>
      <c r="R835" s="13" t="str">
        <f t="shared" ref="R835:R843" si="466">IF(AO835&gt;0,HYPERLINK(AO835,"Фото &gt;&gt;"),"")</f>
        <v>Фото &gt;&gt;</v>
      </c>
      <c r="S835" s="14" t="s">
        <v>423</v>
      </c>
      <c r="U835" s="4"/>
      <c r="V835" s="4"/>
      <c r="AK835">
        <v>0.03</v>
      </c>
      <c r="AL835">
        <f t="shared" ref="AL835:AL843" si="467">F835*G835</f>
        <v>0</v>
      </c>
      <c r="AM835">
        <f t="shared" ref="AM835:AM843" si="468">F835*H835</f>
        <v>0</v>
      </c>
      <c r="AN835">
        <f t="shared" ref="AN835:AN843" si="469">AK835*F835+IF(E835&gt;1.01,F835/E835*0.2,0)</f>
        <v>0</v>
      </c>
      <c r="AO835" t="s">
        <v>4851</v>
      </c>
      <c r="AR835" t="s">
        <v>422</v>
      </c>
      <c r="AS835" s="298">
        <v>1</v>
      </c>
      <c r="AV835" t="str">
        <f>IF(F835&gt;0,(COUNT($AV$1:AV834)+1),"")</f>
        <v/>
      </c>
    </row>
    <row r="836" spans="1:48" ht="15" customHeight="1" x14ac:dyDescent="0.25">
      <c r="A836" s="1"/>
      <c r="B836" s="30">
        <v>15159</v>
      </c>
      <c r="C836" s="20">
        <v>4650061333133</v>
      </c>
      <c r="D836" s="421" t="s">
        <v>7668</v>
      </c>
      <c r="E836" s="324">
        <v>20</v>
      </c>
      <c r="F836" s="222"/>
      <c r="G836" s="419">
        <v>28.3</v>
      </c>
      <c r="H836" s="417">
        <v>29.7</v>
      </c>
      <c r="I836" s="418">
        <v>33.299999999999997</v>
      </c>
      <c r="J836" s="112" t="s">
        <v>421</v>
      </c>
      <c r="K836" s="45" t="s">
        <v>96</v>
      </c>
      <c r="L836" s="437"/>
      <c r="M836" s="474" t="s">
        <v>1856</v>
      </c>
      <c r="N836" s="1013"/>
      <c r="O836" s="209" t="s">
        <v>7694</v>
      </c>
      <c r="P836" s="66" t="s">
        <v>72</v>
      </c>
      <c r="Q836" s="100">
        <f t="shared" si="465"/>
        <v>0</v>
      </c>
      <c r="R836" s="13" t="str">
        <f t="shared" si="466"/>
        <v>Фото &gt;&gt;</v>
      </c>
      <c r="S836" s="14" t="s">
        <v>424</v>
      </c>
      <c r="U836" s="4"/>
      <c r="V836" s="4"/>
      <c r="AK836">
        <v>0.03</v>
      </c>
      <c r="AL836">
        <f t="shared" si="467"/>
        <v>0</v>
      </c>
      <c r="AM836">
        <f t="shared" si="468"/>
        <v>0</v>
      </c>
      <c r="AN836">
        <f t="shared" si="469"/>
        <v>0</v>
      </c>
      <c r="AO836" t="s">
        <v>4852</v>
      </c>
      <c r="AR836" t="s">
        <v>422</v>
      </c>
      <c r="AS836" s="298">
        <v>1</v>
      </c>
      <c r="AV836" t="str">
        <f>IF(F836&gt;0,(COUNT($AV$1:AV835)+1),"")</f>
        <v/>
      </c>
    </row>
    <row r="837" spans="1:48" ht="15" customHeight="1" x14ac:dyDescent="0.25">
      <c r="A837" s="1"/>
      <c r="B837" s="31">
        <v>15158</v>
      </c>
      <c r="C837" s="16">
        <v>4650061333126</v>
      </c>
      <c r="D837" s="422" t="s">
        <v>7669</v>
      </c>
      <c r="E837" s="323">
        <v>20</v>
      </c>
      <c r="F837" s="222"/>
      <c r="G837" s="420">
        <v>26.6</v>
      </c>
      <c r="H837" s="415">
        <v>27.9</v>
      </c>
      <c r="I837" s="416">
        <v>31.5</v>
      </c>
      <c r="J837" s="113" t="s">
        <v>421</v>
      </c>
      <c r="K837" s="44" t="s">
        <v>96</v>
      </c>
      <c r="L837" s="442"/>
      <c r="M837" s="480" t="s">
        <v>1856</v>
      </c>
      <c r="N837" s="1015"/>
      <c r="O837" s="210" t="s">
        <v>7694</v>
      </c>
      <c r="P837" s="68" t="s">
        <v>72</v>
      </c>
      <c r="Q837" s="100">
        <f t="shared" si="465"/>
        <v>0</v>
      </c>
      <c r="R837" s="13" t="str">
        <f t="shared" si="466"/>
        <v>Фото &gt;&gt;</v>
      </c>
      <c r="S837" s="14" t="s">
        <v>425</v>
      </c>
      <c r="U837" s="4"/>
      <c r="V837" s="4"/>
      <c r="AK837">
        <v>0.03</v>
      </c>
      <c r="AL837">
        <f t="shared" si="467"/>
        <v>0</v>
      </c>
      <c r="AM837">
        <f t="shared" si="468"/>
        <v>0</v>
      </c>
      <c r="AN837">
        <f t="shared" si="469"/>
        <v>0</v>
      </c>
      <c r="AO837" t="s">
        <v>4853</v>
      </c>
      <c r="AR837" t="s">
        <v>422</v>
      </c>
      <c r="AS837" s="298">
        <v>1</v>
      </c>
      <c r="AV837" t="str">
        <f>IF(F837&gt;0,(COUNT($AV$1:AV836)+1),"")</f>
        <v/>
      </c>
    </row>
    <row r="838" spans="1:48" ht="15" customHeight="1" x14ac:dyDescent="0.25">
      <c r="A838" s="1"/>
      <c r="B838" s="30">
        <v>16353</v>
      </c>
      <c r="C838" s="20">
        <v>4603734868203</v>
      </c>
      <c r="D838" s="421" t="s">
        <v>7670</v>
      </c>
      <c r="E838" s="324">
        <v>20</v>
      </c>
      <c r="F838" s="222"/>
      <c r="G838" s="419">
        <v>26.6</v>
      </c>
      <c r="H838" s="417">
        <v>27.9</v>
      </c>
      <c r="I838" s="418">
        <v>31.5</v>
      </c>
      <c r="J838" s="112" t="s">
        <v>421</v>
      </c>
      <c r="K838" s="45" t="s">
        <v>96</v>
      </c>
      <c r="L838" s="437"/>
      <c r="M838" s="474" t="s">
        <v>1856</v>
      </c>
      <c r="N838" s="1013"/>
      <c r="O838" s="209" t="s">
        <v>7694</v>
      </c>
      <c r="P838" s="66" t="s">
        <v>72</v>
      </c>
      <c r="Q838" s="100">
        <f t="shared" si="465"/>
        <v>0</v>
      </c>
      <c r="R838" s="13" t="str">
        <f t="shared" si="466"/>
        <v>Фото &gt;&gt;</v>
      </c>
      <c r="S838" s="14" t="s">
        <v>426</v>
      </c>
      <c r="U838" s="4"/>
      <c r="V838" s="4"/>
      <c r="AK838">
        <v>0.03</v>
      </c>
      <c r="AL838">
        <f t="shared" si="467"/>
        <v>0</v>
      </c>
      <c r="AM838">
        <f t="shared" si="468"/>
        <v>0</v>
      </c>
      <c r="AN838">
        <f t="shared" si="469"/>
        <v>0</v>
      </c>
      <c r="AO838" t="s">
        <v>4854</v>
      </c>
      <c r="AV838" t="str">
        <f>IF(F838&gt;0,(COUNT($AV$1:AV837)+1),"")</f>
        <v/>
      </c>
    </row>
    <row r="839" spans="1:48" ht="15" customHeight="1" x14ac:dyDescent="0.25">
      <c r="A839" s="1"/>
      <c r="B839" s="31">
        <v>16358</v>
      </c>
      <c r="C839" s="16">
        <v>4603734868227</v>
      </c>
      <c r="D839" s="422" t="s">
        <v>7671</v>
      </c>
      <c r="E839" s="323">
        <v>20</v>
      </c>
      <c r="F839" s="222"/>
      <c r="G839" s="420">
        <v>26.6</v>
      </c>
      <c r="H839" s="415">
        <v>27.9</v>
      </c>
      <c r="I839" s="416">
        <v>31.5</v>
      </c>
      <c r="J839" s="113" t="s">
        <v>421</v>
      </c>
      <c r="K839" s="44" t="s">
        <v>96</v>
      </c>
      <c r="L839" s="442"/>
      <c r="M839" s="480" t="s">
        <v>1856</v>
      </c>
      <c r="N839" s="1015"/>
      <c r="O839" s="210" t="s">
        <v>7694</v>
      </c>
      <c r="P839" s="68" t="s">
        <v>72</v>
      </c>
      <c r="Q839" s="100">
        <f t="shared" si="465"/>
        <v>0</v>
      </c>
      <c r="R839" s="13" t="str">
        <f t="shared" si="466"/>
        <v>Фото &gt;&gt;</v>
      </c>
      <c r="S839" s="14" t="s">
        <v>427</v>
      </c>
      <c r="U839" s="4"/>
      <c r="V839" s="4"/>
      <c r="AK839">
        <v>0.03</v>
      </c>
      <c r="AL839">
        <f t="shared" si="467"/>
        <v>0</v>
      </c>
      <c r="AM839">
        <f t="shared" si="468"/>
        <v>0</v>
      </c>
      <c r="AN839">
        <f t="shared" si="469"/>
        <v>0</v>
      </c>
      <c r="AO839" t="s">
        <v>4855</v>
      </c>
      <c r="AV839" t="str">
        <f>IF(F839&gt;0,(COUNT($AV$1:AV838)+1),"")</f>
        <v/>
      </c>
    </row>
    <row r="840" spans="1:48" ht="15" customHeight="1" x14ac:dyDescent="0.25">
      <c r="A840" s="1"/>
      <c r="B840" s="30">
        <v>20380</v>
      </c>
      <c r="C840" s="20">
        <v>4650061333058</v>
      </c>
      <c r="D840" s="421" t="s">
        <v>7672</v>
      </c>
      <c r="E840" s="67">
        <v>20</v>
      </c>
      <c r="F840" s="222"/>
      <c r="G840" s="419">
        <v>137.69999999999999</v>
      </c>
      <c r="H840" s="417">
        <v>144.69999999999999</v>
      </c>
      <c r="I840" s="418">
        <v>152.1</v>
      </c>
      <c r="J840" s="112" t="s">
        <v>421</v>
      </c>
      <c r="K840" s="45" t="s">
        <v>96</v>
      </c>
      <c r="L840" s="437"/>
      <c r="M840" s="474" t="s">
        <v>1856</v>
      </c>
      <c r="N840" s="1013"/>
      <c r="O840" s="209" t="s">
        <v>6856</v>
      </c>
      <c r="P840" s="66" t="s">
        <v>72</v>
      </c>
      <c r="Q840" s="100">
        <f t="shared" si="465"/>
        <v>0</v>
      </c>
      <c r="R840" s="13" t="str">
        <f t="shared" si="466"/>
        <v>Фото &gt;&gt;</v>
      </c>
      <c r="S840" s="14" t="s">
        <v>423</v>
      </c>
      <c r="U840" s="4"/>
      <c r="V840" s="4"/>
      <c r="AK840">
        <v>0.13</v>
      </c>
      <c r="AL840">
        <f t="shared" si="467"/>
        <v>0</v>
      </c>
      <c r="AM840">
        <f t="shared" si="468"/>
        <v>0</v>
      </c>
      <c r="AN840">
        <f t="shared" si="469"/>
        <v>0</v>
      </c>
      <c r="AO840" t="s">
        <v>3844</v>
      </c>
      <c r="AV840" t="str">
        <f>IF(F840&gt;0,(COUNT($AV$1:AV839)+1),"")</f>
        <v/>
      </c>
    </row>
    <row r="841" spans="1:48" ht="15" customHeight="1" x14ac:dyDescent="0.25">
      <c r="A841" s="1"/>
      <c r="B841" s="31">
        <v>20379</v>
      </c>
      <c r="C841" s="16">
        <v>4650061333072</v>
      </c>
      <c r="D841" s="422" t="s">
        <v>7673</v>
      </c>
      <c r="E841" s="69">
        <v>20</v>
      </c>
      <c r="F841" s="222"/>
      <c r="G841" s="420">
        <v>137.69999999999999</v>
      </c>
      <c r="H841" s="415">
        <v>144.69999999999999</v>
      </c>
      <c r="I841" s="416">
        <v>152.1</v>
      </c>
      <c r="J841" s="113" t="s">
        <v>421</v>
      </c>
      <c r="K841" s="44" t="s">
        <v>96</v>
      </c>
      <c r="L841" s="442"/>
      <c r="M841" s="480" t="s">
        <v>1856</v>
      </c>
      <c r="N841" s="1015"/>
      <c r="O841" s="210" t="s">
        <v>6856</v>
      </c>
      <c r="P841" s="68" t="s">
        <v>72</v>
      </c>
      <c r="Q841" s="100">
        <f t="shared" si="465"/>
        <v>0</v>
      </c>
      <c r="R841" s="13" t="str">
        <f t="shared" si="466"/>
        <v>Фото &gt;&gt;</v>
      </c>
      <c r="S841" s="14" t="s">
        <v>424</v>
      </c>
      <c r="U841" s="4"/>
      <c r="V841" s="4"/>
      <c r="AK841">
        <v>0.13</v>
      </c>
      <c r="AL841">
        <f t="shared" si="467"/>
        <v>0</v>
      </c>
      <c r="AM841">
        <f t="shared" si="468"/>
        <v>0</v>
      </c>
      <c r="AN841">
        <f t="shared" si="469"/>
        <v>0</v>
      </c>
      <c r="AO841" t="s">
        <v>3845</v>
      </c>
      <c r="AV841" t="str">
        <f>IF(F841&gt;0,(COUNT($AV$1:AV840)+1),"")</f>
        <v/>
      </c>
    </row>
    <row r="842" spans="1:48" ht="15" customHeight="1" x14ac:dyDescent="0.25">
      <c r="A842" s="1"/>
      <c r="B842" s="30">
        <v>18973</v>
      </c>
      <c r="C842" s="20">
        <v>4603741782530</v>
      </c>
      <c r="D842" s="421" t="s">
        <v>7674</v>
      </c>
      <c r="E842" s="67">
        <v>20</v>
      </c>
      <c r="F842" s="222"/>
      <c r="G842" s="419">
        <v>105.3</v>
      </c>
      <c r="H842" s="417">
        <v>110.7</v>
      </c>
      <c r="I842" s="418">
        <v>121.5</v>
      </c>
      <c r="J842" s="112" t="s">
        <v>421</v>
      </c>
      <c r="K842" s="45" t="s">
        <v>96</v>
      </c>
      <c r="L842" s="437"/>
      <c r="M842" s="474" t="s">
        <v>1856</v>
      </c>
      <c r="N842" s="1013"/>
      <c r="O842" s="209" t="s">
        <v>6856</v>
      </c>
      <c r="P842" s="66" t="s">
        <v>72</v>
      </c>
      <c r="Q842" s="100">
        <f t="shared" si="465"/>
        <v>0</v>
      </c>
      <c r="R842" s="13" t="str">
        <f t="shared" si="466"/>
        <v>Фото &gt;&gt;</v>
      </c>
      <c r="S842" s="14" t="s">
        <v>3540</v>
      </c>
      <c r="U842" s="4"/>
      <c r="V842" s="4"/>
      <c r="AK842">
        <v>0.11</v>
      </c>
      <c r="AL842">
        <f t="shared" si="467"/>
        <v>0</v>
      </c>
      <c r="AM842">
        <f t="shared" si="468"/>
        <v>0</v>
      </c>
      <c r="AN842">
        <f t="shared" si="469"/>
        <v>0</v>
      </c>
      <c r="AO842" t="s">
        <v>2658</v>
      </c>
      <c r="AV842" t="str">
        <f>IF(F842&gt;0,(COUNT($AV$1:AV841)+1),"")</f>
        <v/>
      </c>
    </row>
    <row r="843" spans="1:48" ht="15" customHeight="1" x14ac:dyDescent="0.25">
      <c r="A843" s="1"/>
      <c r="B843" s="32">
        <v>18974</v>
      </c>
      <c r="C843" s="33">
        <v>4603741782493</v>
      </c>
      <c r="D843" s="615" t="s">
        <v>7675</v>
      </c>
      <c r="E843" s="71">
        <v>20</v>
      </c>
      <c r="F843" s="223"/>
      <c r="G843" s="1160">
        <v>105.3</v>
      </c>
      <c r="H843" s="1161">
        <v>110.7</v>
      </c>
      <c r="I843" s="1162">
        <v>121.5</v>
      </c>
      <c r="J843" s="114" t="s">
        <v>421</v>
      </c>
      <c r="K843" s="57" t="s">
        <v>96</v>
      </c>
      <c r="L843" s="438"/>
      <c r="M843" s="484" t="s">
        <v>1856</v>
      </c>
      <c r="N843" s="1008"/>
      <c r="O843" s="219" t="s">
        <v>6856</v>
      </c>
      <c r="P843" s="70" t="s">
        <v>72</v>
      </c>
      <c r="Q843" s="100">
        <f t="shared" si="465"/>
        <v>0</v>
      </c>
      <c r="R843" s="13" t="str">
        <f t="shared" si="466"/>
        <v>Фото &gt;&gt;</v>
      </c>
      <c r="S843" s="14" t="s">
        <v>3539</v>
      </c>
      <c r="U843" s="4"/>
      <c r="V843" s="4"/>
      <c r="AK843">
        <v>0.11</v>
      </c>
      <c r="AL843">
        <f t="shared" si="467"/>
        <v>0</v>
      </c>
      <c r="AM843">
        <f t="shared" si="468"/>
        <v>0</v>
      </c>
      <c r="AN843">
        <f t="shared" si="469"/>
        <v>0</v>
      </c>
      <c r="AO843" t="s">
        <v>2659</v>
      </c>
      <c r="AV843" t="str">
        <f>IF(F843&gt;0,(COUNT($AV$1:AV842)+1),"")</f>
        <v/>
      </c>
    </row>
    <row r="844" spans="1:48" ht="15" customHeight="1" x14ac:dyDescent="0.25">
      <c r="A844" s="1"/>
      <c r="B844" s="866">
        <v>21038</v>
      </c>
      <c r="C844" s="867">
        <v>4640200411815</v>
      </c>
      <c r="D844" s="1119" t="s">
        <v>5848</v>
      </c>
      <c r="E844" s="869">
        <v>24</v>
      </c>
      <c r="F844" s="870"/>
      <c r="G844" s="871">
        <v>117.8</v>
      </c>
      <c r="H844" s="872">
        <v>123.4</v>
      </c>
      <c r="I844" s="873">
        <v>138.19999999999999</v>
      </c>
      <c r="J844" s="874" t="s">
        <v>421</v>
      </c>
      <c r="K844" s="875" t="s">
        <v>419</v>
      </c>
      <c r="L844" s="876"/>
      <c r="M844" s="877" t="s">
        <v>1856</v>
      </c>
      <c r="N844" s="1020"/>
      <c r="O844" s="878"/>
      <c r="P844" s="879" t="s">
        <v>195</v>
      </c>
      <c r="Q844" s="100">
        <f t="shared" si="465"/>
        <v>0</v>
      </c>
      <c r="R844" s="13" t="str">
        <f t="shared" ref="R844:R853" si="470">IF(AO844&gt;0,HYPERLINK(AO844,"Фото &gt;&gt;"),"")</f>
        <v>Фото &gt;&gt;</v>
      </c>
      <c r="S844" s="14"/>
      <c r="U844" s="4"/>
      <c r="V844" s="4"/>
      <c r="AK844">
        <v>0.06</v>
      </c>
      <c r="AL844">
        <f t="shared" ref="AL844" si="471">F844*G844</f>
        <v>0</v>
      </c>
      <c r="AM844">
        <f t="shared" ref="AM844" si="472">F844*H844</f>
        <v>0</v>
      </c>
      <c r="AN844">
        <f t="shared" ref="AN844" si="473">AK844*F844+IF(E844&gt;1.01,F844/E844*0.2,0)</f>
        <v>0</v>
      </c>
      <c r="AO844" t="s">
        <v>5849</v>
      </c>
      <c r="AV844" t="str">
        <f>IF(F844&gt;0,(COUNT($AV$1:AV843)+1),"")</f>
        <v/>
      </c>
    </row>
    <row r="845" spans="1:48" ht="15" customHeight="1" x14ac:dyDescent="0.25">
      <c r="A845" s="1"/>
      <c r="B845" s="795">
        <v>21338</v>
      </c>
      <c r="C845" s="796">
        <v>4689600351505</v>
      </c>
      <c r="D845" s="898" t="s">
        <v>7370</v>
      </c>
      <c r="E845" s="798">
        <v>15</v>
      </c>
      <c r="F845" s="789"/>
      <c r="G845" s="810">
        <v>271.2</v>
      </c>
      <c r="H845" s="799">
        <v>284</v>
      </c>
      <c r="I845" s="800">
        <v>318.10000000000002</v>
      </c>
      <c r="J845" s="801" t="s">
        <v>421</v>
      </c>
      <c r="K845" s="802" t="s">
        <v>204</v>
      </c>
      <c r="L845" s="803"/>
      <c r="M845" s="804" t="s">
        <v>1856</v>
      </c>
      <c r="N845" s="1006" t="s">
        <v>1856</v>
      </c>
      <c r="O845" s="805"/>
      <c r="P845" s="806" t="s">
        <v>72</v>
      </c>
      <c r="Q845" s="100">
        <f t="shared" si="465"/>
        <v>0</v>
      </c>
      <c r="R845" s="13" t="str">
        <f t="shared" si="470"/>
        <v>Фото &gt;&gt;</v>
      </c>
      <c r="S845" s="14" t="s">
        <v>6682</v>
      </c>
      <c r="U845" s="4"/>
      <c r="V845" s="4"/>
      <c r="AK845">
        <v>0.42</v>
      </c>
      <c r="AL845">
        <f t="shared" ref="AL845:AL850" si="474">F845*G845</f>
        <v>0</v>
      </c>
      <c r="AM845">
        <f t="shared" ref="AM845:AM850" si="475">F845*H845</f>
        <v>0</v>
      </c>
      <c r="AN845">
        <f t="shared" ref="AN845:AN850" si="476">AK845*F845+IF(E845&gt;1.01,F845/E845*0.2,0)</f>
        <v>0</v>
      </c>
      <c r="AO845" t="s">
        <v>6686</v>
      </c>
      <c r="AV845" t="str">
        <f>IF(F845&gt;0,(COUNT($AV$1:AV844)+1),"")</f>
        <v/>
      </c>
    </row>
    <row r="846" spans="1:48" ht="15" customHeight="1" x14ac:dyDescent="0.25">
      <c r="A846" s="1"/>
      <c r="B846" s="30">
        <v>21339</v>
      </c>
      <c r="C846" s="20">
        <v>4689600351529</v>
      </c>
      <c r="D846" s="153" t="s">
        <v>7371</v>
      </c>
      <c r="E846" s="67">
        <v>15</v>
      </c>
      <c r="F846" s="222"/>
      <c r="G846" s="107">
        <v>277.89999999999998</v>
      </c>
      <c r="H846" s="21">
        <v>291</v>
      </c>
      <c r="I846" s="22">
        <v>326.10000000000002</v>
      </c>
      <c r="J846" s="112" t="s">
        <v>421</v>
      </c>
      <c r="K846" s="45" t="s">
        <v>204</v>
      </c>
      <c r="L846" s="437"/>
      <c r="M846" s="474" t="s">
        <v>1856</v>
      </c>
      <c r="N846" s="1013" t="s">
        <v>1856</v>
      </c>
      <c r="O846" s="209"/>
      <c r="P846" s="66" t="s">
        <v>72</v>
      </c>
      <c r="Q846" s="100">
        <f t="shared" si="465"/>
        <v>0</v>
      </c>
      <c r="R846" s="13" t="str">
        <f t="shared" si="470"/>
        <v>Фото &gt;&gt;</v>
      </c>
      <c r="S846" s="14" t="s">
        <v>6683</v>
      </c>
      <c r="U846" s="4"/>
      <c r="V846" s="4"/>
      <c r="AK846">
        <v>0.42</v>
      </c>
      <c r="AL846">
        <f t="shared" si="474"/>
        <v>0</v>
      </c>
      <c r="AM846">
        <f t="shared" si="475"/>
        <v>0</v>
      </c>
      <c r="AN846">
        <f t="shared" si="476"/>
        <v>0</v>
      </c>
      <c r="AO846" t="s">
        <v>6687</v>
      </c>
      <c r="AV846" t="str">
        <f>IF(F846&gt;0,(COUNT($AV$1:AV845)+1),"")</f>
        <v/>
      </c>
    </row>
    <row r="847" spans="1:48" ht="15" customHeight="1" x14ac:dyDescent="0.25">
      <c r="A847" s="1"/>
      <c r="B847" s="31">
        <v>21340</v>
      </c>
      <c r="C847" s="16">
        <v>4689600351543</v>
      </c>
      <c r="D847" s="154" t="s">
        <v>7372</v>
      </c>
      <c r="E847" s="69">
        <v>15</v>
      </c>
      <c r="F847" s="222"/>
      <c r="G847" s="108">
        <v>271.2</v>
      </c>
      <c r="H847" s="17">
        <v>284</v>
      </c>
      <c r="I847" s="18">
        <v>318.10000000000002</v>
      </c>
      <c r="J847" s="113" t="s">
        <v>421</v>
      </c>
      <c r="K847" s="44" t="s">
        <v>204</v>
      </c>
      <c r="L847" s="442"/>
      <c r="M847" s="480" t="s">
        <v>1856</v>
      </c>
      <c r="N847" s="1015" t="s">
        <v>1856</v>
      </c>
      <c r="O847" s="210"/>
      <c r="P847" s="68" t="s">
        <v>72</v>
      </c>
      <c r="Q847" s="100">
        <f t="shared" si="465"/>
        <v>0</v>
      </c>
      <c r="R847" s="13" t="str">
        <f t="shared" si="470"/>
        <v>Фото &gt;&gt;</v>
      </c>
      <c r="S847" s="14" t="s">
        <v>6684</v>
      </c>
      <c r="U847" s="4"/>
      <c r="V847" s="4"/>
      <c r="AK847">
        <v>0.42</v>
      </c>
      <c r="AL847">
        <f t="shared" si="474"/>
        <v>0</v>
      </c>
      <c r="AM847">
        <f t="shared" si="475"/>
        <v>0</v>
      </c>
      <c r="AN847">
        <f t="shared" si="476"/>
        <v>0</v>
      </c>
      <c r="AO847" t="s">
        <v>6688</v>
      </c>
      <c r="AV847" t="str">
        <f>IF(F847&gt;0,(COUNT($AV$1:AV846)+1),"")</f>
        <v/>
      </c>
    </row>
    <row r="848" spans="1:48" ht="15" customHeight="1" x14ac:dyDescent="0.25">
      <c r="A848" s="1"/>
      <c r="B848" s="30">
        <v>21342</v>
      </c>
      <c r="C848" s="20">
        <v>4689600351512</v>
      </c>
      <c r="D848" s="153" t="s">
        <v>7373</v>
      </c>
      <c r="E848" s="67">
        <v>15</v>
      </c>
      <c r="F848" s="222"/>
      <c r="G848" s="107">
        <v>271.2</v>
      </c>
      <c r="H848" s="21">
        <v>284</v>
      </c>
      <c r="I848" s="22">
        <v>318.10000000000002</v>
      </c>
      <c r="J848" s="112" t="s">
        <v>421</v>
      </c>
      <c r="K848" s="45" t="s">
        <v>204</v>
      </c>
      <c r="L848" s="437"/>
      <c r="M848" s="474" t="s">
        <v>1856</v>
      </c>
      <c r="N848" s="1013" t="s">
        <v>1856</v>
      </c>
      <c r="O848" s="209"/>
      <c r="P848" s="66" t="s">
        <v>72</v>
      </c>
      <c r="Q848" s="100">
        <f t="shared" si="465"/>
        <v>0</v>
      </c>
      <c r="R848" s="13" t="str">
        <f t="shared" si="470"/>
        <v>Фото &gt;&gt;</v>
      </c>
      <c r="S848" s="14" t="s">
        <v>6681</v>
      </c>
      <c r="U848" s="4"/>
      <c r="V848" s="4"/>
      <c r="AK848">
        <v>0.42</v>
      </c>
      <c r="AL848">
        <f t="shared" si="474"/>
        <v>0</v>
      </c>
      <c r="AM848">
        <f t="shared" si="475"/>
        <v>0</v>
      </c>
      <c r="AN848">
        <f t="shared" si="476"/>
        <v>0</v>
      </c>
      <c r="AO848" t="s">
        <v>6689</v>
      </c>
      <c r="AV848" t="str">
        <f>IF(F848&gt;0,(COUNT($AV$1:AV847)+1),"")</f>
        <v/>
      </c>
    </row>
    <row r="849" spans="1:48" ht="15" customHeight="1" x14ac:dyDescent="0.25">
      <c r="A849" s="1"/>
      <c r="B849" s="31">
        <v>21343</v>
      </c>
      <c r="C849" s="16">
        <v>4689600351536</v>
      </c>
      <c r="D849" s="154" t="s">
        <v>7374</v>
      </c>
      <c r="E849" s="69">
        <v>15</v>
      </c>
      <c r="F849" s="222"/>
      <c r="G849" s="108">
        <v>271.2</v>
      </c>
      <c r="H849" s="17">
        <v>284</v>
      </c>
      <c r="I849" s="18">
        <v>318.10000000000002</v>
      </c>
      <c r="J849" s="113" t="s">
        <v>421</v>
      </c>
      <c r="K849" s="44" t="s">
        <v>204</v>
      </c>
      <c r="L849" s="442"/>
      <c r="M849" s="480" t="s">
        <v>1856</v>
      </c>
      <c r="N849" s="1015" t="s">
        <v>1856</v>
      </c>
      <c r="O849" s="210"/>
      <c r="P849" s="68" t="s">
        <v>72</v>
      </c>
      <c r="Q849" s="100">
        <f t="shared" si="465"/>
        <v>0</v>
      </c>
      <c r="R849" s="13" t="str">
        <f t="shared" si="470"/>
        <v>Фото &gt;&gt;</v>
      </c>
      <c r="S849" s="14" t="s">
        <v>6685</v>
      </c>
      <c r="U849" s="4"/>
      <c r="V849" s="4"/>
      <c r="AK849">
        <v>0.42</v>
      </c>
      <c r="AL849">
        <f t="shared" si="474"/>
        <v>0</v>
      </c>
      <c r="AM849">
        <f t="shared" si="475"/>
        <v>0</v>
      </c>
      <c r="AN849">
        <f t="shared" si="476"/>
        <v>0</v>
      </c>
      <c r="AO849" t="s">
        <v>6690</v>
      </c>
      <c r="AV849" t="str">
        <f>IF(F849&gt;0,(COUNT($AV$1:AV848)+1),"")</f>
        <v/>
      </c>
    </row>
    <row r="850" spans="1:48" ht="15" customHeight="1" x14ac:dyDescent="0.25">
      <c r="A850" s="1"/>
      <c r="B850" s="785">
        <v>20557</v>
      </c>
      <c r="C850" s="786">
        <v>4640200410528</v>
      </c>
      <c r="D850" s="787" t="s">
        <v>5925</v>
      </c>
      <c r="E850" s="788">
        <v>27</v>
      </c>
      <c r="F850" s="789"/>
      <c r="G850" s="811">
        <v>81.5</v>
      </c>
      <c r="H850" s="790">
        <v>85.3</v>
      </c>
      <c r="I850" s="791">
        <v>96.2</v>
      </c>
      <c r="J850" s="792" t="s">
        <v>421</v>
      </c>
      <c r="K850" s="793" t="s">
        <v>4016</v>
      </c>
      <c r="L850" s="781"/>
      <c r="M850" s="782" t="s">
        <v>1856</v>
      </c>
      <c r="N850" s="1009"/>
      <c r="O850" s="794"/>
      <c r="P850" s="784" t="s">
        <v>72</v>
      </c>
      <c r="Q850" s="100">
        <f t="shared" si="465"/>
        <v>0</v>
      </c>
      <c r="R850" s="13" t="str">
        <f t="shared" si="470"/>
        <v>Фото &gt;&gt;</v>
      </c>
      <c r="S850" s="14" t="s">
        <v>4042</v>
      </c>
      <c r="U850" s="4"/>
      <c r="V850" s="4"/>
      <c r="AK850">
        <v>6.5000000000000002E-2</v>
      </c>
      <c r="AL850">
        <f t="shared" si="474"/>
        <v>0</v>
      </c>
      <c r="AM850">
        <f t="shared" si="475"/>
        <v>0</v>
      </c>
      <c r="AN850">
        <f t="shared" si="476"/>
        <v>0</v>
      </c>
      <c r="AO850" t="s">
        <v>4044</v>
      </c>
      <c r="AV850" t="str">
        <f>IF(F850&gt;0,(COUNT($AV$1:AV849)+1),"")</f>
        <v/>
      </c>
    </row>
    <row r="851" spans="1:48" ht="15" customHeight="1" x14ac:dyDescent="0.25">
      <c r="A851" s="1"/>
      <c r="B851" s="31">
        <v>20556</v>
      </c>
      <c r="C851" s="16">
        <v>4640200410535</v>
      </c>
      <c r="D851" s="226" t="s">
        <v>5926</v>
      </c>
      <c r="E851" s="69">
        <v>27</v>
      </c>
      <c r="F851" s="222"/>
      <c r="G851" s="108">
        <v>81.5</v>
      </c>
      <c r="H851" s="17">
        <v>85.3</v>
      </c>
      <c r="I851" s="18">
        <v>96.2</v>
      </c>
      <c r="J851" s="113" t="s">
        <v>421</v>
      </c>
      <c r="K851" s="44" t="s">
        <v>4016</v>
      </c>
      <c r="L851" s="442"/>
      <c r="M851" s="480" t="s">
        <v>1856</v>
      </c>
      <c r="N851" s="1015"/>
      <c r="O851" s="210"/>
      <c r="P851" s="68" t="s">
        <v>72</v>
      </c>
      <c r="Q851" s="100">
        <f t="shared" si="465"/>
        <v>0</v>
      </c>
      <c r="R851" s="13" t="str">
        <f t="shared" si="470"/>
        <v>Фото &gt;&gt;</v>
      </c>
      <c r="S851" s="14" t="s">
        <v>4041</v>
      </c>
      <c r="U851" s="4"/>
      <c r="V851" s="4"/>
      <c r="AK851">
        <v>6.5000000000000002E-2</v>
      </c>
      <c r="AL851">
        <f t="shared" ref="AL851:AL862" si="477">F851*G851</f>
        <v>0</v>
      </c>
      <c r="AM851">
        <f t="shared" ref="AM851:AM862" si="478">F851*H851</f>
        <v>0</v>
      </c>
      <c r="AN851">
        <f t="shared" ref="AN851:AN862" si="479">AK851*F851+IF(E851&gt;1.01,F851/E851*0.2,0)</f>
        <v>0</v>
      </c>
      <c r="AO851" t="s">
        <v>4046</v>
      </c>
      <c r="AV851" t="str">
        <f>IF(F851&gt;0,(COUNT($AV$1:AV850)+1),"")</f>
        <v/>
      </c>
    </row>
    <row r="852" spans="1:48" ht="15" customHeight="1" x14ac:dyDescent="0.25">
      <c r="A852" s="1"/>
      <c r="B852" s="37">
        <v>20562</v>
      </c>
      <c r="C852" s="23">
        <v>4640200410511</v>
      </c>
      <c r="D852" s="237" t="s">
        <v>5927</v>
      </c>
      <c r="E852" s="75">
        <v>27</v>
      </c>
      <c r="F852" s="223"/>
      <c r="G852" s="111">
        <v>81.5</v>
      </c>
      <c r="H852" s="5">
        <v>85.3</v>
      </c>
      <c r="I852" s="24">
        <v>96.2</v>
      </c>
      <c r="J852" s="115" t="s">
        <v>421</v>
      </c>
      <c r="K852" s="46" t="s">
        <v>4016</v>
      </c>
      <c r="L852" s="440"/>
      <c r="M852" s="482" t="s">
        <v>1856</v>
      </c>
      <c r="N852" s="1002" t="s">
        <v>1856</v>
      </c>
      <c r="O852" s="211"/>
      <c r="P852" s="74" t="s">
        <v>72</v>
      </c>
      <c r="Q852" s="100">
        <f t="shared" si="465"/>
        <v>0</v>
      </c>
      <c r="R852" s="13" t="str">
        <f t="shared" si="470"/>
        <v>Фото &gt;&gt;</v>
      </c>
      <c r="S852" s="14" t="s">
        <v>4043</v>
      </c>
      <c r="U852" s="4"/>
      <c r="V852" s="4"/>
      <c r="AK852">
        <v>6.5000000000000002E-2</v>
      </c>
      <c r="AL852">
        <f t="shared" si="477"/>
        <v>0</v>
      </c>
      <c r="AM852">
        <f t="shared" si="478"/>
        <v>0</v>
      </c>
      <c r="AN852">
        <f t="shared" si="479"/>
        <v>0</v>
      </c>
      <c r="AO852" t="s">
        <v>4045</v>
      </c>
      <c r="AV852" t="str">
        <f>IF(F852&gt;0,(COUNT($AV$1:AV851)+1),"")</f>
        <v/>
      </c>
    </row>
    <row r="853" spans="1:48" ht="15" customHeight="1" x14ac:dyDescent="0.25">
      <c r="A853" s="1"/>
      <c r="B853" s="795">
        <v>15151</v>
      </c>
      <c r="C853" s="796">
        <v>4650061331368</v>
      </c>
      <c r="D853" s="797" t="s">
        <v>6576</v>
      </c>
      <c r="E853" s="798">
        <v>11</v>
      </c>
      <c r="F853" s="789"/>
      <c r="G853" s="810">
        <v>266.39999999999998</v>
      </c>
      <c r="H853" s="799">
        <v>278.89999999999998</v>
      </c>
      <c r="I853" s="800">
        <v>312.5</v>
      </c>
      <c r="J853" s="801" t="s">
        <v>421</v>
      </c>
      <c r="K853" s="802" t="s">
        <v>6406</v>
      </c>
      <c r="L853" s="803"/>
      <c r="M853" s="804" t="s">
        <v>1856</v>
      </c>
      <c r="N853" s="1006"/>
      <c r="O853" s="805"/>
      <c r="P853" s="806" t="s">
        <v>53</v>
      </c>
      <c r="Q853" s="100">
        <f t="shared" si="465"/>
        <v>0</v>
      </c>
      <c r="R853" s="13" t="str">
        <f t="shared" si="470"/>
        <v>Фото &gt;&gt;</v>
      </c>
      <c r="S853" s="14" t="s">
        <v>429</v>
      </c>
      <c r="U853" s="4"/>
      <c r="V853" s="4"/>
      <c r="AK853">
        <v>0.19</v>
      </c>
      <c r="AL853">
        <f t="shared" si="477"/>
        <v>0</v>
      </c>
      <c r="AM853">
        <f t="shared" si="478"/>
        <v>0</v>
      </c>
      <c r="AN853">
        <f t="shared" si="479"/>
        <v>0</v>
      </c>
      <c r="AO853" t="s">
        <v>4856</v>
      </c>
      <c r="AV853" t="str">
        <f>IF(F853&gt;0,(COUNT($AV$1:AV852)+1),"")</f>
        <v/>
      </c>
    </row>
    <row r="854" spans="1:48" ht="15" customHeight="1" x14ac:dyDescent="0.25">
      <c r="A854" s="1"/>
      <c r="B854" s="30">
        <v>20371</v>
      </c>
      <c r="C854" s="20">
        <v>4650061331382</v>
      </c>
      <c r="D854" s="225" t="s">
        <v>6577</v>
      </c>
      <c r="E854" s="67">
        <v>24</v>
      </c>
      <c r="F854" s="222"/>
      <c r="G854" s="107">
        <v>102.4</v>
      </c>
      <c r="H854" s="21">
        <v>107.2</v>
      </c>
      <c r="I854" s="22">
        <v>120.1</v>
      </c>
      <c r="J854" s="112" t="s">
        <v>421</v>
      </c>
      <c r="K854" s="46" t="s">
        <v>6406</v>
      </c>
      <c r="L854" s="437"/>
      <c r="M854" s="474" t="s">
        <v>1856</v>
      </c>
      <c r="N854" s="1013"/>
      <c r="O854" s="209"/>
      <c r="P854" s="66" t="s">
        <v>53</v>
      </c>
      <c r="Q854" s="100">
        <f t="shared" si="465"/>
        <v>0</v>
      </c>
      <c r="R854" s="13" t="str">
        <f t="shared" ref="R854:R887" si="480">IF(AO854&gt;0,HYPERLINK(AO854,"Фото &gt;&gt;"),"")</f>
        <v>Фото &gt;&gt;</v>
      </c>
      <c r="S854" s="14" t="s">
        <v>3418</v>
      </c>
      <c r="U854" s="4"/>
      <c r="V854" s="4"/>
      <c r="AK854">
        <v>0.09</v>
      </c>
      <c r="AL854">
        <f t="shared" si="477"/>
        <v>0</v>
      </c>
      <c r="AM854">
        <f t="shared" si="478"/>
        <v>0</v>
      </c>
      <c r="AN854">
        <f t="shared" si="479"/>
        <v>0</v>
      </c>
      <c r="AO854" t="s">
        <v>3419</v>
      </c>
      <c r="AV854" t="str">
        <f>IF(F854&gt;0,(COUNT($AV$1:AV853)+1),"")</f>
        <v/>
      </c>
    </row>
    <row r="855" spans="1:48" ht="15" customHeight="1" x14ac:dyDescent="0.25">
      <c r="A855" s="1"/>
      <c r="B855" s="31">
        <v>21229</v>
      </c>
      <c r="C855" s="16">
        <v>4640200413345</v>
      </c>
      <c r="D855" s="226" t="s">
        <v>7649</v>
      </c>
      <c r="E855" s="69">
        <v>11</v>
      </c>
      <c r="F855" s="222"/>
      <c r="G855" s="108">
        <v>293</v>
      </c>
      <c r="H855" s="17">
        <v>306.8</v>
      </c>
      <c r="I855" s="18">
        <v>343.7</v>
      </c>
      <c r="J855" s="113" t="s">
        <v>421</v>
      </c>
      <c r="K855" s="44" t="s">
        <v>6406</v>
      </c>
      <c r="L855" s="442"/>
      <c r="M855" s="480" t="s">
        <v>1856</v>
      </c>
      <c r="N855" s="1015"/>
      <c r="O855" s="210"/>
      <c r="P855" s="68" t="s">
        <v>53</v>
      </c>
      <c r="Q855" s="100">
        <f t="shared" si="465"/>
        <v>0</v>
      </c>
      <c r="R855" s="13" t="str">
        <f t="shared" ref="R855:R856" si="481">IF(AO855&gt;0,HYPERLINK(AO855,"Фото &gt;&gt;"),"")</f>
        <v>Фото &gt;&gt;</v>
      </c>
      <c r="S855" s="14" t="s">
        <v>6692</v>
      </c>
      <c r="U855" s="4"/>
      <c r="V855" s="4"/>
      <c r="AK855">
        <v>0.2</v>
      </c>
      <c r="AL855">
        <f t="shared" si="477"/>
        <v>0</v>
      </c>
      <c r="AM855">
        <f t="shared" si="478"/>
        <v>0</v>
      </c>
      <c r="AN855">
        <f t="shared" si="479"/>
        <v>0</v>
      </c>
      <c r="AO855" t="s">
        <v>6693</v>
      </c>
      <c r="AV855" t="str">
        <f>IF(F855&gt;0,(COUNT($AV$1:AV854)+1),"")</f>
        <v/>
      </c>
    </row>
    <row r="856" spans="1:48" ht="15" customHeight="1" x14ac:dyDescent="0.25">
      <c r="A856" s="1"/>
      <c r="B856" s="30">
        <v>21231</v>
      </c>
      <c r="C856" s="20">
        <v>4640200413338</v>
      </c>
      <c r="D856" s="225" t="s">
        <v>7650</v>
      </c>
      <c r="E856" s="67">
        <v>24</v>
      </c>
      <c r="F856" s="222"/>
      <c r="G856" s="107">
        <v>112.6</v>
      </c>
      <c r="H856" s="21">
        <v>117.9</v>
      </c>
      <c r="I856" s="22">
        <v>132.1</v>
      </c>
      <c r="J856" s="112" t="s">
        <v>421</v>
      </c>
      <c r="K856" s="45" t="s">
        <v>6406</v>
      </c>
      <c r="L856" s="437"/>
      <c r="M856" s="474" t="s">
        <v>1856</v>
      </c>
      <c r="N856" s="1013"/>
      <c r="O856" s="209"/>
      <c r="P856" s="66" t="s">
        <v>53</v>
      </c>
      <c r="Q856" s="100">
        <f t="shared" si="465"/>
        <v>0</v>
      </c>
      <c r="R856" s="13" t="str">
        <f t="shared" si="481"/>
        <v>Фото &gt;&gt;</v>
      </c>
      <c r="S856" s="14" t="s">
        <v>6692</v>
      </c>
      <c r="U856" s="4"/>
      <c r="V856" s="4"/>
      <c r="AK856">
        <v>0.1</v>
      </c>
      <c r="AL856">
        <f t="shared" si="477"/>
        <v>0</v>
      </c>
      <c r="AM856">
        <f t="shared" si="478"/>
        <v>0</v>
      </c>
      <c r="AN856">
        <f t="shared" si="479"/>
        <v>0</v>
      </c>
      <c r="AO856" t="s">
        <v>6694</v>
      </c>
      <c r="AV856" t="str">
        <f>IF(F856&gt;0,(COUNT($AV$1:AV855)+1),"")</f>
        <v/>
      </c>
    </row>
    <row r="857" spans="1:48" ht="15" customHeight="1" x14ac:dyDescent="0.25">
      <c r="A857" s="1"/>
      <c r="B857" s="31">
        <v>16404</v>
      </c>
      <c r="C857" s="16">
        <v>4650061331375</v>
      </c>
      <c r="D857" s="226" t="s">
        <v>430</v>
      </c>
      <c r="E857" s="69">
        <v>11</v>
      </c>
      <c r="F857" s="222"/>
      <c r="G857" s="108">
        <v>251.6</v>
      </c>
      <c r="H857" s="17">
        <v>263.5</v>
      </c>
      <c r="I857" s="18">
        <v>295.2</v>
      </c>
      <c r="J857" s="113" t="s">
        <v>421</v>
      </c>
      <c r="K857" s="44" t="s">
        <v>6406</v>
      </c>
      <c r="L857" s="442"/>
      <c r="M857" s="480" t="s">
        <v>1856</v>
      </c>
      <c r="N857" s="1015"/>
      <c r="O857" s="210"/>
      <c r="P857" s="68" t="s">
        <v>53</v>
      </c>
      <c r="Q857" s="100">
        <f t="shared" si="465"/>
        <v>0</v>
      </c>
      <c r="R857" s="13" t="str">
        <f t="shared" si="480"/>
        <v>Фото &gt;&gt;</v>
      </c>
      <c r="S857" s="14" t="s">
        <v>431</v>
      </c>
      <c r="U857" s="4"/>
      <c r="V857" s="4"/>
      <c r="AK857">
        <v>0.17</v>
      </c>
      <c r="AL857">
        <f t="shared" si="477"/>
        <v>0</v>
      </c>
      <c r="AM857">
        <f t="shared" si="478"/>
        <v>0</v>
      </c>
      <c r="AN857">
        <f t="shared" si="479"/>
        <v>0</v>
      </c>
      <c r="AO857" t="s">
        <v>7161</v>
      </c>
      <c r="AV857" t="str">
        <f>IF(F857&gt;0,(COUNT($AV$1:AV856)+1),"")</f>
        <v/>
      </c>
    </row>
    <row r="858" spans="1:48" ht="15" customHeight="1" x14ac:dyDescent="0.25">
      <c r="A858" s="1"/>
      <c r="B858" s="30">
        <v>16797</v>
      </c>
      <c r="C858" s="20">
        <v>4650061331399</v>
      </c>
      <c r="D858" s="225" t="s">
        <v>432</v>
      </c>
      <c r="E858" s="67">
        <v>24</v>
      </c>
      <c r="F858" s="222"/>
      <c r="G858" s="107">
        <v>94.9</v>
      </c>
      <c r="H858" s="21">
        <v>99.4</v>
      </c>
      <c r="I858" s="22">
        <v>111.4</v>
      </c>
      <c r="J858" s="112" t="s">
        <v>421</v>
      </c>
      <c r="K858" s="45" t="s">
        <v>6406</v>
      </c>
      <c r="L858" s="437"/>
      <c r="M858" s="474" t="s">
        <v>1856</v>
      </c>
      <c r="N858" s="1013"/>
      <c r="O858" s="209"/>
      <c r="P858" s="66" t="s">
        <v>53</v>
      </c>
      <c r="Q858" s="100">
        <f t="shared" si="465"/>
        <v>0</v>
      </c>
      <c r="R858" s="13" t="str">
        <f t="shared" si="480"/>
        <v>Фото &gt;&gt;</v>
      </c>
      <c r="S858" s="14" t="s">
        <v>433</v>
      </c>
      <c r="U858" s="4"/>
      <c r="V858" s="4"/>
      <c r="AK858">
        <v>7.0000000000000007E-2</v>
      </c>
      <c r="AL858">
        <f t="shared" si="477"/>
        <v>0</v>
      </c>
      <c r="AM858">
        <f t="shared" si="478"/>
        <v>0</v>
      </c>
      <c r="AN858">
        <f t="shared" si="479"/>
        <v>0</v>
      </c>
      <c r="AO858" t="s">
        <v>7162</v>
      </c>
      <c r="AV858" t="str">
        <f>IF(F858&gt;0,(COUNT($AV$1:AV857)+1),"")</f>
        <v/>
      </c>
    </row>
    <row r="859" spans="1:48" ht="15" customHeight="1" x14ac:dyDescent="0.25">
      <c r="A859" s="1"/>
      <c r="B859" s="31">
        <v>20613</v>
      </c>
      <c r="C859" s="16">
        <v>4603734868913</v>
      </c>
      <c r="D859" s="226" t="s">
        <v>7651</v>
      </c>
      <c r="E859" s="69">
        <v>11</v>
      </c>
      <c r="F859" s="222"/>
      <c r="G859" s="108">
        <v>251.6</v>
      </c>
      <c r="H859" s="17">
        <v>263.5</v>
      </c>
      <c r="I859" s="18">
        <v>295.2</v>
      </c>
      <c r="J859" s="113" t="s">
        <v>421</v>
      </c>
      <c r="K859" s="44" t="s">
        <v>6406</v>
      </c>
      <c r="L859" s="442"/>
      <c r="M859" s="480" t="s">
        <v>1856</v>
      </c>
      <c r="N859" s="1015"/>
      <c r="O859" s="210"/>
      <c r="P859" s="68" t="s">
        <v>53</v>
      </c>
      <c r="Q859" s="100">
        <f t="shared" si="465"/>
        <v>0</v>
      </c>
      <c r="R859" s="13" t="str">
        <f t="shared" si="480"/>
        <v>Фото &gt;&gt;</v>
      </c>
      <c r="S859" s="14" t="s">
        <v>3541</v>
      </c>
      <c r="U859" s="4"/>
      <c r="V859" s="4"/>
      <c r="AK859">
        <v>0.17</v>
      </c>
      <c r="AL859">
        <f t="shared" si="477"/>
        <v>0</v>
      </c>
      <c r="AM859">
        <f t="shared" si="478"/>
        <v>0</v>
      </c>
      <c r="AN859">
        <f t="shared" si="479"/>
        <v>0</v>
      </c>
      <c r="AO859" t="s">
        <v>4692</v>
      </c>
      <c r="AV859" t="str">
        <f>IF(F859&gt;0,(COUNT($AV$1:AV858)+1),"")</f>
        <v/>
      </c>
    </row>
    <row r="860" spans="1:48" ht="15" customHeight="1" x14ac:dyDescent="0.25">
      <c r="A860" s="1"/>
      <c r="B860" s="30">
        <v>18762</v>
      </c>
      <c r="C860" s="20">
        <v>4603734868890</v>
      </c>
      <c r="D860" s="225" t="s">
        <v>7652</v>
      </c>
      <c r="E860" s="67">
        <v>24</v>
      </c>
      <c r="F860" s="222"/>
      <c r="G860" s="107">
        <v>94.9</v>
      </c>
      <c r="H860" s="21">
        <v>99.4</v>
      </c>
      <c r="I860" s="22">
        <v>111.4</v>
      </c>
      <c r="J860" s="112" t="s">
        <v>421</v>
      </c>
      <c r="K860" s="45" t="s">
        <v>6406</v>
      </c>
      <c r="L860" s="437"/>
      <c r="M860" s="474" t="s">
        <v>1856</v>
      </c>
      <c r="N860" s="1013"/>
      <c r="O860" s="209"/>
      <c r="P860" s="66" t="s">
        <v>53</v>
      </c>
      <c r="Q860" s="100">
        <f t="shared" si="465"/>
        <v>0</v>
      </c>
      <c r="R860" s="13" t="str">
        <f t="shared" si="480"/>
        <v>Фото &gt;&gt;</v>
      </c>
      <c r="S860" s="14" t="s">
        <v>3541</v>
      </c>
      <c r="U860" s="4"/>
      <c r="V860" s="4"/>
      <c r="AK860">
        <v>7.0000000000000007E-2</v>
      </c>
      <c r="AL860">
        <f t="shared" si="477"/>
        <v>0</v>
      </c>
      <c r="AM860">
        <f t="shared" si="478"/>
        <v>0</v>
      </c>
      <c r="AN860">
        <f t="shared" si="479"/>
        <v>0</v>
      </c>
      <c r="AO860" t="s">
        <v>4693</v>
      </c>
      <c r="AV860" t="str">
        <f>IF(F860&gt;0,(COUNT($AV$1:AV859)+1),"")</f>
        <v/>
      </c>
    </row>
    <row r="861" spans="1:48" ht="15" customHeight="1" x14ac:dyDescent="0.25">
      <c r="A861" s="1"/>
      <c r="B861" s="31">
        <v>16092</v>
      </c>
      <c r="C861" s="16">
        <v>4603725964945</v>
      </c>
      <c r="D861" s="226" t="s">
        <v>7653</v>
      </c>
      <c r="E861" s="69">
        <v>24</v>
      </c>
      <c r="F861" s="222"/>
      <c r="G861" s="108">
        <v>251.6</v>
      </c>
      <c r="H861" s="17">
        <v>263.5</v>
      </c>
      <c r="I861" s="18">
        <v>295.2</v>
      </c>
      <c r="J861" s="113" t="s">
        <v>421</v>
      </c>
      <c r="K861" s="44" t="s">
        <v>6406</v>
      </c>
      <c r="L861" s="442"/>
      <c r="M861" s="480" t="s">
        <v>1856</v>
      </c>
      <c r="N861" s="1015"/>
      <c r="O861" s="210"/>
      <c r="P861" s="68" t="s">
        <v>53</v>
      </c>
      <c r="Q861" s="100">
        <f t="shared" si="465"/>
        <v>0</v>
      </c>
      <c r="R861" s="13" t="str">
        <f t="shared" si="480"/>
        <v>Фото &gt;&gt;</v>
      </c>
      <c r="S861" s="14" t="s">
        <v>434</v>
      </c>
      <c r="U861" s="4"/>
      <c r="V861" s="4"/>
      <c r="AK861">
        <v>0.19</v>
      </c>
      <c r="AL861">
        <f t="shared" si="477"/>
        <v>0</v>
      </c>
      <c r="AM861">
        <f t="shared" si="478"/>
        <v>0</v>
      </c>
      <c r="AN861">
        <f t="shared" si="479"/>
        <v>0</v>
      </c>
      <c r="AO861" t="s">
        <v>4694</v>
      </c>
      <c r="AV861" t="str">
        <f>IF(F861&gt;0,(COUNT($AV$1:AV860)+1),"")</f>
        <v/>
      </c>
    </row>
    <row r="862" spans="1:48" ht="15" customHeight="1" x14ac:dyDescent="0.25">
      <c r="A862" s="1"/>
      <c r="B862" s="30">
        <v>16796</v>
      </c>
      <c r="C862" s="20">
        <v>4603725964914</v>
      </c>
      <c r="D862" s="225" t="s">
        <v>7654</v>
      </c>
      <c r="E862" s="67">
        <v>24</v>
      </c>
      <c r="F862" s="222"/>
      <c r="G862" s="107">
        <v>94.9</v>
      </c>
      <c r="H862" s="21">
        <v>99.4</v>
      </c>
      <c r="I862" s="22">
        <v>111.4</v>
      </c>
      <c r="J862" s="112" t="s">
        <v>421</v>
      </c>
      <c r="K862" s="45" t="s">
        <v>6406</v>
      </c>
      <c r="L862" s="437"/>
      <c r="M862" s="474" t="s">
        <v>1856</v>
      </c>
      <c r="N862" s="1013"/>
      <c r="O862" s="209"/>
      <c r="P862" s="66" t="s">
        <v>53</v>
      </c>
      <c r="Q862" s="100">
        <f t="shared" si="465"/>
        <v>0</v>
      </c>
      <c r="R862" s="13" t="str">
        <f t="shared" si="480"/>
        <v>Фото &gt;&gt;</v>
      </c>
      <c r="S862" s="14" t="s">
        <v>434</v>
      </c>
      <c r="U862" s="4"/>
      <c r="V862" s="4"/>
      <c r="AK862">
        <v>7.0000000000000007E-2</v>
      </c>
      <c r="AL862">
        <f t="shared" si="477"/>
        <v>0</v>
      </c>
      <c r="AM862">
        <f t="shared" si="478"/>
        <v>0</v>
      </c>
      <c r="AN862">
        <f t="shared" si="479"/>
        <v>0</v>
      </c>
      <c r="AO862" t="s">
        <v>4695</v>
      </c>
      <c r="AV862" t="str">
        <f>IF(F862&gt;0,(COUNT($AV$1:AV861)+1),"")</f>
        <v/>
      </c>
    </row>
    <row r="863" spans="1:48" ht="15" customHeight="1" x14ac:dyDescent="0.25">
      <c r="A863" s="1"/>
      <c r="B863" s="32">
        <v>20904</v>
      </c>
      <c r="C863" s="33">
        <v>4640200412034</v>
      </c>
      <c r="D863" s="227" t="s">
        <v>7655</v>
      </c>
      <c r="E863" s="71">
        <v>12</v>
      </c>
      <c r="F863" s="223"/>
      <c r="G863" s="109">
        <v>251.6</v>
      </c>
      <c r="H863" s="34">
        <v>263.5</v>
      </c>
      <c r="I863" s="35">
        <v>295.2</v>
      </c>
      <c r="J863" s="114" t="s">
        <v>421</v>
      </c>
      <c r="K863" s="57" t="s">
        <v>6406</v>
      </c>
      <c r="L863" s="438"/>
      <c r="M863" s="484" t="s">
        <v>1856</v>
      </c>
      <c r="N863" s="1008"/>
      <c r="O863" s="210"/>
      <c r="P863" s="70" t="s">
        <v>53</v>
      </c>
      <c r="Q863" s="100">
        <f t="shared" si="465"/>
        <v>0</v>
      </c>
      <c r="R863" s="13" t="str">
        <f t="shared" si="480"/>
        <v>Фото &gt;&gt;</v>
      </c>
      <c r="S863" s="14" t="s">
        <v>4691</v>
      </c>
      <c r="U863" s="4"/>
      <c r="V863" s="4"/>
      <c r="AK863">
        <v>0.19</v>
      </c>
      <c r="AL863">
        <f t="shared" ref="AL863:AL869" si="482">F863*G863</f>
        <v>0</v>
      </c>
      <c r="AM863">
        <f t="shared" ref="AM863:AM869" si="483">F863*H863</f>
        <v>0</v>
      </c>
      <c r="AN863">
        <f t="shared" ref="AN863:AN869" si="484">AK863*F863+IF(E863&gt;1.01,F863/E863*0.2,0)</f>
        <v>0</v>
      </c>
      <c r="AO863" t="s">
        <v>4696</v>
      </c>
      <c r="AV863" t="str">
        <f>IF(F863&gt;0,(COUNT($AV$1:AV862)+1),"")</f>
        <v/>
      </c>
    </row>
    <row r="864" spans="1:48" ht="15" customHeight="1" x14ac:dyDescent="0.25">
      <c r="A864" s="1"/>
      <c r="B864" s="30">
        <v>21368</v>
      </c>
      <c r="C864" s="20">
        <v>4640200413321</v>
      </c>
      <c r="D864" s="225" t="s">
        <v>7656</v>
      </c>
      <c r="E864" s="67">
        <v>24</v>
      </c>
      <c r="F864" s="222"/>
      <c r="G864" s="107">
        <v>251.6</v>
      </c>
      <c r="H864" s="21">
        <v>263.5</v>
      </c>
      <c r="I864" s="22">
        <v>295.2</v>
      </c>
      <c r="J864" s="112" t="s">
        <v>421</v>
      </c>
      <c r="K864" s="45" t="s">
        <v>6406</v>
      </c>
      <c r="L864" s="437"/>
      <c r="M864" s="474" t="s">
        <v>1856</v>
      </c>
      <c r="N864" s="1013"/>
      <c r="O864" s="209"/>
      <c r="P864" s="66" t="s">
        <v>53</v>
      </c>
      <c r="Q864" s="100">
        <f t="shared" si="465"/>
        <v>0</v>
      </c>
      <c r="R864" s="13" t="str">
        <f t="shared" ref="R864:R865" si="485">IF(AO864&gt;0,HYPERLINK(AO864,"Фото &gt;&gt;"),"")</f>
        <v>Фото &gt;&gt;</v>
      </c>
      <c r="S864" s="14" t="s">
        <v>6691</v>
      </c>
      <c r="U864" s="4"/>
      <c r="V864" s="4"/>
      <c r="AK864">
        <v>0.19</v>
      </c>
      <c r="AL864">
        <f t="shared" si="482"/>
        <v>0</v>
      </c>
      <c r="AM864">
        <f t="shared" si="483"/>
        <v>0</v>
      </c>
      <c r="AN864">
        <f t="shared" si="484"/>
        <v>0</v>
      </c>
      <c r="AO864" t="s">
        <v>6695</v>
      </c>
      <c r="AV864" t="str">
        <f>IF(F864&gt;0,(COUNT($AV$1:AV863)+1),"")</f>
        <v/>
      </c>
    </row>
    <row r="865" spans="1:48" ht="15" customHeight="1" x14ac:dyDescent="0.25">
      <c r="A865" s="1"/>
      <c r="B865" s="32">
        <v>21367</v>
      </c>
      <c r="C865" s="33">
        <v>4640200413314</v>
      </c>
      <c r="D865" s="227" t="s">
        <v>7657</v>
      </c>
      <c r="E865" s="71">
        <v>12</v>
      </c>
      <c r="F865" s="223"/>
      <c r="G865" s="109">
        <v>94.9</v>
      </c>
      <c r="H865" s="34">
        <v>99.4</v>
      </c>
      <c r="I865" s="35">
        <v>111.4</v>
      </c>
      <c r="J865" s="114" t="s">
        <v>421</v>
      </c>
      <c r="K865" s="57" t="s">
        <v>6406</v>
      </c>
      <c r="L865" s="438"/>
      <c r="M865" s="484" t="s">
        <v>1856</v>
      </c>
      <c r="N865" s="1008"/>
      <c r="O865" s="210"/>
      <c r="P865" s="70" t="s">
        <v>53</v>
      </c>
      <c r="Q865" s="100">
        <f t="shared" si="465"/>
        <v>0</v>
      </c>
      <c r="R865" s="13" t="str">
        <f t="shared" si="485"/>
        <v>Фото &gt;&gt;</v>
      </c>
      <c r="S865" s="14" t="s">
        <v>6691</v>
      </c>
      <c r="U865" s="4"/>
      <c r="V865" s="4"/>
      <c r="AK865">
        <v>7.0000000000000007E-2</v>
      </c>
      <c r="AL865">
        <f t="shared" ref="AL865" si="486">F865*G865</f>
        <v>0</v>
      </c>
      <c r="AM865">
        <f t="shared" ref="AM865" si="487">F865*H865</f>
        <v>0</v>
      </c>
      <c r="AN865">
        <f t="shared" ref="AN865" si="488">AK865*F865+IF(E865&gt;1.01,F865/E865*0.2,0)</f>
        <v>0</v>
      </c>
      <c r="AO865" t="s">
        <v>6696</v>
      </c>
      <c r="AV865" t="str">
        <f>IF(F865&gt;0,(COUNT($AV$1:AV864)+1),"")</f>
        <v/>
      </c>
    </row>
    <row r="866" spans="1:48" ht="15" customHeight="1" x14ac:dyDescent="0.25">
      <c r="A866" s="1"/>
      <c r="B866" s="795">
        <v>20017</v>
      </c>
      <c r="C866" s="796">
        <v>4603741784190</v>
      </c>
      <c r="D866" s="797" t="s">
        <v>7207</v>
      </c>
      <c r="E866" s="798">
        <v>9</v>
      </c>
      <c r="F866" s="789"/>
      <c r="G866" s="810">
        <v>154.19999999999999</v>
      </c>
      <c r="H866" s="799">
        <v>161.5</v>
      </c>
      <c r="I866" s="800">
        <v>182</v>
      </c>
      <c r="J866" s="801" t="s">
        <v>421</v>
      </c>
      <c r="K866" s="802" t="s">
        <v>417</v>
      </c>
      <c r="L866" s="803"/>
      <c r="M866" s="804"/>
      <c r="N866" s="1006"/>
      <c r="O866" s="805"/>
      <c r="P866" s="806" t="s">
        <v>72</v>
      </c>
      <c r="Q866" s="100">
        <f t="shared" si="465"/>
        <v>0</v>
      </c>
      <c r="R866" s="13" t="str">
        <f t="shared" si="480"/>
        <v>Фото &gt;&gt;</v>
      </c>
      <c r="S866" s="14" t="s">
        <v>2164</v>
      </c>
      <c r="U866" s="4"/>
      <c r="V866" s="4"/>
      <c r="AK866">
        <v>0.17</v>
      </c>
      <c r="AL866">
        <f t="shared" si="482"/>
        <v>0</v>
      </c>
      <c r="AM866">
        <f t="shared" si="483"/>
        <v>0</v>
      </c>
      <c r="AN866">
        <f t="shared" si="484"/>
        <v>0</v>
      </c>
      <c r="AO866" t="s">
        <v>2663</v>
      </c>
      <c r="AV866" t="str">
        <f>IF(F866&gt;0,(COUNT($AV$1:AV865)+1),"")</f>
        <v/>
      </c>
    </row>
    <row r="867" spans="1:48" ht="15" customHeight="1" x14ac:dyDescent="0.25">
      <c r="A867" s="1"/>
      <c r="B867" s="30">
        <v>20019</v>
      </c>
      <c r="C867" s="20">
        <v>4603741784213</v>
      </c>
      <c r="D867" s="225" t="s">
        <v>7208</v>
      </c>
      <c r="E867" s="67">
        <v>9</v>
      </c>
      <c r="F867" s="222"/>
      <c r="G867" s="107">
        <v>154.19999999999999</v>
      </c>
      <c r="H867" s="21">
        <v>161.5</v>
      </c>
      <c r="I867" s="22">
        <v>182</v>
      </c>
      <c r="J867" s="112" t="s">
        <v>421</v>
      </c>
      <c r="K867" s="45" t="s">
        <v>417</v>
      </c>
      <c r="L867" s="437"/>
      <c r="M867" s="474"/>
      <c r="N867" s="1013"/>
      <c r="O867" s="209"/>
      <c r="P867" s="66" t="s">
        <v>72</v>
      </c>
      <c r="Q867" s="100">
        <f t="shared" ref="Q867:Q898" si="489">IF(AND($AO$833=1,MOD(F867,E867)=0),F867*G867,IF($AO$833&lt;=2,F867*H867,F867*I867))</f>
        <v>0</v>
      </c>
      <c r="R867" s="13" t="str">
        <f t="shared" si="480"/>
        <v>Фото &gt;&gt;</v>
      </c>
      <c r="S867" s="14" t="s">
        <v>2165</v>
      </c>
      <c r="U867" s="4"/>
      <c r="V867" s="4"/>
      <c r="AK867">
        <v>0.17</v>
      </c>
      <c r="AL867">
        <f t="shared" si="482"/>
        <v>0</v>
      </c>
      <c r="AM867">
        <f t="shared" si="483"/>
        <v>0</v>
      </c>
      <c r="AN867">
        <f t="shared" si="484"/>
        <v>0</v>
      </c>
      <c r="AO867" t="s">
        <v>2664</v>
      </c>
      <c r="AV867" t="str">
        <f>IF(F867&gt;0,(COUNT($AV$1:AV866)+1),"")</f>
        <v/>
      </c>
    </row>
    <row r="868" spans="1:48" ht="15" customHeight="1" x14ac:dyDescent="0.25">
      <c r="A868" s="1"/>
      <c r="B868" s="32">
        <v>20018</v>
      </c>
      <c r="C868" s="33">
        <v>4603741784176</v>
      </c>
      <c r="D868" s="227" t="s">
        <v>7209</v>
      </c>
      <c r="E868" s="71">
        <v>9</v>
      </c>
      <c r="F868" s="223"/>
      <c r="G868" s="109">
        <v>154.19999999999999</v>
      </c>
      <c r="H868" s="34">
        <v>161.5</v>
      </c>
      <c r="I868" s="35">
        <v>182</v>
      </c>
      <c r="J868" s="114" t="s">
        <v>421</v>
      </c>
      <c r="K868" s="57" t="s">
        <v>417</v>
      </c>
      <c r="L868" s="438"/>
      <c r="M868" s="484" t="s">
        <v>1856</v>
      </c>
      <c r="N868" s="1008"/>
      <c r="O868" s="219"/>
      <c r="P868" s="70" t="s">
        <v>72</v>
      </c>
      <c r="Q868" s="100">
        <f t="shared" si="489"/>
        <v>0</v>
      </c>
      <c r="R868" s="13" t="str">
        <f t="shared" si="480"/>
        <v>Фото &gt;&gt;</v>
      </c>
      <c r="S868" s="14" t="s">
        <v>2166</v>
      </c>
      <c r="U868" s="4"/>
      <c r="V868" s="4"/>
      <c r="AK868">
        <v>0.17</v>
      </c>
      <c r="AL868">
        <f t="shared" si="482"/>
        <v>0</v>
      </c>
      <c r="AM868">
        <f t="shared" si="483"/>
        <v>0</v>
      </c>
      <c r="AN868">
        <f t="shared" si="484"/>
        <v>0</v>
      </c>
      <c r="AO868" t="s">
        <v>2665</v>
      </c>
      <c r="AV868" t="str">
        <f>IF(F868&gt;0,(COUNT($AV$1:AV867)+1),"")</f>
        <v/>
      </c>
    </row>
    <row r="869" spans="1:48" ht="15" customHeight="1" x14ac:dyDescent="0.25">
      <c r="A869" s="1"/>
      <c r="B869" s="785">
        <v>15939</v>
      </c>
      <c r="C869" s="786">
        <v>4603725964648</v>
      </c>
      <c r="D869" s="787" t="s">
        <v>7658</v>
      </c>
      <c r="E869" s="788">
        <v>10</v>
      </c>
      <c r="F869" s="789"/>
      <c r="G869" s="811">
        <v>107.2</v>
      </c>
      <c r="H869" s="790">
        <v>112.2</v>
      </c>
      <c r="I869" s="791">
        <v>125.7</v>
      </c>
      <c r="J869" s="792" t="s">
        <v>421</v>
      </c>
      <c r="K869" s="793" t="s">
        <v>367</v>
      </c>
      <c r="L869" s="781"/>
      <c r="M869" s="782"/>
      <c r="N869" s="1009" t="s">
        <v>1856</v>
      </c>
      <c r="O869" s="794"/>
      <c r="P869" s="784" t="s">
        <v>53</v>
      </c>
      <c r="Q869" s="100">
        <f t="shared" si="489"/>
        <v>0</v>
      </c>
      <c r="R869" s="13" t="str">
        <f t="shared" si="480"/>
        <v>Фото &gt;&gt;</v>
      </c>
      <c r="S869" s="14" t="s">
        <v>435</v>
      </c>
      <c r="U869" s="4"/>
      <c r="V869" s="4"/>
      <c r="AK869">
        <v>0.1</v>
      </c>
      <c r="AL869">
        <f t="shared" si="482"/>
        <v>0</v>
      </c>
      <c r="AM869">
        <f t="shared" si="483"/>
        <v>0</v>
      </c>
      <c r="AN869">
        <f t="shared" si="484"/>
        <v>0</v>
      </c>
      <c r="AO869" t="s">
        <v>4857</v>
      </c>
      <c r="AV869" t="str">
        <f>IF(F869&gt;0,(COUNT($AV$1:AV868)+1),"")</f>
        <v/>
      </c>
    </row>
    <row r="870" spans="1:48" ht="15" customHeight="1" x14ac:dyDescent="0.25">
      <c r="A870" s="1"/>
      <c r="B870" s="31">
        <v>19680</v>
      </c>
      <c r="C870" s="16">
        <v>4603741783483</v>
      </c>
      <c r="D870" s="226" t="s">
        <v>7659</v>
      </c>
      <c r="E870" s="69">
        <v>10</v>
      </c>
      <c r="F870" s="222"/>
      <c r="G870" s="108">
        <v>107.2</v>
      </c>
      <c r="H870" s="17">
        <v>112.2</v>
      </c>
      <c r="I870" s="18">
        <v>125.7</v>
      </c>
      <c r="J870" s="113" t="s">
        <v>421</v>
      </c>
      <c r="K870" s="44" t="s">
        <v>367</v>
      </c>
      <c r="L870" s="442"/>
      <c r="M870" s="480"/>
      <c r="N870" s="1015" t="s">
        <v>1856</v>
      </c>
      <c r="O870" s="210"/>
      <c r="P870" s="68" t="s">
        <v>122</v>
      </c>
      <c r="Q870" s="100">
        <f t="shared" si="489"/>
        <v>0</v>
      </c>
      <c r="R870" s="13" t="str">
        <f t="shared" si="480"/>
        <v>Фото &gt;&gt;</v>
      </c>
      <c r="S870" s="14" t="s">
        <v>3542</v>
      </c>
      <c r="U870" s="4"/>
      <c r="V870" s="4"/>
      <c r="AK870">
        <v>0.1</v>
      </c>
      <c r="AL870">
        <f t="shared" ref="AL870:AL888" si="490">F870*G870</f>
        <v>0</v>
      </c>
      <c r="AM870">
        <f t="shared" ref="AM870:AM888" si="491">F870*H870</f>
        <v>0</v>
      </c>
      <c r="AN870">
        <f t="shared" ref="AN870:AN888" si="492">AK870*F870+IF(E870&gt;1.01,F870/E870*0.2,0)</f>
        <v>0</v>
      </c>
      <c r="AO870" t="s">
        <v>2660</v>
      </c>
      <c r="AV870" t="str">
        <f>IF(F870&gt;0,(COUNT($AV$1:AV869)+1),"")</f>
        <v/>
      </c>
    </row>
    <row r="871" spans="1:48" ht="15" customHeight="1" x14ac:dyDescent="0.25">
      <c r="A871" s="1"/>
      <c r="B871" s="30">
        <v>15941</v>
      </c>
      <c r="C871" s="20">
        <v>4603725964723</v>
      </c>
      <c r="D871" s="225" t="s">
        <v>7660</v>
      </c>
      <c r="E871" s="67">
        <v>20</v>
      </c>
      <c r="F871" s="222"/>
      <c r="G871" s="107">
        <v>116.7</v>
      </c>
      <c r="H871" s="21">
        <v>122.2</v>
      </c>
      <c r="I871" s="22">
        <v>136.9</v>
      </c>
      <c r="J871" s="112" t="s">
        <v>421</v>
      </c>
      <c r="K871" s="45" t="s">
        <v>367</v>
      </c>
      <c r="L871" s="437"/>
      <c r="M871" s="474"/>
      <c r="N871" s="1013"/>
      <c r="O871" s="209"/>
      <c r="P871" s="66" t="s">
        <v>53</v>
      </c>
      <c r="Q871" s="100">
        <f t="shared" si="489"/>
        <v>0</v>
      </c>
      <c r="R871" s="13" t="str">
        <f t="shared" si="480"/>
        <v>Фото &gt;&gt;</v>
      </c>
      <c r="S871" s="14" t="s">
        <v>436</v>
      </c>
      <c r="U871" s="4"/>
      <c r="V871" s="4"/>
      <c r="AK871">
        <v>0.12</v>
      </c>
      <c r="AL871">
        <f t="shared" si="490"/>
        <v>0</v>
      </c>
      <c r="AM871">
        <f t="shared" si="491"/>
        <v>0</v>
      </c>
      <c r="AN871">
        <f t="shared" si="492"/>
        <v>0</v>
      </c>
      <c r="AO871" t="s">
        <v>4858</v>
      </c>
      <c r="AV871" t="str">
        <f>IF(F871&gt;0,(COUNT($AV$1:AV870)+1),"")</f>
        <v/>
      </c>
    </row>
    <row r="872" spans="1:48" ht="15" customHeight="1" x14ac:dyDescent="0.25">
      <c r="A872" s="1"/>
      <c r="B872" s="31">
        <v>19681</v>
      </c>
      <c r="C872" s="16">
        <v>4603741783506</v>
      </c>
      <c r="D872" s="226" t="s">
        <v>7661</v>
      </c>
      <c r="E872" s="69">
        <v>10</v>
      </c>
      <c r="F872" s="222"/>
      <c r="G872" s="108">
        <v>107.2</v>
      </c>
      <c r="H872" s="17">
        <v>112.2</v>
      </c>
      <c r="I872" s="18">
        <v>125.7</v>
      </c>
      <c r="J872" s="113" t="s">
        <v>421</v>
      </c>
      <c r="K872" s="44" t="s">
        <v>367</v>
      </c>
      <c r="L872" s="442"/>
      <c r="M872" s="480"/>
      <c r="N872" s="1015" t="s">
        <v>1856</v>
      </c>
      <c r="O872" s="210"/>
      <c r="P872" s="68" t="s">
        <v>122</v>
      </c>
      <c r="Q872" s="100">
        <f t="shared" si="489"/>
        <v>0</v>
      </c>
      <c r="R872" s="13" t="str">
        <f t="shared" si="480"/>
        <v>Фото &gt;&gt;</v>
      </c>
      <c r="S872" s="14" t="s">
        <v>3543</v>
      </c>
      <c r="U872" s="4"/>
      <c r="V872" s="4"/>
      <c r="AK872">
        <v>0.1</v>
      </c>
      <c r="AL872">
        <f t="shared" si="490"/>
        <v>0</v>
      </c>
      <c r="AM872">
        <f t="shared" si="491"/>
        <v>0</v>
      </c>
      <c r="AN872">
        <f t="shared" si="492"/>
        <v>0</v>
      </c>
      <c r="AO872" t="s">
        <v>2661</v>
      </c>
      <c r="AV872" t="str">
        <f>IF(F872&gt;0,(COUNT($AV$1:AV871)+1),"")</f>
        <v/>
      </c>
    </row>
    <row r="873" spans="1:48" ht="15" customHeight="1" x14ac:dyDescent="0.25">
      <c r="A873" s="1"/>
      <c r="B873" s="30">
        <v>15943</v>
      </c>
      <c r="C873" s="20">
        <v>4603725964709</v>
      </c>
      <c r="D873" s="225" t="s">
        <v>7662</v>
      </c>
      <c r="E873" s="67">
        <v>10</v>
      </c>
      <c r="F873" s="222"/>
      <c r="G873" s="107">
        <v>107.2</v>
      </c>
      <c r="H873" s="21">
        <v>112.2</v>
      </c>
      <c r="I873" s="22">
        <v>125.7</v>
      </c>
      <c r="J873" s="112" t="s">
        <v>421</v>
      </c>
      <c r="K873" s="45" t="s">
        <v>367</v>
      </c>
      <c r="L873" s="437"/>
      <c r="M873" s="474"/>
      <c r="N873" s="1013" t="s">
        <v>1856</v>
      </c>
      <c r="O873" s="209"/>
      <c r="P873" s="66" t="s">
        <v>53</v>
      </c>
      <c r="Q873" s="100">
        <f t="shared" si="489"/>
        <v>0</v>
      </c>
      <c r="R873" s="13" t="str">
        <f t="shared" si="480"/>
        <v>Фото &gt;&gt;</v>
      </c>
      <c r="S873" s="14" t="s">
        <v>437</v>
      </c>
      <c r="U873" s="4"/>
      <c r="V873" s="4"/>
      <c r="AK873">
        <v>0.1</v>
      </c>
      <c r="AL873">
        <f t="shared" si="490"/>
        <v>0</v>
      </c>
      <c r="AM873">
        <f t="shared" si="491"/>
        <v>0</v>
      </c>
      <c r="AN873">
        <f t="shared" si="492"/>
        <v>0</v>
      </c>
      <c r="AO873" t="s">
        <v>3544</v>
      </c>
      <c r="AV873" t="str">
        <f>IF(F873&gt;0,(COUNT($AV$1:AV872)+1),"")</f>
        <v/>
      </c>
    </row>
    <row r="874" spans="1:48" ht="15" customHeight="1" x14ac:dyDescent="0.25">
      <c r="A874" s="1"/>
      <c r="B874" s="31">
        <v>15938</v>
      </c>
      <c r="C874" s="16">
        <v>4603725964600</v>
      </c>
      <c r="D874" s="226" t="s">
        <v>7663</v>
      </c>
      <c r="E874" s="69">
        <v>10</v>
      </c>
      <c r="F874" s="222"/>
      <c r="G874" s="108">
        <v>107.2</v>
      </c>
      <c r="H874" s="17">
        <v>112.2</v>
      </c>
      <c r="I874" s="18">
        <v>125.7</v>
      </c>
      <c r="J874" s="113" t="s">
        <v>421</v>
      </c>
      <c r="K874" s="44" t="s">
        <v>367</v>
      </c>
      <c r="L874" s="442"/>
      <c r="M874" s="480"/>
      <c r="N874" s="1015" t="s">
        <v>1856</v>
      </c>
      <c r="O874" s="210"/>
      <c r="P874" s="68" t="s">
        <v>53</v>
      </c>
      <c r="Q874" s="100">
        <f t="shared" si="489"/>
        <v>0</v>
      </c>
      <c r="R874" s="13" t="str">
        <f t="shared" si="480"/>
        <v>Фото &gt;&gt;</v>
      </c>
      <c r="S874" s="14" t="s">
        <v>438</v>
      </c>
      <c r="U874" s="4"/>
      <c r="V874" s="4"/>
      <c r="AK874">
        <v>0.1</v>
      </c>
      <c r="AL874">
        <f t="shared" si="490"/>
        <v>0</v>
      </c>
      <c r="AM874">
        <f t="shared" si="491"/>
        <v>0</v>
      </c>
      <c r="AN874">
        <f t="shared" si="492"/>
        <v>0</v>
      </c>
      <c r="AO874" t="s">
        <v>4859</v>
      </c>
      <c r="AV874" t="str">
        <f>IF(F874&gt;0,(COUNT($AV$1:AV873)+1),"")</f>
        <v/>
      </c>
    </row>
    <row r="875" spans="1:48" ht="15" customHeight="1" x14ac:dyDescent="0.25">
      <c r="A875" s="1"/>
      <c r="B875" s="30">
        <v>15937</v>
      </c>
      <c r="C875" s="20">
        <v>4603725964594</v>
      </c>
      <c r="D875" s="225" t="s">
        <v>7664</v>
      </c>
      <c r="E875" s="67">
        <v>10</v>
      </c>
      <c r="F875" s="222"/>
      <c r="G875" s="107">
        <v>116.7</v>
      </c>
      <c r="H875" s="21">
        <v>122.2</v>
      </c>
      <c r="I875" s="22">
        <v>136.9</v>
      </c>
      <c r="J875" s="112" t="s">
        <v>421</v>
      </c>
      <c r="K875" s="45" t="s">
        <v>367</v>
      </c>
      <c r="L875" s="437"/>
      <c r="M875" s="474"/>
      <c r="N875" s="1013"/>
      <c r="O875" s="209"/>
      <c r="P875" s="66" t="s">
        <v>53</v>
      </c>
      <c r="Q875" s="100">
        <f t="shared" si="489"/>
        <v>0</v>
      </c>
      <c r="R875" s="13" t="str">
        <f t="shared" si="480"/>
        <v>Фото &gt;&gt;</v>
      </c>
      <c r="S875" s="14" t="s">
        <v>439</v>
      </c>
      <c r="U875" s="4"/>
      <c r="V875" s="4"/>
      <c r="AK875">
        <v>0.12</v>
      </c>
      <c r="AL875">
        <f t="shared" si="490"/>
        <v>0</v>
      </c>
      <c r="AM875">
        <f t="shared" si="491"/>
        <v>0</v>
      </c>
      <c r="AN875">
        <f t="shared" si="492"/>
        <v>0</v>
      </c>
      <c r="AO875" t="s">
        <v>4860</v>
      </c>
      <c r="AV875" t="str">
        <f>IF(F875&gt;0,(COUNT($AV$1:AV874)+1),"")</f>
        <v/>
      </c>
    </row>
    <row r="876" spans="1:48" ht="15" customHeight="1" x14ac:dyDescent="0.25">
      <c r="A876" s="1"/>
      <c r="B876" s="31">
        <v>15942</v>
      </c>
      <c r="C876" s="16">
        <v>4603725964662</v>
      </c>
      <c r="D876" s="226" t="s">
        <v>7665</v>
      </c>
      <c r="E876" s="69">
        <v>10</v>
      </c>
      <c r="F876" s="222"/>
      <c r="G876" s="108">
        <v>107.2</v>
      </c>
      <c r="H876" s="17">
        <v>112.2</v>
      </c>
      <c r="I876" s="18">
        <v>125.7</v>
      </c>
      <c r="J876" s="113" t="s">
        <v>421</v>
      </c>
      <c r="K876" s="44" t="s">
        <v>367</v>
      </c>
      <c r="L876" s="442"/>
      <c r="M876" s="480"/>
      <c r="N876" s="1015" t="s">
        <v>1856</v>
      </c>
      <c r="O876" s="210"/>
      <c r="P876" s="68" t="s">
        <v>53</v>
      </c>
      <c r="Q876" s="100">
        <f t="shared" si="489"/>
        <v>0</v>
      </c>
      <c r="R876" s="13" t="str">
        <f t="shared" si="480"/>
        <v>Фото &gt;&gt;</v>
      </c>
      <c r="S876" s="14" t="s">
        <v>440</v>
      </c>
      <c r="U876" s="4"/>
      <c r="V876" s="4"/>
      <c r="AK876">
        <v>0.1</v>
      </c>
      <c r="AL876">
        <f t="shared" si="490"/>
        <v>0</v>
      </c>
      <c r="AM876">
        <f t="shared" si="491"/>
        <v>0</v>
      </c>
      <c r="AN876">
        <f t="shared" si="492"/>
        <v>0</v>
      </c>
      <c r="AO876" t="s">
        <v>4861</v>
      </c>
      <c r="AV876" t="str">
        <f>IF(F876&gt;0,(COUNT($AV$1:AV875)+1),"")</f>
        <v/>
      </c>
    </row>
    <row r="877" spans="1:48" ht="15" customHeight="1" x14ac:dyDescent="0.25">
      <c r="A877" s="1"/>
      <c r="B877" s="30">
        <v>20903</v>
      </c>
      <c r="C877" s="20">
        <v>4640200412133</v>
      </c>
      <c r="D877" s="225" t="s">
        <v>7666</v>
      </c>
      <c r="E877" s="67">
        <v>10</v>
      </c>
      <c r="F877" s="222"/>
      <c r="G877" s="107">
        <v>107.2</v>
      </c>
      <c r="H877" s="21">
        <v>112.2</v>
      </c>
      <c r="I877" s="22">
        <v>125.7</v>
      </c>
      <c r="J877" s="112" t="s">
        <v>421</v>
      </c>
      <c r="K877" s="45" t="s">
        <v>367</v>
      </c>
      <c r="L877" s="437"/>
      <c r="M877" s="474"/>
      <c r="N877" s="1013" t="s">
        <v>1856</v>
      </c>
      <c r="O877" s="209"/>
      <c r="P877" s="66" t="s">
        <v>53</v>
      </c>
      <c r="Q877" s="100">
        <f t="shared" si="489"/>
        <v>0</v>
      </c>
      <c r="R877" s="13" t="str">
        <f t="shared" si="480"/>
        <v>Фото &gt;&gt;</v>
      </c>
      <c r="S877" s="14" t="s">
        <v>4689</v>
      </c>
      <c r="U877" s="4"/>
      <c r="V877" s="4"/>
      <c r="AK877">
        <v>0.11</v>
      </c>
      <c r="AL877">
        <f t="shared" si="490"/>
        <v>0</v>
      </c>
      <c r="AM877">
        <f t="shared" si="491"/>
        <v>0</v>
      </c>
      <c r="AN877">
        <f t="shared" si="492"/>
        <v>0</v>
      </c>
      <c r="AO877" t="s">
        <v>4690</v>
      </c>
      <c r="AV877" t="str">
        <f>IF(F877&gt;0,(COUNT($AV$1:AV876)+1),"")</f>
        <v/>
      </c>
    </row>
    <row r="878" spans="1:48" ht="15" customHeight="1" x14ac:dyDescent="0.25">
      <c r="A878" s="1"/>
      <c r="B878" s="31">
        <v>19796</v>
      </c>
      <c r="C878" s="16">
        <v>4603734868241</v>
      </c>
      <c r="D878" s="226" t="s">
        <v>7210</v>
      </c>
      <c r="E878" s="69">
        <v>14</v>
      </c>
      <c r="F878" s="222"/>
      <c r="G878" s="108">
        <v>159.1</v>
      </c>
      <c r="H878" s="17">
        <v>166.6</v>
      </c>
      <c r="I878" s="18">
        <v>186.7</v>
      </c>
      <c r="J878" s="113" t="s">
        <v>421</v>
      </c>
      <c r="K878" s="44" t="s">
        <v>367</v>
      </c>
      <c r="L878" s="442"/>
      <c r="M878" s="480"/>
      <c r="N878" s="1015"/>
      <c r="O878" s="210"/>
      <c r="P878" s="68" t="s">
        <v>53</v>
      </c>
      <c r="Q878" s="100">
        <f t="shared" si="489"/>
        <v>0</v>
      </c>
      <c r="R878" s="13" t="str">
        <f t="shared" si="480"/>
        <v>Фото &gt;&gt;</v>
      </c>
      <c r="S878" s="14" t="s">
        <v>1991</v>
      </c>
      <c r="U878" s="4"/>
      <c r="V878" s="4"/>
      <c r="AK878">
        <v>0.11</v>
      </c>
      <c r="AL878">
        <f t="shared" si="490"/>
        <v>0</v>
      </c>
      <c r="AM878">
        <f t="shared" si="491"/>
        <v>0</v>
      </c>
      <c r="AN878">
        <f t="shared" si="492"/>
        <v>0</v>
      </c>
      <c r="AO878" t="s">
        <v>7157</v>
      </c>
      <c r="AV878" t="str">
        <f>IF(F878&gt;0,(COUNT($AV$1:AV877)+1),"")</f>
        <v/>
      </c>
    </row>
    <row r="879" spans="1:48" ht="15" customHeight="1" x14ac:dyDescent="0.25">
      <c r="A879" s="1"/>
      <c r="B879" s="37">
        <v>19797</v>
      </c>
      <c r="C879" s="23">
        <v>4603734868258</v>
      </c>
      <c r="D879" s="237" t="s">
        <v>7211</v>
      </c>
      <c r="E879" s="75">
        <v>14</v>
      </c>
      <c r="F879" s="223"/>
      <c r="G879" s="111">
        <v>159.1</v>
      </c>
      <c r="H879" s="5">
        <v>166.6</v>
      </c>
      <c r="I879" s="24">
        <v>186.7</v>
      </c>
      <c r="J879" s="115" t="s">
        <v>421</v>
      </c>
      <c r="K879" s="46" t="s">
        <v>367</v>
      </c>
      <c r="L879" s="440"/>
      <c r="M879" s="482"/>
      <c r="N879" s="1002"/>
      <c r="O879" s="211"/>
      <c r="P879" s="74" t="s">
        <v>53</v>
      </c>
      <c r="Q879" s="100">
        <f t="shared" si="489"/>
        <v>0</v>
      </c>
      <c r="R879" s="13" t="str">
        <f t="shared" si="480"/>
        <v>Фото &gt;&gt;</v>
      </c>
      <c r="S879" s="14" t="s">
        <v>1992</v>
      </c>
      <c r="U879" s="4"/>
      <c r="V879" s="4"/>
      <c r="AK879">
        <v>0.11</v>
      </c>
      <c r="AL879">
        <f t="shared" si="490"/>
        <v>0</v>
      </c>
      <c r="AM879">
        <f t="shared" si="491"/>
        <v>0</v>
      </c>
      <c r="AN879">
        <f t="shared" si="492"/>
        <v>0</v>
      </c>
      <c r="AO879" t="s">
        <v>7158</v>
      </c>
      <c r="AV879" t="str">
        <f>IF(F879&gt;0,(COUNT($AV$1:AV878)+1),"")</f>
        <v/>
      </c>
    </row>
    <row r="880" spans="1:48" ht="15" customHeight="1" x14ac:dyDescent="0.25">
      <c r="A880" s="1"/>
      <c r="B880" s="785">
        <v>20632</v>
      </c>
      <c r="C880" s="786">
        <v>4640200411051</v>
      </c>
      <c r="D880" s="933" t="s">
        <v>7676</v>
      </c>
      <c r="E880" s="788">
        <v>16</v>
      </c>
      <c r="F880" s="789"/>
      <c r="G880" s="1163">
        <v>150.6</v>
      </c>
      <c r="H880" s="1164">
        <v>157.69999999999999</v>
      </c>
      <c r="I880" s="1165">
        <v>176.7</v>
      </c>
      <c r="J880" s="792" t="s">
        <v>421</v>
      </c>
      <c r="K880" s="793" t="s">
        <v>442</v>
      </c>
      <c r="L880" s="781"/>
      <c r="M880" s="782"/>
      <c r="N880" s="1009"/>
      <c r="O880" s="794" t="s">
        <v>6856</v>
      </c>
      <c r="P880" s="784" t="s">
        <v>195</v>
      </c>
      <c r="Q880" s="100">
        <f t="shared" si="489"/>
        <v>0</v>
      </c>
      <c r="R880" s="13" t="str">
        <f t="shared" si="480"/>
        <v>Фото &gt;&gt;</v>
      </c>
      <c r="S880" s="14" t="s">
        <v>4162</v>
      </c>
      <c r="U880" s="4"/>
      <c r="V880" s="4"/>
      <c r="AK880">
        <v>0.16</v>
      </c>
      <c r="AL880">
        <f t="shared" si="490"/>
        <v>0</v>
      </c>
      <c r="AM880">
        <f t="shared" si="491"/>
        <v>0</v>
      </c>
      <c r="AN880">
        <f t="shared" si="492"/>
        <v>0</v>
      </c>
      <c r="AO880" t="s">
        <v>4165</v>
      </c>
      <c r="AV880" t="str">
        <f>IF(F880&gt;0,(COUNT($AV$1:AV879)+1),"")</f>
        <v/>
      </c>
    </row>
    <row r="881" spans="1:48" ht="15" customHeight="1" x14ac:dyDescent="0.25">
      <c r="A881" s="1"/>
      <c r="B881" s="31">
        <v>20633</v>
      </c>
      <c r="C881" s="16">
        <v>4640200411044</v>
      </c>
      <c r="D881" s="422" t="s">
        <v>7677</v>
      </c>
      <c r="E881" s="69">
        <v>16</v>
      </c>
      <c r="F881" s="222"/>
      <c r="G881" s="420">
        <v>150.6</v>
      </c>
      <c r="H881" s="415">
        <v>157.69999999999999</v>
      </c>
      <c r="I881" s="416">
        <v>176.7</v>
      </c>
      <c r="J881" s="113" t="s">
        <v>421</v>
      </c>
      <c r="K881" s="44" t="s">
        <v>442</v>
      </c>
      <c r="L881" s="442"/>
      <c r="M881" s="480"/>
      <c r="N881" s="1015"/>
      <c r="O881" s="210" t="s">
        <v>6856</v>
      </c>
      <c r="P881" s="68" t="s">
        <v>195</v>
      </c>
      <c r="Q881" s="100">
        <f t="shared" si="489"/>
        <v>0</v>
      </c>
      <c r="R881" s="13" t="str">
        <f t="shared" si="480"/>
        <v>Фото &gt;&gt;</v>
      </c>
      <c r="S881" s="14" t="s">
        <v>4163</v>
      </c>
      <c r="U881" s="4"/>
      <c r="V881" s="4"/>
      <c r="AK881">
        <v>0.16</v>
      </c>
      <c r="AL881">
        <f t="shared" si="490"/>
        <v>0</v>
      </c>
      <c r="AM881">
        <f t="shared" si="491"/>
        <v>0</v>
      </c>
      <c r="AN881">
        <f t="shared" si="492"/>
        <v>0</v>
      </c>
      <c r="AO881" t="s">
        <v>4166</v>
      </c>
      <c r="AV881" t="str">
        <f>IF(F881&gt;0,(COUNT($AV$1:AV880)+1),"")</f>
        <v/>
      </c>
    </row>
    <row r="882" spans="1:48" ht="15" customHeight="1" x14ac:dyDescent="0.25">
      <c r="A882" s="1"/>
      <c r="B882" s="30">
        <v>20634</v>
      </c>
      <c r="C882" s="20">
        <v>4640200411068</v>
      </c>
      <c r="D882" s="421" t="s">
        <v>7678</v>
      </c>
      <c r="E882" s="67">
        <v>16</v>
      </c>
      <c r="F882" s="222"/>
      <c r="G882" s="419">
        <v>150.6</v>
      </c>
      <c r="H882" s="417">
        <v>157.69999999999999</v>
      </c>
      <c r="I882" s="418">
        <v>176.7</v>
      </c>
      <c r="J882" s="112" t="s">
        <v>421</v>
      </c>
      <c r="K882" s="45" t="s">
        <v>442</v>
      </c>
      <c r="L882" s="437"/>
      <c r="M882" s="474"/>
      <c r="N882" s="1013"/>
      <c r="O882" s="209" t="s">
        <v>6856</v>
      </c>
      <c r="P882" s="66" t="s">
        <v>195</v>
      </c>
      <c r="Q882" s="100">
        <f t="shared" si="489"/>
        <v>0</v>
      </c>
      <c r="R882" s="13" t="str">
        <f t="shared" si="480"/>
        <v>Фото &gt;&gt;</v>
      </c>
      <c r="S882" s="14" t="s">
        <v>4164</v>
      </c>
      <c r="U882" s="4"/>
      <c r="V882" s="4"/>
      <c r="AK882">
        <v>0.16</v>
      </c>
      <c r="AL882">
        <f t="shared" si="490"/>
        <v>0</v>
      </c>
      <c r="AM882">
        <f t="shared" si="491"/>
        <v>0</v>
      </c>
      <c r="AN882">
        <f t="shared" si="492"/>
        <v>0</v>
      </c>
      <c r="AO882" t="s">
        <v>4167</v>
      </c>
      <c r="AV882" t="str">
        <f>IF(F882&gt;0,(COUNT($AV$1:AV881)+1),"")</f>
        <v/>
      </c>
    </row>
    <row r="883" spans="1:48" ht="15" customHeight="1" x14ac:dyDescent="0.25">
      <c r="A883" s="1"/>
      <c r="B883" s="31">
        <v>15149</v>
      </c>
      <c r="C883" s="16">
        <v>4650061331344</v>
      </c>
      <c r="D883" s="422" t="s">
        <v>441</v>
      </c>
      <c r="E883" s="69">
        <v>25</v>
      </c>
      <c r="F883" s="222"/>
      <c r="G883" s="420">
        <v>210.7</v>
      </c>
      <c r="H883" s="415">
        <v>220.6</v>
      </c>
      <c r="I883" s="416">
        <v>247.1</v>
      </c>
      <c r="J883" s="113" t="s">
        <v>421</v>
      </c>
      <c r="K883" s="44" t="s">
        <v>442</v>
      </c>
      <c r="L883" s="442"/>
      <c r="M883" s="480"/>
      <c r="N883" s="1015" t="s">
        <v>1856</v>
      </c>
      <c r="O883" s="210" t="s">
        <v>6856</v>
      </c>
      <c r="P883" s="68" t="s">
        <v>53</v>
      </c>
      <c r="Q883" s="100">
        <f t="shared" si="489"/>
        <v>0</v>
      </c>
      <c r="R883" s="13" t="str">
        <f t="shared" si="480"/>
        <v>Фото &gt;&gt;</v>
      </c>
      <c r="S883" s="14" t="s">
        <v>443</v>
      </c>
      <c r="U883" s="4"/>
      <c r="V883" s="4"/>
      <c r="AK883">
        <v>0.22</v>
      </c>
      <c r="AL883">
        <f t="shared" si="490"/>
        <v>0</v>
      </c>
      <c r="AM883">
        <f t="shared" si="491"/>
        <v>0</v>
      </c>
      <c r="AN883">
        <f t="shared" si="492"/>
        <v>0</v>
      </c>
      <c r="AO883" t="s">
        <v>4862</v>
      </c>
      <c r="AV883" t="str">
        <f>IF(F883&gt;0,(COUNT($AV$1:AV882)+1),"")</f>
        <v/>
      </c>
    </row>
    <row r="884" spans="1:48" ht="15" customHeight="1" x14ac:dyDescent="0.25">
      <c r="A884" s="1"/>
      <c r="B884" s="30">
        <v>15150</v>
      </c>
      <c r="C884" s="20">
        <v>4650061331351</v>
      </c>
      <c r="D884" s="421" t="s">
        <v>7679</v>
      </c>
      <c r="E884" s="67">
        <v>25</v>
      </c>
      <c r="F884" s="222"/>
      <c r="G884" s="419">
        <v>226.4</v>
      </c>
      <c r="H884" s="417">
        <v>237.2</v>
      </c>
      <c r="I884" s="418">
        <v>265.7</v>
      </c>
      <c r="J884" s="112" t="s">
        <v>421</v>
      </c>
      <c r="K884" s="45" t="s">
        <v>442</v>
      </c>
      <c r="L884" s="437"/>
      <c r="M884" s="474"/>
      <c r="N884" s="1013"/>
      <c r="O884" s="209" t="s">
        <v>6856</v>
      </c>
      <c r="P884" s="66" t="s">
        <v>53</v>
      </c>
      <c r="Q884" s="100">
        <f t="shared" si="489"/>
        <v>0</v>
      </c>
      <c r="R884" s="13" t="str">
        <f t="shared" si="480"/>
        <v>Фото &gt;&gt;</v>
      </c>
      <c r="S884" s="14" t="s">
        <v>444</v>
      </c>
      <c r="U884" s="4"/>
      <c r="V884" s="4"/>
      <c r="AK884">
        <v>0.25</v>
      </c>
      <c r="AL884">
        <f t="shared" si="490"/>
        <v>0</v>
      </c>
      <c r="AM884">
        <f t="shared" si="491"/>
        <v>0</v>
      </c>
      <c r="AN884">
        <f t="shared" si="492"/>
        <v>0</v>
      </c>
      <c r="AO884" t="s">
        <v>4863</v>
      </c>
      <c r="AV884" t="str">
        <f>IF(F884&gt;0,(COUNT($AV$1:AV883)+1),"")</f>
        <v/>
      </c>
    </row>
    <row r="885" spans="1:48" ht="15" customHeight="1" x14ac:dyDescent="0.25">
      <c r="A885" s="1"/>
      <c r="B885" s="31">
        <v>19421</v>
      </c>
      <c r="C885" s="16">
        <v>4603741783032</v>
      </c>
      <c r="D885" s="422" t="s">
        <v>7680</v>
      </c>
      <c r="E885" s="69">
        <v>15</v>
      </c>
      <c r="F885" s="222"/>
      <c r="G885" s="420">
        <v>210.7</v>
      </c>
      <c r="H885" s="415">
        <v>220.7</v>
      </c>
      <c r="I885" s="416">
        <v>247.2</v>
      </c>
      <c r="J885" s="113" t="s">
        <v>421</v>
      </c>
      <c r="K885" s="44" t="s">
        <v>442</v>
      </c>
      <c r="L885" s="442"/>
      <c r="M885" s="480"/>
      <c r="N885" s="1015" t="s">
        <v>1856</v>
      </c>
      <c r="O885" s="210" t="s">
        <v>6856</v>
      </c>
      <c r="P885" s="68" t="s">
        <v>53</v>
      </c>
      <c r="Q885" s="100">
        <f t="shared" si="489"/>
        <v>0</v>
      </c>
      <c r="R885" s="13" t="str">
        <f t="shared" si="480"/>
        <v>Фото &gt;&gt;</v>
      </c>
      <c r="S885" s="14" t="s">
        <v>445</v>
      </c>
      <c r="U885" s="4"/>
      <c r="V885" s="4"/>
      <c r="AK885">
        <v>0.22</v>
      </c>
      <c r="AL885">
        <f t="shared" si="490"/>
        <v>0</v>
      </c>
      <c r="AM885">
        <f t="shared" si="491"/>
        <v>0</v>
      </c>
      <c r="AN885">
        <f t="shared" si="492"/>
        <v>0</v>
      </c>
      <c r="AO885" t="s">
        <v>2662</v>
      </c>
      <c r="AV885" t="str">
        <f>IF(F885&gt;0,(COUNT($AV$1:AV884)+1),"")</f>
        <v/>
      </c>
    </row>
    <row r="886" spans="1:48" ht="15" customHeight="1" x14ac:dyDescent="0.25">
      <c r="A886" s="1"/>
      <c r="B886" s="30">
        <v>20373</v>
      </c>
      <c r="C886" s="20">
        <v>4603741783018</v>
      </c>
      <c r="D886" s="421" t="s">
        <v>7681</v>
      </c>
      <c r="E886" s="67">
        <v>24</v>
      </c>
      <c r="F886" s="222"/>
      <c r="G886" s="419">
        <v>99</v>
      </c>
      <c r="H886" s="417">
        <v>103.7</v>
      </c>
      <c r="I886" s="418">
        <v>116.2</v>
      </c>
      <c r="J886" s="112" t="s">
        <v>421</v>
      </c>
      <c r="K886" s="45" t="s">
        <v>442</v>
      </c>
      <c r="L886" s="437"/>
      <c r="M886" s="474"/>
      <c r="N886" s="1013" t="s">
        <v>1856</v>
      </c>
      <c r="O886" s="209" t="s">
        <v>6856</v>
      </c>
      <c r="P886" s="66" t="s">
        <v>53</v>
      </c>
      <c r="Q886" s="100">
        <f t="shared" si="489"/>
        <v>0</v>
      </c>
      <c r="R886" s="13" t="str">
        <f t="shared" si="480"/>
        <v>Фото &gt;&gt;</v>
      </c>
      <c r="S886" s="14" t="s">
        <v>3421</v>
      </c>
      <c r="U886" s="4"/>
      <c r="V886" s="4"/>
      <c r="AK886">
        <v>0.1</v>
      </c>
      <c r="AL886">
        <f t="shared" si="490"/>
        <v>0</v>
      </c>
      <c r="AM886">
        <f t="shared" si="491"/>
        <v>0</v>
      </c>
      <c r="AN886">
        <f t="shared" si="492"/>
        <v>0</v>
      </c>
      <c r="AO886" t="s">
        <v>3420</v>
      </c>
      <c r="AV886" t="str">
        <f>IF(F886&gt;0,(COUNT($AV$1:AV885)+1),"")</f>
        <v/>
      </c>
    </row>
    <row r="887" spans="1:48" ht="15" customHeight="1" x14ac:dyDescent="0.25">
      <c r="A887" s="1"/>
      <c r="B887" s="31">
        <v>16933</v>
      </c>
      <c r="C887" s="16">
        <v>4603734868876</v>
      </c>
      <c r="D887" s="422" t="s">
        <v>7682</v>
      </c>
      <c r="E887" s="69">
        <v>15</v>
      </c>
      <c r="F887" s="222"/>
      <c r="G887" s="420">
        <v>210.7</v>
      </c>
      <c r="H887" s="415">
        <v>220.6</v>
      </c>
      <c r="I887" s="416">
        <v>247.1</v>
      </c>
      <c r="J887" s="113" t="s">
        <v>421</v>
      </c>
      <c r="K887" s="44" t="s">
        <v>442</v>
      </c>
      <c r="L887" s="442"/>
      <c r="M887" s="480"/>
      <c r="N887" s="1015" t="s">
        <v>1856</v>
      </c>
      <c r="O887" s="210" t="s">
        <v>6856</v>
      </c>
      <c r="P887" s="68" t="s">
        <v>53</v>
      </c>
      <c r="Q887" s="100">
        <f t="shared" si="489"/>
        <v>0</v>
      </c>
      <c r="R887" s="13" t="str">
        <f t="shared" si="480"/>
        <v>Фото &gt;&gt;</v>
      </c>
      <c r="S887" s="14" t="s">
        <v>445</v>
      </c>
      <c r="U887" s="4"/>
      <c r="V887" s="4"/>
      <c r="AK887">
        <v>0.22</v>
      </c>
      <c r="AL887">
        <f t="shared" si="490"/>
        <v>0</v>
      </c>
      <c r="AM887">
        <f t="shared" si="491"/>
        <v>0</v>
      </c>
      <c r="AN887">
        <f t="shared" si="492"/>
        <v>0</v>
      </c>
      <c r="AO887" t="s">
        <v>4864</v>
      </c>
      <c r="AV887" t="str">
        <f>IF(F887&gt;0,(COUNT($AV$1:AV886)+1),"")</f>
        <v/>
      </c>
    </row>
    <row r="888" spans="1:48" ht="15" customHeight="1" x14ac:dyDescent="0.25">
      <c r="A888" s="1"/>
      <c r="B888" s="37">
        <v>12593</v>
      </c>
      <c r="C888" s="23">
        <v>4603725964921</v>
      </c>
      <c r="D888" s="616" t="s">
        <v>7683</v>
      </c>
      <c r="E888" s="75">
        <v>15</v>
      </c>
      <c r="F888" s="223"/>
      <c r="G888" s="927">
        <v>210.7</v>
      </c>
      <c r="H888" s="928">
        <v>220.7</v>
      </c>
      <c r="I888" s="929">
        <v>247.2</v>
      </c>
      <c r="J888" s="115" t="s">
        <v>421</v>
      </c>
      <c r="K888" s="46" t="s">
        <v>442</v>
      </c>
      <c r="L888" s="440"/>
      <c r="M888" s="482"/>
      <c r="N888" s="1002" t="s">
        <v>1856</v>
      </c>
      <c r="O888" s="211" t="s">
        <v>6856</v>
      </c>
      <c r="P888" s="74" t="s">
        <v>53</v>
      </c>
      <c r="Q888" s="100">
        <f t="shared" si="489"/>
        <v>0</v>
      </c>
      <c r="R888" s="13" t="str">
        <f t="shared" ref="R888:R911" si="493">IF(AO888&gt;0,HYPERLINK(AO888,"Фото &gt;&gt;"),"")</f>
        <v>Фото &gt;&gt;</v>
      </c>
      <c r="S888" s="14" t="s">
        <v>446</v>
      </c>
      <c r="U888" s="4"/>
      <c r="V888" s="4"/>
      <c r="AK888">
        <v>0.25</v>
      </c>
      <c r="AL888">
        <f t="shared" si="490"/>
        <v>0</v>
      </c>
      <c r="AM888">
        <f t="shared" si="491"/>
        <v>0</v>
      </c>
      <c r="AN888">
        <f t="shared" si="492"/>
        <v>0</v>
      </c>
      <c r="AO888" t="s">
        <v>5393</v>
      </c>
      <c r="AV888" t="str">
        <f>IF(F888&gt;0,(COUNT($AV$1:AV887)+1),"")</f>
        <v/>
      </c>
    </row>
    <row r="889" spans="1:48" ht="15" customHeight="1" x14ac:dyDescent="0.25">
      <c r="A889" s="1"/>
      <c r="B889" s="795">
        <v>14245</v>
      </c>
      <c r="C889" s="796">
        <v>4603725964938</v>
      </c>
      <c r="D889" s="898" t="s">
        <v>6851</v>
      </c>
      <c r="E889" s="798">
        <v>25</v>
      </c>
      <c r="F889" s="789"/>
      <c r="G889" s="810">
        <v>267.39999999999998</v>
      </c>
      <c r="H889" s="799">
        <v>280</v>
      </c>
      <c r="I889" s="800">
        <v>313.7</v>
      </c>
      <c r="J889" s="801" t="s">
        <v>421</v>
      </c>
      <c r="K889" s="802" t="s">
        <v>428</v>
      </c>
      <c r="L889" s="803"/>
      <c r="M889" s="804"/>
      <c r="N889" s="1006"/>
      <c r="O889" s="805"/>
      <c r="P889" s="806" t="s">
        <v>125</v>
      </c>
      <c r="Q889" s="100">
        <f t="shared" si="489"/>
        <v>0</v>
      </c>
      <c r="R889" s="13" t="str">
        <f t="shared" si="493"/>
        <v>Фото &gt;&gt;</v>
      </c>
      <c r="S889" s="14" t="s">
        <v>447</v>
      </c>
      <c r="U889" s="4"/>
      <c r="V889" s="4"/>
      <c r="AK889">
        <v>0.2</v>
      </c>
      <c r="AL889">
        <f t="shared" ref="AL889:AL911" si="494">F889*G889</f>
        <v>0</v>
      </c>
      <c r="AM889">
        <f t="shared" ref="AM889:AM911" si="495">F889*H889</f>
        <v>0</v>
      </c>
      <c r="AN889">
        <f t="shared" ref="AN889:AN911" si="496">AK889*F889+IF(E889&gt;1.01,F889/E889*0.2,0)</f>
        <v>0</v>
      </c>
      <c r="AO889" t="s">
        <v>5394</v>
      </c>
      <c r="AV889" t="str">
        <f>IF(F889&gt;0,(COUNT($AV$1:AV888)+1),"")</f>
        <v/>
      </c>
    </row>
    <row r="890" spans="1:48" ht="15" customHeight="1" x14ac:dyDescent="0.25">
      <c r="A890" s="1"/>
      <c r="B890" s="30">
        <v>16934</v>
      </c>
      <c r="C890" s="20">
        <v>4603734868852</v>
      </c>
      <c r="D890" s="153" t="s">
        <v>6852</v>
      </c>
      <c r="E890" s="67">
        <v>25</v>
      </c>
      <c r="F890" s="222"/>
      <c r="G890" s="107">
        <v>267.39999999999998</v>
      </c>
      <c r="H890" s="21">
        <v>280</v>
      </c>
      <c r="I890" s="22">
        <v>313.7</v>
      </c>
      <c r="J890" s="112" t="s">
        <v>421</v>
      </c>
      <c r="K890" s="45" t="s">
        <v>428</v>
      </c>
      <c r="L890" s="437"/>
      <c r="M890" s="474"/>
      <c r="N890" s="1013"/>
      <c r="O890" s="209"/>
      <c r="P890" s="66" t="s">
        <v>125</v>
      </c>
      <c r="Q890" s="100">
        <f t="shared" si="489"/>
        <v>0</v>
      </c>
      <c r="R890" s="13" t="str">
        <f t="shared" si="493"/>
        <v>Фото &gt;&gt;</v>
      </c>
      <c r="S890" s="14" t="s">
        <v>448</v>
      </c>
      <c r="U890" s="4"/>
      <c r="V890" s="4"/>
      <c r="AK890">
        <v>0.18</v>
      </c>
      <c r="AL890">
        <f t="shared" si="494"/>
        <v>0</v>
      </c>
      <c r="AM890">
        <f t="shared" si="495"/>
        <v>0</v>
      </c>
      <c r="AN890">
        <f t="shared" si="496"/>
        <v>0</v>
      </c>
      <c r="AO890" t="s">
        <v>4865</v>
      </c>
      <c r="AV890" t="str">
        <f>IF(F890&gt;0,(COUNT($AV$1:AV889)+1),"")</f>
        <v/>
      </c>
    </row>
    <row r="891" spans="1:48" ht="15" customHeight="1" x14ac:dyDescent="0.25">
      <c r="A891" s="1"/>
      <c r="B891" s="32">
        <v>16405</v>
      </c>
      <c r="C891" s="33">
        <v>4650061331320</v>
      </c>
      <c r="D891" s="227" t="s">
        <v>5866</v>
      </c>
      <c r="E891" s="71">
        <v>25</v>
      </c>
      <c r="F891" s="223"/>
      <c r="G891" s="109">
        <v>286</v>
      </c>
      <c r="H891" s="34">
        <v>299.60000000000002</v>
      </c>
      <c r="I891" s="35">
        <v>335.6</v>
      </c>
      <c r="J891" s="114" t="s">
        <v>421</v>
      </c>
      <c r="K891" s="57" t="s">
        <v>428</v>
      </c>
      <c r="L891" s="438"/>
      <c r="M891" s="484"/>
      <c r="N891" s="1008"/>
      <c r="O891" s="219"/>
      <c r="P891" s="70" t="s">
        <v>122</v>
      </c>
      <c r="Q891" s="100">
        <f t="shared" si="489"/>
        <v>0</v>
      </c>
      <c r="R891" s="13" t="str">
        <f t="shared" si="493"/>
        <v>Фото &gt;&gt;</v>
      </c>
      <c r="S891" s="14" t="s">
        <v>449</v>
      </c>
      <c r="U891" s="4"/>
      <c r="V891" s="4"/>
      <c r="AK891">
        <v>0.2</v>
      </c>
      <c r="AL891">
        <f t="shared" si="494"/>
        <v>0</v>
      </c>
      <c r="AM891">
        <f t="shared" si="495"/>
        <v>0</v>
      </c>
      <c r="AN891">
        <f t="shared" si="496"/>
        <v>0</v>
      </c>
      <c r="AO891" t="s">
        <v>4866</v>
      </c>
      <c r="AV891" t="str">
        <f>IF(F891&gt;0,(COUNT($AV$1:AV890)+1),"")</f>
        <v/>
      </c>
    </row>
    <row r="892" spans="1:48" ht="15" customHeight="1" x14ac:dyDescent="0.25">
      <c r="A892" s="1"/>
      <c r="B892" s="785">
        <v>19305</v>
      </c>
      <c r="C892" s="786">
        <v>4603734868807</v>
      </c>
      <c r="D892" s="824" t="s">
        <v>7375</v>
      </c>
      <c r="E892" s="788">
        <v>15</v>
      </c>
      <c r="F892" s="789"/>
      <c r="G892" s="811">
        <v>238.4</v>
      </c>
      <c r="H892" s="790">
        <v>249.7</v>
      </c>
      <c r="I892" s="791">
        <v>279.7</v>
      </c>
      <c r="J892" s="792" t="s">
        <v>421</v>
      </c>
      <c r="K892" s="793" t="s">
        <v>326</v>
      </c>
      <c r="L892" s="781"/>
      <c r="M892" s="782" t="s">
        <v>1856</v>
      </c>
      <c r="N892" s="1009"/>
      <c r="O892" s="794"/>
      <c r="P892" s="784" t="s">
        <v>125</v>
      </c>
      <c r="Q892" s="100">
        <f t="shared" si="489"/>
        <v>0</v>
      </c>
      <c r="R892" s="13" t="str">
        <f t="shared" si="493"/>
        <v>Фото &gt;&gt;</v>
      </c>
      <c r="S892" s="14" t="s">
        <v>3547</v>
      </c>
      <c r="U892" s="4"/>
      <c r="V892" s="4"/>
      <c r="AK892">
        <v>0.3</v>
      </c>
      <c r="AL892">
        <f t="shared" si="494"/>
        <v>0</v>
      </c>
      <c r="AM892">
        <f t="shared" si="495"/>
        <v>0</v>
      </c>
      <c r="AN892">
        <f t="shared" si="496"/>
        <v>0</v>
      </c>
      <c r="AO892" t="s">
        <v>2668</v>
      </c>
      <c r="AV892" t="str">
        <f>IF(F892&gt;0,(COUNT($AV$1:AV891)+1),"")</f>
        <v/>
      </c>
    </row>
    <row r="893" spans="1:48" ht="15" customHeight="1" x14ac:dyDescent="0.25">
      <c r="A893" s="1"/>
      <c r="B893" s="31">
        <v>19262</v>
      </c>
      <c r="C893" s="16">
        <v>4603734868289</v>
      </c>
      <c r="D893" s="226" t="s">
        <v>5928</v>
      </c>
      <c r="E893" s="69">
        <v>15</v>
      </c>
      <c r="F893" s="222"/>
      <c r="G893" s="108">
        <v>213.9</v>
      </c>
      <c r="H893" s="17">
        <v>224</v>
      </c>
      <c r="I893" s="18">
        <v>251</v>
      </c>
      <c r="J893" s="113" t="s">
        <v>421</v>
      </c>
      <c r="K893" s="44" t="s">
        <v>326</v>
      </c>
      <c r="L893" s="442"/>
      <c r="M893" s="480" t="s">
        <v>1856</v>
      </c>
      <c r="N893" s="1015"/>
      <c r="O893" s="210"/>
      <c r="P893" s="68" t="s">
        <v>125</v>
      </c>
      <c r="Q893" s="100">
        <f t="shared" si="489"/>
        <v>0</v>
      </c>
      <c r="R893" s="13" t="str">
        <f t="shared" si="493"/>
        <v>Фото &gt;&gt;</v>
      </c>
      <c r="S893" s="14" t="s">
        <v>3548</v>
      </c>
      <c r="U893" s="4"/>
      <c r="V893" s="4"/>
      <c r="AK893">
        <v>0.22</v>
      </c>
      <c r="AL893">
        <f t="shared" si="494"/>
        <v>0</v>
      </c>
      <c r="AM893">
        <f t="shared" si="495"/>
        <v>0</v>
      </c>
      <c r="AN893">
        <f t="shared" si="496"/>
        <v>0</v>
      </c>
      <c r="AO893" t="s">
        <v>2669</v>
      </c>
      <c r="AV893" t="str">
        <f>IF(F893&gt;0,(COUNT($AV$1:AV892)+1),"")</f>
        <v/>
      </c>
    </row>
    <row r="894" spans="1:48" ht="15" customHeight="1" x14ac:dyDescent="0.25">
      <c r="A894" s="1"/>
      <c r="B894" s="30">
        <v>16455</v>
      </c>
      <c r="C894" s="20">
        <v>4603734868265</v>
      </c>
      <c r="D894" s="153" t="s">
        <v>7376</v>
      </c>
      <c r="E894" s="67">
        <v>16</v>
      </c>
      <c r="F894" s="222"/>
      <c r="G894" s="107">
        <v>178.9</v>
      </c>
      <c r="H894" s="21">
        <v>187.3</v>
      </c>
      <c r="I894" s="22">
        <v>209.9</v>
      </c>
      <c r="J894" s="112" t="s">
        <v>421</v>
      </c>
      <c r="K894" s="45" t="s">
        <v>326</v>
      </c>
      <c r="L894" s="437"/>
      <c r="M894" s="474" t="s">
        <v>1856</v>
      </c>
      <c r="N894" s="1013"/>
      <c r="O894" s="209"/>
      <c r="P894" s="66" t="s">
        <v>125</v>
      </c>
      <c r="Q894" s="100">
        <f t="shared" si="489"/>
        <v>0</v>
      </c>
      <c r="R894" s="13" t="str">
        <f t="shared" si="493"/>
        <v>Фото &gt;&gt;</v>
      </c>
      <c r="S894" s="14" t="s">
        <v>457</v>
      </c>
      <c r="U894" s="4"/>
      <c r="V894" s="4"/>
      <c r="AK894">
        <v>0.23</v>
      </c>
      <c r="AL894">
        <f t="shared" si="494"/>
        <v>0</v>
      </c>
      <c r="AM894">
        <f t="shared" si="495"/>
        <v>0</v>
      </c>
      <c r="AN894">
        <f t="shared" si="496"/>
        <v>0</v>
      </c>
      <c r="AO894" t="s">
        <v>4872</v>
      </c>
      <c r="AV894" t="str">
        <f>IF(F894&gt;0,(COUNT($AV$1:AV893)+1),"")</f>
        <v/>
      </c>
    </row>
    <row r="895" spans="1:48" ht="15" customHeight="1" x14ac:dyDescent="0.25">
      <c r="A895" s="1"/>
      <c r="B895" s="31">
        <v>16456</v>
      </c>
      <c r="C895" s="16">
        <v>4603734868272</v>
      </c>
      <c r="D895" s="154" t="s">
        <v>7377</v>
      </c>
      <c r="E895" s="69">
        <v>16</v>
      </c>
      <c r="F895" s="222"/>
      <c r="G895" s="108">
        <v>184.1</v>
      </c>
      <c r="H895" s="17">
        <v>192.8</v>
      </c>
      <c r="I895" s="18">
        <v>216</v>
      </c>
      <c r="J895" s="113" t="s">
        <v>421</v>
      </c>
      <c r="K895" s="44" t="s">
        <v>326</v>
      </c>
      <c r="L895" s="442"/>
      <c r="M895" s="480" t="s">
        <v>1856</v>
      </c>
      <c r="N895" s="1015"/>
      <c r="O895" s="210"/>
      <c r="P895" s="68" t="s">
        <v>125</v>
      </c>
      <c r="Q895" s="100">
        <f t="shared" si="489"/>
        <v>0</v>
      </c>
      <c r="R895" s="13" t="str">
        <f t="shared" si="493"/>
        <v>Фото &gt;&gt;</v>
      </c>
      <c r="S895" s="14" t="s">
        <v>458</v>
      </c>
      <c r="U895" s="4"/>
      <c r="V895" s="4"/>
      <c r="AK895">
        <v>0.23</v>
      </c>
      <c r="AL895">
        <f t="shared" si="494"/>
        <v>0</v>
      </c>
      <c r="AM895">
        <f t="shared" si="495"/>
        <v>0</v>
      </c>
      <c r="AN895">
        <f t="shared" si="496"/>
        <v>0</v>
      </c>
      <c r="AO895" t="s">
        <v>5522</v>
      </c>
      <c r="AV895" t="str">
        <f>IF(F895&gt;0,(COUNT($AV$1:AV894)+1),"")</f>
        <v/>
      </c>
    </row>
    <row r="896" spans="1:48" ht="15" customHeight="1" x14ac:dyDescent="0.25">
      <c r="A896" s="1"/>
      <c r="B896" s="30">
        <v>14311</v>
      </c>
      <c r="C896" s="20">
        <v>4650061331313</v>
      </c>
      <c r="D896" s="153" t="s">
        <v>7378</v>
      </c>
      <c r="E896" s="67">
        <v>32</v>
      </c>
      <c r="F896" s="222"/>
      <c r="G896" s="107">
        <v>222.2</v>
      </c>
      <c r="H896" s="21">
        <v>232.7</v>
      </c>
      <c r="I896" s="22">
        <v>260.60000000000002</v>
      </c>
      <c r="J896" s="112" t="s">
        <v>421</v>
      </c>
      <c r="K896" s="45" t="s">
        <v>326</v>
      </c>
      <c r="L896" s="437"/>
      <c r="M896" s="474" t="s">
        <v>1856</v>
      </c>
      <c r="N896" s="1013"/>
      <c r="O896" s="209"/>
      <c r="P896" s="66" t="s">
        <v>53</v>
      </c>
      <c r="Q896" s="100">
        <f t="shared" si="489"/>
        <v>0</v>
      </c>
      <c r="R896" s="13" t="str">
        <f t="shared" si="493"/>
        <v>Фото &gt;&gt;</v>
      </c>
      <c r="S896" s="14" t="s">
        <v>459</v>
      </c>
      <c r="U896" s="4"/>
      <c r="V896" s="4"/>
      <c r="AK896">
        <v>0.19</v>
      </c>
      <c r="AL896">
        <f t="shared" si="494"/>
        <v>0</v>
      </c>
      <c r="AM896">
        <f t="shared" si="495"/>
        <v>0</v>
      </c>
      <c r="AN896">
        <f t="shared" si="496"/>
        <v>0</v>
      </c>
      <c r="AO896" t="s">
        <v>4873</v>
      </c>
      <c r="AV896" t="str">
        <f>IF(F896&gt;0,(COUNT($AV$1:AV895)+1),"")</f>
        <v/>
      </c>
    </row>
    <row r="897" spans="1:48" ht="15" customHeight="1" x14ac:dyDescent="0.25">
      <c r="A897" s="1"/>
      <c r="B897" s="32">
        <v>14310</v>
      </c>
      <c r="C897" s="33">
        <v>4650061331306</v>
      </c>
      <c r="D897" s="155" t="s">
        <v>7379</v>
      </c>
      <c r="E897" s="71">
        <v>32</v>
      </c>
      <c r="F897" s="223"/>
      <c r="G897" s="109">
        <v>222.2</v>
      </c>
      <c r="H897" s="34">
        <v>232.7</v>
      </c>
      <c r="I897" s="35">
        <v>260.60000000000002</v>
      </c>
      <c r="J897" s="114" t="s">
        <v>421</v>
      </c>
      <c r="K897" s="57" t="s">
        <v>326</v>
      </c>
      <c r="L897" s="438"/>
      <c r="M897" s="484" t="s">
        <v>1856</v>
      </c>
      <c r="N897" s="1008"/>
      <c r="O897" s="219"/>
      <c r="P897" s="70" t="s">
        <v>53</v>
      </c>
      <c r="Q897" s="100">
        <f t="shared" si="489"/>
        <v>0</v>
      </c>
      <c r="R897" s="13" t="str">
        <f t="shared" si="493"/>
        <v>Фото &gt;&gt;</v>
      </c>
      <c r="S897" s="14" t="s">
        <v>460</v>
      </c>
      <c r="U897" s="4"/>
      <c r="V897" s="4"/>
      <c r="AK897">
        <v>0.19</v>
      </c>
      <c r="AL897">
        <f t="shared" si="494"/>
        <v>0</v>
      </c>
      <c r="AM897">
        <f t="shared" si="495"/>
        <v>0</v>
      </c>
      <c r="AN897">
        <f t="shared" si="496"/>
        <v>0</v>
      </c>
      <c r="AO897" t="s">
        <v>4874</v>
      </c>
      <c r="AV897" t="str">
        <f>IF(F897&gt;0,(COUNT($AV$1:AV896)+1),"")</f>
        <v/>
      </c>
    </row>
    <row r="898" spans="1:48" ht="15" customHeight="1" x14ac:dyDescent="0.25">
      <c r="A898" s="1"/>
      <c r="B898" s="785">
        <v>13538</v>
      </c>
      <c r="C898" s="786">
        <v>4650061331108</v>
      </c>
      <c r="D898" s="824" t="s">
        <v>450</v>
      </c>
      <c r="E898" s="788">
        <v>20</v>
      </c>
      <c r="F898" s="789"/>
      <c r="G898" s="811">
        <v>179.3</v>
      </c>
      <c r="H898" s="790">
        <v>187.8</v>
      </c>
      <c r="I898" s="791">
        <v>210.4</v>
      </c>
      <c r="J898" s="792" t="s">
        <v>421</v>
      </c>
      <c r="K898" s="793" t="s">
        <v>374</v>
      </c>
      <c r="L898" s="781"/>
      <c r="M898" s="782" t="s">
        <v>1856</v>
      </c>
      <c r="N898" s="1009"/>
      <c r="O898" s="794"/>
      <c r="P898" s="784" t="s">
        <v>72</v>
      </c>
      <c r="Q898" s="100">
        <f t="shared" si="489"/>
        <v>0</v>
      </c>
      <c r="R898" s="13" t="str">
        <f t="shared" si="493"/>
        <v>Фото &gt;&gt;</v>
      </c>
      <c r="S898" s="14" t="s">
        <v>451</v>
      </c>
      <c r="U898" s="4"/>
      <c r="V898" s="4"/>
      <c r="AK898">
        <v>0.1</v>
      </c>
      <c r="AL898">
        <f t="shared" si="494"/>
        <v>0</v>
      </c>
      <c r="AM898">
        <f t="shared" si="495"/>
        <v>0</v>
      </c>
      <c r="AN898">
        <f t="shared" si="496"/>
        <v>0</v>
      </c>
      <c r="AO898" t="s">
        <v>4867</v>
      </c>
      <c r="AV898" t="str">
        <f>IF(F898&gt;0,(COUNT($AV$1:AV897)+1),"")</f>
        <v/>
      </c>
    </row>
    <row r="899" spans="1:48" ht="15" customHeight="1" x14ac:dyDescent="0.25">
      <c r="A899" s="1"/>
      <c r="B899" s="31">
        <v>19423</v>
      </c>
      <c r="C899" s="16">
        <v>4603741783056</v>
      </c>
      <c r="D899" s="154" t="s">
        <v>7380</v>
      </c>
      <c r="E899" s="69">
        <v>20</v>
      </c>
      <c r="F899" s="222"/>
      <c r="G899" s="108">
        <v>179.3</v>
      </c>
      <c r="H899" s="17">
        <v>187.8</v>
      </c>
      <c r="I899" s="18">
        <v>210.4</v>
      </c>
      <c r="J899" s="113" t="s">
        <v>421</v>
      </c>
      <c r="K899" s="44" t="s">
        <v>374</v>
      </c>
      <c r="L899" s="442"/>
      <c r="M899" s="480" t="s">
        <v>1856</v>
      </c>
      <c r="N899" s="1015"/>
      <c r="O899" s="210"/>
      <c r="P899" s="68" t="s">
        <v>72</v>
      </c>
      <c r="Q899" s="100">
        <f t="shared" ref="Q899:Q911" si="497">IF(AND($AO$833=1,MOD(F899,E899)=0),F899*G899,IF($AO$833&lt;=2,F899*H899,F899*I899))</f>
        <v>0</v>
      </c>
      <c r="R899" s="13" t="str">
        <f t="shared" si="493"/>
        <v>Фото &gt;&gt;</v>
      </c>
      <c r="S899" s="14" t="s">
        <v>452</v>
      </c>
      <c r="U899" s="4"/>
      <c r="V899" s="4"/>
      <c r="AK899">
        <v>0.1</v>
      </c>
      <c r="AL899">
        <f t="shared" si="494"/>
        <v>0</v>
      </c>
      <c r="AM899">
        <f t="shared" si="495"/>
        <v>0</v>
      </c>
      <c r="AN899">
        <f t="shared" si="496"/>
        <v>0</v>
      </c>
      <c r="AO899" t="s">
        <v>4868</v>
      </c>
      <c r="AV899" t="str">
        <f>IF(F899&gt;0,(COUNT($AV$1:AV898)+1),"")</f>
        <v/>
      </c>
    </row>
    <row r="900" spans="1:48" ht="15" customHeight="1" x14ac:dyDescent="0.25">
      <c r="A900" s="1"/>
      <c r="B900" s="30">
        <v>13536</v>
      </c>
      <c r="C900" s="20">
        <v>4650061331139</v>
      </c>
      <c r="D900" s="153" t="s">
        <v>7381</v>
      </c>
      <c r="E900" s="67">
        <v>20</v>
      </c>
      <c r="F900" s="222"/>
      <c r="G900" s="107">
        <v>179.3</v>
      </c>
      <c r="H900" s="21">
        <v>187.8</v>
      </c>
      <c r="I900" s="22">
        <v>210.4</v>
      </c>
      <c r="J900" s="112" t="s">
        <v>421</v>
      </c>
      <c r="K900" s="45" t="s">
        <v>417</v>
      </c>
      <c r="L900" s="437"/>
      <c r="M900" s="474" t="s">
        <v>1856</v>
      </c>
      <c r="N900" s="1013"/>
      <c r="O900" s="209"/>
      <c r="P900" s="66" t="s">
        <v>72</v>
      </c>
      <c r="Q900" s="100">
        <f t="shared" si="497"/>
        <v>0</v>
      </c>
      <c r="R900" s="13" t="str">
        <f t="shared" si="493"/>
        <v>Фото &gt;&gt;</v>
      </c>
      <c r="S900" s="14" t="s">
        <v>452</v>
      </c>
      <c r="U900" s="4"/>
      <c r="V900" s="4"/>
      <c r="AK900">
        <v>0.1</v>
      </c>
      <c r="AL900">
        <f t="shared" si="494"/>
        <v>0</v>
      </c>
      <c r="AM900">
        <f t="shared" si="495"/>
        <v>0</v>
      </c>
      <c r="AN900">
        <f t="shared" si="496"/>
        <v>0</v>
      </c>
      <c r="AO900" t="s">
        <v>4868</v>
      </c>
      <c r="AV900" t="str">
        <f>IF(F900&gt;0,(COUNT($AV$1:AV899)+1),"")</f>
        <v/>
      </c>
    </row>
    <row r="901" spans="1:48" ht="15" customHeight="1" x14ac:dyDescent="0.25">
      <c r="A901" s="1"/>
      <c r="B901" s="31">
        <v>13535</v>
      </c>
      <c r="C901" s="16">
        <v>4650061331122</v>
      </c>
      <c r="D901" s="154" t="s">
        <v>7382</v>
      </c>
      <c r="E901" s="69">
        <v>20</v>
      </c>
      <c r="F901" s="222"/>
      <c r="G901" s="108">
        <v>179.3</v>
      </c>
      <c r="H901" s="17">
        <v>187.8</v>
      </c>
      <c r="I901" s="18">
        <v>210.4</v>
      </c>
      <c r="J901" s="113" t="s">
        <v>421</v>
      </c>
      <c r="K901" s="44" t="s">
        <v>417</v>
      </c>
      <c r="L901" s="442"/>
      <c r="M901" s="480" t="s">
        <v>1856</v>
      </c>
      <c r="N901" s="1015"/>
      <c r="O901" s="210"/>
      <c r="P901" s="68" t="s">
        <v>72</v>
      </c>
      <c r="Q901" s="100">
        <f t="shared" si="497"/>
        <v>0</v>
      </c>
      <c r="R901" s="13" t="str">
        <f t="shared" si="493"/>
        <v>Фото &gt;&gt;</v>
      </c>
      <c r="S901" s="14" t="s">
        <v>453</v>
      </c>
      <c r="U901" s="4"/>
      <c r="V901" s="4"/>
      <c r="AK901">
        <v>0.1</v>
      </c>
      <c r="AL901">
        <f t="shared" si="494"/>
        <v>0</v>
      </c>
      <c r="AM901">
        <f t="shared" si="495"/>
        <v>0</v>
      </c>
      <c r="AN901">
        <f t="shared" si="496"/>
        <v>0</v>
      </c>
      <c r="AO901" t="s">
        <v>4869</v>
      </c>
      <c r="AV901" t="str">
        <f>IF(F901&gt;0,(COUNT($AV$1:AV900)+1),"")</f>
        <v/>
      </c>
    </row>
    <row r="902" spans="1:48" ht="15" customHeight="1" x14ac:dyDescent="0.25">
      <c r="A902" s="1"/>
      <c r="B902" s="37">
        <v>13534</v>
      </c>
      <c r="C902" s="23">
        <v>4650061331115</v>
      </c>
      <c r="D902" s="237" t="s">
        <v>6105</v>
      </c>
      <c r="E902" s="75">
        <v>20</v>
      </c>
      <c r="F902" s="223"/>
      <c r="G902" s="111">
        <v>179.3</v>
      </c>
      <c r="H902" s="5">
        <v>187.8</v>
      </c>
      <c r="I902" s="24">
        <v>210.4</v>
      </c>
      <c r="J902" s="115" t="s">
        <v>421</v>
      </c>
      <c r="K902" s="46" t="s">
        <v>417</v>
      </c>
      <c r="L902" s="440"/>
      <c r="M902" s="482" t="s">
        <v>1856</v>
      </c>
      <c r="N902" s="1002"/>
      <c r="O902" s="211"/>
      <c r="P902" s="74" t="s">
        <v>72</v>
      </c>
      <c r="Q902" s="100">
        <f t="shared" si="497"/>
        <v>0</v>
      </c>
      <c r="R902" s="13" t="str">
        <f t="shared" si="493"/>
        <v>Фото &gt;&gt;</v>
      </c>
      <c r="S902" s="14" t="s">
        <v>454</v>
      </c>
      <c r="U902" s="4"/>
      <c r="V902" s="4"/>
      <c r="AK902">
        <v>0.1</v>
      </c>
      <c r="AL902">
        <f t="shared" si="494"/>
        <v>0</v>
      </c>
      <c r="AM902">
        <f t="shared" si="495"/>
        <v>0</v>
      </c>
      <c r="AN902">
        <f t="shared" si="496"/>
        <v>0</v>
      </c>
      <c r="AO902" t="s">
        <v>4870</v>
      </c>
      <c r="AV902" t="str">
        <f>IF(F902&gt;0,(COUNT($AV$1:AV901)+1),"")</f>
        <v/>
      </c>
    </row>
    <row r="903" spans="1:48" ht="15" customHeight="1" x14ac:dyDescent="0.25">
      <c r="A903" s="1"/>
      <c r="B903" s="795">
        <v>18975</v>
      </c>
      <c r="C903" s="796">
        <v>4603741782189</v>
      </c>
      <c r="D903" s="797" t="s">
        <v>4135</v>
      </c>
      <c r="E903" s="798">
        <v>27</v>
      </c>
      <c r="F903" s="789"/>
      <c r="G903" s="810">
        <v>212</v>
      </c>
      <c r="H903" s="799">
        <v>222</v>
      </c>
      <c r="I903" s="800">
        <v>250</v>
      </c>
      <c r="J903" s="801" t="s">
        <v>421</v>
      </c>
      <c r="K903" s="802" t="s">
        <v>417</v>
      </c>
      <c r="L903" s="803"/>
      <c r="M903" s="804" t="s">
        <v>1856</v>
      </c>
      <c r="N903" s="1006"/>
      <c r="O903" s="805"/>
      <c r="P903" s="806" t="s">
        <v>72</v>
      </c>
      <c r="Q903" s="100">
        <f t="shared" si="497"/>
        <v>0</v>
      </c>
      <c r="R903" s="13" t="str">
        <f t="shared" si="493"/>
        <v>Фото &gt;&gt;</v>
      </c>
      <c r="S903" s="14" t="s">
        <v>3545</v>
      </c>
      <c r="U903" s="4"/>
      <c r="V903" s="4"/>
      <c r="AK903">
        <v>0.24</v>
      </c>
      <c r="AL903">
        <f t="shared" si="494"/>
        <v>0</v>
      </c>
      <c r="AM903">
        <f t="shared" si="495"/>
        <v>0</v>
      </c>
      <c r="AN903">
        <f t="shared" si="496"/>
        <v>0</v>
      </c>
      <c r="AO903" t="s">
        <v>2666</v>
      </c>
      <c r="AV903" t="str">
        <f>IF(F903&gt;0,(COUNT($AV$1:AV902)+1),"")</f>
        <v/>
      </c>
    </row>
    <row r="904" spans="1:48" ht="15" customHeight="1" x14ac:dyDescent="0.25">
      <c r="A904" s="1"/>
      <c r="B904" s="30">
        <v>18976</v>
      </c>
      <c r="C904" s="20">
        <v>4603741782165</v>
      </c>
      <c r="D904" s="225" t="s">
        <v>4136</v>
      </c>
      <c r="E904" s="67">
        <v>27</v>
      </c>
      <c r="F904" s="222"/>
      <c r="G904" s="107">
        <v>193.6</v>
      </c>
      <c r="H904" s="21">
        <v>203</v>
      </c>
      <c r="I904" s="22">
        <v>213</v>
      </c>
      <c r="J904" s="112" t="s">
        <v>421</v>
      </c>
      <c r="K904" s="45" t="s">
        <v>417</v>
      </c>
      <c r="L904" s="437"/>
      <c r="M904" s="474" t="s">
        <v>1856</v>
      </c>
      <c r="N904" s="1013"/>
      <c r="O904" s="209"/>
      <c r="P904" s="66" t="s">
        <v>72</v>
      </c>
      <c r="Q904" s="100">
        <f t="shared" si="497"/>
        <v>0</v>
      </c>
      <c r="R904" s="13" t="str">
        <f t="shared" si="493"/>
        <v>Фото &gt;&gt;</v>
      </c>
      <c r="S904" s="14" t="s">
        <v>3546</v>
      </c>
      <c r="U904" s="4"/>
      <c r="V904" s="4"/>
      <c r="AK904">
        <v>0.24</v>
      </c>
      <c r="AL904">
        <f t="shared" si="494"/>
        <v>0</v>
      </c>
      <c r="AM904">
        <f t="shared" si="495"/>
        <v>0</v>
      </c>
      <c r="AN904">
        <f t="shared" si="496"/>
        <v>0</v>
      </c>
      <c r="AO904" t="s">
        <v>2667</v>
      </c>
      <c r="AV904" t="str">
        <f>IF(F904&gt;0,(COUNT($AV$1:AV903)+1),"")</f>
        <v/>
      </c>
    </row>
    <row r="905" spans="1:48" ht="15" customHeight="1" x14ac:dyDescent="0.25">
      <c r="A905" s="1"/>
      <c r="B905" s="31">
        <v>15944</v>
      </c>
      <c r="C905" s="16">
        <v>4603725964372</v>
      </c>
      <c r="D905" s="154" t="s">
        <v>6005</v>
      </c>
      <c r="E905" s="69">
        <v>9</v>
      </c>
      <c r="F905" s="222"/>
      <c r="G905" s="108">
        <v>203</v>
      </c>
      <c r="H905" s="17">
        <v>212.7</v>
      </c>
      <c r="I905" s="18">
        <v>240</v>
      </c>
      <c r="J905" s="113" t="s">
        <v>421</v>
      </c>
      <c r="K905" s="44" t="s">
        <v>417</v>
      </c>
      <c r="L905" s="442"/>
      <c r="M905" s="480" t="s">
        <v>1856</v>
      </c>
      <c r="N905" s="1015"/>
      <c r="O905" s="210"/>
      <c r="P905" s="68" t="s">
        <v>72</v>
      </c>
      <c r="Q905" s="100">
        <f t="shared" si="497"/>
        <v>0</v>
      </c>
      <c r="R905" s="13" t="str">
        <f t="shared" si="493"/>
        <v>Фото &gt;&gt;</v>
      </c>
      <c r="S905" s="14" t="s">
        <v>455</v>
      </c>
      <c r="U905" s="4"/>
      <c r="V905" s="4"/>
      <c r="AK905">
        <v>0.25</v>
      </c>
      <c r="AL905">
        <f t="shared" si="494"/>
        <v>0</v>
      </c>
      <c r="AM905">
        <f t="shared" si="495"/>
        <v>0</v>
      </c>
      <c r="AN905">
        <f t="shared" si="496"/>
        <v>0</v>
      </c>
      <c r="AO905" t="s">
        <v>7159</v>
      </c>
      <c r="AV905" t="str">
        <f>IF(F905&gt;0,(COUNT($AV$1:AV904)+1),"")</f>
        <v/>
      </c>
    </row>
    <row r="906" spans="1:48" ht="15" customHeight="1" x14ac:dyDescent="0.25">
      <c r="A906" s="1"/>
      <c r="B906" s="30">
        <v>21511</v>
      </c>
      <c r="C906" s="20"/>
      <c r="D906" s="421" t="s">
        <v>7084</v>
      </c>
      <c r="E906" s="67">
        <v>16</v>
      </c>
      <c r="F906" s="222"/>
      <c r="G906" s="107">
        <v>144.4</v>
      </c>
      <c r="H906" s="21">
        <v>151.19999999999999</v>
      </c>
      <c r="I906" s="22">
        <v>170</v>
      </c>
      <c r="J906" s="112" t="s">
        <v>421</v>
      </c>
      <c r="K906" s="45" t="s">
        <v>417</v>
      </c>
      <c r="L906" s="437"/>
      <c r="M906" s="474" t="s">
        <v>1856</v>
      </c>
      <c r="N906" s="1013"/>
      <c r="O906" s="209" t="s">
        <v>1637</v>
      </c>
      <c r="P906" s="66" t="s">
        <v>72</v>
      </c>
      <c r="Q906" s="100">
        <f t="shared" si="497"/>
        <v>0</v>
      </c>
      <c r="R906" s="94" t="str">
        <f t="shared" si="493"/>
        <v>Фото &gt;&gt;</v>
      </c>
      <c r="S906" s="14" t="s">
        <v>7082</v>
      </c>
      <c r="U906" s="4"/>
      <c r="V906" s="4"/>
      <c r="AK906">
        <v>0.17</v>
      </c>
      <c r="AL906">
        <f t="shared" ref="AL906" si="498">F906*G906</f>
        <v>0</v>
      </c>
      <c r="AM906">
        <f t="shared" ref="AM906" si="499">F906*H906</f>
        <v>0</v>
      </c>
      <c r="AN906">
        <f t="shared" ref="AN906" si="500">AK906*F906+IF(E906&gt;1.01,F906/E906*0.2,0)</f>
        <v>0</v>
      </c>
      <c r="AO906" t="s">
        <v>7083</v>
      </c>
      <c r="AV906" t="str">
        <f>IF(F906&gt;0,(COUNT($AV$1:AV905)+1),"")</f>
        <v/>
      </c>
    </row>
    <row r="907" spans="1:48" ht="15" customHeight="1" x14ac:dyDescent="0.25">
      <c r="A907" s="1"/>
      <c r="B907" s="32">
        <v>16410</v>
      </c>
      <c r="C907" s="33">
        <v>4603725964334</v>
      </c>
      <c r="D907" s="155" t="s">
        <v>6006</v>
      </c>
      <c r="E907" s="71">
        <v>16</v>
      </c>
      <c r="F907" s="223"/>
      <c r="G907" s="109">
        <v>144.4</v>
      </c>
      <c r="H907" s="34">
        <v>151.19999999999999</v>
      </c>
      <c r="I907" s="35">
        <v>170</v>
      </c>
      <c r="J907" s="114" t="s">
        <v>421</v>
      </c>
      <c r="K907" s="57" t="s">
        <v>417</v>
      </c>
      <c r="L907" s="438"/>
      <c r="M907" s="484" t="s">
        <v>1856</v>
      </c>
      <c r="N907" s="1008"/>
      <c r="O907" s="219"/>
      <c r="P907" s="70" t="s">
        <v>72</v>
      </c>
      <c r="Q907" s="100">
        <f t="shared" si="497"/>
        <v>0</v>
      </c>
      <c r="R907" s="13" t="str">
        <f t="shared" si="493"/>
        <v>Фото &gt;&gt;</v>
      </c>
      <c r="S907" s="14" t="s">
        <v>456</v>
      </c>
      <c r="U907" s="4"/>
      <c r="V907" s="4"/>
      <c r="AK907">
        <v>0.19</v>
      </c>
      <c r="AL907">
        <f t="shared" si="494"/>
        <v>0</v>
      </c>
      <c r="AM907">
        <f t="shared" si="495"/>
        <v>0</v>
      </c>
      <c r="AN907">
        <f t="shared" si="496"/>
        <v>0</v>
      </c>
      <c r="AO907" t="s">
        <v>4871</v>
      </c>
      <c r="AV907" t="str">
        <f>IF(F907&gt;0,(COUNT($AV$1:AV906)+1),"")</f>
        <v/>
      </c>
    </row>
    <row r="908" spans="1:48" ht="15" customHeight="1" x14ac:dyDescent="0.25">
      <c r="A908" s="1"/>
      <c r="B908" s="785">
        <v>20596</v>
      </c>
      <c r="C908" s="786">
        <v>4640200410382</v>
      </c>
      <c r="D908" s="787" t="s">
        <v>7641</v>
      </c>
      <c r="E908" s="788">
        <v>15</v>
      </c>
      <c r="F908" s="789"/>
      <c r="G908" s="811">
        <v>251</v>
      </c>
      <c r="H908" s="790">
        <v>262.8</v>
      </c>
      <c r="I908" s="791">
        <v>294.5</v>
      </c>
      <c r="J908" s="792" t="s">
        <v>421</v>
      </c>
      <c r="K908" s="793" t="s">
        <v>428</v>
      </c>
      <c r="L908" s="781"/>
      <c r="M908" s="782"/>
      <c r="N908" s="1009"/>
      <c r="O908" s="794"/>
      <c r="P908" s="784" t="s">
        <v>125</v>
      </c>
      <c r="Q908" s="100">
        <f t="shared" si="497"/>
        <v>0</v>
      </c>
      <c r="R908" s="13" t="str">
        <f t="shared" si="493"/>
        <v>Фото &gt;&gt;</v>
      </c>
      <c r="S908" s="14" t="s">
        <v>4108</v>
      </c>
      <c r="U908" s="4"/>
      <c r="V908" s="4"/>
      <c r="AK908">
        <v>0.23</v>
      </c>
      <c r="AL908">
        <f t="shared" si="494"/>
        <v>0</v>
      </c>
      <c r="AM908">
        <f t="shared" si="495"/>
        <v>0</v>
      </c>
      <c r="AN908">
        <f t="shared" si="496"/>
        <v>0</v>
      </c>
      <c r="AO908" t="s">
        <v>4107</v>
      </c>
      <c r="AV908" t="str">
        <f>IF(F908&gt;0,(COUNT($AV$1:AV907)+1),"")</f>
        <v/>
      </c>
    </row>
    <row r="909" spans="1:48" ht="15" customHeight="1" x14ac:dyDescent="0.25">
      <c r="A909" s="1"/>
      <c r="B909" s="31">
        <v>17220</v>
      </c>
      <c r="C909" s="16">
        <v>4603734868623</v>
      </c>
      <c r="D909" s="226" t="s">
        <v>7642</v>
      </c>
      <c r="E909" s="69">
        <v>25</v>
      </c>
      <c r="F909" s="222"/>
      <c r="G909" s="108">
        <v>232.3</v>
      </c>
      <c r="H909" s="17">
        <v>243.2</v>
      </c>
      <c r="I909" s="18">
        <v>272.5</v>
      </c>
      <c r="J909" s="113" t="s">
        <v>421</v>
      </c>
      <c r="K909" s="44" t="s">
        <v>428</v>
      </c>
      <c r="L909" s="442"/>
      <c r="M909" s="480"/>
      <c r="N909" s="1015"/>
      <c r="O909" s="210"/>
      <c r="P909" s="68" t="s">
        <v>125</v>
      </c>
      <c r="Q909" s="100">
        <f t="shared" si="497"/>
        <v>0</v>
      </c>
      <c r="R909" s="13" t="str">
        <f t="shared" si="493"/>
        <v>Фото &gt;&gt;</v>
      </c>
      <c r="S909" s="14" t="s">
        <v>461</v>
      </c>
      <c r="U909" s="4"/>
      <c r="V909" s="4"/>
      <c r="AK909">
        <v>0.23</v>
      </c>
      <c r="AL909">
        <f t="shared" si="494"/>
        <v>0</v>
      </c>
      <c r="AM909">
        <f t="shared" si="495"/>
        <v>0</v>
      </c>
      <c r="AN909">
        <f t="shared" si="496"/>
        <v>0</v>
      </c>
      <c r="AO909" t="s">
        <v>7156</v>
      </c>
      <c r="AV909" t="str">
        <f>IF(F909&gt;0,(COUNT($AV$1:AV908)+1),"")</f>
        <v/>
      </c>
    </row>
    <row r="910" spans="1:48" ht="15" customHeight="1" x14ac:dyDescent="0.25">
      <c r="A910" s="1"/>
      <c r="B910" s="30">
        <v>17221</v>
      </c>
      <c r="C910" s="20">
        <v>4603734868609</v>
      </c>
      <c r="D910" s="225" t="s">
        <v>7643</v>
      </c>
      <c r="E910" s="67">
        <v>25</v>
      </c>
      <c r="F910" s="222"/>
      <c r="G910" s="107">
        <v>232.3</v>
      </c>
      <c r="H910" s="21">
        <v>243.3</v>
      </c>
      <c r="I910" s="22">
        <v>272.5</v>
      </c>
      <c r="J910" s="112" t="s">
        <v>421</v>
      </c>
      <c r="K910" s="45" t="s">
        <v>428</v>
      </c>
      <c r="L910" s="437"/>
      <c r="M910" s="474"/>
      <c r="N910" s="1013"/>
      <c r="O910" s="209"/>
      <c r="P910" s="66" t="s">
        <v>125</v>
      </c>
      <c r="Q910" s="100">
        <f t="shared" si="497"/>
        <v>0</v>
      </c>
      <c r="R910" s="13" t="str">
        <f t="shared" si="493"/>
        <v>Фото &gt;&gt;</v>
      </c>
      <c r="S910" s="14" t="s">
        <v>462</v>
      </c>
      <c r="U910" s="4"/>
      <c r="V910" s="4"/>
      <c r="AK910">
        <v>0.23</v>
      </c>
      <c r="AL910">
        <f t="shared" si="494"/>
        <v>0</v>
      </c>
      <c r="AM910">
        <f t="shared" si="495"/>
        <v>0</v>
      </c>
      <c r="AN910">
        <f t="shared" si="496"/>
        <v>0</v>
      </c>
      <c r="AO910" t="s">
        <v>4875</v>
      </c>
      <c r="AV910" t="str">
        <f>IF(F910&gt;0,(COUNT($AV$1:AV909)+1),"")</f>
        <v/>
      </c>
    </row>
    <row r="911" spans="1:48" ht="15" customHeight="1" x14ac:dyDescent="0.25">
      <c r="A911" s="1"/>
      <c r="B911" s="31">
        <v>21037</v>
      </c>
      <c r="C911" s="16">
        <v>4640200411822</v>
      </c>
      <c r="D911" s="154" t="s">
        <v>5846</v>
      </c>
      <c r="E911" s="69">
        <v>15</v>
      </c>
      <c r="F911" s="222"/>
      <c r="G911" s="108">
        <v>205.8</v>
      </c>
      <c r="H911" s="17">
        <v>215.5</v>
      </c>
      <c r="I911" s="18">
        <v>241.5</v>
      </c>
      <c r="J911" s="113" t="s">
        <v>421</v>
      </c>
      <c r="K911" s="44" t="s">
        <v>367</v>
      </c>
      <c r="L911" s="442"/>
      <c r="M911" s="480" t="s">
        <v>1856</v>
      </c>
      <c r="N911" s="1015"/>
      <c r="O911" s="210"/>
      <c r="P911" s="68" t="s">
        <v>195</v>
      </c>
      <c r="Q911" s="100">
        <f t="shared" si="497"/>
        <v>0</v>
      </c>
      <c r="R911" s="13" t="str">
        <f t="shared" si="493"/>
        <v>Фото &gt;&gt;</v>
      </c>
      <c r="S911" s="14"/>
      <c r="U911" s="4"/>
      <c r="V911" s="4"/>
      <c r="AK911">
        <v>0.12</v>
      </c>
      <c r="AL911">
        <f t="shared" si="494"/>
        <v>0</v>
      </c>
      <c r="AM911">
        <f t="shared" si="495"/>
        <v>0</v>
      </c>
      <c r="AN911">
        <f t="shared" si="496"/>
        <v>0</v>
      </c>
      <c r="AO911" t="s">
        <v>5847</v>
      </c>
      <c r="AV911" t="str">
        <f>IF(F911&gt;0,(COUNT($AV$1:AV910)+1),"")</f>
        <v/>
      </c>
    </row>
    <row r="912" spans="1:48" ht="15" customHeight="1" x14ac:dyDescent="0.25">
      <c r="A912" s="1"/>
      <c r="B912" s="25"/>
      <c r="C912" s="26"/>
      <c r="D912" s="228" t="s">
        <v>2954</v>
      </c>
      <c r="E912" s="80"/>
      <c r="F912" s="96"/>
      <c r="G912" s="28"/>
      <c r="H912" s="29"/>
      <c r="I912" s="29"/>
      <c r="J912" s="51"/>
      <c r="K912" s="47"/>
      <c r="L912" s="447"/>
      <c r="M912" s="489"/>
      <c r="N912" s="716"/>
      <c r="O912" s="186"/>
      <c r="P912" s="79"/>
      <c r="Q912" s="104"/>
      <c r="R912" s="13"/>
      <c r="S912" s="14"/>
      <c r="U912" s="4"/>
      <c r="V912" s="4"/>
      <c r="AL912">
        <f t="shared" ref="AL912:AL940" si="501">F912*G912</f>
        <v>0</v>
      </c>
      <c r="AM912">
        <f t="shared" ref="AM912:AM940" si="502">F912*H912</f>
        <v>0</v>
      </c>
      <c r="AN912">
        <f t="shared" ref="AN912:AN955" si="503">AK912*F912+IF(E912&gt;1.01,F912/E912*0.2,0)</f>
        <v>0</v>
      </c>
      <c r="AO912" t="s">
        <v>104</v>
      </c>
      <c r="AV912" t="str">
        <f>IF(F912&gt;0,(COUNT($AV$1:AV911)+1),"")</f>
        <v/>
      </c>
    </row>
    <row r="913" spans="1:48" ht="15" customHeight="1" x14ac:dyDescent="0.25">
      <c r="A913" s="1"/>
      <c r="B913" s="31">
        <v>20635</v>
      </c>
      <c r="C913" s="16">
        <v>4640200410436</v>
      </c>
      <c r="D913" s="154" t="s">
        <v>7383</v>
      </c>
      <c r="E913" s="323">
        <v>20</v>
      </c>
      <c r="F913" s="222"/>
      <c r="G913" s="108">
        <v>20.6</v>
      </c>
      <c r="H913" s="17">
        <v>21.5</v>
      </c>
      <c r="I913" s="18">
        <v>24.3</v>
      </c>
      <c r="J913" s="113" t="s">
        <v>421</v>
      </c>
      <c r="K913" s="44" t="s">
        <v>96</v>
      </c>
      <c r="L913" s="442"/>
      <c r="M913" s="480"/>
      <c r="N913" s="1015"/>
      <c r="O913" s="217" t="s">
        <v>2271</v>
      </c>
      <c r="P913" s="68" t="s">
        <v>72</v>
      </c>
      <c r="Q913" s="100">
        <f t="shared" ref="Q913:Q926" si="504">IF(AND($AO$833=1,MOD(F913,E913)=0),F913*G913,IF($AO$833&lt;=2,F913*H913,F913*I913))</f>
        <v>0</v>
      </c>
      <c r="R913" s="13" t="str">
        <f t="shared" ref="R913:R926" si="505">IF(AO913&gt;0,HYPERLINK(AO913,"Фото &gt;&gt;"),"")</f>
        <v>Фото &gt;&gt;</v>
      </c>
      <c r="S913" s="14" t="s">
        <v>4156</v>
      </c>
      <c r="U913" s="4"/>
      <c r="V913" s="4"/>
      <c r="AK913">
        <v>0.02</v>
      </c>
      <c r="AL913">
        <f t="shared" si="501"/>
        <v>0</v>
      </c>
      <c r="AM913">
        <f t="shared" si="502"/>
        <v>0</v>
      </c>
      <c r="AN913">
        <f t="shared" si="503"/>
        <v>0</v>
      </c>
      <c r="AO913" t="s">
        <v>4159</v>
      </c>
      <c r="AV913" t="str">
        <f>IF(F913&gt;0,(COUNT($AV$1:AV912)+1),"")</f>
        <v/>
      </c>
    </row>
    <row r="914" spans="1:48" ht="15" customHeight="1" x14ac:dyDescent="0.25">
      <c r="A914" s="1"/>
      <c r="B914" s="30">
        <v>20636</v>
      </c>
      <c r="C914" s="20">
        <v>4640200410443</v>
      </c>
      <c r="D914" s="153" t="s">
        <v>7384</v>
      </c>
      <c r="E914" s="324">
        <v>20</v>
      </c>
      <c r="F914" s="222"/>
      <c r="G914" s="107">
        <v>20.6</v>
      </c>
      <c r="H914" s="21">
        <v>21.5</v>
      </c>
      <c r="I914" s="22">
        <v>24.3</v>
      </c>
      <c r="J914" s="112" t="s">
        <v>421</v>
      </c>
      <c r="K914" s="45" t="s">
        <v>96</v>
      </c>
      <c r="L914" s="437"/>
      <c r="M914" s="474"/>
      <c r="N914" s="1013"/>
      <c r="O914" s="212" t="s">
        <v>2271</v>
      </c>
      <c r="P914" s="66" t="s">
        <v>72</v>
      </c>
      <c r="Q914" s="100">
        <f t="shared" si="504"/>
        <v>0</v>
      </c>
      <c r="R914" s="13" t="str">
        <f t="shared" si="505"/>
        <v>Фото &gt;&gt;</v>
      </c>
      <c r="S914" s="14" t="s">
        <v>4157</v>
      </c>
      <c r="U914" s="4"/>
      <c r="V914" s="4"/>
      <c r="AK914">
        <v>0.02</v>
      </c>
      <c r="AL914">
        <f t="shared" si="501"/>
        <v>0</v>
      </c>
      <c r="AM914">
        <f t="shared" si="502"/>
        <v>0</v>
      </c>
      <c r="AN914">
        <f t="shared" si="503"/>
        <v>0</v>
      </c>
      <c r="AO914" t="s">
        <v>4160</v>
      </c>
      <c r="AV914" t="str">
        <f>IF(F914&gt;0,(COUNT($AV$1:AV913)+1),"")</f>
        <v/>
      </c>
    </row>
    <row r="915" spans="1:48" ht="15" customHeight="1" x14ac:dyDescent="0.25">
      <c r="A915" s="1"/>
      <c r="B915" s="31">
        <v>20637</v>
      </c>
      <c r="C915" s="16">
        <v>4640200410467</v>
      </c>
      <c r="D915" s="154" t="s">
        <v>7385</v>
      </c>
      <c r="E915" s="323">
        <v>20</v>
      </c>
      <c r="F915" s="222"/>
      <c r="G915" s="108">
        <v>20.6</v>
      </c>
      <c r="H915" s="17">
        <v>21.5</v>
      </c>
      <c r="I915" s="18">
        <v>24.3</v>
      </c>
      <c r="J915" s="113" t="s">
        <v>421</v>
      </c>
      <c r="K915" s="44" t="s">
        <v>96</v>
      </c>
      <c r="L915" s="442"/>
      <c r="M915" s="480"/>
      <c r="N915" s="1015"/>
      <c r="O915" s="217" t="s">
        <v>2271</v>
      </c>
      <c r="P915" s="68" t="s">
        <v>72</v>
      </c>
      <c r="Q915" s="100">
        <f t="shared" si="504"/>
        <v>0</v>
      </c>
      <c r="R915" s="13" t="str">
        <f t="shared" si="505"/>
        <v>Фото &gt;&gt;</v>
      </c>
      <c r="S915" s="14" t="s">
        <v>4158</v>
      </c>
      <c r="U915" s="4"/>
      <c r="V915" s="4"/>
      <c r="AK915">
        <v>0.02</v>
      </c>
      <c r="AL915">
        <f t="shared" si="501"/>
        <v>0</v>
      </c>
      <c r="AM915">
        <f t="shared" si="502"/>
        <v>0</v>
      </c>
      <c r="AN915">
        <f t="shared" si="503"/>
        <v>0</v>
      </c>
      <c r="AO915" t="s">
        <v>4161</v>
      </c>
      <c r="AV915" t="str">
        <f>IF(F915&gt;0,(COUNT($AV$1:AV914)+1),"")</f>
        <v/>
      </c>
    </row>
    <row r="916" spans="1:48" ht="15" customHeight="1" x14ac:dyDescent="0.25">
      <c r="A916" s="1"/>
      <c r="B916" s="30">
        <v>20237</v>
      </c>
      <c r="C916" s="20">
        <v>4640200410405</v>
      </c>
      <c r="D916" s="225" t="s">
        <v>5929</v>
      </c>
      <c r="E916" s="67">
        <v>9</v>
      </c>
      <c r="F916" s="222"/>
      <c r="G916" s="107">
        <v>108</v>
      </c>
      <c r="H916" s="21">
        <v>113.5</v>
      </c>
      <c r="I916" s="22">
        <v>123.5</v>
      </c>
      <c r="J916" s="112" t="s">
        <v>421</v>
      </c>
      <c r="K916" s="45" t="s">
        <v>128</v>
      </c>
      <c r="L916" s="437"/>
      <c r="M916" s="474" t="s">
        <v>104</v>
      </c>
      <c r="N916" s="1013" t="s">
        <v>1856</v>
      </c>
      <c r="O916" s="209"/>
      <c r="P916" s="66" t="s">
        <v>72</v>
      </c>
      <c r="Q916" s="100">
        <f t="shared" si="504"/>
        <v>0</v>
      </c>
      <c r="R916" s="13" t="str">
        <f t="shared" si="505"/>
        <v>Фото &gt;&gt;</v>
      </c>
      <c r="S916" s="14" t="s">
        <v>2932</v>
      </c>
      <c r="U916" s="4"/>
      <c r="V916" s="4"/>
      <c r="AK916">
        <v>0.17</v>
      </c>
      <c r="AL916">
        <f t="shared" si="501"/>
        <v>0</v>
      </c>
      <c r="AM916">
        <f t="shared" si="502"/>
        <v>0</v>
      </c>
      <c r="AN916">
        <f t="shared" si="503"/>
        <v>0</v>
      </c>
      <c r="AO916" t="s">
        <v>2938</v>
      </c>
      <c r="AV916" t="str">
        <f>IF(F916&gt;0,(COUNT($AV$1:AV915)+1),"")</f>
        <v/>
      </c>
    </row>
    <row r="917" spans="1:48" ht="15" customHeight="1" x14ac:dyDescent="0.25">
      <c r="A917" s="1"/>
      <c r="B917" s="31">
        <v>20236</v>
      </c>
      <c r="C917" s="16">
        <v>4640200410412</v>
      </c>
      <c r="D917" s="226" t="s">
        <v>5930</v>
      </c>
      <c r="E917" s="69">
        <v>9</v>
      </c>
      <c r="F917" s="222"/>
      <c r="G917" s="108">
        <v>107.6</v>
      </c>
      <c r="H917" s="17">
        <v>112.7</v>
      </c>
      <c r="I917" s="18">
        <v>127</v>
      </c>
      <c r="J917" s="113" t="s">
        <v>421</v>
      </c>
      <c r="K917" s="44" t="s">
        <v>128</v>
      </c>
      <c r="L917" s="442"/>
      <c r="M917" s="480" t="s">
        <v>104</v>
      </c>
      <c r="N917" s="1015" t="s">
        <v>1856</v>
      </c>
      <c r="O917" s="210"/>
      <c r="P917" s="68" t="s">
        <v>72</v>
      </c>
      <c r="Q917" s="100">
        <f t="shared" si="504"/>
        <v>0</v>
      </c>
      <c r="R917" s="13" t="str">
        <f t="shared" si="505"/>
        <v>Фото &gt;&gt;</v>
      </c>
      <c r="S917" s="14" t="s">
        <v>2933</v>
      </c>
      <c r="U917" s="4"/>
      <c r="V917" s="4"/>
      <c r="AK917">
        <v>0.17</v>
      </c>
      <c r="AL917">
        <f t="shared" si="501"/>
        <v>0</v>
      </c>
      <c r="AM917">
        <f t="shared" si="502"/>
        <v>0</v>
      </c>
      <c r="AN917">
        <f t="shared" si="503"/>
        <v>0</v>
      </c>
      <c r="AO917" t="s">
        <v>2939</v>
      </c>
      <c r="AV917" t="str">
        <f>IF(F917&gt;0,(COUNT($AV$1:AV916)+1),"")</f>
        <v/>
      </c>
    </row>
    <row r="918" spans="1:48" ht="15" customHeight="1" x14ac:dyDescent="0.25">
      <c r="A918" s="1"/>
      <c r="B918" s="30">
        <v>20235</v>
      </c>
      <c r="C918" s="20">
        <v>4640200410429</v>
      </c>
      <c r="D918" s="225" t="s">
        <v>5931</v>
      </c>
      <c r="E918" s="67">
        <v>9</v>
      </c>
      <c r="F918" s="222"/>
      <c r="G918" s="107">
        <v>107.6</v>
      </c>
      <c r="H918" s="21">
        <v>112.7</v>
      </c>
      <c r="I918" s="22">
        <v>127</v>
      </c>
      <c r="J918" s="112" t="s">
        <v>421</v>
      </c>
      <c r="K918" s="45" t="s">
        <v>128</v>
      </c>
      <c r="L918" s="437"/>
      <c r="M918" s="474" t="s">
        <v>104</v>
      </c>
      <c r="N918" s="1013" t="s">
        <v>1856</v>
      </c>
      <c r="O918" s="209"/>
      <c r="P918" s="66" t="s">
        <v>72</v>
      </c>
      <c r="Q918" s="100">
        <f t="shared" si="504"/>
        <v>0</v>
      </c>
      <c r="R918" s="13" t="str">
        <f t="shared" si="505"/>
        <v>Фото &gt;&gt;</v>
      </c>
      <c r="S918" s="14" t="s">
        <v>2934</v>
      </c>
      <c r="U918" s="4"/>
      <c r="V918" s="4"/>
      <c r="AK918">
        <v>0.17</v>
      </c>
      <c r="AL918">
        <f t="shared" si="501"/>
        <v>0</v>
      </c>
      <c r="AM918">
        <f t="shared" si="502"/>
        <v>0</v>
      </c>
      <c r="AN918">
        <f t="shared" si="503"/>
        <v>0</v>
      </c>
      <c r="AO918" t="s">
        <v>2940</v>
      </c>
      <c r="AV918" t="str">
        <f>IF(F918&gt;0,(COUNT($AV$1:AV917)+1),"")</f>
        <v/>
      </c>
    </row>
    <row r="919" spans="1:48" ht="15" customHeight="1" x14ac:dyDescent="0.25">
      <c r="A919" s="1"/>
      <c r="B919" s="31">
        <v>20973</v>
      </c>
      <c r="C919" s="16">
        <v>4640200412119</v>
      </c>
      <c r="D919" s="154" t="s">
        <v>5699</v>
      </c>
      <c r="E919" s="69">
        <v>16</v>
      </c>
      <c r="F919" s="222"/>
      <c r="G919" s="108">
        <v>171.5</v>
      </c>
      <c r="H919" s="17">
        <v>179.6</v>
      </c>
      <c r="I919" s="18">
        <v>201.2</v>
      </c>
      <c r="J919" s="113" t="s">
        <v>421</v>
      </c>
      <c r="K919" s="44" t="s">
        <v>326</v>
      </c>
      <c r="L919" s="442"/>
      <c r="M919" s="480"/>
      <c r="N919" s="1015"/>
      <c r="O919" s="210"/>
      <c r="P919" s="68" t="s">
        <v>53</v>
      </c>
      <c r="Q919" s="100">
        <f t="shared" si="504"/>
        <v>0</v>
      </c>
      <c r="R919" s="13" t="str">
        <f t="shared" si="505"/>
        <v>Фото &gt;&gt;</v>
      </c>
      <c r="S919" s="14" t="s">
        <v>5694</v>
      </c>
      <c r="U919" s="4"/>
      <c r="V919" s="4"/>
      <c r="AK919">
        <v>0.22</v>
      </c>
      <c r="AL919">
        <f t="shared" si="501"/>
        <v>0</v>
      </c>
      <c r="AM919">
        <f t="shared" si="502"/>
        <v>0</v>
      </c>
      <c r="AN919">
        <f t="shared" si="503"/>
        <v>0</v>
      </c>
      <c r="AO919" t="s">
        <v>5690</v>
      </c>
      <c r="AV919" t="str">
        <f>IF(F919&gt;0,(COUNT($AV$1:AV918)+1),"")</f>
        <v/>
      </c>
    </row>
    <row r="920" spans="1:48" ht="15" customHeight="1" x14ac:dyDescent="0.25">
      <c r="A920" s="1"/>
      <c r="B920" s="30">
        <v>20976</v>
      </c>
      <c r="C920" s="20">
        <v>4640200412089</v>
      </c>
      <c r="D920" s="153" t="s">
        <v>5700</v>
      </c>
      <c r="E920" s="67">
        <v>16</v>
      </c>
      <c r="F920" s="222"/>
      <c r="G920" s="107">
        <v>176</v>
      </c>
      <c r="H920" s="21">
        <v>184.3</v>
      </c>
      <c r="I920" s="22">
        <v>206.5</v>
      </c>
      <c r="J920" s="112" t="s">
        <v>421</v>
      </c>
      <c r="K920" s="45" t="s">
        <v>326</v>
      </c>
      <c r="L920" s="437"/>
      <c r="M920" s="474"/>
      <c r="N920" s="1013"/>
      <c r="O920" s="209"/>
      <c r="P920" s="66" t="s">
        <v>53</v>
      </c>
      <c r="Q920" s="100">
        <f t="shared" si="504"/>
        <v>0</v>
      </c>
      <c r="R920" s="13" t="str">
        <f t="shared" si="505"/>
        <v>Фото &gt;&gt;</v>
      </c>
      <c r="S920" s="14" t="s">
        <v>5695</v>
      </c>
      <c r="U920" s="4"/>
      <c r="V920" s="4"/>
      <c r="AK920">
        <v>0.22</v>
      </c>
      <c r="AL920">
        <f t="shared" si="501"/>
        <v>0</v>
      </c>
      <c r="AM920">
        <f t="shared" si="502"/>
        <v>0</v>
      </c>
      <c r="AN920">
        <f t="shared" si="503"/>
        <v>0</v>
      </c>
      <c r="AO920" t="s">
        <v>5691</v>
      </c>
      <c r="AV920" t="str">
        <f>IF(F920&gt;0,(COUNT($AV$1:AV919)+1),"")</f>
        <v/>
      </c>
    </row>
    <row r="921" spans="1:48" ht="15" customHeight="1" x14ac:dyDescent="0.25">
      <c r="A921" s="1"/>
      <c r="B921" s="31">
        <v>20977</v>
      </c>
      <c r="C921" s="16">
        <v>4640200412102</v>
      </c>
      <c r="D921" s="154" t="s">
        <v>5701</v>
      </c>
      <c r="E921" s="69">
        <v>16</v>
      </c>
      <c r="F921" s="222"/>
      <c r="G921" s="108">
        <v>193.9</v>
      </c>
      <c r="H921" s="17">
        <v>203</v>
      </c>
      <c r="I921" s="18">
        <v>227.5</v>
      </c>
      <c r="J921" s="113" t="s">
        <v>421</v>
      </c>
      <c r="K921" s="44" t="s">
        <v>326</v>
      </c>
      <c r="L921" s="442"/>
      <c r="M921" s="480"/>
      <c r="N921" s="1015"/>
      <c r="O921" s="210"/>
      <c r="P921" s="68" t="s">
        <v>53</v>
      </c>
      <c r="Q921" s="100">
        <f t="shared" si="504"/>
        <v>0</v>
      </c>
      <c r="R921" s="13" t="str">
        <f t="shared" si="505"/>
        <v>Фото &gt;&gt;</v>
      </c>
      <c r="S921" s="14" t="s">
        <v>5697</v>
      </c>
      <c r="U921" s="4"/>
      <c r="V921" s="4"/>
      <c r="AK921">
        <v>0.22</v>
      </c>
      <c r="AL921">
        <f t="shared" si="501"/>
        <v>0</v>
      </c>
      <c r="AM921">
        <f t="shared" si="502"/>
        <v>0</v>
      </c>
      <c r="AN921">
        <f t="shared" si="503"/>
        <v>0</v>
      </c>
      <c r="AO921" t="s">
        <v>5692</v>
      </c>
      <c r="AV921" t="str">
        <f>IF(F921&gt;0,(COUNT($AV$1:AV920)+1),"")</f>
        <v/>
      </c>
    </row>
    <row r="922" spans="1:48" ht="15" customHeight="1" x14ac:dyDescent="0.25">
      <c r="A922" s="1"/>
      <c r="B922" s="30">
        <v>20978</v>
      </c>
      <c r="C922" s="20">
        <v>4640200412096</v>
      </c>
      <c r="D922" s="153" t="s">
        <v>5702</v>
      </c>
      <c r="E922" s="67">
        <v>16</v>
      </c>
      <c r="F922" s="222"/>
      <c r="G922" s="107">
        <v>168.5</v>
      </c>
      <c r="H922" s="21">
        <v>176.5</v>
      </c>
      <c r="I922" s="22">
        <v>197.7</v>
      </c>
      <c r="J922" s="112" t="s">
        <v>421</v>
      </c>
      <c r="K922" s="45" t="s">
        <v>326</v>
      </c>
      <c r="L922" s="437"/>
      <c r="M922" s="474"/>
      <c r="N922" s="1013"/>
      <c r="O922" s="209"/>
      <c r="P922" s="66" t="s">
        <v>53</v>
      </c>
      <c r="Q922" s="100">
        <f t="shared" si="504"/>
        <v>0</v>
      </c>
      <c r="R922" s="13" t="str">
        <f t="shared" si="505"/>
        <v>Фото &gt;&gt;</v>
      </c>
      <c r="S922" s="14" t="s">
        <v>5696</v>
      </c>
      <c r="U922" s="4"/>
      <c r="V922" s="4"/>
      <c r="AK922">
        <v>0.22</v>
      </c>
      <c r="AL922">
        <f t="shared" si="501"/>
        <v>0</v>
      </c>
      <c r="AM922">
        <f t="shared" si="502"/>
        <v>0</v>
      </c>
      <c r="AN922">
        <f t="shared" si="503"/>
        <v>0</v>
      </c>
      <c r="AO922" t="s">
        <v>5693</v>
      </c>
      <c r="AV922" t="str">
        <f>IF(F922&gt;0,(COUNT($AV$1:AV921)+1),"")</f>
        <v/>
      </c>
    </row>
    <row r="923" spans="1:48" ht="15" customHeight="1" x14ac:dyDescent="0.25">
      <c r="A923" s="1"/>
      <c r="B923" s="31">
        <v>20905</v>
      </c>
      <c r="C923" s="16">
        <v>4640200411983</v>
      </c>
      <c r="D923" s="226" t="s">
        <v>5705</v>
      </c>
      <c r="E923" s="69">
        <v>16</v>
      </c>
      <c r="F923" s="222"/>
      <c r="G923" s="108">
        <v>89.1</v>
      </c>
      <c r="H923" s="17">
        <v>93.3</v>
      </c>
      <c r="I923" s="18">
        <v>105.2</v>
      </c>
      <c r="J923" s="113" t="s">
        <v>421</v>
      </c>
      <c r="K923" s="44" t="s">
        <v>417</v>
      </c>
      <c r="L923" s="442"/>
      <c r="M923" s="480" t="s">
        <v>104</v>
      </c>
      <c r="N923" s="1015"/>
      <c r="O923" s="210"/>
      <c r="P923" s="68" t="s">
        <v>72</v>
      </c>
      <c r="Q923" s="100">
        <f t="shared" si="504"/>
        <v>0</v>
      </c>
      <c r="R923" s="13" t="str">
        <f t="shared" si="505"/>
        <v>Фото &gt;&gt;</v>
      </c>
      <c r="S923" s="14" t="s">
        <v>4697</v>
      </c>
      <c r="U923" s="4"/>
      <c r="V923" s="4"/>
      <c r="AK923">
        <v>0.11</v>
      </c>
      <c r="AL923">
        <f t="shared" si="501"/>
        <v>0</v>
      </c>
      <c r="AM923">
        <f t="shared" si="502"/>
        <v>0</v>
      </c>
      <c r="AN923">
        <f t="shared" si="503"/>
        <v>0</v>
      </c>
      <c r="AO923" t="s">
        <v>4698</v>
      </c>
      <c r="AV923" t="str">
        <f>IF(F923&gt;0,(COUNT($AV$1:AV922)+1),"")</f>
        <v/>
      </c>
    </row>
    <row r="924" spans="1:48" ht="15" customHeight="1" x14ac:dyDescent="0.25">
      <c r="A924" s="1"/>
      <c r="B924" s="30">
        <v>20233</v>
      </c>
      <c r="C924" s="20">
        <v>4640200410344</v>
      </c>
      <c r="D924" s="225" t="s">
        <v>5950</v>
      </c>
      <c r="E924" s="67">
        <v>27</v>
      </c>
      <c r="F924" s="222"/>
      <c r="G924" s="107">
        <v>110.9</v>
      </c>
      <c r="H924" s="21">
        <v>116.1</v>
      </c>
      <c r="I924" s="22">
        <v>131</v>
      </c>
      <c r="J924" s="112" t="s">
        <v>421</v>
      </c>
      <c r="K924" s="45" t="s">
        <v>417</v>
      </c>
      <c r="L924" s="437"/>
      <c r="M924" s="474" t="s">
        <v>104</v>
      </c>
      <c r="N924" s="1013"/>
      <c r="O924" s="209"/>
      <c r="P924" s="66" t="s">
        <v>72</v>
      </c>
      <c r="Q924" s="100">
        <f t="shared" si="504"/>
        <v>0</v>
      </c>
      <c r="R924" s="13" t="str">
        <f t="shared" si="505"/>
        <v>Фото &gt;&gt;</v>
      </c>
      <c r="S924" s="14" t="s">
        <v>2937</v>
      </c>
      <c r="U924" s="4"/>
      <c r="V924" s="4"/>
      <c r="AK924">
        <v>0.21</v>
      </c>
      <c r="AL924">
        <f t="shared" si="501"/>
        <v>0</v>
      </c>
      <c r="AM924">
        <f t="shared" si="502"/>
        <v>0</v>
      </c>
      <c r="AN924">
        <f t="shared" si="503"/>
        <v>0</v>
      </c>
      <c r="AO924" t="s">
        <v>2941</v>
      </c>
      <c r="AV924" t="str">
        <f>IF(F924&gt;0,(COUNT($AV$1:AV923)+1),"")</f>
        <v/>
      </c>
    </row>
    <row r="925" spans="1:48" ht="15" customHeight="1" x14ac:dyDescent="0.25">
      <c r="A925" s="1"/>
      <c r="B925" s="31">
        <v>20232</v>
      </c>
      <c r="C925" s="16">
        <v>4640200410351</v>
      </c>
      <c r="D925" s="226" t="s">
        <v>5703</v>
      </c>
      <c r="E925" s="69">
        <v>16</v>
      </c>
      <c r="F925" s="222"/>
      <c r="G925" s="108">
        <v>69.900000000000006</v>
      </c>
      <c r="H925" s="17">
        <v>73.2</v>
      </c>
      <c r="I925" s="18">
        <v>82.5</v>
      </c>
      <c r="J925" s="113" t="s">
        <v>421</v>
      </c>
      <c r="K925" s="44" t="s">
        <v>417</v>
      </c>
      <c r="L925" s="442"/>
      <c r="M925" s="480" t="s">
        <v>104</v>
      </c>
      <c r="N925" s="1015"/>
      <c r="O925" s="210"/>
      <c r="P925" s="68" t="s">
        <v>72</v>
      </c>
      <c r="Q925" s="100">
        <f t="shared" si="504"/>
        <v>0</v>
      </c>
      <c r="R925" s="13" t="str">
        <f t="shared" si="505"/>
        <v>Фото &gt;&gt;</v>
      </c>
      <c r="S925" s="14" t="s">
        <v>2935</v>
      </c>
      <c r="U925" s="4"/>
      <c r="V925" s="4"/>
      <c r="AK925">
        <v>0.11</v>
      </c>
      <c r="AL925">
        <f t="shared" si="501"/>
        <v>0</v>
      </c>
      <c r="AM925">
        <f t="shared" si="502"/>
        <v>0</v>
      </c>
      <c r="AN925">
        <f t="shared" si="503"/>
        <v>0</v>
      </c>
      <c r="AO925" t="s">
        <v>2942</v>
      </c>
      <c r="AV925" t="str">
        <f>IF(F925&gt;0,(COUNT($AV$1:AV924)+1),"")</f>
        <v/>
      </c>
    </row>
    <row r="926" spans="1:48" ht="15" customHeight="1" x14ac:dyDescent="0.25">
      <c r="A926" s="1"/>
      <c r="B926" s="30">
        <v>20234</v>
      </c>
      <c r="C926" s="20">
        <v>4640200410368</v>
      </c>
      <c r="D926" s="225" t="s">
        <v>5704</v>
      </c>
      <c r="E926" s="67">
        <v>16</v>
      </c>
      <c r="F926" s="222"/>
      <c r="G926" s="107">
        <v>61.9</v>
      </c>
      <c r="H926" s="21">
        <v>64.8</v>
      </c>
      <c r="I926" s="22">
        <v>73</v>
      </c>
      <c r="J926" s="112" t="s">
        <v>421</v>
      </c>
      <c r="K926" s="45" t="s">
        <v>417</v>
      </c>
      <c r="L926" s="437"/>
      <c r="M926" s="474" t="s">
        <v>104</v>
      </c>
      <c r="N926" s="1013"/>
      <c r="O926" s="209"/>
      <c r="P926" s="66" t="s">
        <v>72</v>
      </c>
      <c r="Q926" s="100">
        <f t="shared" si="504"/>
        <v>0</v>
      </c>
      <c r="R926" s="13" t="str">
        <f t="shared" si="505"/>
        <v>Фото &gt;&gt;</v>
      </c>
      <c r="S926" s="14" t="s">
        <v>2936</v>
      </c>
      <c r="U926" s="4"/>
      <c r="V926" s="4"/>
      <c r="AK926">
        <v>0.11</v>
      </c>
      <c r="AL926">
        <f t="shared" si="501"/>
        <v>0</v>
      </c>
      <c r="AM926">
        <f t="shared" si="502"/>
        <v>0</v>
      </c>
      <c r="AN926">
        <f t="shared" si="503"/>
        <v>0</v>
      </c>
      <c r="AO926" t="s">
        <v>2943</v>
      </c>
      <c r="AV926" t="str">
        <f>IF(F926&gt;0,(COUNT($AV$1:AV925)+1),"")</f>
        <v/>
      </c>
    </row>
    <row r="927" spans="1:48" ht="15" customHeight="1" x14ac:dyDescent="0.25">
      <c r="A927" s="1"/>
      <c r="B927" s="25"/>
      <c r="C927" s="26"/>
      <c r="D927" s="228" t="s">
        <v>1432</v>
      </c>
      <c r="E927" s="80"/>
      <c r="F927" s="96"/>
      <c r="G927" s="28"/>
      <c r="H927" s="29"/>
      <c r="I927" s="29"/>
      <c r="J927" s="51"/>
      <c r="K927" s="47"/>
      <c r="L927" s="447"/>
      <c r="M927" s="489"/>
      <c r="N927" s="716"/>
      <c r="O927" s="186"/>
      <c r="P927" s="79"/>
      <c r="Q927" s="104"/>
      <c r="R927" s="13"/>
      <c r="S927" s="14"/>
      <c r="U927" s="4"/>
      <c r="V927" s="4"/>
      <c r="AL927">
        <f t="shared" si="501"/>
        <v>0</v>
      </c>
      <c r="AM927">
        <f t="shared" si="502"/>
        <v>0</v>
      </c>
      <c r="AN927">
        <f t="shared" si="503"/>
        <v>0</v>
      </c>
      <c r="AO927" t="s">
        <v>104</v>
      </c>
      <c r="AV927" t="str">
        <f>IF(F927&gt;0,(COUNT($AV$1:AV926)+1),"")</f>
        <v/>
      </c>
    </row>
    <row r="928" spans="1:48" ht="15" customHeight="1" x14ac:dyDescent="0.25">
      <c r="A928" s="1"/>
      <c r="B928" s="31">
        <v>18715</v>
      </c>
      <c r="C928" s="16">
        <v>4603734868708</v>
      </c>
      <c r="D928" s="226" t="s">
        <v>7644</v>
      </c>
      <c r="E928" s="69">
        <v>16</v>
      </c>
      <c r="F928" s="222"/>
      <c r="G928" s="108">
        <v>134.19999999999999</v>
      </c>
      <c r="H928" s="17">
        <v>140.5</v>
      </c>
      <c r="I928" s="18">
        <v>158</v>
      </c>
      <c r="J928" s="113" t="s">
        <v>421</v>
      </c>
      <c r="K928" s="44" t="s">
        <v>105</v>
      </c>
      <c r="L928" s="442"/>
      <c r="M928" s="480" t="s">
        <v>1856</v>
      </c>
      <c r="N928" s="1015" t="s">
        <v>1856</v>
      </c>
      <c r="O928" s="210"/>
      <c r="P928" s="68" t="s">
        <v>72</v>
      </c>
      <c r="Q928" s="100">
        <f>IF(AND($AO$833=1,MOD(F928,E928)=0),F928*G928,IF($AO$833&lt;=2,F928*H928,F928*I928))</f>
        <v>0</v>
      </c>
      <c r="R928" s="13" t="str">
        <f t="shared" ref="R928:R930" si="506">IF(AO928&gt;0,HYPERLINK(AO928,"Фото &gt;&gt;"),"")</f>
        <v>Фото &gt;&gt;</v>
      </c>
      <c r="S928" s="14" t="s">
        <v>3549</v>
      </c>
      <c r="U928" s="4"/>
      <c r="V928" s="4"/>
      <c r="AK928">
        <v>0.27</v>
      </c>
      <c r="AL928">
        <f t="shared" si="501"/>
        <v>0</v>
      </c>
      <c r="AM928">
        <f t="shared" si="502"/>
        <v>0</v>
      </c>
      <c r="AN928">
        <f t="shared" si="503"/>
        <v>0</v>
      </c>
      <c r="AO928" t="s">
        <v>7160</v>
      </c>
      <c r="AV928" t="str">
        <f>IF(F928&gt;0,(COUNT($AV$1:AV927)+1),"")</f>
        <v/>
      </c>
    </row>
    <row r="929" spans="1:48" ht="15" customHeight="1" x14ac:dyDescent="0.25">
      <c r="A929" s="1"/>
      <c r="B929" s="30">
        <v>14457</v>
      </c>
      <c r="C929" s="20">
        <v>4650061333171</v>
      </c>
      <c r="D929" s="225" t="s">
        <v>7645</v>
      </c>
      <c r="E929" s="67">
        <v>16</v>
      </c>
      <c r="F929" s="222"/>
      <c r="G929" s="107">
        <v>104.7</v>
      </c>
      <c r="H929" s="21">
        <v>109.6</v>
      </c>
      <c r="I929" s="22">
        <v>124</v>
      </c>
      <c r="J929" s="112" t="s">
        <v>421</v>
      </c>
      <c r="K929" s="45" t="s">
        <v>105</v>
      </c>
      <c r="L929" s="437"/>
      <c r="M929" s="474" t="s">
        <v>1856</v>
      </c>
      <c r="N929" s="1013" t="s">
        <v>1856</v>
      </c>
      <c r="O929" s="209"/>
      <c r="P929" s="66" t="s">
        <v>72</v>
      </c>
      <c r="Q929" s="100">
        <f>IF(AND($AO$833=1,MOD(F929,E929)=0),F929*G929,IF($AO$833&lt;=2,F929*H929,F929*I929))</f>
        <v>0</v>
      </c>
      <c r="R929" s="13" t="str">
        <f t="shared" si="506"/>
        <v>Фото &gt;&gt;</v>
      </c>
      <c r="S929" s="14" t="s">
        <v>463</v>
      </c>
      <c r="U929" s="4"/>
      <c r="V929" s="4"/>
      <c r="AK929">
        <v>0.27</v>
      </c>
      <c r="AL929">
        <f t="shared" si="501"/>
        <v>0</v>
      </c>
      <c r="AM929">
        <f t="shared" si="502"/>
        <v>0</v>
      </c>
      <c r="AN929">
        <f t="shared" si="503"/>
        <v>0</v>
      </c>
      <c r="AO929" t="s">
        <v>4314</v>
      </c>
      <c r="AV929" t="str">
        <f>IF(F929&gt;0,(COUNT($AV$1:AV928)+1),"")</f>
        <v/>
      </c>
    </row>
    <row r="930" spans="1:48" ht="15" customHeight="1" x14ac:dyDescent="0.25">
      <c r="A930" s="1"/>
      <c r="B930" s="31">
        <v>19546</v>
      </c>
      <c r="C930" s="16">
        <v>4650061333928</v>
      </c>
      <c r="D930" s="226" t="s">
        <v>7646</v>
      </c>
      <c r="E930" s="69">
        <v>16</v>
      </c>
      <c r="F930" s="222"/>
      <c r="G930" s="108">
        <v>104.7</v>
      </c>
      <c r="H930" s="17">
        <v>109.6</v>
      </c>
      <c r="I930" s="18">
        <v>123.6</v>
      </c>
      <c r="J930" s="113" t="s">
        <v>421</v>
      </c>
      <c r="K930" s="44" t="s">
        <v>105</v>
      </c>
      <c r="L930" s="442"/>
      <c r="M930" s="480" t="s">
        <v>1856</v>
      </c>
      <c r="N930" s="1015" t="s">
        <v>1856</v>
      </c>
      <c r="O930" s="210"/>
      <c r="P930" s="68" t="s">
        <v>72</v>
      </c>
      <c r="Q930" s="100">
        <f>IF(AND($AO$833=1,MOD(F930,E930)=0),F930*G930,IF($AO$833&lt;=2,F930*H930,F930*I930))</f>
        <v>0</v>
      </c>
      <c r="R930" s="13" t="str">
        <f t="shared" si="506"/>
        <v>Фото &gt;&gt;</v>
      </c>
      <c r="S930" s="14" t="s">
        <v>464</v>
      </c>
      <c r="U930" s="4"/>
      <c r="V930" s="4"/>
      <c r="AK930">
        <v>0.27</v>
      </c>
      <c r="AL930">
        <f t="shared" si="501"/>
        <v>0</v>
      </c>
      <c r="AM930">
        <f t="shared" si="502"/>
        <v>0</v>
      </c>
      <c r="AN930">
        <f t="shared" si="503"/>
        <v>0</v>
      </c>
      <c r="AO930" t="s">
        <v>4315</v>
      </c>
      <c r="AV930" t="str">
        <f>IF(F930&gt;0,(COUNT($AV$1:AV929)+1),"")</f>
        <v/>
      </c>
    </row>
    <row r="931" spans="1:48" ht="15" customHeight="1" x14ac:dyDescent="0.25">
      <c r="A931" s="1"/>
      <c r="B931" s="30">
        <v>14456</v>
      </c>
      <c r="C931" s="20">
        <v>4650061333164</v>
      </c>
      <c r="D931" s="225" t="s">
        <v>7647</v>
      </c>
      <c r="E931" s="67">
        <v>16</v>
      </c>
      <c r="F931" s="222"/>
      <c r="G931" s="107">
        <v>104.7</v>
      </c>
      <c r="H931" s="21">
        <v>109.6</v>
      </c>
      <c r="I931" s="22">
        <v>123.6</v>
      </c>
      <c r="J931" s="112" t="s">
        <v>421</v>
      </c>
      <c r="K931" s="45" t="s">
        <v>105</v>
      </c>
      <c r="L931" s="437"/>
      <c r="M931" s="474" t="s">
        <v>1856</v>
      </c>
      <c r="N931" s="1013" t="s">
        <v>1856</v>
      </c>
      <c r="O931" s="209"/>
      <c r="P931" s="66" t="s">
        <v>72</v>
      </c>
      <c r="Q931" s="100">
        <f>IF(AND($AO$833=1,MOD(F931,E931)=0),F931*G931,IF($AO$833&lt;=2,F931*H931,F931*I931))</f>
        <v>0</v>
      </c>
      <c r="R931" s="13" t="str">
        <f>IF(AO931&gt;0,HYPERLINK(AO931,"Фото &gt;&gt;"),"")</f>
        <v>Фото &gt;&gt;</v>
      </c>
      <c r="S931" s="14" t="s">
        <v>463</v>
      </c>
      <c r="U931" s="4"/>
      <c r="V931" s="4"/>
      <c r="AK931">
        <v>0.27</v>
      </c>
      <c r="AL931">
        <f t="shared" si="501"/>
        <v>0</v>
      </c>
      <c r="AM931">
        <f t="shared" si="502"/>
        <v>0</v>
      </c>
      <c r="AN931">
        <f t="shared" si="503"/>
        <v>0</v>
      </c>
      <c r="AO931" t="s">
        <v>4316</v>
      </c>
      <c r="AV931" t="str">
        <f>IF(F931&gt;0,(COUNT($AV$1:AV930)+1),"")</f>
        <v/>
      </c>
    </row>
    <row r="932" spans="1:48" ht="15" customHeight="1" x14ac:dyDescent="0.25">
      <c r="A932" s="1"/>
      <c r="B932" s="31">
        <v>14458</v>
      </c>
      <c r="C932" s="16">
        <v>4650061333157</v>
      </c>
      <c r="D932" s="226" t="s">
        <v>7648</v>
      </c>
      <c r="E932" s="69">
        <v>16</v>
      </c>
      <c r="F932" s="222"/>
      <c r="G932" s="108">
        <v>104.7</v>
      </c>
      <c r="H932" s="17">
        <v>109.6</v>
      </c>
      <c r="I932" s="18">
        <v>123.6</v>
      </c>
      <c r="J932" s="113" t="s">
        <v>421</v>
      </c>
      <c r="K932" s="44" t="s">
        <v>105</v>
      </c>
      <c r="L932" s="442"/>
      <c r="M932" s="480" t="s">
        <v>1856</v>
      </c>
      <c r="N932" s="1015" t="s">
        <v>1856</v>
      </c>
      <c r="O932" s="210"/>
      <c r="P932" s="68" t="s">
        <v>72</v>
      </c>
      <c r="Q932" s="100">
        <f>IF(AND($AO$833=1,MOD(F932,E932)=0),F932*G932,IF($AO$833&lt;=2,F932*H932,F932*I932))</f>
        <v>0</v>
      </c>
      <c r="R932" s="13" t="str">
        <f t="shared" ref="R932" si="507">IF(AO932&gt;0,HYPERLINK(AO932,"Фото &gt;&gt;"),"")</f>
        <v>Фото &gt;&gt;</v>
      </c>
      <c r="S932" s="14" t="s">
        <v>463</v>
      </c>
      <c r="U932" s="4"/>
      <c r="V932" s="4"/>
      <c r="AK932">
        <v>0.27</v>
      </c>
      <c r="AL932">
        <f t="shared" si="501"/>
        <v>0</v>
      </c>
      <c r="AM932">
        <f t="shared" si="502"/>
        <v>0</v>
      </c>
      <c r="AN932">
        <f t="shared" si="503"/>
        <v>0</v>
      </c>
      <c r="AO932" t="s">
        <v>4317</v>
      </c>
      <c r="AV932" t="str">
        <f>IF(F932&gt;0,(COUNT($AV$1:AV931)+1),"")</f>
        <v/>
      </c>
    </row>
    <row r="933" spans="1:48" ht="15" customHeight="1" x14ac:dyDescent="0.25">
      <c r="A933" s="1"/>
      <c r="B933" s="25"/>
      <c r="C933" s="26"/>
      <c r="D933" s="228" t="s">
        <v>1429</v>
      </c>
      <c r="E933" s="80"/>
      <c r="F933" s="96"/>
      <c r="G933" s="951"/>
      <c r="H933" s="282"/>
      <c r="I933" s="282"/>
      <c r="J933" s="51"/>
      <c r="K933" s="47"/>
      <c r="L933" s="447"/>
      <c r="M933" s="489"/>
      <c r="N933" s="716"/>
      <c r="O933" s="186"/>
      <c r="P933" s="79"/>
      <c r="Q933" s="104"/>
      <c r="R933" s="13"/>
      <c r="S933" s="14"/>
      <c r="U933" s="4"/>
      <c r="V933" s="4"/>
      <c r="AL933">
        <f t="shared" si="501"/>
        <v>0</v>
      </c>
      <c r="AM933">
        <f t="shared" si="502"/>
        <v>0</v>
      </c>
      <c r="AN933">
        <f t="shared" si="503"/>
        <v>0</v>
      </c>
      <c r="AO933" t="s">
        <v>104</v>
      </c>
      <c r="AV933" t="str">
        <f>IF(F933&gt;0,(COUNT($AV$1:AV932)+1),"")</f>
        <v/>
      </c>
    </row>
    <row r="934" spans="1:48" ht="15" customHeight="1" x14ac:dyDescent="0.25">
      <c r="A934" s="1"/>
      <c r="B934" s="30">
        <v>13277</v>
      </c>
      <c r="C934" s="20">
        <v>4606938004590</v>
      </c>
      <c r="D934" s="421" t="s">
        <v>467</v>
      </c>
      <c r="E934" s="67">
        <v>12</v>
      </c>
      <c r="F934" s="222"/>
      <c r="G934" s="419">
        <v>100.8</v>
      </c>
      <c r="H934" s="417">
        <v>105.6</v>
      </c>
      <c r="I934" s="418">
        <v>118.8</v>
      </c>
      <c r="J934" s="112" t="s">
        <v>421</v>
      </c>
      <c r="K934" s="45" t="s">
        <v>92</v>
      </c>
      <c r="L934" s="437"/>
      <c r="M934" s="474" t="s">
        <v>104</v>
      </c>
      <c r="N934" s="1013" t="s">
        <v>1856</v>
      </c>
      <c r="O934" s="209" t="s">
        <v>6856</v>
      </c>
      <c r="P934" s="66" t="s">
        <v>40</v>
      </c>
      <c r="Q934" s="100">
        <f t="shared" ref="Q934:Q945" si="508">IF(AND($AO$833=1,MOD(F934,E934)=0),F934*G934,IF($AO$833&lt;=2,F934*H934,F934*I934))</f>
        <v>0</v>
      </c>
      <c r="R934" s="13" t="str">
        <f t="shared" ref="R934:R945" si="509">IF(AO934&gt;0,HYPERLINK(AO934,"Фото &gt;&gt;"),"")</f>
        <v>Фото &gt;&gt;</v>
      </c>
      <c r="S934" s="14" t="s">
        <v>468</v>
      </c>
      <c r="U934" s="4"/>
      <c r="V934" s="4"/>
      <c r="AK934">
        <v>0.22</v>
      </c>
      <c r="AL934">
        <f t="shared" si="501"/>
        <v>0</v>
      </c>
      <c r="AM934">
        <f t="shared" si="502"/>
        <v>0</v>
      </c>
      <c r="AN934">
        <f t="shared" si="503"/>
        <v>0</v>
      </c>
      <c r="AO934" t="s">
        <v>4876</v>
      </c>
      <c r="AV934" t="str">
        <f>IF(F934&gt;0,(COUNT($AV$1:AV933)+1),"")</f>
        <v/>
      </c>
    </row>
    <row r="935" spans="1:48" ht="15" customHeight="1" x14ac:dyDescent="0.25">
      <c r="A935" s="1"/>
      <c r="B935" s="31">
        <v>12394</v>
      </c>
      <c r="C935" s="16">
        <v>4606938004606</v>
      </c>
      <c r="D935" s="422" t="s">
        <v>7684</v>
      </c>
      <c r="E935" s="69">
        <v>12</v>
      </c>
      <c r="F935" s="222"/>
      <c r="G935" s="420">
        <v>100.8</v>
      </c>
      <c r="H935" s="415">
        <v>105.6</v>
      </c>
      <c r="I935" s="416">
        <v>119.1</v>
      </c>
      <c r="J935" s="113" t="s">
        <v>421</v>
      </c>
      <c r="K935" s="44" t="s">
        <v>92</v>
      </c>
      <c r="L935" s="442"/>
      <c r="M935" s="480" t="s">
        <v>104</v>
      </c>
      <c r="N935" s="1015" t="s">
        <v>1856</v>
      </c>
      <c r="O935" s="210" t="s">
        <v>6856</v>
      </c>
      <c r="P935" s="68" t="s">
        <v>40</v>
      </c>
      <c r="Q935" s="100">
        <f t="shared" si="508"/>
        <v>0</v>
      </c>
      <c r="R935" s="13" t="str">
        <f t="shared" si="509"/>
        <v>Фото &gt;&gt;</v>
      </c>
      <c r="S935" s="14" t="s">
        <v>469</v>
      </c>
      <c r="U935" s="4"/>
      <c r="V935" s="4"/>
      <c r="AK935">
        <v>0.22</v>
      </c>
      <c r="AL935">
        <f t="shared" si="501"/>
        <v>0</v>
      </c>
      <c r="AM935">
        <f t="shared" si="502"/>
        <v>0</v>
      </c>
      <c r="AN935">
        <f t="shared" si="503"/>
        <v>0</v>
      </c>
      <c r="AO935" t="s">
        <v>4877</v>
      </c>
      <c r="AV935" t="str">
        <f>IF(F935&gt;0,(COUNT($AV$1:AV934)+1),"")</f>
        <v/>
      </c>
    </row>
    <row r="936" spans="1:48" ht="15" customHeight="1" x14ac:dyDescent="0.25">
      <c r="A936" s="1"/>
      <c r="B936" s="30">
        <v>15152</v>
      </c>
      <c r="C936" s="20">
        <v>4650061330651</v>
      </c>
      <c r="D936" s="421" t="s">
        <v>7685</v>
      </c>
      <c r="E936" s="67">
        <v>12</v>
      </c>
      <c r="F936" s="222"/>
      <c r="G936" s="419">
        <v>100.8</v>
      </c>
      <c r="H936" s="417">
        <v>105.6</v>
      </c>
      <c r="I936" s="418">
        <v>118.8</v>
      </c>
      <c r="J936" s="112" t="s">
        <v>421</v>
      </c>
      <c r="K936" s="45" t="s">
        <v>92</v>
      </c>
      <c r="L936" s="437"/>
      <c r="M936" s="474" t="s">
        <v>104</v>
      </c>
      <c r="N936" s="1013" t="s">
        <v>1856</v>
      </c>
      <c r="O936" s="209" t="s">
        <v>6856</v>
      </c>
      <c r="P936" s="66" t="s">
        <v>40</v>
      </c>
      <c r="Q936" s="100">
        <f t="shared" si="508"/>
        <v>0</v>
      </c>
      <c r="R936" s="13" t="str">
        <f t="shared" si="509"/>
        <v>Фото &gt;&gt;</v>
      </c>
      <c r="S936" s="14" t="s">
        <v>470</v>
      </c>
      <c r="U936" s="4"/>
      <c r="V936" s="4"/>
      <c r="AK936">
        <v>0.22</v>
      </c>
      <c r="AL936">
        <f t="shared" si="501"/>
        <v>0</v>
      </c>
      <c r="AM936">
        <f t="shared" si="502"/>
        <v>0</v>
      </c>
      <c r="AN936">
        <f t="shared" si="503"/>
        <v>0</v>
      </c>
      <c r="AO936" t="s">
        <v>4878</v>
      </c>
      <c r="AV936" t="str">
        <f>IF(F936&gt;0,(COUNT($AV$1:AV935)+1),"")</f>
        <v/>
      </c>
    </row>
    <row r="937" spans="1:48" ht="15" customHeight="1" x14ac:dyDescent="0.25">
      <c r="A937" s="1"/>
      <c r="B937" s="31">
        <v>12822</v>
      </c>
      <c r="C937" s="16">
        <v>4606938004620</v>
      </c>
      <c r="D937" s="422" t="s">
        <v>7686</v>
      </c>
      <c r="E937" s="69">
        <v>12</v>
      </c>
      <c r="F937" s="222"/>
      <c r="G937" s="420">
        <v>100.8</v>
      </c>
      <c r="H937" s="415">
        <v>105.6</v>
      </c>
      <c r="I937" s="416">
        <v>118.8</v>
      </c>
      <c r="J937" s="113" t="s">
        <v>421</v>
      </c>
      <c r="K937" s="44" t="s">
        <v>92</v>
      </c>
      <c r="L937" s="442"/>
      <c r="M937" s="480" t="s">
        <v>104</v>
      </c>
      <c r="N937" s="1015" t="s">
        <v>1856</v>
      </c>
      <c r="O937" s="210" t="s">
        <v>6856</v>
      </c>
      <c r="P937" s="68" t="s">
        <v>40</v>
      </c>
      <c r="Q937" s="100">
        <f t="shared" si="508"/>
        <v>0</v>
      </c>
      <c r="R937" s="13" t="str">
        <f t="shared" si="509"/>
        <v>Фото &gt;&gt;</v>
      </c>
      <c r="S937" s="14" t="s">
        <v>471</v>
      </c>
      <c r="U937" s="4"/>
      <c r="V937" s="4"/>
      <c r="AK937">
        <v>0.22</v>
      </c>
      <c r="AL937">
        <f t="shared" si="501"/>
        <v>0</v>
      </c>
      <c r="AM937">
        <f t="shared" si="502"/>
        <v>0</v>
      </c>
      <c r="AN937">
        <f t="shared" si="503"/>
        <v>0</v>
      </c>
      <c r="AO937" t="s">
        <v>4879</v>
      </c>
      <c r="AV937" t="str">
        <f>IF(F937&gt;0,(COUNT($AV$1:AV936)+1),"")</f>
        <v/>
      </c>
    </row>
    <row r="938" spans="1:48" ht="15" customHeight="1" x14ac:dyDescent="0.25">
      <c r="A938" s="1"/>
      <c r="B938" s="30">
        <v>12561</v>
      </c>
      <c r="C938" s="20">
        <v>4606938004569</v>
      </c>
      <c r="D938" s="421" t="s">
        <v>7687</v>
      </c>
      <c r="E938" s="67">
        <v>12</v>
      </c>
      <c r="F938" s="222"/>
      <c r="G938" s="419">
        <v>100.8</v>
      </c>
      <c r="H938" s="417">
        <v>105.6</v>
      </c>
      <c r="I938" s="418">
        <v>118.8</v>
      </c>
      <c r="J938" s="112" t="s">
        <v>421</v>
      </c>
      <c r="K938" s="45" t="s">
        <v>92</v>
      </c>
      <c r="L938" s="437"/>
      <c r="M938" s="474" t="s">
        <v>104</v>
      </c>
      <c r="N938" s="1013" t="s">
        <v>1856</v>
      </c>
      <c r="O938" s="209" t="s">
        <v>6856</v>
      </c>
      <c r="P938" s="66" t="s">
        <v>40</v>
      </c>
      <c r="Q938" s="100">
        <f t="shared" si="508"/>
        <v>0</v>
      </c>
      <c r="R938" s="13" t="str">
        <f t="shared" si="509"/>
        <v>Фото &gt;&gt;</v>
      </c>
      <c r="S938" s="14" t="s">
        <v>468</v>
      </c>
      <c r="U938" s="4"/>
      <c r="V938" s="4"/>
      <c r="AK938">
        <v>0.22</v>
      </c>
      <c r="AL938">
        <f t="shared" si="501"/>
        <v>0</v>
      </c>
      <c r="AM938">
        <f t="shared" si="502"/>
        <v>0</v>
      </c>
      <c r="AN938">
        <f t="shared" si="503"/>
        <v>0</v>
      </c>
      <c r="AO938" t="s">
        <v>4880</v>
      </c>
      <c r="AV938" t="str">
        <f>IF(F938&gt;0,(COUNT($AV$1:AV937)+1),"")</f>
        <v/>
      </c>
    </row>
    <row r="939" spans="1:48" ht="15" customHeight="1" x14ac:dyDescent="0.25">
      <c r="A939" s="1"/>
      <c r="B939" s="32">
        <v>12823</v>
      </c>
      <c r="C939" s="33">
        <v>4606938004613</v>
      </c>
      <c r="D939" s="615" t="s">
        <v>7688</v>
      </c>
      <c r="E939" s="71">
        <v>12</v>
      </c>
      <c r="F939" s="223"/>
      <c r="G939" s="1160">
        <v>100.8</v>
      </c>
      <c r="H939" s="1161">
        <v>105.6</v>
      </c>
      <c r="I939" s="1162">
        <v>119.1</v>
      </c>
      <c r="J939" s="114" t="s">
        <v>421</v>
      </c>
      <c r="K939" s="57" t="s">
        <v>92</v>
      </c>
      <c r="L939" s="438"/>
      <c r="M939" s="484" t="s">
        <v>104</v>
      </c>
      <c r="N939" s="1008" t="s">
        <v>1856</v>
      </c>
      <c r="O939" s="219" t="s">
        <v>6856</v>
      </c>
      <c r="P939" s="70" t="s">
        <v>40</v>
      </c>
      <c r="Q939" s="100">
        <f t="shared" si="508"/>
        <v>0</v>
      </c>
      <c r="R939" s="13" t="str">
        <f t="shared" si="509"/>
        <v>Фото &gt;&gt;</v>
      </c>
      <c r="S939" s="14" t="s">
        <v>472</v>
      </c>
      <c r="U939" s="4"/>
      <c r="V939" s="4"/>
      <c r="AK939">
        <v>0.22</v>
      </c>
      <c r="AL939">
        <f t="shared" si="501"/>
        <v>0</v>
      </c>
      <c r="AM939">
        <f t="shared" si="502"/>
        <v>0</v>
      </c>
      <c r="AN939">
        <f t="shared" si="503"/>
        <v>0</v>
      </c>
      <c r="AO939" t="s">
        <v>4881</v>
      </c>
      <c r="AV939" t="str">
        <f>IF(F939&gt;0,(COUNT($AV$1:AV938)+1),"")</f>
        <v/>
      </c>
    </row>
    <row r="940" spans="1:48" ht="15" customHeight="1" x14ac:dyDescent="0.25">
      <c r="A940" s="1"/>
      <c r="B940" s="785">
        <v>14391</v>
      </c>
      <c r="C940" s="786">
        <v>4650061331214</v>
      </c>
      <c r="D940" s="933" t="s">
        <v>465</v>
      </c>
      <c r="E940" s="788">
        <v>12</v>
      </c>
      <c r="F940" s="789"/>
      <c r="G940" s="1163">
        <v>55.5</v>
      </c>
      <c r="H940" s="1164">
        <v>58.1</v>
      </c>
      <c r="I940" s="1165">
        <v>65.7</v>
      </c>
      <c r="J940" s="792" t="s">
        <v>421</v>
      </c>
      <c r="K940" s="793" t="s">
        <v>92</v>
      </c>
      <c r="L940" s="781"/>
      <c r="M940" s="782" t="s">
        <v>104</v>
      </c>
      <c r="N940" s="1009" t="s">
        <v>1856</v>
      </c>
      <c r="O940" s="794" t="s">
        <v>6856</v>
      </c>
      <c r="P940" s="784" t="s">
        <v>40</v>
      </c>
      <c r="Q940" s="100">
        <f t="shared" si="508"/>
        <v>0</v>
      </c>
      <c r="R940" s="13" t="str">
        <f t="shared" si="509"/>
        <v>Фото &gt;&gt;</v>
      </c>
      <c r="S940" s="14" t="s">
        <v>466</v>
      </c>
      <c r="U940" s="4"/>
      <c r="V940" s="4"/>
      <c r="AK940">
        <v>0.12</v>
      </c>
      <c r="AL940">
        <f t="shared" si="501"/>
        <v>0</v>
      </c>
      <c r="AM940">
        <f t="shared" si="502"/>
        <v>0</v>
      </c>
      <c r="AN940">
        <f t="shared" si="503"/>
        <v>0</v>
      </c>
      <c r="AO940" t="s">
        <v>7166</v>
      </c>
      <c r="AV940" t="str">
        <f>IF(F940&gt;0,(COUNT($AV$1:AV939)+1),"")</f>
        <v/>
      </c>
    </row>
    <row r="941" spans="1:48" ht="15" customHeight="1" x14ac:dyDescent="0.25">
      <c r="A941" s="1"/>
      <c r="B941" s="31">
        <v>14313</v>
      </c>
      <c r="C941" s="16">
        <v>4650061331221</v>
      </c>
      <c r="D941" s="422" t="s">
        <v>7689</v>
      </c>
      <c r="E941" s="69">
        <v>12</v>
      </c>
      <c r="F941" s="222"/>
      <c r="G941" s="420">
        <v>55.5</v>
      </c>
      <c r="H941" s="415">
        <v>58.1</v>
      </c>
      <c r="I941" s="416">
        <v>65.7</v>
      </c>
      <c r="J941" s="113" t="s">
        <v>421</v>
      </c>
      <c r="K941" s="44" t="s">
        <v>92</v>
      </c>
      <c r="L941" s="442"/>
      <c r="M941" s="480" t="s">
        <v>104</v>
      </c>
      <c r="N941" s="1015" t="s">
        <v>1856</v>
      </c>
      <c r="O941" s="210" t="s">
        <v>6856</v>
      </c>
      <c r="P941" s="68" t="s">
        <v>40</v>
      </c>
      <c r="Q941" s="100">
        <f t="shared" si="508"/>
        <v>0</v>
      </c>
      <c r="R941" s="13" t="str">
        <f t="shared" si="509"/>
        <v>Фото &gt;&gt;</v>
      </c>
      <c r="S941" s="14" t="s">
        <v>473</v>
      </c>
      <c r="U941" s="4"/>
      <c r="V941" s="4"/>
      <c r="AK941">
        <v>0.12</v>
      </c>
      <c r="AL941">
        <f>F941*G941</f>
        <v>0</v>
      </c>
      <c r="AM941">
        <f>F941*H941</f>
        <v>0</v>
      </c>
      <c r="AN941">
        <f t="shared" si="503"/>
        <v>0</v>
      </c>
      <c r="AO941" t="s">
        <v>7165</v>
      </c>
      <c r="AV941" t="str">
        <f>IF(F941&gt;0,(COUNT($AV$1:AV940)+1),"")</f>
        <v/>
      </c>
    </row>
    <row r="942" spans="1:48" ht="15" customHeight="1" x14ac:dyDescent="0.25">
      <c r="A942" s="1"/>
      <c r="B942" s="30">
        <v>14316</v>
      </c>
      <c r="C942" s="20">
        <v>4650061331269</v>
      </c>
      <c r="D942" s="421" t="s">
        <v>7690</v>
      </c>
      <c r="E942" s="67">
        <v>12</v>
      </c>
      <c r="F942" s="222"/>
      <c r="G942" s="419">
        <v>55.5</v>
      </c>
      <c r="H942" s="417">
        <v>58.1</v>
      </c>
      <c r="I942" s="418">
        <v>65.7</v>
      </c>
      <c r="J942" s="112" t="s">
        <v>421</v>
      </c>
      <c r="K942" s="45" t="s">
        <v>92</v>
      </c>
      <c r="L942" s="437"/>
      <c r="M942" s="474" t="s">
        <v>104</v>
      </c>
      <c r="N942" s="1013" t="s">
        <v>1856</v>
      </c>
      <c r="O942" s="209" t="s">
        <v>6856</v>
      </c>
      <c r="P942" s="66" t="s">
        <v>40</v>
      </c>
      <c r="Q942" s="100">
        <f t="shared" si="508"/>
        <v>0</v>
      </c>
      <c r="R942" s="13" t="str">
        <f t="shared" si="509"/>
        <v>Фото &gt;&gt;</v>
      </c>
      <c r="S942" s="14" t="s">
        <v>474</v>
      </c>
      <c r="U942" s="4"/>
      <c r="V942" s="4"/>
      <c r="AK942">
        <v>0.12</v>
      </c>
      <c r="AL942">
        <f>F942*G942</f>
        <v>0</v>
      </c>
      <c r="AM942">
        <f>F942*H942</f>
        <v>0</v>
      </c>
      <c r="AN942">
        <f t="shared" si="503"/>
        <v>0</v>
      </c>
      <c r="AO942" t="s">
        <v>7163</v>
      </c>
      <c r="AV942" t="str">
        <f>IF(F942&gt;0,(COUNT($AV$1:AV941)+1),"")</f>
        <v/>
      </c>
    </row>
    <row r="943" spans="1:48" ht="15" customHeight="1" x14ac:dyDescent="0.25">
      <c r="A943" s="1"/>
      <c r="B943" s="31">
        <v>14314</v>
      </c>
      <c r="C943" s="16">
        <v>4650061331245</v>
      </c>
      <c r="D943" s="422" t="s">
        <v>7691</v>
      </c>
      <c r="E943" s="69">
        <v>12</v>
      </c>
      <c r="F943" s="222"/>
      <c r="G943" s="420">
        <v>55.5</v>
      </c>
      <c r="H943" s="415">
        <v>58.1</v>
      </c>
      <c r="I943" s="416">
        <v>65.7</v>
      </c>
      <c r="J943" s="113" t="s">
        <v>421</v>
      </c>
      <c r="K943" s="44" t="s">
        <v>92</v>
      </c>
      <c r="L943" s="442"/>
      <c r="M943" s="480" t="s">
        <v>104</v>
      </c>
      <c r="N943" s="1015" t="s">
        <v>1856</v>
      </c>
      <c r="O943" s="210" t="s">
        <v>6856</v>
      </c>
      <c r="P943" s="68" t="s">
        <v>40</v>
      </c>
      <c r="Q943" s="100">
        <f t="shared" si="508"/>
        <v>0</v>
      </c>
      <c r="R943" s="13" t="str">
        <f t="shared" si="509"/>
        <v>Фото &gt;&gt;</v>
      </c>
      <c r="S943" s="14" t="s">
        <v>475</v>
      </c>
      <c r="U943" s="4"/>
      <c r="V943" s="4"/>
      <c r="AK943">
        <v>0.12</v>
      </c>
      <c r="AL943">
        <f>F943*G943</f>
        <v>0</v>
      </c>
      <c r="AM943">
        <f>F943*H943</f>
        <v>0</v>
      </c>
      <c r="AN943">
        <f t="shared" si="503"/>
        <v>0</v>
      </c>
      <c r="AO943" t="s">
        <v>4882</v>
      </c>
      <c r="AV943" t="str">
        <f>IF(F943&gt;0,(COUNT($AV$1:AV942)+1),"")</f>
        <v/>
      </c>
    </row>
    <row r="944" spans="1:48" ht="15" customHeight="1" x14ac:dyDescent="0.25">
      <c r="A944" s="1"/>
      <c r="B944" s="30">
        <v>14315</v>
      </c>
      <c r="C944" s="20">
        <v>4650061331252</v>
      </c>
      <c r="D944" s="421" t="s">
        <v>7692</v>
      </c>
      <c r="E944" s="67">
        <v>12</v>
      </c>
      <c r="F944" s="222"/>
      <c r="G944" s="419">
        <v>55.5</v>
      </c>
      <c r="H944" s="417">
        <v>58.1</v>
      </c>
      <c r="I944" s="418">
        <v>65.7</v>
      </c>
      <c r="J944" s="112" t="s">
        <v>421</v>
      </c>
      <c r="K944" s="45" t="s">
        <v>92</v>
      </c>
      <c r="L944" s="437"/>
      <c r="M944" s="474" t="s">
        <v>104</v>
      </c>
      <c r="N944" s="1013" t="s">
        <v>1856</v>
      </c>
      <c r="O944" s="209" t="s">
        <v>6856</v>
      </c>
      <c r="P944" s="66" t="s">
        <v>40</v>
      </c>
      <c r="Q944" s="100">
        <f t="shared" si="508"/>
        <v>0</v>
      </c>
      <c r="R944" s="13" t="str">
        <f t="shared" si="509"/>
        <v>Фото &gt;&gt;</v>
      </c>
      <c r="S944" s="14" t="s">
        <v>476</v>
      </c>
      <c r="U944" s="4"/>
      <c r="V944" s="4"/>
      <c r="AK944">
        <v>0.12</v>
      </c>
      <c r="AL944">
        <f>F944*G944</f>
        <v>0</v>
      </c>
      <c r="AM944">
        <f>F944*H944</f>
        <v>0</v>
      </c>
      <c r="AN944">
        <f t="shared" si="503"/>
        <v>0</v>
      </c>
      <c r="AO944" t="s">
        <v>4883</v>
      </c>
      <c r="AV944" t="str">
        <f>IF(F944&gt;0,(COUNT($AV$1:AV943)+1),"")</f>
        <v/>
      </c>
    </row>
    <row r="945" spans="1:48" ht="15" customHeight="1" x14ac:dyDescent="0.25">
      <c r="A945" s="1"/>
      <c r="B945" s="31">
        <v>14312</v>
      </c>
      <c r="C945" s="16">
        <v>4650061331238</v>
      </c>
      <c r="D945" s="422" t="s">
        <v>7693</v>
      </c>
      <c r="E945" s="69">
        <v>12</v>
      </c>
      <c r="F945" s="222"/>
      <c r="G945" s="420">
        <v>55.5</v>
      </c>
      <c r="H945" s="415">
        <v>58.1</v>
      </c>
      <c r="I945" s="416">
        <v>65.7</v>
      </c>
      <c r="J945" s="113" t="s">
        <v>421</v>
      </c>
      <c r="K945" s="44" t="s">
        <v>92</v>
      </c>
      <c r="L945" s="442"/>
      <c r="M945" s="480" t="s">
        <v>104</v>
      </c>
      <c r="N945" s="1015" t="s">
        <v>1856</v>
      </c>
      <c r="O945" s="210" t="s">
        <v>6856</v>
      </c>
      <c r="P945" s="68" t="s">
        <v>40</v>
      </c>
      <c r="Q945" s="100">
        <f t="shared" si="508"/>
        <v>0</v>
      </c>
      <c r="R945" s="13" t="str">
        <f t="shared" si="509"/>
        <v>Фото &gt;&gt;</v>
      </c>
      <c r="S945" s="14" t="s">
        <v>466</v>
      </c>
      <c r="U945" s="4"/>
      <c r="V945" s="4"/>
      <c r="AK945">
        <v>0.12</v>
      </c>
      <c r="AL945">
        <f>F945*G945</f>
        <v>0</v>
      </c>
      <c r="AM945">
        <f>F945*H945</f>
        <v>0</v>
      </c>
      <c r="AN945">
        <f t="shared" si="503"/>
        <v>0</v>
      </c>
      <c r="AO945" t="s">
        <v>7164</v>
      </c>
      <c r="AV945" t="str">
        <f>IF(F945&gt;0,(COUNT($AV$1:AV944)+1),"")</f>
        <v/>
      </c>
    </row>
    <row r="946" spans="1:48" ht="15" customHeight="1" x14ac:dyDescent="0.25">
      <c r="A946" s="1"/>
      <c r="B946" s="25"/>
      <c r="C946" s="26"/>
      <c r="D946" s="27" t="s">
        <v>1641</v>
      </c>
      <c r="E946" s="80"/>
      <c r="F946" s="96"/>
      <c r="G946" s="28"/>
      <c r="H946" s="29"/>
      <c r="I946" s="29"/>
      <c r="J946" s="51"/>
      <c r="K946" s="47"/>
      <c r="L946" s="447"/>
      <c r="M946" s="489" t="s">
        <v>104</v>
      </c>
      <c r="N946" s="716"/>
      <c r="O946" s="186"/>
      <c r="P946" s="79"/>
      <c r="Q946" s="104"/>
      <c r="R946" s="13"/>
      <c r="S946" s="14"/>
      <c r="U946" s="4"/>
      <c r="V946" s="4"/>
      <c r="AL946">
        <f t="shared" ref="AL946:AL955" si="510">F946*G946</f>
        <v>0</v>
      </c>
      <c r="AM946">
        <f t="shared" ref="AM946:AM955" si="511">F946*H946</f>
        <v>0</v>
      </c>
      <c r="AN946">
        <f t="shared" si="503"/>
        <v>0</v>
      </c>
      <c r="AO946" t="s">
        <v>104</v>
      </c>
      <c r="AV946" t="str">
        <f>IF(F946&gt;0,(COUNT($AV$1:AV945)+1),"")</f>
        <v/>
      </c>
    </row>
    <row r="947" spans="1:48" ht="15" customHeight="1" x14ac:dyDescent="0.25">
      <c r="A947" s="1"/>
      <c r="B947" s="30">
        <v>13861</v>
      </c>
      <c r="C947" s="20">
        <v>4650061330897</v>
      </c>
      <c r="D947" s="153" t="s">
        <v>7386</v>
      </c>
      <c r="E947" s="67">
        <v>20</v>
      </c>
      <c r="F947" s="222"/>
      <c r="G947" s="107">
        <v>207.7</v>
      </c>
      <c r="H947" s="21">
        <v>219</v>
      </c>
      <c r="I947" s="22">
        <v>240</v>
      </c>
      <c r="J947" s="112" t="s">
        <v>421</v>
      </c>
      <c r="K947" s="45" t="s">
        <v>128</v>
      </c>
      <c r="L947" s="437"/>
      <c r="M947" s="474" t="s">
        <v>104</v>
      </c>
      <c r="N947" s="1013"/>
      <c r="O947" s="209"/>
      <c r="P947" s="66" t="s">
        <v>72</v>
      </c>
      <c r="Q947" s="100">
        <f>IF(AND($AO$833=1,MOD(F947,E947)=0),F947*G947,IF($AO$833&lt;=2,F947*H947,F947*I947))</f>
        <v>0</v>
      </c>
      <c r="R947" s="13" t="str">
        <f t="shared" ref="R947" si="512">IF(AO947&gt;0,HYPERLINK(AO947,"Фото &gt;&gt;"),"")</f>
        <v>Фото &gt;&gt;</v>
      </c>
      <c r="S947" s="14" t="s">
        <v>477</v>
      </c>
      <c r="U947" s="4"/>
      <c r="V947" s="4"/>
      <c r="AK947">
        <v>0.28000000000000003</v>
      </c>
      <c r="AL947">
        <f t="shared" si="510"/>
        <v>0</v>
      </c>
      <c r="AM947">
        <f t="shared" si="511"/>
        <v>0</v>
      </c>
      <c r="AN947">
        <f t="shared" si="503"/>
        <v>0</v>
      </c>
      <c r="AO947" t="s">
        <v>5395</v>
      </c>
      <c r="AV947" t="str">
        <f>IF(F947&gt;0,(COUNT($AV$1:AV946)+1),"")</f>
        <v/>
      </c>
    </row>
    <row r="948" spans="1:48" ht="15" customHeight="1" x14ac:dyDescent="0.25">
      <c r="A948" s="1"/>
      <c r="B948" s="25"/>
      <c r="C948" s="26"/>
      <c r="D948" s="27" t="s">
        <v>442</v>
      </c>
      <c r="E948" s="80"/>
      <c r="F948" s="96"/>
      <c r="G948" s="28"/>
      <c r="H948" s="29"/>
      <c r="I948" s="29"/>
      <c r="J948" s="51"/>
      <c r="K948" s="47"/>
      <c r="L948" s="447"/>
      <c r="M948" s="489"/>
      <c r="N948" s="716"/>
      <c r="O948" s="186"/>
      <c r="P948" s="79"/>
      <c r="Q948" s="104"/>
      <c r="R948" s="13"/>
      <c r="S948" s="14"/>
      <c r="U948" s="4"/>
      <c r="V948" s="4"/>
      <c r="AL948">
        <f t="shared" si="510"/>
        <v>0</v>
      </c>
      <c r="AM948">
        <f t="shared" si="511"/>
        <v>0</v>
      </c>
      <c r="AN948">
        <f t="shared" si="503"/>
        <v>0</v>
      </c>
      <c r="AO948" t="s">
        <v>104</v>
      </c>
      <c r="AV948" t="str">
        <f>IF(F948&gt;0,(COUNT($AV$1:AV947)+1),"")</f>
        <v/>
      </c>
    </row>
    <row r="949" spans="1:48" ht="15" customHeight="1" x14ac:dyDescent="0.25">
      <c r="A949" s="1"/>
      <c r="B949" s="30">
        <v>18126</v>
      </c>
      <c r="C949" s="20">
        <v>4603741780390</v>
      </c>
      <c r="D949" s="225" t="s">
        <v>6188</v>
      </c>
      <c r="E949" s="67">
        <v>14</v>
      </c>
      <c r="F949" s="222"/>
      <c r="G949" s="107">
        <v>214.4</v>
      </c>
      <c r="H949" s="21">
        <v>224.5</v>
      </c>
      <c r="I949" s="22">
        <v>251.5</v>
      </c>
      <c r="J949" s="112" t="s">
        <v>421</v>
      </c>
      <c r="K949" s="45" t="s">
        <v>442</v>
      </c>
      <c r="L949" s="437"/>
      <c r="M949" s="474"/>
      <c r="N949" s="1013"/>
      <c r="O949" s="209"/>
      <c r="P949" s="66" t="s">
        <v>53</v>
      </c>
      <c r="Q949" s="100">
        <f>IF(AND($AO$833=1,MOD(F949,E949)=0),F949*G949,IF($AO$833&lt;=2,F949*H949,F949*I949))</f>
        <v>0</v>
      </c>
      <c r="R949" s="13" t="str">
        <f t="shared" ref="R949:R950" si="513">IF(AO949&gt;0,HYPERLINK(AO949,"Фото &gt;&gt;"),"")</f>
        <v>Фото &gt;&gt;</v>
      </c>
      <c r="S949" s="14" t="s">
        <v>2163</v>
      </c>
      <c r="U949" s="4"/>
      <c r="V949" s="4"/>
      <c r="AK949">
        <v>0.17</v>
      </c>
      <c r="AL949">
        <f t="shared" si="510"/>
        <v>0</v>
      </c>
      <c r="AM949">
        <f t="shared" si="511"/>
        <v>0</v>
      </c>
      <c r="AN949">
        <f t="shared" si="503"/>
        <v>0</v>
      </c>
      <c r="AO949" t="s">
        <v>2670</v>
      </c>
      <c r="AV949" t="str">
        <f>IF(F949&gt;0,(COUNT($AV$1:AV948)+1),"")</f>
        <v/>
      </c>
    </row>
    <row r="950" spans="1:48" ht="15" customHeight="1" x14ac:dyDescent="0.25">
      <c r="A950" s="1"/>
      <c r="B950" s="31">
        <v>18127</v>
      </c>
      <c r="C950" s="16">
        <v>4603741780413</v>
      </c>
      <c r="D950" s="226" t="s">
        <v>6189</v>
      </c>
      <c r="E950" s="69">
        <v>14</v>
      </c>
      <c r="F950" s="222"/>
      <c r="G950" s="108">
        <v>214.4</v>
      </c>
      <c r="H950" s="17">
        <v>224.5</v>
      </c>
      <c r="I950" s="18">
        <v>251.5</v>
      </c>
      <c r="J950" s="113" t="s">
        <v>421</v>
      </c>
      <c r="K950" s="44" t="s">
        <v>442</v>
      </c>
      <c r="L950" s="442"/>
      <c r="M950" s="480"/>
      <c r="N950" s="1015"/>
      <c r="O950" s="210"/>
      <c r="P950" s="68" t="s">
        <v>53</v>
      </c>
      <c r="Q950" s="100">
        <f>IF(AND($AO$833=1,MOD(F950,E950)=0),F950*G950,IF($AO$833&lt;=2,F950*H950,F950*I950))</f>
        <v>0</v>
      </c>
      <c r="R950" s="13" t="str">
        <f t="shared" si="513"/>
        <v>Фото &gt;&gt;</v>
      </c>
      <c r="S950" s="14" t="s">
        <v>2162</v>
      </c>
      <c r="U950" s="4"/>
      <c r="V950" s="4"/>
      <c r="AK950">
        <v>0.17</v>
      </c>
      <c r="AL950">
        <f t="shared" si="510"/>
        <v>0</v>
      </c>
      <c r="AM950">
        <f t="shared" si="511"/>
        <v>0</v>
      </c>
      <c r="AN950">
        <f t="shared" si="503"/>
        <v>0</v>
      </c>
      <c r="AO950" t="s">
        <v>2671</v>
      </c>
      <c r="AV950" t="str">
        <f>IF(F950&gt;0,(COUNT($AV$1:AV949)+1),"")</f>
        <v/>
      </c>
    </row>
    <row r="951" spans="1:48" ht="15" customHeight="1" x14ac:dyDescent="0.25">
      <c r="A951" s="1"/>
      <c r="B951" s="25"/>
      <c r="C951" s="26"/>
      <c r="D951" s="27" t="s">
        <v>1433</v>
      </c>
      <c r="E951" s="80"/>
      <c r="F951" s="96"/>
      <c r="G951" s="28"/>
      <c r="H951" s="29"/>
      <c r="I951" s="29"/>
      <c r="J951" s="51"/>
      <c r="K951" s="47"/>
      <c r="L951" s="447"/>
      <c r="M951" s="489" t="s">
        <v>104</v>
      </c>
      <c r="N951" s="716"/>
      <c r="O951" s="186"/>
      <c r="P951" s="79"/>
      <c r="Q951" s="104"/>
      <c r="R951" s="13"/>
      <c r="S951" s="14"/>
      <c r="U951" s="4"/>
      <c r="V951" s="4"/>
      <c r="AL951">
        <f t="shared" si="510"/>
        <v>0</v>
      </c>
      <c r="AM951">
        <f t="shared" si="511"/>
        <v>0</v>
      </c>
      <c r="AN951">
        <f t="shared" si="503"/>
        <v>0</v>
      </c>
      <c r="AO951" t="s">
        <v>104</v>
      </c>
      <c r="AV951" t="str">
        <f>IF(F951&gt;0,(COUNT($AV$1:AV950)+1),"")</f>
        <v/>
      </c>
    </row>
    <row r="952" spans="1:48" ht="15" customHeight="1" x14ac:dyDescent="0.25">
      <c r="A952" s="1"/>
      <c r="B952" s="30">
        <v>19504</v>
      </c>
      <c r="C952" s="20">
        <v>4603741782103</v>
      </c>
      <c r="D952" s="225" t="s">
        <v>1868</v>
      </c>
      <c r="E952" s="67">
        <v>6</v>
      </c>
      <c r="F952" s="222"/>
      <c r="G952" s="107">
        <v>874.8</v>
      </c>
      <c r="H952" s="21">
        <v>916.2</v>
      </c>
      <c r="I952" s="22">
        <v>1033</v>
      </c>
      <c r="J952" s="112" t="s">
        <v>421</v>
      </c>
      <c r="K952" s="45" t="s">
        <v>19</v>
      </c>
      <c r="L952" s="437"/>
      <c r="M952" s="474" t="s">
        <v>104</v>
      </c>
      <c r="N952" s="1013" t="s">
        <v>1856</v>
      </c>
      <c r="O952" s="212"/>
      <c r="P952" s="66" t="s">
        <v>40</v>
      </c>
      <c r="Q952" s="100">
        <f>IF(AND($AO$833=1,MOD(F952,E952)=0),F952*G952,IF($AO$833&lt;=2,F952*H952,F952*I952))</f>
        <v>0</v>
      </c>
      <c r="R952" s="13" t="str">
        <f t="shared" ref="R952:R955" si="514">IF(AO952&gt;0,HYPERLINK(AO952,"Фото &gt;&gt;"),"")</f>
        <v>Фото &gt;&gt;</v>
      </c>
      <c r="S952" s="14" t="s">
        <v>1869</v>
      </c>
      <c r="U952" s="4"/>
      <c r="V952" s="4"/>
      <c r="AK952">
        <v>0.15</v>
      </c>
      <c r="AL952">
        <f t="shared" si="510"/>
        <v>0</v>
      </c>
      <c r="AM952">
        <f t="shared" si="511"/>
        <v>0</v>
      </c>
      <c r="AN952">
        <f t="shared" si="503"/>
        <v>0</v>
      </c>
      <c r="AO952" t="s">
        <v>2672</v>
      </c>
      <c r="AV952" t="str">
        <f>IF(F952&gt;0,(COUNT($AV$1:AV951)+1),"")</f>
        <v/>
      </c>
    </row>
    <row r="953" spans="1:48" ht="15" customHeight="1" x14ac:dyDescent="0.25">
      <c r="A953" s="1"/>
      <c r="B953" s="31">
        <v>12602</v>
      </c>
      <c r="C953" s="16">
        <v>4650061330231</v>
      </c>
      <c r="D953" s="226" t="s">
        <v>479</v>
      </c>
      <c r="E953" s="69">
        <v>20</v>
      </c>
      <c r="F953" s="222"/>
      <c r="G953" s="108">
        <v>125.3</v>
      </c>
      <c r="H953" s="17">
        <v>131.19999999999999</v>
      </c>
      <c r="I953" s="18">
        <v>148</v>
      </c>
      <c r="J953" s="113" t="s">
        <v>421</v>
      </c>
      <c r="K953" s="44" t="s">
        <v>85</v>
      </c>
      <c r="L953" s="442"/>
      <c r="M953" s="480" t="s">
        <v>104</v>
      </c>
      <c r="N953" s="1015" t="s">
        <v>1856</v>
      </c>
      <c r="O953" s="210"/>
      <c r="P953" s="68" t="s">
        <v>40</v>
      </c>
      <c r="Q953" s="100">
        <f>IF(AND($AO$833=1,MOD(F953,E953)=0),F953*G953,IF($AO$833&lt;=2,F953*H953,F953*I953))</f>
        <v>0</v>
      </c>
      <c r="R953" s="13" t="str">
        <f t="shared" si="514"/>
        <v>Фото &gt;&gt;</v>
      </c>
      <c r="S953" s="14" t="s">
        <v>480</v>
      </c>
      <c r="U953" s="4"/>
      <c r="V953" s="4"/>
      <c r="AK953">
        <v>0.28000000000000003</v>
      </c>
      <c r="AL953">
        <f t="shared" si="510"/>
        <v>0</v>
      </c>
      <c r="AM953">
        <f t="shared" si="511"/>
        <v>0</v>
      </c>
      <c r="AN953">
        <f t="shared" si="503"/>
        <v>0</v>
      </c>
      <c r="AO953" t="s">
        <v>5396</v>
      </c>
      <c r="AV953" t="str">
        <f>IF(F953&gt;0,(COUNT($AV$1:AV952)+1),"")</f>
        <v/>
      </c>
    </row>
    <row r="954" spans="1:48" ht="15" customHeight="1" x14ac:dyDescent="0.25">
      <c r="A954" s="1"/>
      <c r="B954" s="30">
        <v>12603</v>
      </c>
      <c r="C954" s="20">
        <v>4650061330248</v>
      </c>
      <c r="D954" s="225" t="s">
        <v>3163</v>
      </c>
      <c r="E954" s="67">
        <v>20</v>
      </c>
      <c r="F954" s="222"/>
      <c r="G954" s="107">
        <v>125.3</v>
      </c>
      <c r="H954" s="21">
        <v>131.19999999999999</v>
      </c>
      <c r="I954" s="22">
        <v>148</v>
      </c>
      <c r="J954" s="112" t="s">
        <v>421</v>
      </c>
      <c r="K954" s="45" t="s">
        <v>85</v>
      </c>
      <c r="L954" s="437"/>
      <c r="M954" s="474" t="s">
        <v>104</v>
      </c>
      <c r="N954" s="1013" t="s">
        <v>1856</v>
      </c>
      <c r="O954" s="209"/>
      <c r="P954" s="66" t="s">
        <v>40</v>
      </c>
      <c r="Q954" s="100">
        <f>IF(AND($AO$833=1,MOD(F954,E954)=0),F954*G954,IF($AO$833&lt;=2,F954*H954,F954*I954))</f>
        <v>0</v>
      </c>
      <c r="R954" s="13" t="str">
        <f t="shared" si="514"/>
        <v>Фото &gt;&gt;</v>
      </c>
      <c r="S954" s="14" t="s">
        <v>481</v>
      </c>
      <c r="U954" s="4"/>
      <c r="V954" s="4"/>
      <c r="AK954">
        <v>0.28000000000000003</v>
      </c>
      <c r="AL954">
        <f t="shared" si="510"/>
        <v>0</v>
      </c>
      <c r="AM954">
        <f t="shared" si="511"/>
        <v>0</v>
      </c>
      <c r="AN954">
        <f t="shared" si="503"/>
        <v>0</v>
      </c>
      <c r="AO954" t="s">
        <v>5397</v>
      </c>
      <c r="AV954" t="str">
        <f>IF(F954&gt;0,(COUNT($AV$1:AV953)+1),"")</f>
        <v/>
      </c>
    </row>
    <row r="955" spans="1:48" ht="15" customHeight="1" x14ac:dyDescent="0.25">
      <c r="A955" s="1"/>
      <c r="B955" s="31">
        <v>13341</v>
      </c>
      <c r="C955" s="16">
        <v>4650061330262</v>
      </c>
      <c r="D955" s="226" t="s">
        <v>4617</v>
      </c>
      <c r="E955" s="69">
        <v>20</v>
      </c>
      <c r="F955" s="222"/>
      <c r="G955" s="108">
        <v>125.3</v>
      </c>
      <c r="H955" s="17">
        <v>131.19999999999999</v>
      </c>
      <c r="I955" s="18">
        <v>148</v>
      </c>
      <c r="J955" s="113" t="s">
        <v>421</v>
      </c>
      <c r="K955" s="44" t="s">
        <v>85</v>
      </c>
      <c r="L955" s="442"/>
      <c r="M955" s="480" t="s">
        <v>104</v>
      </c>
      <c r="N955" s="1015" t="s">
        <v>1856</v>
      </c>
      <c r="O955" s="210"/>
      <c r="P955" s="68" t="s">
        <v>40</v>
      </c>
      <c r="Q955" s="100">
        <f>IF(AND($AO$833=1,MOD(F955,E955)=0),F955*G955,IF($AO$833&lt;=2,F955*H955,F955*I955))</f>
        <v>0</v>
      </c>
      <c r="R955" s="13" t="str">
        <f t="shared" si="514"/>
        <v>Фото &gt;&gt;</v>
      </c>
      <c r="S955" s="14" t="s">
        <v>482</v>
      </c>
      <c r="U955" s="4"/>
      <c r="V955" s="4"/>
      <c r="AK955">
        <v>0.28000000000000003</v>
      </c>
      <c r="AL955">
        <f t="shared" si="510"/>
        <v>0</v>
      </c>
      <c r="AM955">
        <f t="shared" si="511"/>
        <v>0</v>
      </c>
      <c r="AN955">
        <f t="shared" si="503"/>
        <v>0</v>
      </c>
      <c r="AO955" t="s">
        <v>5398</v>
      </c>
      <c r="AV955" t="str">
        <f>IF(F955&gt;0,(COUNT($AV$1:AV954)+1),"")</f>
        <v/>
      </c>
    </row>
    <row r="956" spans="1:48" ht="15" customHeight="1" x14ac:dyDescent="0.25">
      <c r="A956" s="1"/>
      <c r="B956" s="125"/>
      <c r="C956" s="126"/>
      <c r="D956" s="127"/>
      <c r="E956" s="134"/>
      <c r="F956" s="189"/>
      <c r="G956" s="130"/>
      <c r="H956" s="131"/>
      <c r="I956" s="132"/>
      <c r="J956" s="128"/>
      <c r="K956" s="129"/>
      <c r="L956" s="433"/>
      <c r="M956" s="481" t="s">
        <v>104</v>
      </c>
      <c r="N956" s="471"/>
      <c r="O956" s="181"/>
      <c r="P956" s="133"/>
      <c r="Q956" s="135"/>
      <c r="R956" s="13"/>
      <c r="S956" s="14"/>
      <c r="AV956" t="str">
        <f>IF(F956&gt;0,(COUNT($AV$1:AV955)+1),"")</f>
        <v/>
      </c>
    </row>
    <row r="957" spans="1:48" ht="15" customHeight="1" thickBot="1" x14ac:dyDescent="0.3">
      <c r="A957" s="1"/>
      <c r="B957" s="136"/>
      <c r="C957" s="137"/>
      <c r="D957" s="138"/>
      <c r="E957" s="145"/>
      <c r="F957" s="190"/>
      <c r="G957" s="141"/>
      <c r="H957" s="142"/>
      <c r="I957" s="143"/>
      <c r="J957" s="139"/>
      <c r="K957" s="140"/>
      <c r="L957" s="434"/>
      <c r="M957" s="477" t="s">
        <v>104</v>
      </c>
      <c r="N957" s="468"/>
      <c r="O957" s="182"/>
      <c r="P957" s="144"/>
      <c r="Q957" s="146"/>
      <c r="R957" s="13"/>
      <c r="S957" s="14"/>
      <c r="AV957" t="str">
        <f>IF(F957&gt;0,(COUNT($AV$1:AV956)+1),"")</f>
        <v/>
      </c>
    </row>
    <row r="958" spans="1:48" ht="24.95" customHeight="1" thickBot="1" x14ac:dyDescent="0.3">
      <c r="A958" s="1"/>
      <c r="B958" s="169"/>
      <c r="C958" s="170"/>
      <c r="D958" s="171" t="str">
        <f>CONCATENATE("Сибереко","     |     Сумма заказа: ",AK958," руб.")</f>
        <v>Сибереко     |     Сумма заказа: 0 руб.</v>
      </c>
      <c r="E958" s="176"/>
      <c r="F958" s="177"/>
      <c r="G958" s="180" t="str">
        <f>CONCATENATE("Ценовая колонка: ",AO958,"   |   До следующей скидки: ",AJ958," руб.")</f>
        <v>Ценовая колонка: 3   |   До следующей скидки: 5000 руб.</v>
      </c>
      <c r="H958" s="174"/>
      <c r="I958" s="174"/>
      <c r="J958" s="172" t="s">
        <v>5518</v>
      </c>
      <c r="K958" s="173"/>
      <c r="L958" s="444"/>
      <c r="M958" s="486" t="s">
        <v>104</v>
      </c>
      <c r="N958" s="717"/>
      <c r="O958" s="184"/>
      <c r="P958" s="175"/>
      <c r="Q958" s="178"/>
      <c r="R958" s="179" t="s">
        <v>1558</v>
      </c>
      <c r="S958" s="14"/>
      <c r="AG958" s="84"/>
      <c r="AH958" s="84"/>
      <c r="AJ958">
        <f>ROUND(IF(AL958&gt;20000,"0", IF(AND(AL958&lt;20000,AM958&gt;5000),20000-AL958,5000-AM958)),2)</f>
        <v>5000</v>
      </c>
      <c r="AK958">
        <f>SUM(Q959:Q1008)</f>
        <v>0</v>
      </c>
      <c r="AL958">
        <f>SUM(AL959:AL1008)</f>
        <v>0</v>
      </c>
      <c r="AM958">
        <f>SUM(AM959:AM1008)</f>
        <v>0</v>
      </c>
      <c r="AO958">
        <f>IF(AM958&gt;5000,IF(AL958&gt;20000,1,2),3)</f>
        <v>3</v>
      </c>
      <c r="AV958" t="str">
        <f>IF(F958&gt;0,(COUNT($AV$1:AV957)+1),"")</f>
        <v/>
      </c>
    </row>
    <row r="959" spans="1:48" ht="15" customHeight="1" x14ac:dyDescent="0.25">
      <c r="A959" s="1"/>
      <c r="B959" s="25"/>
      <c r="C959" s="26"/>
      <c r="D959" s="27" t="s">
        <v>1894</v>
      </c>
      <c r="E959" s="80"/>
      <c r="F959" s="96"/>
      <c r="G959" s="28" t="s">
        <v>15</v>
      </c>
      <c r="H959" s="29" t="s">
        <v>16</v>
      </c>
      <c r="I959" s="29" t="s">
        <v>221</v>
      </c>
      <c r="J959" s="51"/>
      <c r="K959" s="47"/>
      <c r="L959" s="447"/>
      <c r="M959" s="489" t="s">
        <v>104</v>
      </c>
      <c r="N959" s="716"/>
      <c r="O959" s="186"/>
      <c r="P959" s="79"/>
      <c r="Q959" s="104"/>
      <c r="R959" s="13"/>
      <c r="S959" s="14"/>
      <c r="AG959" s="84"/>
      <c r="AH959" s="84"/>
      <c r="AV959" t="str">
        <f>IF(F959&gt;0,(COUNT($AV$1:AV958)+1),"")</f>
        <v/>
      </c>
    </row>
    <row r="960" spans="1:48" ht="15" customHeight="1" x14ac:dyDescent="0.25">
      <c r="A960" s="1"/>
      <c r="B960" s="300">
        <v>20220</v>
      </c>
      <c r="C960" s="301">
        <v>4603726511360</v>
      </c>
      <c r="D960" s="362" t="s">
        <v>3870</v>
      </c>
      <c r="E960" s="302">
        <v>12</v>
      </c>
      <c r="F960" s="718"/>
      <c r="G960" s="303">
        <v>213.6</v>
      </c>
      <c r="H960" s="304">
        <v>224.2</v>
      </c>
      <c r="I960" s="305">
        <v>249.1</v>
      </c>
      <c r="J960" s="306" t="s">
        <v>5518</v>
      </c>
      <c r="K960" s="307" t="s">
        <v>204</v>
      </c>
      <c r="L960" s="450"/>
      <c r="M960" s="492" t="s">
        <v>104</v>
      </c>
      <c r="N960" s="1021" t="s">
        <v>1856</v>
      </c>
      <c r="O960" s="309"/>
      <c r="P960" s="308" t="s">
        <v>72</v>
      </c>
      <c r="Q960" s="100">
        <f>IF($AO$958=2,F960*H960,IF($AO$958=1,F960*G960,F960*I960))</f>
        <v>0</v>
      </c>
      <c r="R960" s="13" t="str">
        <f t="shared" ref="R960:R984" si="515">IF(AO960&gt;0,HYPERLINK(AO960,"Фото &gt;&gt;"),"")</f>
        <v>Фото &gt;&gt;</v>
      </c>
      <c r="S960" s="14" t="s">
        <v>1969</v>
      </c>
      <c r="AG960" s="84"/>
      <c r="AH960" s="84"/>
      <c r="AK960">
        <v>0.45</v>
      </c>
      <c r="AL960">
        <f t="shared" ref="AL960:AL989" si="516">F960*G960</f>
        <v>0</v>
      </c>
      <c r="AM960">
        <f t="shared" ref="AM960:AM989" si="517">F960*H960</f>
        <v>0</v>
      </c>
      <c r="AN960">
        <f t="shared" ref="AN960:AN969" si="518">AK960*F960+IF(E960&gt;1.01,F960/E960*0.2,0)</f>
        <v>0</v>
      </c>
      <c r="AO960" t="s">
        <v>2611</v>
      </c>
      <c r="AV960" t="str">
        <f>IF(F960&gt;0,(COUNT($AV$1:AV959)+1),"")</f>
        <v/>
      </c>
    </row>
    <row r="961" spans="1:48" ht="15" customHeight="1" x14ac:dyDescent="0.25">
      <c r="A961" s="1"/>
      <c r="B961" s="316">
        <v>17969</v>
      </c>
      <c r="C961" s="317">
        <v>4603736406373</v>
      </c>
      <c r="D961" s="513" t="s">
        <v>368</v>
      </c>
      <c r="E961" s="318">
        <v>6</v>
      </c>
      <c r="F961" s="718"/>
      <c r="G961" s="510">
        <v>1034</v>
      </c>
      <c r="H961" s="511">
        <v>1087.9000000000001</v>
      </c>
      <c r="I961" s="512">
        <v>1220.0999999999999</v>
      </c>
      <c r="J961" s="319" t="s">
        <v>5518</v>
      </c>
      <c r="K961" s="320" t="s">
        <v>19</v>
      </c>
      <c r="L961" s="432"/>
      <c r="M961" s="493" t="s">
        <v>1856</v>
      </c>
      <c r="N961" s="1004" t="s">
        <v>1856</v>
      </c>
      <c r="O961" s="322"/>
      <c r="P961" s="321" t="s">
        <v>72</v>
      </c>
      <c r="Q961" s="100">
        <f>IF($AO$958=2,F961*H961,IF($AO$958=1,F961*G961,F961*I961))</f>
        <v>0</v>
      </c>
      <c r="R961" s="13" t="str">
        <f t="shared" si="515"/>
        <v>Фото &gt;&gt;</v>
      </c>
      <c r="S961" s="14" t="s">
        <v>1975</v>
      </c>
      <c r="AG961" s="84"/>
      <c r="AH961" s="84"/>
      <c r="AK961">
        <v>0.52</v>
      </c>
      <c r="AL961">
        <f t="shared" si="516"/>
        <v>0</v>
      </c>
      <c r="AM961">
        <f t="shared" si="517"/>
        <v>0</v>
      </c>
      <c r="AN961">
        <f t="shared" si="518"/>
        <v>0</v>
      </c>
      <c r="AO961" t="s">
        <v>5369</v>
      </c>
      <c r="AV961" t="str">
        <f>IF(F961&gt;0,(COUNT($AV$1:AV960)+1),"")</f>
        <v/>
      </c>
    </row>
    <row r="962" spans="1:48" ht="15" customHeight="1" x14ac:dyDescent="0.25">
      <c r="A962" s="1"/>
      <c r="B962" s="25"/>
      <c r="C962" s="26"/>
      <c r="D962" s="27" t="s">
        <v>118</v>
      </c>
      <c r="E962" s="80"/>
      <c r="F962" s="96"/>
      <c r="G962" s="28"/>
      <c r="H962" s="29"/>
      <c r="I962" s="29"/>
      <c r="J962" s="51"/>
      <c r="K962" s="47"/>
      <c r="L962" s="447"/>
      <c r="M962" s="489" t="s">
        <v>104</v>
      </c>
      <c r="N962" s="716"/>
      <c r="O962" s="186"/>
      <c r="P962" s="79"/>
      <c r="Q962" s="104"/>
      <c r="R962" s="13" t="str">
        <f t="shared" si="515"/>
        <v>Фото &gt;&gt;</v>
      </c>
      <c r="S962" s="14"/>
      <c r="AG962" s="84"/>
      <c r="AH962" s="84"/>
      <c r="AL962">
        <f t="shared" ref="AL962:AL965" si="519">F962*G962</f>
        <v>0</v>
      </c>
      <c r="AM962">
        <f t="shared" ref="AM962:AM965" si="520">F962*H962</f>
        <v>0</v>
      </c>
      <c r="AN962">
        <f t="shared" ref="AN962:AN965" si="521">AK962*F962+IF(E962&gt;1.01,F962/E962*0.2,0)</f>
        <v>0</v>
      </c>
      <c r="AO962" t="s">
        <v>104</v>
      </c>
      <c r="AV962" t="str">
        <f>IF(F962&gt;0,(COUNT($AV$1:AV961)+1),"")</f>
        <v/>
      </c>
    </row>
    <row r="963" spans="1:48" ht="15" customHeight="1" x14ac:dyDescent="0.25">
      <c r="A963" s="1"/>
      <c r="B963" s="300">
        <v>21057</v>
      </c>
      <c r="C963" s="301">
        <v>4603766057293</v>
      </c>
      <c r="D963" s="362" t="s">
        <v>5906</v>
      </c>
      <c r="E963" s="302">
        <v>30</v>
      </c>
      <c r="F963" s="718"/>
      <c r="G963" s="303">
        <v>147.5</v>
      </c>
      <c r="H963" s="304">
        <v>155.1</v>
      </c>
      <c r="I963" s="305">
        <v>170.9</v>
      </c>
      <c r="J963" s="306" t="s">
        <v>5518</v>
      </c>
      <c r="K963" s="307" t="s">
        <v>118</v>
      </c>
      <c r="L963" s="450"/>
      <c r="M963" s="492"/>
      <c r="N963" s="1021"/>
      <c r="O963" s="309"/>
      <c r="P963" s="308" t="s">
        <v>195</v>
      </c>
      <c r="Q963" s="100">
        <f t="shared" ref="Q963:Q984" si="522">IF($AO$958=2,F963*H963,IF($AO$958=1,F963*G963,F963*I963))</f>
        <v>0</v>
      </c>
      <c r="R963" s="13" t="str">
        <f t="shared" si="515"/>
        <v>Фото &gt;&gt;</v>
      </c>
      <c r="S963" s="14" t="s">
        <v>1976</v>
      </c>
      <c r="AG963" s="84"/>
      <c r="AH963" s="84"/>
      <c r="AK963">
        <v>0.14000000000000001</v>
      </c>
      <c r="AL963">
        <f t="shared" si="519"/>
        <v>0</v>
      </c>
      <c r="AM963">
        <f t="shared" si="520"/>
        <v>0</v>
      </c>
      <c r="AN963">
        <f t="shared" si="521"/>
        <v>0</v>
      </c>
      <c r="AO963" t="s">
        <v>5907</v>
      </c>
      <c r="AV963" t="str">
        <f>IF(F963&gt;0,(COUNT($AV$1:AV962)+1),"")</f>
        <v/>
      </c>
    </row>
    <row r="964" spans="1:48" ht="15" customHeight="1" x14ac:dyDescent="0.25">
      <c r="A964" s="1"/>
      <c r="B964" s="316">
        <v>19533</v>
      </c>
      <c r="C964" s="317">
        <v>4603766057354</v>
      </c>
      <c r="D964" s="513" t="s">
        <v>3361</v>
      </c>
      <c r="E964" s="318">
        <v>30</v>
      </c>
      <c r="F964" s="718"/>
      <c r="G964" s="510">
        <v>147.5</v>
      </c>
      <c r="H964" s="511">
        <v>155.1</v>
      </c>
      <c r="I964" s="512">
        <v>170.9</v>
      </c>
      <c r="J964" s="319" t="s">
        <v>5518</v>
      </c>
      <c r="K964" s="320" t="s">
        <v>118</v>
      </c>
      <c r="L964" s="432"/>
      <c r="M964" s="493"/>
      <c r="N964" s="1004"/>
      <c r="O964" s="322"/>
      <c r="P964" s="321" t="s">
        <v>195</v>
      </c>
      <c r="Q964" s="100">
        <f t="shared" si="522"/>
        <v>0</v>
      </c>
      <c r="R964" s="13" t="str">
        <f t="shared" si="515"/>
        <v>Фото &gt;&gt;</v>
      </c>
      <c r="S964" s="14" t="s">
        <v>3360</v>
      </c>
      <c r="AG964" s="84"/>
      <c r="AH964" s="84"/>
      <c r="AK964">
        <v>0.14000000000000001</v>
      </c>
      <c r="AL964">
        <f t="shared" si="519"/>
        <v>0</v>
      </c>
      <c r="AM964">
        <f t="shared" si="520"/>
        <v>0</v>
      </c>
      <c r="AN964">
        <f t="shared" si="521"/>
        <v>0</v>
      </c>
      <c r="AO964" t="s">
        <v>2612</v>
      </c>
      <c r="AV964" t="str">
        <f>IF(F964&gt;0,(COUNT($AV$1:AV963)+1),"")</f>
        <v/>
      </c>
    </row>
    <row r="965" spans="1:48" ht="15" customHeight="1" x14ac:dyDescent="0.25">
      <c r="A965" s="1"/>
      <c r="B965" s="300">
        <v>19535</v>
      </c>
      <c r="C965" s="301">
        <v>4603766057330</v>
      </c>
      <c r="D965" s="362" t="s">
        <v>2160</v>
      </c>
      <c r="E965" s="302">
        <v>30</v>
      </c>
      <c r="F965" s="718"/>
      <c r="G965" s="303">
        <v>147.5</v>
      </c>
      <c r="H965" s="304">
        <v>155.1</v>
      </c>
      <c r="I965" s="305">
        <v>170.9</v>
      </c>
      <c r="J965" s="306" t="s">
        <v>5518</v>
      </c>
      <c r="K965" s="307" t="s">
        <v>118</v>
      </c>
      <c r="L965" s="450"/>
      <c r="M965" s="492" t="s">
        <v>104</v>
      </c>
      <c r="N965" s="1021"/>
      <c r="O965" s="309"/>
      <c r="P965" s="308" t="s">
        <v>195</v>
      </c>
      <c r="Q965" s="100">
        <f t="shared" si="522"/>
        <v>0</v>
      </c>
      <c r="R965" s="13" t="str">
        <f t="shared" si="515"/>
        <v>Фото &gt;&gt;</v>
      </c>
      <c r="S965" s="14" t="s">
        <v>1972</v>
      </c>
      <c r="AG965" s="84"/>
      <c r="AH965" s="84"/>
      <c r="AK965">
        <v>0.14000000000000001</v>
      </c>
      <c r="AL965">
        <f t="shared" si="519"/>
        <v>0</v>
      </c>
      <c r="AM965">
        <f t="shared" si="520"/>
        <v>0</v>
      </c>
      <c r="AN965">
        <f t="shared" si="521"/>
        <v>0</v>
      </c>
      <c r="AO965" t="s">
        <v>2613</v>
      </c>
      <c r="AV965" t="str">
        <f>IF(F965&gt;0,(COUNT($AV$1:AV964)+1),"")</f>
        <v/>
      </c>
    </row>
    <row r="966" spans="1:48" ht="15" customHeight="1" x14ac:dyDescent="0.25">
      <c r="A966" s="1"/>
      <c r="B966" s="316">
        <v>19534</v>
      </c>
      <c r="C966" s="317">
        <v>4603766057279</v>
      </c>
      <c r="D966" s="513" t="s">
        <v>2161</v>
      </c>
      <c r="E966" s="318">
        <v>30</v>
      </c>
      <c r="F966" s="718"/>
      <c r="G966" s="510">
        <v>147.5</v>
      </c>
      <c r="H966" s="511">
        <v>155.1</v>
      </c>
      <c r="I966" s="512">
        <v>170.9</v>
      </c>
      <c r="J966" s="319" t="s">
        <v>5518</v>
      </c>
      <c r="K966" s="320" t="s">
        <v>118</v>
      </c>
      <c r="L966" s="432"/>
      <c r="M966" s="493"/>
      <c r="N966" s="1004"/>
      <c r="O966" s="322"/>
      <c r="P966" s="321" t="s">
        <v>195</v>
      </c>
      <c r="Q966" s="100">
        <f t="shared" si="522"/>
        <v>0</v>
      </c>
      <c r="R966" s="13" t="str">
        <f t="shared" si="515"/>
        <v>Фото &gt;&gt;</v>
      </c>
      <c r="S966" s="14" t="s">
        <v>1973</v>
      </c>
      <c r="AG966" s="84"/>
      <c r="AH966" s="84"/>
      <c r="AK966">
        <v>0.14000000000000001</v>
      </c>
      <c r="AL966">
        <f t="shared" si="516"/>
        <v>0</v>
      </c>
      <c r="AM966">
        <f t="shared" si="517"/>
        <v>0</v>
      </c>
      <c r="AN966">
        <f t="shared" si="518"/>
        <v>0</v>
      </c>
      <c r="AO966" t="s">
        <v>2614</v>
      </c>
      <c r="AV966" t="str">
        <f>IF(F966&gt;0,(COUNT($AV$1:AV965)+1),"")</f>
        <v/>
      </c>
    </row>
    <row r="967" spans="1:48" ht="15" customHeight="1" x14ac:dyDescent="0.25">
      <c r="A967" s="1"/>
      <c r="B967" s="300">
        <v>20367</v>
      </c>
      <c r="C967" s="301">
        <v>4603766057316</v>
      </c>
      <c r="D967" s="362" t="s">
        <v>3846</v>
      </c>
      <c r="E967" s="302">
        <v>30</v>
      </c>
      <c r="F967" s="718"/>
      <c r="G967" s="303">
        <v>147.5</v>
      </c>
      <c r="H967" s="304">
        <v>155.1</v>
      </c>
      <c r="I967" s="305">
        <v>170.9</v>
      </c>
      <c r="J967" s="306" t="s">
        <v>5518</v>
      </c>
      <c r="K967" s="307" t="s">
        <v>118</v>
      </c>
      <c r="L967" s="450"/>
      <c r="M967" s="492" t="s">
        <v>1856</v>
      </c>
      <c r="N967" s="1021"/>
      <c r="O967" s="309"/>
      <c r="P967" s="308" t="s">
        <v>195</v>
      </c>
      <c r="Q967" s="100">
        <f t="shared" si="522"/>
        <v>0</v>
      </c>
      <c r="R967" s="13" t="str">
        <f t="shared" si="515"/>
        <v>Фото &gt;&gt;</v>
      </c>
      <c r="S967" s="14" t="s">
        <v>3358</v>
      </c>
      <c r="AG967" s="84"/>
      <c r="AH967" s="84"/>
      <c r="AK967">
        <v>0.14000000000000001</v>
      </c>
      <c r="AL967">
        <f t="shared" si="516"/>
        <v>0</v>
      </c>
      <c r="AM967">
        <f t="shared" si="517"/>
        <v>0</v>
      </c>
      <c r="AN967">
        <f t="shared" si="518"/>
        <v>0</v>
      </c>
      <c r="AO967" t="s">
        <v>3847</v>
      </c>
      <c r="AV967" t="str">
        <f>IF(F967&gt;0,(COUNT($AV$1:AV966)+1),"")</f>
        <v/>
      </c>
    </row>
    <row r="968" spans="1:48" ht="15" customHeight="1" x14ac:dyDescent="0.25">
      <c r="A968" s="1"/>
      <c r="B968" s="316">
        <v>19537</v>
      </c>
      <c r="C968" s="317">
        <v>4603766057347</v>
      </c>
      <c r="D968" s="513" t="s">
        <v>1870</v>
      </c>
      <c r="E968" s="318">
        <v>30</v>
      </c>
      <c r="F968" s="718"/>
      <c r="G968" s="510">
        <v>147.5</v>
      </c>
      <c r="H968" s="511">
        <v>155.1</v>
      </c>
      <c r="I968" s="512">
        <v>170.9</v>
      </c>
      <c r="J968" s="319" t="s">
        <v>5518</v>
      </c>
      <c r="K968" s="320" t="s">
        <v>118</v>
      </c>
      <c r="L968" s="432"/>
      <c r="M968" s="493" t="s">
        <v>104</v>
      </c>
      <c r="N968" s="1004"/>
      <c r="O968" s="322"/>
      <c r="P968" s="321" t="s">
        <v>195</v>
      </c>
      <c r="Q968" s="100">
        <f t="shared" si="522"/>
        <v>0</v>
      </c>
      <c r="R968" s="13" t="str">
        <f t="shared" si="515"/>
        <v>Фото &gt;&gt;</v>
      </c>
      <c r="S968" s="14" t="s">
        <v>1974</v>
      </c>
      <c r="AG968" s="84"/>
      <c r="AH968" s="84"/>
      <c r="AK968">
        <v>0.14000000000000001</v>
      </c>
      <c r="AL968">
        <f t="shared" si="516"/>
        <v>0</v>
      </c>
      <c r="AM968">
        <f t="shared" si="517"/>
        <v>0</v>
      </c>
      <c r="AN968">
        <f t="shared" si="518"/>
        <v>0</v>
      </c>
      <c r="AO968" t="s">
        <v>2615</v>
      </c>
      <c r="AV968" t="str">
        <f>IF(F968&gt;0,(COUNT($AV$1:AV967)+1),"")</f>
        <v/>
      </c>
    </row>
    <row r="969" spans="1:48" ht="15" customHeight="1" x14ac:dyDescent="0.25">
      <c r="A969" s="1"/>
      <c r="B969" s="364">
        <v>20631</v>
      </c>
      <c r="C969" s="365">
        <v>4603766057309</v>
      </c>
      <c r="D969" s="514" t="s">
        <v>4171</v>
      </c>
      <c r="E969" s="366">
        <v>30</v>
      </c>
      <c r="F969" s="315"/>
      <c r="G969" s="367">
        <v>147.5</v>
      </c>
      <c r="H969" s="368">
        <v>155.1</v>
      </c>
      <c r="I969" s="369">
        <v>170.9</v>
      </c>
      <c r="J969" s="370" t="s">
        <v>5518</v>
      </c>
      <c r="K969" s="371" t="s">
        <v>118</v>
      </c>
      <c r="L969" s="431"/>
      <c r="M969" s="494"/>
      <c r="N969" s="1000"/>
      <c r="O969" s="372"/>
      <c r="P969" s="373" t="s">
        <v>195</v>
      </c>
      <c r="Q969" s="100">
        <f t="shared" si="522"/>
        <v>0</v>
      </c>
      <c r="R969" s="13" t="str">
        <f t="shared" si="515"/>
        <v>Фото &gt;&gt;</v>
      </c>
      <c r="S969" s="14" t="s">
        <v>4169</v>
      </c>
      <c r="AG969" s="84"/>
      <c r="AH969" s="84"/>
      <c r="AK969">
        <v>0.14000000000000001</v>
      </c>
      <c r="AL969">
        <f t="shared" si="516"/>
        <v>0</v>
      </c>
      <c r="AM969">
        <f t="shared" si="517"/>
        <v>0</v>
      </c>
      <c r="AN969">
        <f t="shared" si="518"/>
        <v>0</v>
      </c>
      <c r="AO969" t="s">
        <v>4170</v>
      </c>
      <c r="AV969" t="str">
        <f>IF(F969&gt;0,(COUNT($AV$1:AV968)+1),"")</f>
        <v/>
      </c>
    </row>
    <row r="970" spans="1:48" ht="15" customHeight="1" x14ac:dyDescent="0.25">
      <c r="A970" s="1"/>
      <c r="B970" s="881">
        <v>20269</v>
      </c>
      <c r="C970" s="812">
        <v>4603766059549</v>
      </c>
      <c r="D970" s="813" t="s">
        <v>3060</v>
      </c>
      <c r="E970" s="814">
        <v>14</v>
      </c>
      <c r="F970" s="815"/>
      <c r="G970" s="882">
        <v>300</v>
      </c>
      <c r="H970" s="883">
        <v>315.2</v>
      </c>
      <c r="I970" s="884">
        <v>346.7</v>
      </c>
      <c r="J970" s="816" t="s">
        <v>5518</v>
      </c>
      <c r="K970" s="817" t="s">
        <v>118</v>
      </c>
      <c r="L970" s="818"/>
      <c r="M970" s="819" t="s">
        <v>1856</v>
      </c>
      <c r="N970" s="1011"/>
      <c r="O970" s="885"/>
      <c r="P970" s="820" t="s">
        <v>195</v>
      </c>
      <c r="Q970" s="100">
        <f t="shared" si="522"/>
        <v>0</v>
      </c>
      <c r="R970" s="13" t="str">
        <f t="shared" si="515"/>
        <v>Фото &gt;&gt;</v>
      </c>
      <c r="S970" s="14" t="s">
        <v>3062</v>
      </c>
      <c r="AG970" s="84"/>
      <c r="AH970" s="84"/>
      <c r="AK970">
        <v>0.17</v>
      </c>
      <c r="AL970">
        <f t="shared" si="516"/>
        <v>0</v>
      </c>
      <c r="AM970">
        <f t="shared" si="517"/>
        <v>0</v>
      </c>
      <c r="AN970">
        <f>AK970*F970</f>
        <v>0</v>
      </c>
      <c r="AO970" t="s">
        <v>3063</v>
      </c>
      <c r="AV970" t="str">
        <f>IF(F970&gt;0,(COUNT($AV$1:AV969)+1),"")</f>
        <v/>
      </c>
    </row>
    <row r="971" spans="1:48" ht="15" customHeight="1" x14ac:dyDescent="0.25">
      <c r="A971" s="1"/>
      <c r="B971" s="364">
        <v>20270</v>
      </c>
      <c r="C971" s="365">
        <v>4603766059754</v>
      </c>
      <c r="D971" s="514" t="s">
        <v>3059</v>
      </c>
      <c r="E971" s="366">
        <v>14</v>
      </c>
      <c r="F971" s="315"/>
      <c r="G971" s="367">
        <v>326.39999999999998</v>
      </c>
      <c r="H971" s="368">
        <v>342.7</v>
      </c>
      <c r="I971" s="369">
        <v>376.2</v>
      </c>
      <c r="J971" s="370" t="s">
        <v>5518</v>
      </c>
      <c r="K971" s="371" t="s">
        <v>118</v>
      </c>
      <c r="L971" s="431"/>
      <c r="M971" s="494" t="s">
        <v>1856</v>
      </c>
      <c r="N971" s="1000" t="s">
        <v>1856</v>
      </c>
      <c r="O971" s="372"/>
      <c r="P971" s="373" t="s">
        <v>195</v>
      </c>
      <c r="Q971" s="100">
        <f t="shared" si="522"/>
        <v>0</v>
      </c>
      <c r="R971" s="13" t="str">
        <f t="shared" si="515"/>
        <v>Фото &gt;&gt;</v>
      </c>
      <c r="S971" s="14" t="s">
        <v>3061</v>
      </c>
      <c r="AG971" s="84"/>
      <c r="AH971" s="84"/>
      <c r="AK971">
        <v>0.17</v>
      </c>
      <c r="AL971">
        <f t="shared" si="516"/>
        <v>0</v>
      </c>
      <c r="AM971">
        <f t="shared" si="517"/>
        <v>0</v>
      </c>
      <c r="AN971">
        <f>AK971*F971</f>
        <v>0</v>
      </c>
      <c r="AO971" t="s">
        <v>3064</v>
      </c>
      <c r="AV971" t="str">
        <f>IF(F971&gt;0,(COUNT($AV$1:AV970)+1),"")</f>
        <v/>
      </c>
    </row>
    <row r="972" spans="1:48" ht="15" customHeight="1" x14ac:dyDescent="0.25">
      <c r="A972" s="1"/>
      <c r="B972" s="881">
        <v>19992</v>
      </c>
      <c r="C972" s="812">
        <v>4603766057194</v>
      </c>
      <c r="D972" s="813" t="s">
        <v>3362</v>
      </c>
      <c r="E972" s="814">
        <v>12</v>
      </c>
      <c r="F972" s="815"/>
      <c r="G972" s="882">
        <v>280.7</v>
      </c>
      <c r="H972" s="883">
        <v>294.89999999999998</v>
      </c>
      <c r="I972" s="884">
        <v>324.39999999999998</v>
      </c>
      <c r="J972" s="816" t="s">
        <v>5518</v>
      </c>
      <c r="K972" s="817" t="s">
        <v>118</v>
      </c>
      <c r="L972" s="818"/>
      <c r="M972" s="819"/>
      <c r="N972" s="1011"/>
      <c r="O972" s="885"/>
      <c r="P972" s="820" t="s">
        <v>195</v>
      </c>
      <c r="Q972" s="100">
        <f t="shared" si="522"/>
        <v>0</v>
      </c>
      <c r="R972" s="13" t="str">
        <f t="shared" si="515"/>
        <v>Фото &gt;&gt;</v>
      </c>
      <c r="S972" s="14" t="s">
        <v>1976</v>
      </c>
      <c r="AG972" s="84"/>
      <c r="AH972" s="84"/>
      <c r="AK972">
        <v>0.28000000000000003</v>
      </c>
      <c r="AL972">
        <f t="shared" si="516"/>
        <v>0</v>
      </c>
      <c r="AM972">
        <f t="shared" si="517"/>
        <v>0</v>
      </c>
      <c r="AN972">
        <f t="shared" ref="AN972:AN1008" si="523">AK972*F972+IF(E972&gt;1.01,F972/E972*0.2,0)</f>
        <v>0</v>
      </c>
      <c r="AO972" t="s">
        <v>2616</v>
      </c>
      <c r="AV972" t="str">
        <f>IF(F972&gt;0,(COUNT($AV$1:AV971)+1),"")</f>
        <v/>
      </c>
    </row>
    <row r="973" spans="1:48" ht="15" customHeight="1" x14ac:dyDescent="0.25">
      <c r="A973" s="1"/>
      <c r="B973" s="300">
        <v>19794</v>
      </c>
      <c r="C973" s="301">
        <v>4603766057255</v>
      </c>
      <c r="D973" s="362" t="s">
        <v>2158</v>
      </c>
      <c r="E973" s="302">
        <v>12</v>
      </c>
      <c r="F973" s="718"/>
      <c r="G973" s="303">
        <v>280.7</v>
      </c>
      <c r="H973" s="304">
        <v>294.89999999999998</v>
      </c>
      <c r="I973" s="305">
        <v>324.39999999999998</v>
      </c>
      <c r="J973" s="306" t="s">
        <v>5518</v>
      </c>
      <c r="K973" s="307" t="s">
        <v>118</v>
      </c>
      <c r="L973" s="450"/>
      <c r="M973" s="492"/>
      <c r="N973" s="1021"/>
      <c r="O973" s="309"/>
      <c r="P973" s="308" t="s">
        <v>195</v>
      </c>
      <c r="Q973" s="100">
        <f t="shared" si="522"/>
        <v>0</v>
      </c>
      <c r="R973" s="13" t="str">
        <f t="shared" si="515"/>
        <v>Фото &gt;&gt;</v>
      </c>
      <c r="S973" s="14" t="s">
        <v>3360</v>
      </c>
      <c r="AG973" s="84"/>
      <c r="AH973" s="84"/>
      <c r="AK973">
        <v>0.28000000000000003</v>
      </c>
      <c r="AL973">
        <f t="shared" si="516"/>
        <v>0</v>
      </c>
      <c r="AM973">
        <f t="shared" si="517"/>
        <v>0</v>
      </c>
      <c r="AN973">
        <f t="shared" si="523"/>
        <v>0</v>
      </c>
      <c r="AO973" t="s">
        <v>2617</v>
      </c>
      <c r="AV973" t="str">
        <f>IF(F973&gt;0,(COUNT($AV$1:AV972)+1),"")</f>
        <v/>
      </c>
    </row>
    <row r="974" spans="1:48" ht="15" customHeight="1" x14ac:dyDescent="0.25">
      <c r="A974" s="1"/>
      <c r="B974" s="316">
        <v>20033</v>
      </c>
      <c r="C974" s="317">
        <v>4603726511452</v>
      </c>
      <c r="D974" s="513" t="s">
        <v>2298</v>
      </c>
      <c r="E974" s="318">
        <v>12</v>
      </c>
      <c r="F974" s="718"/>
      <c r="G974" s="510">
        <v>280.7</v>
      </c>
      <c r="H974" s="511">
        <v>294.89999999999998</v>
      </c>
      <c r="I974" s="512">
        <v>324.39999999999998</v>
      </c>
      <c r="J974" s="319" t="s">
        <v>5518</v>
      </c>
      <c r="K974" s="320" t="s">
        <v>118</v>
      </c>
      <c r="L974" s="432"/>
      <c r="M974" s="493" t="s">
        <v>104</v>
      </c>
      <c r="N974" s="1004"/>
      <c r="O974" s="322"/>
      <c r="P974" s="321" t="s">
        <v>195</v>
      </c>
      <c r="Q974" s="100">
        <f t="shared" si="522"/>
        <v>0</v>
      </c>
      <c r="R974" s="13" t="str">
        <f t="shared" si="515"/>
        <v>Фото &gt;&gt;</v>
      </c>
      <c r="S974" s="14" t="s">
        <v>371</v>
      </c>
      <c r="AG974" s="84"/>
      <c r="AH974" s="84"/>
      <c r="AK974">
        <v>0.28000000000000003</v>
      </c>
      <c r="AL974">
        <f t="shared" si="516"/>
        <v>0</v>
      </c>
      <c r="AM974">
        <f t="shared" si="517"/>
        <v>0</v>
      </c>
      <c r="AN974">
        <f t="shared" si="523"/>
        <v>0</v>
      </c>
      <c r="AO974" t="s">
        <v>2618</v>
      </c>
      <c r="AV974" t="str">
        <f>IF(F974&gt;0,(COUNT($AV$1:AV973)+1),"")</f>
        <v/>
      </c>
    </row>
    <row r="975" spans="1:48" ht="15" customHeight="1" x14ac:dyDescent="0.25">
      <c r="A975" s="1"/>
      <c r="B975" s="300">
        <v>19762</v>
      </c>
      <c r="C975" s="301">
        <v>4603766057170</v>
      </c>
      <c r="D975" s="362" t="s">
        <v>1971</v>
      </c>
      <c r="E975" s="302">
        <v>12</v>
      </c>
      <c r="F975" s="718"/>
      <c r="G975" s="303">
        <v>280.7</v>
      </c>
      <c r="H975" s="304">
        <v>294.89999999999998</v>
      </c>
      <c r="I975" s="305">
        <v>324.39999999999998</v>
      </c>
      <c r="J975" s="306" t="s">
        <v>5518</v>
      </c>
      <c r="K975" s="307" t="s">
        <v>118</v>
      </c>
      <c r="L975" s="450"/>
      <c r="M975" s="492"/>
      <c r="N975" s="1021"/>
      <c r="O975" s="309"/>
      <c r="P975" s="308" t="s">
        <v>195</v>
      </c>
      <c r="Q975" s="100">
        <f t="shared" si="522"/>
        <v>0</v>
      </c>
      <c r="R975" s="13" t="str">
        <f t="shared" si="515"/>
        <v>Фото &gt;&gt;</v>
      </c>
      <c r="S975" s="14" t="s">
        <v>1970</v>
      </c>
      <c r="AG975" s="84"/>
      <c r="AH975" s="84"/>
      <c r="AK975">
        <v>0.28000000000000003</v>
      </c>
      <c r="AL975">
        <f t="shared" si="516"/>
        <v>0</v>
      </c>
      <c r="AM975">
        <f t="shared" si="517"/>
        <v>0</v>
      </c>
      <c r="AN975">
        <f t="shared" si="523"/>
        <v>0</v>
      </c>
      <c r="AO975" t="s">
        <v>2619</v>
      </c>
      <c r="AV975" t="str">
        <f>IF(F975&gt;0,(COUNT($AV$1:AV974)+1),"")</f>
        <v/>
      </c>
    </row>
    <row r="976" spans="1:48" ht="15" customHeight="1" x14ac:dyDescent="0.25">
      <c r="A976" s="1"/>
      <c r="B976" s="316">
        <v>20022</v>
      </c>
      <c r="C976" s="317">
        <v>4603766057217</v>
      </c>
      <c r="D976" s="513" t="s">
        <v>3359</v>
      </c>
      <c r="E976" s="318">
        <v>12</v>
      </c>
      <c r="F976" s="718"/>
      <c r="G976" s="510">
        <v>280.7</v>
      </c>
      <c r="H976" s="511">
        <v>294.89999999999998</v>
      </c>
      <c r="I976" s="512">
        <v>324.39999999999998</v>
      </c>
      <c r="J976" s="319" t="s">
        <v>5518</v>
      </c>
      <c r="K976" s="320" t="s">
        <v>118</v>
      </c>
      <c r="L976" s="432"/>
      <c r="M976" s="493" t="s">
        <v>1856</v>
      </c>
      <c r="N976" s="1004"/>
      <c r="O976" s="322"/>
      <c r="P976" s="321" t="s">
        <v>53</v>
      </c>
      <c r="Q976" s="100">
        <f t="shared" si="522"/>
        <v>0</v>
      </c>
      <c r="R976" s="13" t="str">
        <f t="shared" si="515"/>
        <v>Фото &gt;&gt;</v>
      </c>
      <c r="S976" s="14" t="s">
        <v>3358</v>
      </c>
      <c r="AG976" s="84"/>
      <c r="AH976" s="84"/>
      <c r="AK976">
        <v>0.28000000000000003</v>
      </c>
      <c r="AL976">
        <f t="shared" si="516"/>
        <v>0</v>
      </c>
      <c r="AM976">
        <f t="shared" si="517"/>
        <v>0</v>
      </c>
      <c r="AN976">
        <f t="shared" si="523"/>
        <v>0</v>
      </c>
      <c r="AO976" t="s">
        <v>2620</v>
      </c>
      <c r="AV976" t="str">
        <f>IF(F976&gt;0,(COUNT($AV$1:AV975)+1),"")</f>
        <v/>
      </c>
    </row>
    <row r="977" spans="1:48" ht="15" customHeight="1" x14ac:dyDescent="0.25">
      <c r="A977" s="1"/>
      <c r="B977" s="300">
        <v>19994</v>
      </c>
      <c r="C977" s="301">
        <v>4603766057248</v>
      </c>
      <c r="D977" s="362" t="s">
        <v>2159</v>
      </c>
      <c r="E977" s="302">
        <v>12</v>
      </c>
      <c r="F977" s="718"/>
      <c r="G977" s="303">
        <v>280.7</v>
      </c>
      <c r="H977" s="304">
        <v>294.89999999999998</v>
      </c>
      <c r="I977" s="305">
        <v>324.39999999999998</v>
      </c>
      <c r="J977" s="306" t="s">
        <v>5518</v>
      </c>
      <c r="K977" s="307" t="s">
        <v>118</v>
      </c>
      <c r="L977" s="450"/>
      <c r="M977" s="492" t="s">
        <v>104</v>
      </c>
      <c r="N977" s="1021"/>
      <c r="O977" s="309"/>
      <c r="P977" s="308" t="s">
        <v>195</v>
      </c>
      <c r="Q977" s="100">
        <f t="shared" si="522"/>
        <v>0</v>
      </c>
      <c r="R977" s="13" t="str">
        <f t="shared" si="515"/>
        <v>Фото &gt;&gt;</v>
      </c>
      <c r="S977" s="14" t="s">
        <v>372</v>
      </c>
      <c r="AG977" s="84"/>
      <c r="AH977" s="84"/>
      <c r="AK977">
        <v>0.28000000000000003</v>
      </c>
      <c r="AL977">
        <f t="shared" si="516"/>
        <v>0</v>
      </c>
      <c r="AM977">
        <f t="shared" si="517"/>
        <v>0</v>
      </c>
      <c r="AN977">
        <f t="shared" si="523"/>
        <v>0</v>
      </c>
      <c r="AO977" t="s">
        <v>2621</v>
      </c>
      <c r="AV977" t="str">
        <f>IF(F977&gt;0,(COUNT($AV$1:AV976)+1),"")</f>
        <v/>
      </c>
    </row>
    <row r="978" spans="1:48" ht="15" customHeight="1" x14ac:dyDescent="0.25">
      <c r="A978" s="1"/>
      <c r="B978" s="316">
        <v>20035</v>
      </c>
      <c r="C978" s="317">
        <v>4603766057200</v>
      </c>
      <c r="D978" s="513" t="s">
        <v>3067</v>
      </c>
      <c r="E978" s="318">
        <v>12</v>
      </c>
      <c r="F978" s="315"/>
      <c r="G978" s="510">
        <v>280.7</v>
      </c>
      <c r="H978" s="511">
        <v>294.89999999999998</v>
      </c>
      <c r="I978" s="512">
        <v>324.39999999999998</v>
      </c>
      <c r="J978" s="319" t="s">
        <v>5518</v>
      </c>
      <c r="K978" s="320" t="s">
        <v>118</v>
      </c>
      <c r="L978" s="432"/>
      <c r="M978" s="493"/>
      <c r="N978" s="1004"/>
      <c r="O978" s="322"/>
      <c r="P978" s="321" t="s">
        <v>195</v>
      </c>
      <c r="Q978" s="100">
        <f t="shared" si="522"/>
        <v>0</v>
      </c>
      <c r="R978" s="13" t="str">
        <f t="shared" si="515"/>
        <v>Фото &gt;&gt;</v>
      </c>
      <c r="S978" s="14" t="s">
        <v>3065</v>
      </c>
      <c r="AG978" s="84"/>
      <c r="AH978" s="84"/>
      <c r="AK978">
        <v>0.28000000000000003</v>
      </c>
      <c r="AL978">
        <f t="shared" si="516"/>
        <v>0</v>
      </c>
      <c r="AM978">
        <f t="shared" si="517"/>
        <v>0</v>
      </c>
      <c r="AN978">
        <f t="shared" si="523"/>
        <v>0</v>
      </c>
      <c r="AO978" t="s">
        <v>3066</v>
      </c>
      <c r="AV978" t="str">
        <f>IF(F978&gt;0,(COUNT($AV$1:AV977)+1),"")</f>
        <v/>
      </c>
    </row>
    <row r="979" spans="1:48" ht="15" customHeight="1" x14ac:dyDescent="0.25">
      <c r="A979" s="1"/>
      <c r="B979" s="827">
        <v>20569</v>
      </c>
      <c r="C979" s="828">
        <v>4603736406168</v>
      </c>
      <c r="D979" s="829" t="s">
        <v>5659</v>
      </c>
      <c r="E979" s="830">
        <v>16</v>
      </c>
      <c r="F979" s="815"/>
      <c r="G979" s="831">
        <v>166.8</v>
      </c>
      <c r="H979" s="832">
        <v>175.4</v>
      </c>
      <c r="I979" s="833">
        <v>193.2</v>
      </c>
      <c r="J979" s="888" t="s">
        <v>5518</v>
      </c>
      <c r="K979" s="835" t="s">
        <v>118</v>
      </c>
      <c r="L979" s="836"/>
      <c r="M979" s="837"/>
      <c r="N979" s="1005"/>
      <c r="O979" s="838"/>
      <c r="P979" s="839" t="s">
        <v>195</v>
      </c>
      <c r="Q979" s="100">
        <f t="shared" si="522"/>
        <v>0</v>
      </c>
      <c r="R979" s="13" t="str">
        <f t="shared" si="515"/>
        <v>Фото &gt;&gt;</v>
      </c>
      <c r="S979" s="14" t="s">
        <v>4076</v>
      </c>
      <c r="AG979" s="84"/>
      <c r="AH979" s="84"/>
      <c r="AK979">
        <v>0.15</v>
      </c>
      <c r="AL979">
        <f t="shared" si="516"/>
        <v>0</v>
      </c>
      <c r="AM979">
        <f t="shared" si="517"/>
        <v>0</v>
      </c>
      <c r="AN979">
        <f t="shared" si="523"/>
        <v>0</v>
      </c>
      <c r="AO979" t="s">
        <v>4077</v>
      </c>
      <c r="AV979" t="str">
        <f>IF(F979&gt;0,(COUNT($AV$1:AV978)+1),"")</f>
        <v/>
      </c>
    </row>
    <row r="980" spans="1:48" ht="15" customHeight="1" x14ac:dyDescent="0.25">
      <c r="A980" s="1"/>
      <c r="B980" s="316">
        <v>20240</v>
      </c>
      <c r="C980" s="317">
        <v>4603766059648</v>
      </c>
      <c r="D980" s="513" t="s">
        <v>2990</v>
      </c>
      <c r="E980" s="318">
        <v>8</v>
      </c>
      <c r="F980" s="718"/>
      <c r="G980" s="510">
        <v>297.89999999999998</v>
      </c>
      <c r="H980" s="511">
        <v>313.2</v>
      </c>
      <c r="I980" s="512">
        <v>343.7</v>
      </c>
      <c r="J980" s="319" t="s">
        <v>5518</v>
      </c>
      <c r="K980" s="320" t="s">
        <v>118</v>
      </c>
      <c r="L980" s="432"/>
      <c r="M980" s="493"/>
      <c r="N980" s="1004"/>
      <c r="O980" s="322"/>
      <c r="P980" s="321" t="s">
        <v>195</v>
      </c>
      <c r="Q980" s="100">
        <f t="shared" si="522"/>
        <v>0</v>
      </c>
      <c r="R980" s="13" t="str">
        <f t="shared" si="515"/>
        <v>Фото &gt;&gt;</v>
      </c>
      <c r="S980" s="14" t="s">
        <v>1976</v>
      </c>
      <c r="AG980" s="84"/>
      <c r="AH980" s="84"/>
      <c r="AK980">
        <v>0.4</v>
      </c>
      <c r="AL980">
        <f t="shared" si="516"/>
        <v>0</v>
      </c>
      <c r="AM980">
        <f t="shared" si="517"/>
        <v>0</v>
      </c>
      <c r="AN980">
        <f t="shared" si="523"/>
        <v>0</v>
      </c>
      <c r="AO980" t="s">
        <v>2622</v>
      </c>
      <c r="AV980" t="str">
        <f>IF(F980&gt;0,(COUNT($AV$1:AV979)+1),"")</f>
        <v/>
      </c>
    </row>
    <row r="981" spans="1:48" ht="15" customHeight="1" x14ac:dyDescent="0.25">
      <c r="A981" s="1"/>
      <c r="B981" s="300">
        <v>20221</v>
      </c>
      <c r="C981" s="301">
        <v>4603736406847</v>
      </c>
      <c r="D981" s="362" t="s">
        <v>2930</v>
      </c>
      <c r="E981" s="302">
        <v>8</v>
      </c>
      <c r="F981" s="718"/>
      <c r="G981" s="303">
        <v>297.89999999999998</v>
      </c>
      <c r="H981" s="304">
        <v>313.2</v>
      </c>
      <c r="I981" s="305">
        <v>343.7</v>
      </c>
      <c r="J981" s="306" t="s">
        <v>5518</v>
      </c>
      <c r="K981" s="307" t="s">
        <v>118</v>
      </c>
      <c r="L981" s="450"/>
      <c r="M981" s="492"/>
      <c r="N981" s="1021"/>
      <c r="O981" s="309"/>
      <c r="P981" s="308" t="s">
        <v>195</v>
      </c>
      <c r="Q981" s="100">
        <f t="shared" si="522"/>
        <v>0</v>
      </c>
      <c r="R981" s="13" t="str">
        <f t="shared" si="515"/>
        <v>Фото &gt;&gt;</v>
      </c>
      <c r="S981" s="14" t="s">
        <v>3360</v>
      </c>
      <c r="AG981" s="84"/>
      <c r="AH981" s="84"/>
      <c r="AK981">
        <v>0.4</v>
      </c>
      <c r="AL981">
        <f t="shared" si="516"/>
        <v>0</v>
      </c>
      <c r="AM981">
        <f t="shared" si="517"/>
        <v>0</v>
      </c>
      <c r="AN981">
        <f t="shared" si="523"/>
        <v>0</v>
      </c>
      <c r="AO981" t="s">
        <v>3068</v>
      </c>
      <c r="AV981" t="str">
        <f>IF(F981&gt;0,(COUNT($AV$1:AV980)+1),"")</f>
        <v/>
      </c>
    </row>
    <row r="982" spans="1:48" ht="15" customHeight="1" x14ac:dyDescent="0.25">
      <c r="A982" s="1"/>
      <c r="B982" s="316">
        <v>19705</v>
      </c>
      <c r="C982" s="317">
        <v>4603766059617</v>
      </c>
      <c r="D982" s="513" t="s">
        <v>2039</v>
      </c>
      <c r="E982" s="318">
        <v>8</v>
      </c>
      <c r="F982" s="718"/>
      <c r="G982" s="510">
        <v>297.89999999999998</v>
      </c>
      <c r="H982" s="511">
        <v>313.2</v>
      </c>
      <c r="I982" s="512">
        <v>343.7</v>
      </c>
      <c r="J982" s="319" t="s">
        <v>5518</v>
      </c>
      <c r="K982" s="320" t="s">
        <v>118</v>
      </c>
      <c r="L982" s="432"/>
      <c r="M982" s="493" t="s">
        <v>104</v>
      </c>
      <c r="N982" s="1004"/>
      <c r="O982" s="322"/>
      <c r="P982" s="321" t="s">
        <v>195</v>
      </c>
      <c r="Q982" s="100">
        <f t="shared" si="522"/>
        <v>0</v>
      </c>
      <c r="R982" s="13" t="str">
        <f t="shared" si="515"/>
        <v>Фото &gt;&gt;</v>
      </c>
      <c r="S982" s="14" t="s">
        <v>371</v>
      </c>
      <c r="AG982" s="84"/>
      <c r="AH982" s="84"/>
      <c r="AK982">
        <v>0.4</v>
      </c>
      <c r="AL982">
        <f t="shared" si="516"/>
        <v>0</v>
      </c>
      <c r="AM982">
        <f t="shared" si="517"/>
        <v>0</v>
      </c>
      <c r="AN982">
        <f t="shared" si="523"/>
        <v>0</v>
      </c>
      <c r="AO982" t="s">
        <v>3069</v>
      </c>
      <c r="AV982" t="str">
        <f>IF(F982&gt;0,(COUNT($AV$1:AV981)+1),"")</f>
        <v/>
      </c>
    </row>
    <row r="983" spans="1:48" ht="15" customHeight="1" x14ac:dyDescent="0.25">
      <c r="A983" s="1"/>
      <c r="B983" s="300">
        <v>20046</v>
      </c>
      <c r="C983" s="301">
        <v>4603766059600</v>
      </c>
      <c r="D983" s="362" t="s">
        <v>2337</v>
      </c>
      <c r="E983" s="302">
        <v>8</v>
      </c>
      <c r="F983" s="718"/>
      <c r="G983" s="303">
        <v>297.89999999999998</v>
      </c>
      <c r="H983" s="304">
        <v>313.2</v>
      </c>
      <c r="I983" s="305">
        <v>343.7</v>
      </c>
      <c r="J983" s="306" t="s">
        <v>5518</v>
      </c>
      <c r="K983" s="307" t="s">
        <v>118</v>
      </c>
      <c r="L983" s="450"/>
      <c r="M983" s="492"/>
      <c r="N983" s="1021"/>
      <c r="O983" s="309"/>
      <c r="P983" s="308" t="s">
        <v>195</v>
      </c>
      <c r="Q983" s="100">
        <f t="shared" si="522"/>
        <v>0</v>
      </c>
      <c r="R983" s="13" t="str">
        <f t="shared" si="515"/>
        <v>Фото &gt;&gt;</v>
      </c>
      <c r="S983" s="14" t="s">
        <v>1970</v>
      </c>
      <c r="AG983" s="84"/>
      <c r="AH983" s="84"/>
      <c r="AK983">
        <v>0.4</v>
      </c>
      <c r="AL983">
        <f t="shared" si="516"/>
        <v>0</v>
      </c>
      <c r="AM983">
        <f t="shared" si="517"/>
        <v>0</v>
      </c>
      <c r="AN983">
        <f t="shared" si="523"/>
        <v>0</v>
      </c>
      <c r="AO983" t="s">
        <v>3070</v>
      </c>
      <c r="AV983" t="str">
        <f>IF(F983&gt;0,(COUNT($AV$1:AV982)+1),"")</f>
        <v/>
      </c>
    </row>
    <row r="984" spans="1:48" ht="15" customHeight="1" x14ac:dyDescent="0.25">
      <c r="A984" s="1"/>
      <c r="B984" s="316">
        <v>20271</v>
      </c>
      <c r="C984" s="317">
        <v>4603766059624</v>
      </c>
      <c r="D984" s="513" t="s">
        <v>2991</v>
      </c>
      <c r="E984" s="318">
        <v>8</v>
      </c>
      <c r="F984" s="718"/>
      <c r="G984" s="510">
        <v>297.89999999999998</v>
      </c>
      <c r="H984" s="511">
        <v>313.2</v>
      </c>
      <c r="I984" s="512">
        <v>343.7</v>
      </c>
      <c r="J984" s="319" t="s">
        <v>5518</v>
      </c>
      <c r="K984" s="320" t="s">
        <v>118</v>
      </c>
      <c r="L984" s="432"/>
      <c r="M984" s="493" t="s">
        <v>104</v>
      </c>
      <c r="N984" s="1004"/>
      <c r="O984" s="322"/>
      <c r="P984" s="321" t="s">
        <v>195</v>
      </c>
      <c r="Q984" s="100">
        <f t="shared" si="522"/>
        <v>0</v>
      </c>
      <c r="R984" s="13" t="str">
        <f t="shared" si="515"/>
        <v>Фото &gt;&gt;</v>
      </c>
      <c r="S984" s="14" t="s">
        <v>372</v>
      </c>
      <c r="AG984" s="84"/>
      <c r="AH984" s="84"/>
      <c r="AK984">
        <v>0.4</v>
      </c>
      <c r="AL984">
        <f t="shared" si="516"/>
        <v>0</v>
      </c>
      <c r="AM984">
        <f t="shared" si="517"/>
        <v>0</v>
      </c>
      <c r="AN984">
        <f t="shared" si="523"/>
        <v>0</v>
      </c>
      <c r="AO984" t="s">
        <v>3071</v>
      </c>
      <c r="AV984" t="str">
        <f>IF(F984&gt;0,(COUNT($AV$1:AV983)+1),"")</f>
        <v/>
      </c>
    </row>
    <row r="985" spans="1:48" ht="15" customHeight="1" x14ac:dyDescent="0.25">
      <c r="A985" s="1"/>
      <c r="B985" s="25"/>
      <c r="C985" s="26"/>
      <c r="D985" s="27" t="s">
        <v>1939</v>
      </c>
      <c r="E985" s="80"/>
      <c r="F985" s="96"/>
      <c r="G985" s="28"/>
      <c r="H985" s="29"/>
      <c r="I985" s="29"/>
      <c r="J985" s="51"/>
      <c r="K985" s="47"/>
      <c r="L985" s="447"/>
      <c r="M985" s="489" t="s">
        <v>104</v>
      </c>
      <c r="N985" s="716"/>
      <c r="O985" s="186"/>
      <c r="P985" s="79"/>
      <c r="Q985" s="104"/>
      <c r="R985" s="13"/>
      <c r="S985" s="14"/>
      <c r="AG985" s="84"/>
      <c r="AH985" s="84"/>
      <c r="AL985">
        <f t="shared" si="516"/>
        <v>0</v>
      </c>
      <c r="AM985">
        <f t="shared" si="517"/>
        <v>0</v>
      </c>
      <c r="AN985">
        <f t="shared" si="523"/>
        <v>0</v>
      </c>
      <c r="AO985" t="s">
        <v>104</v>
      </c>
      <c r="AV985" t="str">
        <f>IF(F985&gt;0,(COUNT($AV$1:AV984)+1),"")</f>
        <v/>
      </c>
    </row>
    <row r="986" spans="1:48" ht="15" customHeight="1" x14ac:dyDescent="0.25">
      <c r="A986" s="1"/>
      <c r="B986" s="30">
        <v>19697</v>
      </c>
      <c r="C986" s="20">
        <v>4603766058108</v>
      </c>
      <c r="D986" s="225" t="s">
        <v>2040</v>
      </c>
      <c r="E986" s="67">
        <v>9</v>
      </c>
      <c r="F986" s="222"/>
      <c r="G986" s="107">
        <v>167.8</v>
      </c>
      <c r="H986" s="21">
        <v>175.9</v>
      </c>
      <c r="I986" s="22">
        <v>185.1</v>
      </c>
      <c r="J986" s="112" t="s">
        <v>5518</v>
      </c>
      <c r="K986" s="45" t="s">
        <v>219</v>
      </c>
      <c r="L986" s="437"/>
      <c r="M986" s="474" t="s">
        <v>104</v>
      </c>
      <c r="N986" s="1013" t="s">
        <v>1856</v>
      </c>
      <c r="O986" s="209"/>
      <c r="P986" s="66" t="s">
        <v>72</v>
      </c>
      <c r="Q986" s="100">
        <f t="shared" ref="Q986:Q992" si="524">IF($AO$958=2,F986*H986,IF($AO$958=1,F986*G986,F986*I986))</f>
        <v>0</v>
      </c>
      <c r="R986" s="13" t="str">
        <f t="shared" ref="R986:R992" si="525">IF(AO986&gt;0,HYPERLINK(AO986,"Фото &gt;&gt;"),"")</f>
        <v>Фото &gt;&gt;</v>
      </c>
      <c r="S986" s="14" t="s">
        <v>1942</v>
      </c>
      <c r="AG986" s="84"/>
      <c r="AH986" s="84"/>
      <c r="AK986">
        <v>0.55000000000000004</v>
      </c>
      <c r="AL986">
        <f t="shared" si="516"/>
        <v>0</v>
      </c>
      <c r="AM986">
        <f t="shared" si="517"/>
        <v>0</v>
      </c>
      <c r="AN986">
        <f t="shared" si="523"/>
        <v>0</v>
      </c>
      <c r="AO986" t="s">
        <v>2623</v>
      </c>
      <c r="AV986" t="str">
        <f>IF(F986&gt;0,(COUNT($AV$1:AV985)+1),"")</f>
        <v/>
      </c>
    </row>
    <row r="987" spans="1:48" ht="15" customHeight="1" x14ac:dyDescent="0.25">
      <c r="A987" s="1"/>
      <c r="B987" s="31">
        <v>19696</v>
      </c>
      <c r="C987" s="16">
        <v>4603766059396</v>
      </c>
      <c r="D987" s="226" t="s">
        <v>6139</v>
      </c>
      <c r="E987" s="69">
        <v>9</v>
      </c>
      <c r="F987" s="222"/>
      <c r="G987" s="108">
        <v>160.19999999999999</v>
      </c>
      <c r="H987" s="17">
        <v>167.8</v>
      </c>
      <c r="I987" s="18">
        <v>185.1</v>
      </c>
      <c r="J987" s="113" t="s">
        <v>5518</v>
      </c>
      <c r="K987" s="44" t="s">
        <v>219</v>
      </c>
      <c r="L987" s="442"/>
      <c r="M987" s="480" t="s">
        <v>104</v>
      </c>
      <c r="N987" s="1015" t="s">
        <v>1856</v>
      </c>
      <c r="O987" s="210"/>
      <c r="P987" s="68" t="s">
        <v>72</v>
      </c>
      <c r="Q987" s="100">
        <f t="shared" si="524"/>
        <v>0</v>
      </c>
      <c r="R987" s="13" t="str">
        <f t="shared" si="525"/>
        <v>Фото &gt;&gt;</v>
      </c>
      <c r="S987" s="14" t="s">
        <v>1942</v>
      </c>
      <c r="AG987" s="84"/>
      <c r="AH987" s="84"/>
      <c r="AK987">
        <v>0.55000000000000004</v>
      </c>
      <c r="AL987">
        <v>0</v>
      </c>
      <c r="AM987">
        <v>0</v>
      </c>
      <c r="AN987">
        <v>0</v>
      </c>
      <c r="AO987" t="s">
        <v>6138</v>
      </c>
      <c r="AV987" t="str">
        <f>IF(F987&gt;0,(COUNT($AV$1:AV986)+1),"")</f>
        <v/>
      </c>
    </row>
    <row r="988" spans="1:48" ht="15" customHeight="1" x14ac:dyDescent="0.25">
      <c r="A988" s="1"/>
      <c r="B988" s="30">
        <v>18469</v>
      </c>
      <c r="C988" s="20">
        <v>4603726511247</v>
      </c>
      <c r="D988" s="225" t="s">
        <v>1937</v>
      </c>
      <c r="E988" s="67">
        <v>12</v>
      </c>
      <c r="F988" s="222"/>
      <c r="G988" s="107">
        <v>218.6</v>
      </c>
      <c r="H988" s="21">
        <v>229.8</v>
      </c>
      <c r="I988" s="22">
        <v>252.2</v>
      </c>
      <c r="J988" s="112" t="s">
        <v>5518</v>
      </c>
      <c r="K988" s="45" t="s">
        <v>28</v>
      </c>
      <c r="L988" s="437"/>
      <c r="M988" s="474" t="s">
        <v>1856</v>
      </c>
      <c r="N988" s="1013" t="s">
        <v>1856</v>
      </c>
      <c r="O988" s="209"/>
      <c r="P988" s="66" t="s">
        <v>72</v>
      </c>
      <c r="Q988" s="100">
        <f t="shared" si="524"/>
        <v>0</v>
      </c>
      <c r="R988" s="13" t="str">
        <f t="shared" si="525"/>
        <v>Фото &gt;&gt;</v>
      </c>
      <c r="S988" s="14" t="s">
        <v>370</v>
      </c>
      <c r="AG988" s="84"/>
      <c r="AH988" s="84"/>
      <c r="AK988">
        <v>1.08</v>
      </c>
      <c r="AL988">
        <f t="shared" si="516"/>
        <v>0</v>
      </c>
      <c r="AM988">
        <f t="shared" si="517"/>
        <v>0</v>
      </c>
      <c r="AN988">
        <f t="shared" si="523"/>
        <v>0</v>
      </c>
      <c r="AO988" t="s">
        <v>3072</v>
      </c>
      <c r="AV988" t="str">
        <f>IF(F988&gt;0,(COUNT($AV$1:AV987)+1),"")</f>
        <v/>
      </c>
    </row>
    <row r="989" spans="1:48" ht="15" customHeight="1" x14ac:dyDescent="0.25">
      <c r="A989" s="1"/>
      <c r="B989" s="31">
        <v>17544</v>
      </c>
      <c r="C989" s="16">
        <v>4603736406328</v>
      </c>
      <c r="D989" s="226" t="s">
        <v>1938</v>
      </c>
      <c r="E989" s="69">
        <v>20</v>
      </c>
      <c r="F989" s="222"/>
      <c r="G989" s="108">
        <v>132.19999999999999</v>
      </c>
      <c r="H989" s="17">
        <v>140.4</v>
      </c>
      <c r="I989" s="18">
        <v>157.6</v>
      </c>
      <c r="J989" s="113" t="s">
        <v>5518</v>
      </c>
      <c r="K989" s="44" t="s">
        <v>28</v>
      </c>
      <c r="L989" s="442"/>
      <c r="M989" s="480" t="s">
        <v>1856</v>
      </c>
      <c r="N989" s="1015" t="s">
        <v>1856</v>
      </c>
      <c r="O989" s="210"/>
      <c r="P989" s="68" t="s">
        <v>50</v>
      </c>
      <c r="Q989" s="100">
        <f t="shared" si="524"/>
        <v>0</v>
      </c>
      <c r="R989" s="13" t="str">
        <f t="shared" si="525"/>
        <v>Фото &gt;&gt;</v>
      </c>
      <c r="S989" s="14" t="s">
        <v>370</v>
      </c>
      <c r="AG989" s="84"/>
      <c r="AH989" s="84"/>
      <c r="AK989">
        <v>0.56999999999999995</v>
      </c>
      <c r="AL989">
        <f t="shared" si="516"/>
        <v>0</v>
      </c>
      <c r="AM989">
        <f t="shared" si="517"/>
        <v>0</v>
      </c>
      <c r="AN989">
        <f t="shared" si="523"/>
        <v>0</v>
      </c>
      <c r="AO989" t="s">
        <v>2624</v>
      </c>
      <c r="AV989" t="str">
        <f>IF(F989&gt;0,(COUNT($AV$1:AV988)+1),"")</f>
        <v/>
      </c>
    </row>
    <row r="990" spans="1:48" ht="15" customHeight="1" x14ac:dyDescent="0.25">
      <c r="A990" s="1"/>
      <c r="B990" s="30">
        <v>19704</v>
      </c>
      <c r="C990" s="20">
        <v>4603766059136</v>
      </c>
      <c r="D990" s="225" t="s">
        <v>2148</v>
      </c>
      <c r="E990" s="67">
        <v>20</v>
      </c>
      <c r="F990" s="222"/>
      <c r="G990" s="107">
        <v>132.19999999999999</v>
      </c>
      <c r="H990" s="21">
        <v>140.4</v>
      </c>
      <c r="I990" s="22">
        <v>157.6</v>
      </c>
      <c r="J990" s="112" t="s">
        <v>5518</v>
      </c>
      <c r="K990" s="45" t="s">
        <v>28</v>
      </c>
      <c r="L990" s="437"/>
      <c r="M990" s="474" t="s">
        <v>1856</v>
      </c>
      <c r="N990" s="1013" t="s">
        <v>1856</v>
      </c>
      <c r="O990" s="209"/>
      <c r="P990" s="66" t="s">
        <v>50</v>
      </c>
      <c r="Q990" s="100">
        <f t="shared" si="524"/>
        <v>0</v>
      </c>
      <c r="R990" s="13" t="str">
        <f t="shared" si="525"/>
        <v>Фото &gt;&gt;</v>
      </c>
      <c r="S990" s="14" t="s">
        <v>1940</v>
      </c>
      <c r="AG990" s="84"/>
      <c r="AH990" s="84"/>
      <c r="AK990">
        <v>0.55000000000000004</v>
      </c>
      <c r="AL990">
        <f>F990*G990</f>
        <v>0</v>
      </c>
      <c r="AM990">
        <f>F990*H990</f>
        <v>0</v>
      </c>
      <c r="AN990">
        <f t="shared" si="523"/>
        <v>0</v>
      </c>
      <c r="AO990" t="s">
        <v>2625</v>
      </c>
      <c r="AV990" t="str">
        <f>IF(F990&gt;0,(COUNT($AV$1:AV989)+1),"")</f>
        <v/>
      </c>
    </row>
    <row r="991" spans="1:48" ht="15" customHeight="1" x14ac:dyDescent="0.25">
      <c r="A991" s="1"/>
      <c r="B991" s="31">
        <v>19701</v>
      </c>
      <c r="C991" s="16">
        <v>4603766059167</v>
      </c>
      <c r="D991" s="226" t="s">
        <v>2149</v>
      </c>
      <c r="E991" s="69">
        <v>15</v>
      </c>
      <c r="F991" s="222"/>
      <c r="G991" s="108">
        <v>218.6</v>
      </c>
      <c r="H991" s="17">
        <v>229.8</v>
      </c>
      <c r="I991" s="18">
        <v>252.2</v>
      </c>
      <c r="J991" s="113" t="s">
        <v>5518</v>
      </c>
      <c r="K991" s="44" t="s">
        <v>28</v>
      </c>
      <c r="L991" s="442"/>
      <c r="M991" s="480" t="s">
        <v>1856</v>
      </c>
      <c r="N991" s="1015" t="s">
        <v>1856</v>
      </c>
      <c r="O991" s="210"/>
      <c r="P991" s="68" t="s">
        <v>50</v>
      </c>
      <c r="Q991" s="100">
        <f t="shared" si="524"/>
        <v>0</v>
      </c>
      <c r="R991" s="13" t="str">
        <f t="shared" si="525"/>
        <v>Фото &gt;&gt;</v>
      </c>
      <c r="S991" s="14" t="s">
        <v>1941</v>
      </c>
      <c r="AG991" s="84"/>
      <c r="AH991" s="84"/>
      <c r="AK991">
        <v>1.05</v>
      </c>
      <c r="AL991">
        <f>F991*G991</f>
        <v>0</v>
      </c>
      <c r="AM991">
        <f>F991*H991</f>
        <v>0</v>
      </c>
      <c r="AN991">
        <f t="shared" si="523"/>
        <v>0</v>
      </c>
      <c r="AO991" t="s">
        <v>2626</v>
      </c>
      <c r="AV991" t="str">
        <f>IF(F991&gt;0,(COUNT($AV$1:AV990)+1),"")</f>
        <v/>
      </c>
    </row>
    <row r="992" spans="1:48" ht="15" customHeight="1" x14ac:dyDescent="0.25">
      <c r="A992" s="1"/>
      <c r="B992" s="30">
        <v>19703</v>
      </c>
      <c r="C992" s="20">
        <v>4603766059150</v>
      </c>
      <c r="D992" s="225" t="s">
        <v>2150</v>
      </c>
      <c r="E992" s="67">
        <v>20</v>
      </c>
      <c r="F992" s="222"/>
      <c r="G992" s="107">
        <v>132.19999999999999</v>
      </c>
      <c r="H992" s="21">
        <v>140.4</v>
      </c>
      <c r="I992" s="22">
        <v>157.6</v>
      </c>
      <c r="J992" s="112" t="s">
        <v>5518</v>
      </c>
      <c r="K992" s="45" t="s">
        <v>28</v>
      </c>
      <c r="L992" s="437"/>
      <c r="M992" s="474" t="s">
        <v>1856</v>
      </c>
      <c r="N992" s="1013" t="s">
        <v>1856</v>
      </c>
      <c r="O992" s="209"/>
      <c r="P992" s="66" t="s">
        <v>50</v>
      </c>
      <c r="Q992" s="100">
        <f t="shared" si="524"/>
        <v>0</v>
      </c>
      <c r="R992" s="13" t="str">
        <f t="shared" si="525"/>
        <v>Фото &gt;&gt;</v>
      </c>
      <c r="S992" s="14" t="s">
        <v>1941</v>
      </c>
      <c r="AG992" s="84"/>
      <c r="AH992" s="84"/>
      <c r="AK992">
        <v>0.55000000000000004</v>
      </c>
      <c r="AL992">
        <f>F992*G992</f>
        <v>0</v>
      </c>
      <c r="AM992">
        <f>F992*H992</f>
        <v>0</v>
      </c>
      <c r="AN992">
        <f t="shared" si="523"/>
        <v>0</v>
      </c>
      <c r="AO992" t="s">
        <v>2627</v>
      </c>
      <c r="AV992" t="str">
        <f>IF(F992&gt;0,(COUNT($AV$1:AV991)+1),"")</f>
        <v/>
      </c>
    </row>
    <row r="993" spans="1:48" ht="15" customHeight="1" x14ac:dyDescent="0.25">
      <c r="A993" s="1"/>
      <c r="B993" s="25"/>
      <c r="C993" s="26"/>
      <c r="D993" s="27" t="s">
        <v>117</v>
      </c>
      <c r="E993" s="80"/>
      <c r="F993" s="96"/>
      <c r="G993" s="28"/>
      <c r="H993" s="29"/>
      <c r="I993" s="29"/>
      <c r="J993" s="51"/>
      <c r="K993" s="47"/>
      <c r="L993" s="447"/>
      <c r="M993" s="489" t="s">
        <v>104</v>
      </c>
      <c r="N993" s="716"/>
      <c r="O993" s="186"/>
      <c r="P993" s="79"/>
      <c r="Q993" s="104"/>
      <c r="R993" s="13"/>
      <c r="S993" s="14"/>
      <c r="AG993" s="84"/>
      <c r="AH993" s="84"/>
      <c r="AL993">
        <f t="shared" ref="AL993:AL1008" si="526">F993*G993</f>
        <v>0</v>
      </c>
      <c r="AM993">
        <f t="shared" ref="AM993:AM1008" si="527">F993*H993</f>
        <v>0</v>
      </c>
      <c r="AN993">
        <f t="shared" si="523"/>
        <v>0</v>
      </c>
      <c r="AO993" t="s">
        <v>104</v>
      </c>
      <c r="AV993" t="str">
        <f>IF(F993&gt;0,(COUNT($AV$1:AV992)+1),"")</f>
        <v/>
      </c>
    </row>
    <row r="994" spans="1:48" ht="15" customHeight="1" x14ac:dyDescent="0.25">
      <c r="A994" s="1"/>
      <c r="B994" s="30">
        <v>17539</v>
      </c>
      <c r="C994" s="20">
        <v>4603726511155</v>
      </c>
      <c r="D994" s="153" t="s">
        <v>3364</v>
      </c>
      <c r="E994" s="67">
        <v>10</v>
      </c>
      <c r="F994" s="222"/>
      <c r="G994" s="107">
        <v>170.9</v>
      </c>
      <c r="H994" s="21">
        <v>179.5</v>
      </c>
      <c r="I994" s="22">
        <v>197.3</v>
      </c>
      <c r="J994" s="112" t="s">
        <v>5518</v>
      </c>
      <c r="K994" s="45" t="s">
        <v>117</v>
      </c>
      <c r="L994" s="437"/>
      <c r="M994" s="474" t="s">
        <v>1856</v>
      </c>
      <c r="N994" s="1013" t="s">
        <v>1856</v>
      </c>
      <c r="O994" s="212"/>
      <c r="P994" s="66" t="s">
        <v>50</v>
      </c>
      <c r="Q994" s="100">
        <f t="shared" ref="Q994:Q1001" si="528">IF($AO$958=2,F994*H994,IF($AO$958=1,F994*G994,F994*I994))</f>
        <v>0</v>
      </c>
      <c r="R994" s="13" t="str">
        <f t="shared" ref="R994:R1001" si="529">IF(AO994&gt;0,HYPERLINK(AO994,"Фото &gt;&gt;"),"")</f>
        <v>Фото &gt;&gt;</v>
      </c>
      <c r="S994" s="14" t="s">
        <v>375</v>
      </c>
      <c r="AG994" s="84"/>
      <c r="AH994" s="84"/>
      <c r="AK994">
        <v>0.12</v>
      </c>
      <c r="AL994">
        <f t="shared" si="526"/>
        <v>0</v>
      </c>
      <c r="AM994">
        <f t="shared" si="527"/>
        <v>0</v>
      </c>
      <c r="AN994">
        <f t="shared" si="523"/>
        <v>0</v>
      </c>
      <c r="AO994" t="s">
        <v>4823</v>
      </c>
      <c r="AV994" t="str">
        <f>IF(F994&gt;0,(COUNT($AV$1:AV993)+1),"")</f>
        <v/>
      </c>
    </row>
    <row r="995" spans="1:48" ht="15" customHeight="1" x14ac:dyDescent="0.25">
      <c r="A995" s="1"/>
      <c r="B995" s="31">
        <v>17540</v>
      </c>
      <c r="C995" s="16">
        <v>4603726511162</v>
      </c>
      <c r="D995" s="154" t="s">
        <v>1643</v>
      </c>
      <c r="E995" s="69">
        <v>10</v>
      </c>
      <c r="F995" s="222"/>
      <c r="G995" s="108">
        <v>198.3</v>
      </c>
      <c r="H995" s="17">
        <v>208.5</v>
      </c>
      <c r="I995" s="18">
        <v>228.8</v>
      </c>
      <c r="J995" s="113" t="s">
        <v>5518</v>
      </c>
      <c r="K995" s="44" t="s">
        <v>117</v>
      </c>
      <c r="L995" s="442"/>
      <c r="M995" s="480" t="s">
        <v>1856</v>
      </c>
      <c r="N995" s="1015" t="s">
        <v>1856</v>
      </c>
      <c r="O995" s="217"/>
      <c r="P995" s="68" t="s">
        <v>50</v>
      </c>
      <c r="Q995" s="100">
        <f t="shared" si="528"/>
        <v>0</v>
      </c>
      <c r="R995" s="13" t="str">
        <f t="shared" si="529"/>
        <v>Фото &gt;&gt;</v>
      </c>
      <c r="S995" s="14" t="s">
        <v>376</v>
      </c>
      <c r="AG995" s="84"/>
      <c r="AH995" s="84"/>
      <c r="AK995">
        <v>0.12</v>
      </c>
      <c r="AL995">
        <f t="shared" si="526"/>
        <v>0</v>
      </c>
      <c r="AM995">
        <f t="shared" si="527"/>
        <v>0</v>
      </c>
      <c r="AN995">
        <f t="shared" si="523"/>
        <v>0</v>
      </c>
      <c r="AO995" t="s">
        <v>2628</v>
      </c>
      <c r="AV995" t="str">
        <f>IF(F995&gt;0,(COUNT($AV$1:AV994)+1),"")</f>
        <v/>
      </c>
    </row>
    <row r="996" spans="1:48" ht="15" customHeight="1" x14ac:dyDescent="0.25">
      <c r="A996" s="1"/>
      <c r="B996" s="30">
        <v>17541</v>
      </c>
      <c r="C996" s="20">
        <v>4603726511193</v>
      </c>
      <c r="D996" s="153" t="s">
        <v>1644</v>
      </c>
      <c r="E996" s="67">
        <v>10</v>
      </c>
      <c r="F996" s="222"/>
      <c r="G996" s="107">
        <v>170.9</v>
      </c>
      <c r="H996" s="21">
        <v>179.5</v>
      </c>
      <c r="I996" s="22">
        <v>197.3</v>
      </c>
      <c r="J996" s="112" t="s">
        <v>5518</v>
      </c>
      <c r="K996" s="45" t="s">
        <v>117</v>
      </c>
      <c r="L996" s="437"/>
      <c r="M996" s="474" t="s">
        <v>1856</v>
      </c>
      <c r="N996" s="1013" t="s">
        <v>1856</v>
      </c>
      <c r="O996" s="212"/>
      <c r="P996" s="66" t="s">
        <v>50</v>
      </c>
      <c r="Q996" s="100">
        <f t="shared" si="528"/>
        <v>0</v>
      </c>
      <c r="R996" s="13" t="str">
        <f t="shared" si="529"/>
        <v>Фото &gt;&gt;</v>
      </c>
      <c r="S996" s="14" t="s">
        <v>1647</v>
      </c>
      <c r="AG996" s="84"/>
      <c r="AH996" s="84"/>
      <c r="AK996">
        <v>0.12</v>
      </c>
      <c r="AL996">
        <f t="shared" si="526"/>
        <v>0</v>
      </c>
      <c r="AM996">
        <f t="shared" si="527"/>
        <v>0</v>
      </c>
      <c r="AN996">
        <f t="shared" si="523"/>
        <v>0</v>
      </c>
      <c r="AO996" t="s">
        <v>2629</v>
      </c>
      <c r="AV996" t="str">
        <f>IF(F996&gt;0,(COUNT($AV$1:AV995)+1),"")</f>
        <v/>
      </c>
    </row>
    <row r="997" spans="1:48" ht="15" customHeight="1" x14ac:dyDescent="0.25">
      <c r="A997" s="1"/>
      <c r="B997" s="31">
        <v>17542</v>
      </c>
      <c r="C997" s="16">
        <v>4603726511179</v>
      </c>
      <c r="D997" s="154" t="s">
        <v>1645</v>
      </c>
      <c r="E997" s="69">
        <v>10</v>
      </c>
      <c r="F997" s="222"/>
      <c r="G997" s="108">
        <v>170.9</v>
      </c>
      <c r="H997" s="17">
        <v>179.5</v>
      </c>
      <c r="I997" s="18">
        <v>197.3</v>
      </c>
      <c r="J997" s="113" t="s">
        <v>5518</v>
      </c>
      <c r="K997" s="44" t="s">
        <v>117</v>
      </c>
      <c r="L997" s="442"/>
      <c r="M997" s="480" t="s">
        <v>1856</v>
      </c>
      <c r="N997" s="1015" t="s">
        <v>1856</v>
      </c>
      <c r="O997" s="217"/>
      <c r="P997" s="68" t="s">
        <v>50</v>
      </c>
      <c r="Q997" s="100">
        <f t="shared" si="528"/>
        <v>0</v>
      </c>
      <c r="R997" s="13" t="str">
        <f t="shared" si="529"/>
        <v>Фото &gt;&gt;</v>
      </c>
      <c r="S997" s="14" t="s">
        <v>1648</v>
      </c>
      <c r="AG997" s="84"/>
      <c r="AH997" s="84"/>
      <c r="AK997">
        <v>0.12</v>
      </c>
      <c r="AL997">
        <f t="shared" si="526"/>
        <v>0</v>
      </c>
      <c r="AM997">
        <f t="shared" si="527"/>
        <v>0</v>
      </c>
      <c r="AN997">
        <f t="shared" si="523"/>
        <v>0</v>
      </c>
      <c r="AO997" t="s">
        <v>2630</v>
      </c>
      <c r="AV997" t="str">
        <f>IF(F997&gt;0,(COUNT($AV$1:AV996)+1),"")</f>
        <v/>
      </c>
    </row>
    <row r="998" spans="1:48" ht="15" customHeight="1" x14ac:dyDescent="0.25">
      <c r="A998" s="1"/>
      <c r="B998" s="30">
        <v>17543</v>
      </c>
      <c r="C998" s="20">
        <v>4603726511186</v>
      </c>
      <c r="D998" s="153" t="s">
        <v>1646</v>
      </c>
      <c r="E998" s="67">
        <v>10</v>
      </c>
      <c r="F998" s="222"/>
      <c r="G998" s="107">
        <v>170.9</v>
      </c>
      <c r="H998" s="21">
        <v>179.5</v>
      </c>
      <c r="I998" s="22">
        <v>197.3</v>
      </c>
      <c r="J998" s="112" t="s">
        <v>5518</v>
      </c>
      <c r="K998" s="45" t="s">
        <v>117</v>
      </c>
      <c r="L998" s="437"/>
      <c r="M998" s="474" t="s">
        <v>1856</v>
      </c>
      <c r="N998" s="1013" t="s">
        <v>1856</v>
      </c>
      <c r="O998" s="212"/>
      <c r="P998" s="66" t="s">
        <v>50</v>
      </c>
      <c r="Q998" s="100">
        <f t="shared" si="528"/>
        <v>0</v>
      </c>
      <c r="R998" s="13" t="str">
        <f t="shared" si="529"/>
        <v>Фото &gt;&gt;</v>
      </c>
      <c r="S998" s="14" t="s">
        <v>377</v>
      </c>
      <c r="AG998" s="84"/>
      <c r="AH998" s="84"/>
      <c r="AK998">
        <v>0.01</v>
      </c>
      <c r="AL998">
        <f t="shared" si="526"/>
        <v>0</v>
      </c>
      <c r="AM998">
        <f t="shared" si="527"/>
        <v>0</v>
      </c>
      <c r="AN998">
        <f t="shared" si="523"/>
        <v>0</v>
      </c>
      <c r="AO998" t="s">
        <v>2631</v>
      </c>
      <c r="AV998" t="str">
        <f>IF(F998&gt;0,(COUNT($AV$1:AV997)+1),"")</f>
        <v/>
      </c>
    </row>
    <row r="999" spans="1:48" ht="15" customHeight="1" x14ac:dyDescent="0.25">
      <c r="A999" s="1"/>
      <c r="B999" s="31">
        <v>18299</v>
      </c>
      <c r="C999" s="16">
        <v>4603766055152</v>
      </c>
      <c r="D999" s="154" t="s">
        <v>3363</v>
      </c>
      <c r="E999" s="69">
        <v>8</v>
      </c>
      <c r="F999" s="222"/>
      <c r="G999" s="108">
        <v>239</v>
      </c>
      <c r="H999" s="17">
        <v>251.2</v>
      </c>
      <c r="I999" s="18">
        <v>279.60000000000002</v>
      </c>
      <c r="J999" s="113" t="s">
        <v>5518</v>
      </c>
      <c r="K999" s="44" t="s">
        <v>117</v>
      </c>
      <c r="L999" s="442"/>
      <c r="M999" s="480" t="s">
        <v>1856</v>
      </c>
      <c r="N999" s="1015" t="s">
        <v>1856</v>
      </c>
      <c r="O999" s="217"/>
      <c r="P999" s="68" t="s">
        <v>50</v>
      </c>
      <c r="Q999" s="100">
        <f t="shared" si="528"/>
        <v>0</v>
      </c>
      <c r="R999" s="13" t="str">
        <f t="shared" si="529"/>
        <v>Фото &gt;&gt;</v>
      </c>
      <c r="S999" s="14" t="s">
        <v>3365</v>
      </c>
      <c r="AG999" s="84"/>
      <c r="AH999" s="84"/>
      <c r="AK999">
        <v>0.06</v>
      </c>
      <c r="AL999">
        <f t="shared" si="526"/>
        <v>0</v>
      </c>
      <c r="AM999">
        <f t="shared" si="527"/>
        <v>0</v>
      </c>
      <c r="AN999">
        <f t="shared" si="523"/>
        <v>0</v>
      </c>
      <c r="AO999" t="s">
        <v>5370</v>
      </c>
      <c r="AV999" t="str">
        <f>IF(F999&gt;0,(COUNT($AV$1:AV998)+1),"")</f>
        <v/>
      </c>
    </row>
    <row r="1000" spans="1:48" ht="15" customHeight="1" x14ac:dyDescent="0.25">
      <c r="A1000" s="1"/>
      <c r="B1000" s="30">
        <v>18301</v>
      </c>
      <c r="C1000" s="20">
        <v>4603736406793</v>
      </c>
      <c r="D1000" s="153" t="s">
        <v>378</v>
      </c>
      <c r="E1000" s="67">
        <v>30</v>
      </c>
      <c r="F1000" s="222"/>
      <c r="G1000" s="107">
        <v>193.5</v>
      </c>
      <c r="H1000" s="21">
        <v>200.6</v>
      </c>
      <c r="I1000" s="22">
        <v>218.9</v>
      </c>
      <c r="J1000" s="112" t="s">
        <v>5518</v>
      </c>
      <c r="K1000" s="45" t="s">
        <v>117</v>
      </c>
      <c r="L1000" s="437"/>
      <c r="M1000" s="474" t="s">
        <v>1856</v>
      </c>
      <c r="N1000" s="1013" t="s">
        <v>1856</v>
      </c>
      <c r="O1000" s="212"/>
      <c r="P1000" s="66" t="s">
        <v>50</v>
      </c>
      <c r="Q1000" s="100">
        <f t="shared" si="528"/>
        <v>0</v>
      </c>
      <c r="R1000" s="13" t="str">
        <f t="shared" si="529"/>
        <v>Фото &gt;&gt;</v>
      </c>
      <c r="S1000" s="14" t="s">
        <v>3366</v>
      </c>
      <c r="AG1000" s="84"/>
      <c r="AH1000" s="84"/>
      <c r="AK1000">
        <v>3.5000000000000003E-2</v>
      </c>
      <c r="AL1000">
        <f t="shared" si="526"/>
        <v>0</v>
      </c>
      <c r="AM1000">
        <f t="shared" si="527"/>
        <v>0</v>
      </c>
      <c r="AN1000">
        <f t="shared" si="523"/>
        <v>0</v>
      </c>
      <c r="AO1000" t="s">
        <v>5371</v>
      </c>
      <c r="AV1000" t="str">
        <f>IF(F1000&gt;0,(COUNT($AV$1:AV999)+1),"")</f>
        <v/>
      </c>
    </row>
    <row r="1001" spans="1:48" ht="15" customHeight="1" x14ac:dyDescent="0.25">
      <c r="A1001" s="1"/>
      <c r="B1001" s="31">
        <v>18300</v>
      </c>
      <c r="C1001" s="16">
        <v>4603726511148</v>
      </c>
      <c r="D1001" s="154" t="s">
        <v>379</v>
      </c>
      <c r="E1001" s="69">
        <v>30</v>
      </c>
      <c r="F1001" s="222"/>
      <c r="G1001" s="108">
        <v>221.7</v>
      </c>
      <c r="H1001" s="17">
        <v>232.9</v>
      </c>
      <c r="I1001" s="18">
        <v>256.3</v>
      </c>
      <c r="J1001" s="113" t="s">
        <v>5518</v>
      </c>
      <c r="K1001" s="44" t="s">
        <v>117</v>
      </c>
      <c r="L1001" s="442"/>
      <c r="M1001" s="480" t="s">
        <v>1856</v>
      </c>
      <c r="N1001" s="1015" t="s">
        <v>1856</v>
      </c>
      <c r="O1001" s="217"/>
      <c r="P1001" s="68" t="s">
        <v>50</v>
      </c>
      <c r="Q1001" s="100">
        <f t="shared" si="528"/>
        <v>0</v>
      </c>
      <c r="R1001" s="13" t="str">
        <f t="shared" si="529"/>
        <v>Фото &gt;&gt;</v>
      </c>
      <c r="S1001" s="14" t="s">
        <v>3367</v>
      </c>
      <c r="AG1001" s="84"/>
      <c r="AH1001" s="84"/>
      <c r="AK1001">
        <v>3.5000000000000003E-2</v>
      </c>
      <c r="AL1001">
        <f t="shared" si="526"/>
        <v>0</v>
      </c>
      <c r="AM1001">
        <f t="shared" si="527"/>
        <v>0</v>
      </c>
      <c r="AN1001">
        <f t="shared" si="523"/>
        <v>0</v>
      </c>
      <c r="AO1001" t="s">
        <v>5372</v>
      </c>
      <c r="AV1001" t="str">
        <f>IF(F1001&gt;0,(COUNT($AV$1:AV1000)+1),"")</f>
        <v/>
      </c>
    </row>
    <row r="1002" spans="1:48" ht="15" customHeight="1" x14ac:dyDescent="0.25">
      <c r="A1002" s="1"/>
      <c r="B1002" s="25"/>
      <c r="C1002" s="26"/>
      <c r="D1002" s="27" t="s">
        <v>1424</v>
      </c>
      <c r="E1002" s="80"/>
      <c r="F1002" s="96"/>
      <c r="G1002" s="28"/>
      <c r="H1002" s="29"/>
      <c r="I1002" s="29"/>
      <c r="J1002" s="51"/>
      <c r="K1002" s="47"/>
      <c r="L1002" s="447"/>
      <c r="M1002" s="489"/>
      <c r="N1002" s="716"/>
      <c r="O1002" s="186"/>
      <c r="P1002" s="79"/>
      <c r="Q1002" s="104"/>
      <c r="R1002" s="13"/>
      <c r="S1002" s="14"/>
      <c r="AG1002" s="84"/>
      <c r="AH1002" s="84"/>
      <c r="AL1002">
        <f t="shared" si="526"/>
        <v>0</v>
      </c>
      <c r="AM1002">
        <f t="shared" si="527"/>
        <v>0</v>
      </c>
      <c r="AN1002">
        <f t="shared" si="523"/>
        <v>0</v>
      </c>
      <c r="AO1002" t="s">
        <v>104</v>
      </c>
      <c r="AV1002" t="str">
        <f>IF(F1002&gt;0,(COUNT($AV$1:AV1001)+1),"")</f>
        <v/>
      </c>
    </row>
    <row r="1003" spans="1:48" ht="15" customHeight="1" x14ac:dyDescent="0.25">
      <c r="A1003" s="1"/>
      <c r="B1003" s="30">
        <v>20402</v>
      </c>
      <c r="C1003" s="20">
        <v>4673741740243</v>
      </c>
      <c r="D1003" s="225" t="s">
        <v>3834</v>
      </c>
      <c r="E1003" s="67">
        <v>12</v>
      </c>
      <c r="F1003" s="222"/>
      <c r="G1003" s="107">
        <v>161.69999999999999</v>
      </c>
      <c r="H1003" s="21">
        <v>169.8</v>
      </c>
      <c r="I1003" s="22">
        <v>187.1</v>
      </c>
      <c r="J1003" s="112" t="s">
        <v>5518</v>
      </c>
      <c r="K1003" s="45" t="s">
        <v>1424</v>
      </c>
      <c r="L1003" s="437"/>
      <c r="M1003" s="474" t="s">
        <v>1856</v>
      </c>
      <c r="N1003" s="1013" t="s">
        <v>1856</v>
      </c>
      <c r="O1003" s="209"/>
      <c r="P1003" s="66" t="s">
        <v>50</v>
      </c>
      <c r="Q1003" s="100">
        <f t="shared" ref="Q1003:Q1008" si="530">IF($AO$958=2,F1003*H1003,IF($AO$958=1,F1003*G1003,F1003*I1003))</f>
        <v>0</v>
      </c>
      <c r="R1003" s="13" t="str">
        <f t="shared" ref="R1003:R1008" si="531">IF(AO1003&gt;0,HYPERLINK(AO1003,"Фото &gt;&gt;"),"")</f>
        <v>Фото &gt;&gt;</v>
      </c>
      <c r="S1003" s="14" t="s">
        <v>1895</v>
      </c>
      <c r="AG1003" s="84"/>
      <c r="AH1003" s="84"/>
      <c r="AK1003">
        <v>0.3</v>
      </c>
      <c r="AL1003">
        <f t="shared" si="526"/>
        <v>0</v>
      </c>
      <c r="AM1003">
        <f t="shared" si="527"/>
        <v>0</v>
      </c>
      <c r="AN1003">
        <f t="shared" si="523"/>
        <v>0</v>
      </c>
      <c r="AO1003" t="s">
        <v>3836</v>
      </c>
      <c r="AV1003" t="str">
        <f>IF(F1003&gt;0,(COUNT($AV$1:AV1002)+1),"")</f>
        <v/>
      </c>
    </row>
    <row r="1004" spans="1:48" ht="15" customHeight="1" x14ac:dyDescent="0.25">
      <c r="A1004" s="1"/>
      <c r="B1004" s="31">
        <v>20453</v>
      </c>
      <c r="C1004" s="16">
        <v>4673741740250</v>
      </c>
      <c r="D1004" s="226" t="s">
        <v>3898</v>
      </c>
      <c r="E1004" s="69">
        <v>12</v>
      </c>
      <c r="F1004" s="222"/>
      <c r="G1004" s="108">
        <v>136.30000000000001</v>
      </c>
      <c r="H1004" s="17">
        <v>142.9</v>
      </c>
      <c r="I1004" s="18">
        <v>157.6</v>
      </c>
      <c r="J1004" s="113" t="s">
        <v>5518</v>
      </c>
      <c r="K1004" s="44" t="s">
        <v>1424</v>
      </c>
      <c r="L1004" s="442"/>
      <c r="M1004" s="480" t="s">
        <v>1856</v>
      </c>
      <c r="N1004" s="1015" t="s">
        <v>1856</v>
      </c>
      <c r="O1004" s="210"/>
      <c r="P1004" s="68" t="s">
        <v>50</v>
      </c>
      <c r="Q1004" s="100">
        <f t="shared" si="530"/>
        <v>0</v>
      </c>
      <c r="R1004" s="13" t="str">
        <f t="shared" si="531"/>
        <v>Фото &gt;&gt;</v>
      </c>
      <c r="S1004" s="14" t="s">
        <v>3896</v>
      </c>
      <c r="AG1004" s="84"/>
      <c r="AH1004" s="84"/>
      <c r="AK1004">
        <v>0.3</v>
      </c>
      <c r="AL1004">
        <f t="shared" si="526"/>
        <v>0</v>
      </c>
      <c r="AM1004">
        <f t="shared" si="527"/>
        <v>0</v>
      </c>
      <c r="AN1004">
        <f t="shared" si="523"/>
        <v>0</v>
      </c>
      <c r="AO1004" t="s">
        <v>3897</v>
      </c>
      <c r="AV1004" t="str">
        <f>IF(F1004&gt;0,(COUNT($AV$1:AV1003)+1),"")</f>
        <v/>
      </c>
    </row>
    <row r="1005" spans="1:48" ht="15" customHeight="1" x14ac:dyDescent="0.25">
      <c r="A1005" s="1"/>
      <c r="B1005" s="30">
        <v>20404</v>
      </c>
      <c r="C1005" s="20">
        <v>4673741740311</v>
      </c>
      <c r="D1005" s="225" t="s">
        <v>3833</v>
      </c>
      <c r="E1005" s="67">
        <v>12</v>
      </c>
      <c r="F1005" s="222"/>
      <c r="G1005" s="107">
        <v>136.30000000000001</v>
      </c>
      <c r="H1005" s="21">
        <v>142.9</v>
      </c>
      <c r="I1005" s="22">
        <v>157.6</v>
      </c>
      <c r="J1005" s="112" t="s">
        <v>5518</v>
      </c>
      <c r="K1005" s="45" t="s">
        <v>1424</v>
      </c>
      <c r="L1005" s="437"/>
      <c r="M1005" s="474" t="s">
        <v>1856</v>
      </c>
      <c r="N1005" s="1013" t="s">
        <v>1856</v>
      </c>
      <c r="O1005" s="209"/>
      <c r="P1005" s="66" t="s">
        <v>50</v>
      </c>
      <c r="Q1005" s="100">
        <f t="shared" si="530"/>
        <v>0</v>
      </c>
      <c r="R1005" s="13" t="str">
        <f t="shared" si="531"/>
        <v>Фото &gt;&gt;</v>
      </c>
      <c r="S1005" s="14" t="s">
        <v>1896</v>
      </c>
      <c r="AG1005" s="84"/>
      <c r="AH1005" s="84"/>
      <c r="AK1005">
        <v>0.3</v>
      </c>
      <c r="AL1005">
        <f t="shared" si="526"/>
        <v>0</v>
      </c>
      <c r="AM1005">
        <f t="shared" si="527"/>
        <v>0</v>
      </c>
      <c r="AN1005">
        <f t="shared" si="523"/>
        <v>0</v>
      </c>
      <c r="AO1005" t="s">
        <v>3837</v>
      </c>
      <c r="AV1005" t="str">
        <f>IF(F1005&gt;0,(COUNT($AV$1:AV1004)+1),"")</f>
        <v/>
      </c>
    </row>
    <row r="1006" spans="1:48" ht="15" customHeight="1" x14ac:dyDescent="0.25">
      <c r="A1006" s="1"/>
      <c r="B1006" s="31">
        <v>20405</v>
      </c>
      <c r="C1006" s="16">
        <v>4673741740625</v>
      </c>
      <c r="D1006" s="226" t="s">
        <v>3832</v>
      </c>
      <c r="E1006" s="69">
        <v>12</v>
      </c>
      <c r="F1006" s="222"/>
      <c r="G1006" s="108">
        <v>161.69999999999999</v>
      </c>
      <c r="H1006" s="17">
        <v>169.8</v>
      </c>
      <c r="I1006" s="18">
        <v>187.1</v>
      </c>
      <c r="J1006" s="113" t="s">
        <v>5518</v>
      </c>
      <c r="K1006" s="44" t="s">
        <v>1424</v>
      </c>
      <c r="L1006" s="442"/>
      <c r="M1006" s="480" t="s">
        <v>1856</v>
      </c>
      <c r="N1006" s="1015" t="s">
        <v>1856</v>
      </c>
      <c r="O1006" s="210"/>
      <c r="P1006" s="68" t="s">
        <v>50</v>
      </c>
      <c r="Q1006" s="100">
        <f t="shared" si="530"/>
        <v>0</v>
      </c>
      <c r="R1006" s="13" t="str">
        <f t="shared" si="531"/>
        <v>Фото &gt;&gt;</v>
      </c>
      <c r="S1006" s="14" t="s">
        <v>1897</v>
      </c>
      <c r="AG1006" s="84"/>
      <c r="AH1006" s="84"/>
      <c r="AK1006">
        <v>0.3</v>
      </c>
      <c r="AL1006">
        <f t="shared" si="526"/>
        <v>0</v>
      </c>
      <c r="AM1006">
        <f t="shared" si="527"/>
        <v>0</v>
      </c>
      <c r="AN1006">
        <f t="shared" si="523"/>
        <v>0</v>
      </c>
      <c r="AO1006" t="s">
        <v>3838</v>
      </c>
      <c r="AV1006" t="str">
        <f>IF(F1006&gt;0,(COUNT($AV$1:AV1005)+1),"")</f>
        <v/>
      </c>
    </row>
    <row r="1007" spans="1:48" ht="15" customHeight="1" x14ac:dyDescent="0.25">
      <c r="A1007" s="1"/>
      <c r="B1007" s="30">
        <v>20364</v>
      </c>
      <c r="C1007" s="20">
        <v>4603766059303</v>
      </c>
      <c r="D1007" s="225" t="s">
        <v>3840</v>
      </c>
      <c r="E1007" s="67">
        <v>12</v>
      </c>
      <c r="F1007" s="222"/>
      <c r="G1007" s="107">
        <v>127.1</v>
      </c>
      <c r="H1007" s="21">
        <v>133.19999999999999</v>
      </c>
      <c r="I1007" s="22">
        <v>146.5</v>
      </c>
      <c r="J1007" s="112" t="s">
        <v>5518</v>
      </c>
      <c r="K1007" s="45" t="s">
        <v>1424</v>
      </c>
      <c r="L1007" s="437"/>
      <c r="M1007" s="474" t="s">
        <v>1856</v>
      </c>
      <c r="N1007" s="1013" t="s">
        <v>1856</v>
      </c>
      <c r="O1007" s="209"/>
      <c r="P1007" s="66" t="s">
        <v>50</v>
      </c>
      <c r="Q1007" s="100">
        <f t="shared" si="530"/>
        <v>0</v>
      </c>
      <c r="R1007" s="13" t="str">
        <f t="shared" si="531"/>
        <v>Фото &gt;&gt;</v>
      </c>
      <c r="S1007" s="14" t="s">
        <v>3835</v>
      </c>
      <c r="AG1007" s="84"/>
      <c r="AH1007" s="84"/>
      <c r="AK1007">
        <v>0.3</v>
      </c>
      <c r="AL1007">
        <f t="shared" si="526"/>
        <v>0</v>
      </c>
      <c r="AM1007">
        <f t="shared" si="527"/>
        <v>0</v>
      </c>
      <c r="AN1007">
        <f t="shared" si="523"/>
        <v>0</v>
      </c>
      <c r="AO1007" t="s">
        <v>3839</v>
      </c>
      <c r="AV1007" t="str">
        <f>IF(F1007&gt;0,(COUNT($AV$1:AV1006)+1),"")</f>
        <v/>
      </c>
    </row>
    <row r="1008" spans="1:48" ht="15" customHeight="1" x14ac:dyDescent="0.25">
      <c r="A1008" s="1"/>
      <c r="B1008" s="31">
        <v>20454</v>
      </c>
      <c r="C1008" s="16">
        <v>4673741740236</v>
      </c>
      <c r="D1008" s="226" t="s">
        <v>3886</v>
      </c>
      <c r="E1008" s="69">
        <v>12</v>
      </c>
      <c r="F1008" s="222"/>
      <c r="G1008" s="108">
        <v>136.30000000000001</v>
      </c>
      <c r="H1008" s="17">
        <v>142.9</v>
      </c>
      <c r="I1008" s="18">
        <v>157.6</v>
      </c>
      <c r="J1008" s="113" t="s">
        <v>5518</v>
      </c>
      <c r="K1008" s="44" t="s">
        <v>1424</v>
      </c>
      <c r="L1008" s="442"/>
      <c r="M1008" s="480" t="s">
        <v>1856</v>
      </c>
      <c r="N1008" s="1015" t="s">
        <v>1856</v>
      </c>
      <c r="O1008" s="210"/>
      <c r="P1008" s="68" t="s">
        <v>50</v>
      </c>
      <c r="Q1008" s="100">
        <f t="shared" si="530"/>
        <v>0</v>
      </c>
      <c r="R1008" s="13" t="str">
        <f t="shared" si="531"/>
        <v>Фото &gt;&gt;</v>
      </c>
      <c r="S1008" s="14" t="s">
        <v>2210</v>
      </c>
      <c r="AG1008" s="84"/>
      <c r="AH1008" s="84"/>
      <c r="AK1008">
        <v>0.3</v>
      </c>
      <c r="AL1008">
        <f t="shared" si="526"/>
        <v>0</v>
      </c>
      <c r="AM1008">
        <f t="shared" si="527"/>
        <v>0</v>
      </c>
      <c r="AN1008">
        <f t="shared" si="523"/>
        <v>0</v>
      </c>
      <c r="AO1008" t="s">
        <v>2632</v>
      </c>
      <c r="AV1008" t="str">
        <f>IF(F1008&gt;0,(COUNT($AV$1:AV1007)+1),"")</f>
        <v/>
      </c>
    </row>
    <row r="1009" spans="1:48" ht="15" customHeight="1" x14ac:dyDescent="0.25">
      <c r="A1009" s="1"/>
      <c r="B1009" s="125"/>
      <c r="C1009" s="126"/>
      <c r="D1009" s="127"/>
      <c r="E1009" s="134"/>
      <c r="F1009" s="189"/>
      <c r="G1009" s="130"/>
      <c r="H1009" s="131"/>
      <c r="I1009" s="132"/>
      <c r="J1009" s="128"/>
      <c r="K1009" s="129"/>
      <c r="L1009" s="433"/>
      <c r="M1009" s="481" t="s">
        <v>104</v>
      </c>
      <c r="N1009" s="471"/>
      <c r="O1009" s="181"/>
      <c r="P1009" s="133"/>
      <c r="Q1009" s="135"/>
      <c r="R1009" s="13"/>
      <c r="S1009" s="14"/>
      <c r="AV1009" t="str">
        <f>IF(F1009&gt;0,(COUNT($AV$1:AV1008)+1),"")</f>
        <v/>
      </c>
    </row>
    <row r="1010" spans="1:48" ht="15" customHeight="1" thickBot="1" x14ac:dyDescent="0.3">
      <c r="A1010" s="1"/>
      <c r="B1010" s="158"/>
      <c r="C1010" s="159"/>
      <c r="D1010" s="160"/>
      <c r="E1010" s="167"/>
      <c r="F1010" s="191"/>
      <c r="G1010" s="163"/>
      <c r="H1010" s="164"/>
      <c r="I1010" s="165"/>
      <c r="J1010" s="161"/>
      <c r="K1010" s="162"/>
      <c r="L1010" s="439"/>
      <c r="M1010" s="475" t="s">
        <v>104</v>
      </c>
      <c r="N1010" s="467"/>
      <c r="O1010" s="183"/>
      <c r="P1010" s="166"/>
      <c r="Q1010" s="168"/>
      <c r="R1010" s="13"/>
      <c r="S1010" s="14"/>
      <c r="AV1010" t="str">
        <f>IF(F1010&gt;0,(COUNT($AV$1:AV1009)+1),"")</f>
        <v/>
      </c>
    </row>
    <row r="1011" spans="1:48" ht="24.95" customHeight="1" thickBot="1" x14ac:dyDescent="0.3">
      <c r="A1011" s="1"/>
      <c r="B1011" s="169"/>
      <c r="C1011" s="170"/>
      <c r="D1011" s="171" t="str">
        <f>CONCATENATE("Take a Bite","     |     Сумма заказа: ",AK1011," руб.")</f>
        <v>Take a Bite     |     Сумма заказа: 0 руб.</v>
      </c>
      <c r="E1011" s="176"/>
      <c r="F1011" s="177"/>
      <c r="G1011" s="180" t="str">
        <f>CONCATENATE("Ценовая колонка: ",AO1011,"   |   До следующей скидки: ",AJ1011," руб.")</f>
        <v>Ценовая колонка: 3   |   До следующей скидки: 5000 руб.</v>
      </c>
      <c r="H1011" s="174"/>
      <c r="I1011" s="174"/>
      <c r="J1011" s="172" t="s">
        <v>599</v>
      </c>
      <c r="K1011" s="173"/>
      <c r="L1011" s="444"/>
      <c r="M1011" s="486" t="s">
        <v>104</v>
      </c>
      <c r="N1011" s="717"/>
      <c r="O1011" s="184"/>
      <c r="P1011" s="175"/>
      <c r="Q1011" s="178"/>
      <c r="R1011" s="179" t="s">
        <v>1558</v>
      </c>
      <c r="S1011" s="14"/>
      <c r="U1011" s="4"/>
      <c r="V1011" s="4"/>
      <c r="X1011" s="4"/>
      <c r="Y1011" s="4"/>
      <c r="Z1011" s="4"/>
      <c r="AA1011" s="4"/>
      <c r="AJ1011">
        <f>ROUND(IF(AL1011&gt;20000,"0", IF(AND(AL1011&lt;20000,AM1011&gt;5000),20000-AL1011,5000-AM1011)),2)</f>
        <v>5000</v>
      </c>
      <c r="AK1011">
        <f>SUM(Q1014:Q1102)</f>
        <v>0</v>
      </c>
      <c r="AL1011">
        <f>SUM(AL1014:AL1102)</f>
        <v>0</v>
      </c>
      <c r="AM1011">
        <f>SUM(AM1014:AM1102)</f>
        <v>0</v>
      </c>
      <c r="AO1011">
        <f>IF(AM1011&gt;1,IF(AL1011&gt;20000,IF(AL1011&gt;30000,8,1),2),3)</f>
        <v>3</v>
      </c>
      <c r="AV1011" t="str">
        <f>IF(F1011&gt;0,(COUNT($AV$1:AV1010)+1),"")</f>
        <v/>
      </c>
    </row>
    <row r="1012" spans="1:48" ht="15" customHeight="1" x14ac:dyDescent="0.25">
      <c r="A1012" s="1"/>
      <c r="B1012" s="296"/>
      <c r="C1012" s="38"/>
      <c r="D1012" s="39"/>
      <c r="E1012" s="82"/>
      <c r="F1012" s="97"/>
      <c r="G1012" s="713" t="s">
        <v>4144</v>
      </c>
      <c r="H1012" s="714" t="s">
        <v>4143</v>
      </c>
      <c r="I1012" s="41"/>
      <c r="J1012" s="52"/>
      <c r="K1012" s="48"/>
      <c r="L1012" s="448"/>
      <c r="M1012" s="491" t="s">
        <v>104</v>
      </c>
      <c r="N1012" s="715"/>
      <c r="O1012" s="187"/>
      <c r="P1012" s="81"/>
      <c r="Q1012" s="105"/>
      <c r="R1012" s="13"/>
      <c r="S1012" s="14"/>
      <c r="U1012" s="4"/>
      <c r="V1012" s="4"/>
      <c r="X1012" s="4"/>
      <c r="Y1012" s="311"/>
      <c r="Z1012" s="4"/>
      <c r="AA1012" s="4"/>
      <c r="AV1012" t="str">
        <f>IF(F1012&gt;0,(COUNT($AV$1:AV1011)+1),"")</f>
        <v/>
      </c>
    </row>
    <row r="1013" spans="1:48" ht="38.25" customHeight="1" x14ac:dyDescent="0.25">
      <c r="A1013" s="1"/>
      <c r="B1013" s="753"/>
      <c r="C1013" s="753"/>
      <c r="D1013" s="753" t="s">
        <v>5334</v>
      </c>
      <c r="E1013" s="753"/>
      <c r="F1013" s="753"/>
      <c r="G1013" s="753"/>
      <c r="H1013" s="753"/>
      <c r="I1013" s="753"/>
      <c r="J1013" s="763"/>
      <c r="K1013" s="762"/>
      <c r="L1013" s="762"/>
      <c r="M1013" s="762"/>
      <c r="N1013" s="1022"/>
      <c r="O1013" s="754"/>
      <c r="P1013" s="755"/>
      <c r="Q1013" s="755"/>
      <c r="R1013" s="13"/>
      <c r="S1013" s="14"/>
      <c r="U1013" s="4"/>
      <c r="V1013" s="4"/>
      <c r="X1013" s="4"/>
      <c r="Y1013" s="311"/>
      <c r="Z1013" s="4"/>
      <c r="AA1013" s="4"/>
      <c r="AV1013" t="str">
        <f>IF(F1013&gt;0,(COUNT($AV$1:AV1012)+1),"")</f>
        <v/>
      </c>
    </row>
    <row r="1014" spans="1:48" ht="15" customHeight="1" x14ac:dyDescent="0.25">
      <c r="A1014" s="1"/>
      <c r="B1014" s="25"/>
      <c r="C1014" s="26"/>
      <c r="D1014" s="27" t="s">
        <v>2998</v>
      </c>
      <c r="E1014" s="80"/>
      <c r="F1014" s="96"/>
      <c r="G1014" s="28"/>
      <c r="H1014" s="29"/>
      <c r="I1014" s="29"/>
      <c r="J1014" s="51"/>
      <c r="K1014" s="47"/>
      <c r="L1014" s="447"/>
      <c r="M1014" s="489"/>
      <c r="N1014" s="716"/>
      <c r="O1014" s="186"/>
      <c r="P1014" s="79"/>
      <c r="Q1014" s="104"/>
      <c r="R1014" s="13"/>
      <c r="S1014" s="93"/>
      <c r="U1014" s="4"/>
      <c r="V1014" s="4"/>
      <c r="X1014" s="4"/>
      <c r="Y1014" s="4"/>
      <c r="Z1014" s="4"/>
      <c r="AA1014" s="4"/>
      <c r="AV1014" t="str">
        <f>IF(F1014&gt;0,(COUNT($AV$1:AV1013)+1),"")</f>
        <v/>
      </c>
    </row>
    <row r="1015" spans="1:48" ht="15" customHeight="1" x14ac:dyDescent="0.25">
      <c r="A1015" s="1"/>
      <c r="B1015" s="30">
        <v>20268</v>
      </c>
      <c r="C1015" s="20">
        <v>4640125883346</v>
      </c>
      <c r="D1015" s="225" t="s">
        <v>7332</v>
      </c>
      <c r="E1015" s="324">
        <v>20</v>
      </c>
      <c r="F1015" s="222"/>
      <c r="G1015" s="107">
        <v>60.3</v>
      </c>
      <c r="H1015" s="21">
        <v>62.7</v>
      </c>
      <c r="I1015" s="22">
        <v>67.5</v>
      </c>
      <c r="J1015" s="112" t="s">
        <v>599</v>
      </c>
      <c r="K1015" s="45" t="s">
        <v>96</v>
      </c>
      <c r="L1015" s="437" t="s">
        <v>3258</v>
      </c>
      <c r="M1015" s="474" t="s">
        <v>1856</v>
      </c>
      <c r="N1015" s="1013" t="s">
        <v>1856</v>
      </c>
      <c r="O1015" s="212" t="s">
        <v>2271</v>
      </c>
      <c r="P1015" s="66" t="s">
        <v>53</v>
      </c>
      <c r="Q1015" s="100">
        <f t="shared" ref="Q1015:Q1047" si="532">IF($AO$1011=8,ROUND((G1015*F1015)*0.95,1),IF(OR(F1015/E1015=INT(F1015/E1015),$AO$1011=1),F1015*G1015,IF($AO$1011=2,F1015*H1015,F1015*I1015)))</f>
        <v>0</v>
      </c>
      <c r="R1015" s="13" t="str">
        <f t="shared" ref="R1015:R1039" si="533">IF(AO1015&gt;0,HYPERLINK(AO1015,"Фото &gt;&gt;"),"")</f>
        <v>Фото &gt;&gt;</v>
      </c>
      <c r="S1015" s="14" t="s">
        <v>3551</v>
      </c>
      <c r="T1015" s="509"/>
      <c r="U1015" s="4"/>
      <c r="V1015" s="4"/>
      <c r="X1015" s="4"/>
      <c r="Y1015" s="4"/>
      <c r="Z1015" s="4"/>
      <c r="AA1015" s="4"/>
      <c r="AK1015">
        <v>0.04</v>
      </c>
      <c r="AL1015">
        <f t="shared" ref="AL1015:AL1077" si="534">F1015*G1015</f>
        <v>0</v>
      </c>
      <c r="AM1015">
        <f t="shared" ref="AM1015:AM1077" si="535">F1015*H1015</f>
        <v>0</v>
      </c>
      <c r="AN1015">
        <f t="shared" ref="AN1015:AN1077" si="536">AK1015*F1015+IF(E1015&gt;1.01,F1015/E1015*0.2,0)</f>
        <v>0</v>
      </c>
      <c r="AO1015" t="s">
        <v>3008</v>
      </c>
      <c r="AS1015" s="298" t="s">
        <v>3792</v>
      </c>
      <c r="AV1015" t="str">
        <f>IF(F1015&gt;0,(COUNT($AV$1:AV1014)+1),"")</f>
        <v/>
      </c>
    </row>
    <row r="1016" spans="1:48" ht="15" customHeight="1" x14ac:dyDescent="0.25">
      <c r="A1016" s="1"/>
      <c r="B1016" s="31">
        <v>15668</v>
      </c>
      <c r="C1016" s="16">
        <v>4650062592355</v>
      </c>
      <c r="D1016" s="422" t="s">
        <v>7621</v>
      </c>
      <c r="E1016" s="323">
        <v>12</v>
      </c>
      <c r="F1016" s="223"/>
      <c r="G1016" s="420">
        <v>48.2</v>
      </c>
      <c r="H1016" s="415">
        <v>50.2</v>
      </c>
      <c r="I1016" s="416">
        <v>54</v>
      </c>
      <c r="J1016" s="113" t="s">
        <v>599</v>
      </c>
      <c r="K1016" s="44" t="s">
        <v>96</v>
      </c>
      <c r="L1016" s="442" t="s">
        <v>3258</v>
      </c>
      <c r="M1016" s="480" t="s">
        <v>1856</v>
      </c>
      <c r="N1016" s="1015" t="s">
        <v>1856</v>
      </c>
      <c r="O1016" s="210" t="s">
        <v>7429</v>
      </c>
      <c r="P1016" s="68" t="s">
        <v>53</v>
      </c>
      <c r="Q1016" s="100">
        <f t="shared" si="532"/>
        <v>0</v>
      </c>
      <c r="R1016" s="13" t="str">
        <f t="shared" si="533"/>
        <v>Фото &gt;&gt;</v>
      </c>
      <c r="S1016" s="14" t="s">
        <v>612</v>
      </c>
      <c r="T1016" s="509"/>
      <c r="U1016" s="4"/>
      <c r="V1016" s="4"/>
      <c r="X1016" s="4"/>
      <c r="Y1016" s="4"/>
      <c r="Z1016" s="4"/>
      <c r="AA1016" s="4"/>
      <c r="AK1016">
        <v>0.04</v>
      </c>
      <c r="AL1016">
        <f t="shared" si="534"/>
        <v>0</v>
      </c>
      <c r="AM1016">
        <f t="shared" si="535"/>
        <v>0</v>
      </c>
      <c r="AN1016">
        <f t="shared" si="536"/>
        <v>0</v>
      </c>
      <c r="AO1016" t="s">
        <v>4915</v>
      </c>
      <c r="AS1016" s="298" t="s">
        <v>3792</v>
      </c>
      <c r="AV1016" t="str">
        <f>IF(F1016&gt;0,(COUNT($AV$1:AV1015)+1),"")</f>
        <v/>
      </c>
    </row>
    <row r="1017" spans="1:48" ht="15" customHeight="1" x14ac:dyDescent="0.25">
      <c r="A1017" s="1"/>
      <c r="B1017" s="30">
        <v>15666</v>
      </c>
      <c r="C1017" s="20">
        <v>4650062592379</v>
      </c>
      <c r="D1017" s="153" t="s">
        <v>7598</v>
      </c>
      <c r="E1017" s="324">
        <v>12</v>
      </c>
      <c r="F1017" s="222"/>
      <c r="G1017" s="107">
        <v>60.3</v>
      </c>
      <c r="H1017" s="21">
        <v>62.7</v>
      </c>
      <c r="I1017" s="22">
        <v>67.5</v>
      </c>
      <c r="J1017" s="112" t="s">
        <v>599</v>
      </c>
      <c r="K1017" s="45" t="s">
        <v>96</v>
      </c>
      <c r="L1017" s="437" t="s">
        <v>3258</v>
      </c>
      <c r="M1017" s="474" t="s">
        <v>1856</v>
      </c>
      <c r="N1017" s="1013" t="s">
        <v>1856</v>
      </c>
      <c r="O1017" s="212" t="s">
        <v>4226</v>
      </c>
      <c r="P1017" s="66" t="s">
        <v>53</v>
      </c>
      <c r="Q1017" s="100">
        <f t="shared" si="532"/>
        <v>0</v>
      </c>
      <c r="R1017" s="13" t="str">
        <f t="shared" si="533"/>
        <v>Фото &gt;&gt;</v>
      </c>
      <c r="S1017" s="14" t="s">
        <v>610</v>
      </c>
      <c r="T1017" s="509"/>
      <c r="U1017" s="4"/>
      <c r="V1017" s="4"/>
      <c r="X1017" s="4"/>
      <c r="Y1017" s="4"/>
      <c r="Z1017" s="4"/>
      <c r="AA1017" s="4"/>
      <c r="AK1017">
        <v>0.04</v>
      </c>
      <c r="AL1017">
        <f t="shared" si="534"/>
        <v>0</v>
      </c>
      <c r="AM1017">
        <f t="shared" si="535"/>
        <v>0</v>
      </c>
      <c r="AN1017">
        <f t="shared" si="536"/>
        <v>0</v>
      </c>
      <c r="AO1017" t="s">
        <v>4916</v>
      </c>
      <c r="AS1017" s="298" t="s">
        <v>3792</v>
      </c>
      <c r="AV1017" t="str">
        <f>IF(F1017&gt;0,(COUNT($AV$1:AV1016)+1),"")</f>
        <v/>
      </c>
    </row>
    <row r="1018" spans="1:48" ht="15" customHeight="1" x14ac:dyDescent="0.25">
      <c r="A1018" s="1"/>
      <c r="B1018" s="31">
        <v>15667</v>
      </c>
      <c r="C1018" s="16">
        <v>4650062592386</v>
      </c>
      <c r="D1018" s="226" t="s">
        <v>7333</v>
      </c>
      <c r="E1018" s="323">
        <v>12</v>
      </c>
      <c r="F1018" s="223"/>
      <c r="G1018" s="108">
        <v>60.3</v>
      </c>
      <c r="H1018" s="17">
        <v>62.7</v>
      </c>
      <c r="I1018" s="18">
        <v>67.5</v>
      </c>
      <c r="J1018" s="113" t="s">
        <v>599</v>
      </c>
      <c r="K1018" s="44" t="s">
        <v>96</v>
      </c>
      <c r="L1018" s="442" t="s">
        <v>3258</v>
      </c>
      <c r="M1018" s="480" t="s">
        <v>1856</v>
      </c>
      <c r="N1018" s="1015" t="s">
        <v>1856</v>
      </c>
      <c r="O1018" s="217" t="s">
        <v>4226</v>
      </c>
      <c r="P1018" s="68" t="s">
        <v>53</v>
      </c>
      <c r="Q1018" s="100">
        <f t="shared" si="532"/>
        <v>0</v>
      </c>
      <c r="R1018" s="13" t="str">
        <f t="shared" si="533"/>
        <v>Фото &gt;&gt;</v>
      </c>
      <c r="S1018" s="14" t="s">
        <v>611</v>
      </c>
      <c r="T1018" s="509"/>
      <c r="U1018" s="4"/>
      <c r="V1018" s="4"/>
      <c r="X1018" s="4"/>
      <c r="Y1018" s="4"/>
      <c r="Z1018" s="4"/>
      <c r="AA1018" s="4"/>
      <c r="AK1018">
        <v>0.04</v>
      </c>
      <c r="AL1018">
        <f t="shared" si="534"/>
        <v>0</v>
      </c>
      <c r="AM1018">
        <f t="shared" si="535"/>
        <v>0</v>
      </c>
      <c r="AN1018">
        <f t="shared" si="536"/>
        <v>0</v>
      </c>
      <c r="AO1018" t="s">
        <v>4917</v>
      </c>
      <c r="AS1018" s="298" t="s">
        <v>3792</v>
      </c>
      <c r="AV1018" t="str">
        <f>IF(F1018&gt;0,(COUNT($AV$1:AV1017)+1),"")</f>
        <v/>
      </c>
    </row>
    <row r="1019" spans="1:48" ht="15" customHeight="1" x14ac:dyDescent="0.25">
      <c r="A1019" s="1"/>
      <c r="B1019" s="30">
        <v>20284</v>
      </c>
      <c r="C1019" s="20">
        <v>4640125883162</v>
      </c>
      <c r="D1019" s="153" t="s">
        <v>7599</v>
      </c>
      <c r="E1019" s="324">
        <v>16</v>
      </c>
      <c r="F1019" s="222"/>
      <c r="G1019" s="107">
        <v>73.2</v>
      </c>
      <c r="H1019" s="21">
        <v>76.099999999999994</v>
      </c>
      <c r="I1019" s="22">
        <v>82</v>
      </c>
      <c r="J1019" s="112" t="s">
        <v>599</v>
      </c>
      <c r="K1019" s="45" t="s">
        <v>96</v>
      </c>
      <c r="L1019" s="437" t="s">
        <v>2927</v>
      </c>
      <c r="M1019" s="474" t="s">
        <v>1856</v>
      </c>
      <c r="N1019" s="1013"/>
      <c r="O1019" s="212" t="s">
        <v>3828</v>
      </c>
      <c r="P1019" s="66" t="s">
        <v>195</v>
      </c>
      <c r="Q1019" s="100">
        <f t="shared" si="532"/>
        <v>0</v>
      </c>
      <c r="R1019" s="13" t="str">
        <f t="shared" si="533"/>
        <v>Фото &gt;&gt;</v>
      </c>
      <c r="S1019" s="14" t="s">
        <v>2993</v>
      </c>
      <c r="T1019" s="509"/>
      <c r="U1019" s="4"/>
      <c r="V1019" s="4"/>
      <c r="X1019" s="4"/>
      <c r="Y1019" s="4"/>
      <c r="Z1019" s="4"/>
      <c r="AA1019" s="4"/>
      <c r="AK1019">
        <v>0.04</v>
      </c>
      <c r="AL1019">
        <f t="shared" si="534"/>
        <v>0</v>
      </c>
      <c r="AM1019">
        <f t="shared" si="535"/>
        <v>0</v>
      </c>
      <c r="AN1019">
        <f t="shared" si="536"/>
        <v>0</v>
      </c>
      <c r="AO1019" t="s">
        <v>2994</v>
      </c>
      <c r="AS1019" s="298" t="s">
        <v>3792</v>
      </c>
      <c r="AV1019" t="str">
        <f>IF(F1019&gt;0,(COUNT($AV$1:AV1018)+1),"")</f>
        <v/>
      </c>
    </row>
    <row r="1020" spans="1:48" ht="15" customHeight="1" x14ac:dyDescent="0.25">
      <c r="A1020" s="1"/>
      <c r="B1020" s="31">
        <v>20285</v>
      </c>
      <c r="C1020" s="16">
        <v>4640125883186</v>
      </c>
      <c r="D1020" s="154" t="s">
        <v>7600</v>
      </c>
      <c r="E1020" s="323">
        <v>16</v>
      </c>
      <c r="F1020" s="223"/>
      <c r="G1020" s="108">
        <v>73.2</v>
      </c>
      <c r="H1020" s="17">
        <v>76.099999999999994</v>
      </c>
      <c r="I1020" s="18">
        <v>82</v>
      </c>
      <c r="J1020" s="113" t="s">
        <v>599</v>
      </c>
      <c r="K1020" s="44" t="s">
        <v>96</v>
      </c>
      <c r="L1020" s="442" t="s">
        <v>2927</v>
      </c>
      <c r="M1020" s="480" t="s">
        <v>1856</v>
      </c>
      <c r="N1020" s="1015"/>
      <c r="O1020" s="217" t="s">
        <v>3828</v>
      </c>
      <c r="P1020" s="68" t="s">
        <v>195</v>
      </c>
      <c r="Q1020" s="100">
        <f t="shared" si="532"/>
        <v>0</v>
      </c>
      <c r="R1020" s="13" t="str">
        <f t="shared" si="533"/>
        <v>Фото &gt;&gt;</v>
      </c>
      <c r="S1020" s="14" t="s">
        <v>2993</v>
      </c>
      <c r="T1020" s="509"/>
      <c r="U1020" s="4"/>
      <c r="V1020" s="4"/>
      <c r="X1020" s="4"/>
      <c r="Y1020" s="4"/>
      <c r="Z1020" s="4"/>
      <c r="AA1020" s="4"/>
      <c r="AK1020">
        <v>0.04</v>
      </c>
      <c r="AL1020">
        <f t="shared" si="534"/>
        <v>0</v>
      </c>
      <c r="AM1020">
        <f t="shared" si="535"/>
        <v>0</v>
      </c>
      <c r="AN1020">
        <f t="shared" si="536"/>
        <v>0</v>
      </c>
      <c r="AO1020" t="s">
        <v>2995</v>
      </c>
      <c r="AS1020" s="298" t="s">
        <v>3792</v>
      </c>
      <c r="AV1020" t="str">
        <f>IF(F1020&gt;0,(COUNT($AV$1:AV1019)+1),"")</f>
        <v/>
      </c>
    </row>
    <row r="1021" spans="1:48" ht="15" customHeight="1" x14ac:dyDescent="0.25">
      <c r="A1021" s="1"/>
      <c r="B1021" s="30">
        <v>20286</v>
      </c>
      <c r="C1021" s="20">
        <v>4640125883117</v>
      </c>
      <c r="D1021" s="421" t="s">
        <v>7622</v>
      </c>
      <c r="E1021" s="324">
        <v>16</v>
      </c>
      <c r="F1021" s="222"/>
      <c r="G1021" s="419">
        <v>58.6</v>
      </c>
      <c r="H1021" s="417">
        <v>60.9</v>
      </c>
      <c r="I1021" s="418">
        <v>65.599999999999994</v>
      </c>
      <c r="J1021" s="112" t="s">
        <v>599</v>
      </c>
      <c r="K1021" s="45" t="s">
        <v>96</v>
      </c>
      <c r="L1021" s="437" t="s">
        <v>2927</v>
      </c>
      <c r="M1021" s="474" t="s">
        <v>1856</v>
      </c>
      <c r="N1021" s="1013"/>
      <c r="O1021" s="209" t="s">
        <v>7430</v>
      </c>
      <c r="P1021" s="66" t="s">
        <v>195</v>
      </c>
      <c r="Q1021" s="100">
        <f t="shared" si="532"/>
        <v>0</v>
      </c>
      <c r="R1021" s="13" t="str">
        <f t="shared" si="533"/>
        <v>Фото &gt;&gt;</v>
      </c>
      <c r="S1021" s="14" t="s">
        <v>2993</v>
      </c>
      <c r="T1021" s="509"/>
      <c r="U1021" s="4"/>
      <c r="V1021" s="4"/>
      <c r="X1021" s="4"/>
      <c r="Y1021" s="4"/>
      <c r="Z1021" s="4"/>
      <c r="AA1021" s="4"/>
      <c r="AK1021">
        <v>0.04</v>
      </c>
      <c r="AL1021">
        <f t="shared" si="534"/>
        <v>0</v>
      </c>
      <c r="AM1021">
        <f t="shared" si="535"/>
        <v>0</v>
      </c>
      <c r="AN1021">
        <f t="shared" si="536"/>
        <v>0</v>
      </c>
      <c r="AO1021" t="s">
        <v>2996</v>
      </c>
      <c r="AS1021" s="298" t="s">
        <v>3792</v>
      </c>
      <c r="AV1021" t="str">
        <f>IF(F1021&gt;0,(COUNT($AV$1:AV1020)+1),"")</f>
        <v/>
      </c>
    </row>
    <row r="1022" spans="1:48" ht="15" customHeight="1" x14ac:dyDescent="0.25">
      <c r="A1022" s="1"/>
      <c r="B1022" s="31">
        <v>20287</v>
      </c>
      <c r="C1022" s="16">
        <v>4640125883131</v>
      </c>
      <c r="D1022" s="226" t="s">
        <v>7334</v>
      </c>
      <c r="E1022" s="323">
        <v>16</v>
      </c>
      <c r="F1022" s="223"/>
      <c r="G1022" s="108">
        <v>73.2</v>
      </c>
      <c r="H1022" s="17">
        <v>76.099999999999994</v>
      </c>
      <c r="I1022" s="18">
        <v>82</v>
      </c>
      <c r="J1022" s="113" t="s">
        <v>599</v>
      </c>
      <c r="K1022" s="44" t="s">
        <v>96</v>
      </c>
      <c r="L1022" s="442" t="s">
        <v>2927</v>
      </c>
      <c r="M1022" s="480" t="s">
        <v>1856</v>
      </c>
      <c r="N1022" s="1015"/>
      <c r="O1022" s="217" t="s">
        <v>3828</v>
      </c>
      <c r="P1022" s="68" t="s">
        <v>195</v>
      </c>
      <c r="Q1022" s="100">
        <f t="shared" si="532"/>
        <v>0</v>
      </c>
      <c r="R1022" s="13" t="str">
        <f t="shared" si="533"/>
        <v>Фото &gt;&gt;</v>
      </c>
      <c r="S1022" s="14" t="s">
        <v>2993</v>
      </c>
      <c r="T1022" s="509"/>
      <c r="U1022" s="4"/>
      <c r="V1022" s="4"/>
      <c r="X1022" s="4"/>
      <c r="Y1022" s="4"/>
      <c r="Z1022" s="4"/>
      <c r="AA1022" s="4"/>
      <c r="AK1022">
        <v>0.04</v>
      </c>
      <c r="AL1022">
        <f t="shared" si="534"/>
        <v>0</v>
      </c>
      <c r="AM1022">
        <f t="shared" si="535"/>
        <v>0</v>
      </c>
      <c r="AN1022">
        <f t="shared" si="536"/>
        <v>0</v>
      </c>
      <c r="AO1022" t="s">
        <v>2997</v>
      </c>
      <c r="AS1022" s="298" t="s">
        <v>3792</v>
      </c>
      <c r="AV1022" t="str">
        <f>IF(F1022&gt;0,(COUNT($AV$1:AV1021)+1),"")</f>
        <v/>
      </c>
    </row>
    <row r="1023" spans="1:48" ht="15" customHeight="1" x14ac:dyDescent="0.25">
      <c r="A1023" s="1"/>
      <c r="B1023" s="785">
        <v>20283</v>
      </c>
      <c r="C1023" s="786">
        <v>4640125882790</v>
      </c>
      <c r="D1023" s="824" t="s">
        <v>7601</v>
      </c>
      <c r="E1023" s="821">
        <v>20</v>
      </c>
      <c r="F1023" s="789"/>
      <c r="G1023" s="811">
        <v>94.2</v>
      </c>
      <c r="H1023" s="790">
        <v>98</v>
      </c>
      <c r="I1023" s="791">
        <v>105.5</v>
      </c>
      <c r="J1023" s="792" t="s">
        <v>599</v>
      </c>
      <c r="K1023" s="793" t="s">
        <v>419</v>
      </c>
      <c r="L1023" s="781" t="s">
        <v>2924</v>
      </c>
      <c r="M1023" s="782" t="s">
        <v>1856</v>
      </c>
      <c r="N1023" s="1009"/>
      <c r="O1023" s="783" t="s">
        <v>2271</v>
      </c>
      <c r="P1023" s="784" t="s">
        <v>53</v>
      </c>
      <c r="Q1023" s="100">
        <f t="shared" si="532"/>
        <v>0</v>
      </c>
      <c r="R1023" s="13" t="str">
        <f t="shared" si="533"/>
        <v>Фото &gt;&gt;</v>
      </c>
      <c r="S1023" s="14" t="s">
        <v>3788</v>
      </c>
      <c r="T1023" s="509"/>
      <c r="U1023" s="4"/>
      <c r="V1023" s="4"/>
      <c r="X1023" s="4"/>
      <c r="Y1023" s="4"/>
      <c r="Z1023" s="4"/>
      <c r="AA1023" s="4"/>
      <c r="AK1023">
        <v>0.04</v>
      </c>
      <c r="AL1023">
        <f t="shared" si="534"/>
        <v>0</v>
      </c>
      <c r="AM1023">
        <f t="shared" si="535"/>
        <v>0</v>
      </c>
      <c r="AN1023">
        <f t="shared" si="536"/>
        <v>0</v>
      </c>
      <c r="AO1023" t="s">
        <v>3552</v>
      </c>
      <c r="AS1023" s="298" t="s">
        <v>3792</v>
      </c>
      <c r="AV1023" t="str">
        <f>IF(F1023&gt;0,(COUNT($AV$1:AV1022)+1),"")</f>
        <v/>
      </c>
    </row>
    <row r="1024" spans="1:48" ht="15" customHeight="1" x14ac:dyDescent="0.25">
      <c r="A1024" s="1"/>
      <c r="B1024" s="31">
        <v>19195</v>
      </c>
      <c r="C1024" s="16">
        <v>4650062599026</v>
      </c>
      <c r="D1024" s="154" t="s">
        <v>7602</v>
      </c>
      <c r="E1024" s="323">
        <v>10</v>
      </c>
      <c r="F1024" s="223"/>
      <c r="G1024" s="108">
        <v>74</v>
      </c>
      <c r="H1024" s="17">
        <v>77</v>
      </c>
      <c r="I1024" s="18">
        <v>83</v>
      </c>
      <c r="J1024" s="113" t="s">
        <v>599</v>
      </c>
      <c r="K1024" s="44" t="s">
        <v>419</v>
      </c>
      <c r="L1024" s="442" t="s">
        <v>2924</v>
      </c>
      <c r="M1024" s="480" t="s">
        <v>1856</v>
      </c>
      <c r="N1024" s="1015" t="s">
        <v>1856</v>
      </c>
      <c r="O1024" s="217" t="s">
        <v>2097</v>
      </c>
      <c r="P1024" s="68" t="s">
        <v>53</v>
      </c>
      <c r="Q1024" s="100">
        <f t="shared" si="532"/>
        <v>0</v>
      </c>
      <c r="R1024" s="13" t="str">
        <f t="shared" si="533"/>
        <v>Фото &gt;&gt;</v>
      </c>
      <c r="S1024" s="14" t="s">
        <v>1750</v>
      </c>
      <c r="T1024" s="509"/>
      <c r="U1024" s="4"/>
      <c r="V1024" s="4"/>
      <c r="X1024" s="4"/>
      <c r="Y1024" s="4"/>
      <c r="Z1024" s="4"/>
      <c r="AA1024" s="4"/>
      <c r="AK1024">
        <v>0.04</v>
      </c>
      <c r="AL1024">
        <f t="shared" si="534"/>
        <v>0</v>
      </c>
      <c r="AM1024">
        <f t="shared" si="535"/>
        <v>0</v>
      </c>
      <c r="AN1024">
        <f t="shared" si="536"/>
        <v>0</v>
      </c>
      <c r="AO1024" t="s">
        <v>3808</v>
      </c>
      <c r="AS1024" s="298" t="s">
        <v>3792</v>
      </c>
      <c r="AV1024" t="str">
        <f>IF(F1024&gt;0,(COUNT($AV$1:AV1023)+1),"")</f>
        <v/>
      </c>
    </row>
    <row r="1025" spans="1:48" ht="15" customHeight="1" x14ac:dyDescent="0.25">
      <c r="A1025" s="1"/>
      <c r="B1025" s="30">
        <v>19194</v>
      </c>
      <c r="C1025" s="20">
        <v>4650062599040</v>
      </c>
      <c r="D1025" s="421" t="s">
        <v>7623</v>
      </c>
      <c r="E1025" s="324">
        <v>20</v>
      </c>
      <c r="F1025" s="222"/>
      <c r="G1025" s="419">
        <v>59.2</v>
      </c>
      <c r="H1025" s="417">
        <v>61.6</v>
      </c>
      <c r="I1025" s="418">
        <v>66.400000000000006</v>
      </c>
      <c r="J1025" s="112" t="s">
        <v>599</v>
      </c>
      <c r="K1025" s="45" t="s">
        <v>419</v>
      </c>
      <c r="L1025" s="437" t="s">
        <v>2924</v>
      </c>
      <c r="M1025" s="474" t="s">
        <v>1856</v>
      </c>
      <c r="N1025" s="1013" t="s">
        <v>1856</v>
      </c>
      <c r="O1025" s="209" t="s">
        <v>7431</v>
      </c>
      <c r="P1025" s="66" t="s">
        <v>53</v>
      </c>
      <c r="Q1025" s="100">
        <f t="shared" si="532"/>
        <v>0</v>
      </c>
      <c r="R1025" s="13" t="str">
        <f t="shared" si="533"/>
        <v>Фото &gt;&gt;</v>
      </c>
      <c r="S1025" s="14" t="s">
        <v>1751</v>
      </c>
      <c r="T1025" s="509"/>
      <c r="U1025" s="4"/>
      <c r="V1025" s="4"/>
      <c r="X1025" s="4"/>
      <c r="Y1025" s="4"/>
      <c r="Z1025" s="4"/>
      <c r="AA1025" s="4"/>
      <c r="AK1025">
        <v>0.04</v>
      </c>
      <c r="AL1025">
        <f t="shared" si="534"/>
        <v>0</v>
      </c>
      <c r="AM1025">
        <f t="shared" si="535"/>
        <v>0</v>
      </c>
      <c r="AN1025">
        <f t="shared" si="536"/>
        <v>0</v>
      </c>
      <c r="AO1025" t="s">
        <v>3809</v>
      </c>
      <c r="AS1025" s="298" t="s">
        <v>3792</v>
      </c>
      <c r="AV1025" t="str">
        <f>IF(F1025&gt;0,(COUNT($AV$1:AV1024)+1),"")</f>
        <v/>
      </c>
    </row>
    <row r="1026" spans="1:48" ht="15" customHeight="1" x14ac:dyDescent="0.25">
      <c r="A1026" s="1"/>
      <c r="B1026" s="31">
        <v>19193</v>
      </c>
      <c r="C1026" s="16">
        <v>4650062598999</v>
      </c>
      <c r="D1026" s="226" t="s">
        <v>7335</v>
      </c>
      <c r="E1026" s="323">
        <v>20</v>
      </c>
      <c r="F1026" s="223"/>
      <c r="G1026" s="108">
        <v>74</v>
      </c>
      <c r="H1026" s="17">
        <v>77</v>
      </c>
      <c r="I1026" s="18">
        <v>83</v>
      </c>
      <c r="J1026" s="113" t="s">
        <v>599</v>
      </c>
      <c r="K1026" s="44" t="s">
        <v>419</v>
      </c>
      <c r="L1026" s="442" t="s">
        <v>2924</v>
      </c>
      <c r="M1026" s="480" t="s">
        <v>1856</v>
      </c>
      <c r="N1026" s="1015" t="s">
        <v>1856</v>
      </c>
      <c r="O1026" s="217" t="s">
        <v>2271</v>
      </c>
      <c r="P1026" s="68" t="s">
        <v>53</v>
      </c>
      <c r="Q1026" s="100">
        <f t="shared" si="532"/>
        <v>0</v>
      </c>
      <c r="R1026" s="13" t="str">
        <f t="shared" si="533"/>
        <v>Фото &gt;&gt;</v>
      </c>
      <c r="S1026" s="14" t="s">
        <v>1753</v>
      </c>
      <c r="T1026" s="509"/>
      <c r="U1026" s="4"/>
      <c r="V1026" s="4"/>
      <c r="X1026" s="4"/>
      <c r="Y1026" s="4"/>
      <c r="Z1026" s="4"/>
      <c r="AA1026" s="4"/>
      <c r="AK1026">
        <v>0.04</v>
      </c>
      <c r="AL1026">
        <f t="shared" si="534"/>
        <v>0</v>
      </c>
      <c r="AM1026">
        <f t="shared" si="535"/>
        <v>0</v>
      </c>
      <c r="AN1026">
        <f t="shared" si="536"/>
        <v>0</v>
      </c>
      <c r="AO1026" t="s">
        <v>3810</v>
      </c>
      <c r="AS1026" s="298" t="s">
        <v>3792</v>
      </c>
      <c r="AV1026" t="str">
        <f>IF(F1026&gt;0,(COUNT($AV$1:AV1025)+1),"")</f>
        <v/>
      </c>
    </row>
    <row r="1027" spans="1:48" ht="15" customHeight="1" x14ac:dyDescent="0.25">
      <c r="A1027" s="1"/>
      <c r="B1027" s="30">
        <v>20172</v>
      </c>
      <c r="C1027" s="20">
        <v>4640125882776</v>
      </c>
      <c r="D1027" s="225" t="s">
        <v>7336</v>
      </c>
      <c r="E1027" s="324">
        <v>20</v>
      </c>
      <c r="F1027" s="222"/>
      <c r="G1027" s="107">
        <v>81.3</v>
      </c>
      <c r="H1027" s="21">
        <v>84.6</v>
      </c>
      <c r="I1027" s="22">
        <v>91.1</v>
      </c>
      <c r="J1027" s="112" t="s">
        <v>599</v>
      </c>
      <c r="K1027" s="45" t="s">
        <v>419</v>
      </c>
      <c r="L1027" s="437" t="s">
        <v>2924</v>
      </c>
      <c r="M1027" s="474" t="s">
        <v>1856</v>
      </c>
      <c r="N1027" s="1013" t="s">
        <v>1856</v>
      </c>
      <c r="O1027" s="212" t="s">
        <v>2271</v>
      </c>
      <c r="P1027" s="66" t="s">
        <v>53</v>
      </c>
      <c r="Q1027" s="100">
        <f t="shared" si="532"/>
        <v>0</v>
      </c>
      <c r="R1027" s="13" t="str">
        <f t="shared" si="533"/>
        <v>Фото &gt;&gt;</v>
      </c>
      <c r="S1027" s="14" t="s">
        <v>2402</v>
      </c>
      <c r="T1027" s="509"/>
      <c r="U1027" s="4"/>
      <c r="V1027" s="4"/>
      <c r="X1027" s="4"/>
      <c r="Y1027" s="4"/>
      <c r="Z1027" s="4"/>
      <c r="AA1027" s="4"/>
      <c r="AK1027">
        <v>0.04</v>
      </c>
      <c r="AL1027">
        <f t="shared" si="534"/>
        <v>0</v>
      </c>
      <c r="AM1027">
        <f t="shared" si="535"/>
        <v>0</v>
      </c>
      <c r="AN1027">
        <f t="shared" si="536"/>
        <v>0</v>
      </c>
      <c r="AO1027" t="s">
        <v>2687</v>
      </c>
      <c r="AS1027" s="298" t="s">
        <v>3792</v>
      </c>
      <c r="AV1027" t="str">
        <f>IF(F1027&gt;0,(COUNT($AV$1:AV1026)+1),"")</f>
        <v/>
      </c>
    </row>
    <row r="1028" spans="1:48" ht="15" customHeight="1" x14ac:dyDescent="0.25">
      <c r="A1028" s="1"/>
      <c r="B1028" s="32">
        <v>19196</v>
      </c>
      <c r="C1028" s="33">
        <v>4650062599064</v>
      </c>
      <c r="D1028" s="615" t="s">
        <v>7624</v>
      </c>
      <c r="E1028" s="623">
        <v>20</v>
      </c>
      <c r="F1028" s="223"/>
      <c r="G1028" s="1160">
        <v>59.2</v>
      </c>
      <c r="H1028" s="1161">
        <v>61.6</v>
      </c>
      <c r="I1028" s="1162">
        <v>66.400000000000006</v>
      </c>
      <c r="J1028" s="114" t="s">
        <v>599</v>
      </c>
      <c r="K1028" s="57" t="s">
        <v>419</v>
      </c>
      <c r="L1028" s="438" t="s">
        <v>2924</v>
      </c>
      <c r="M1028" s="484" t="s">
        <v>1856</v>
      </c>
      <c r="N1028" s="1008" t="s">
        <v>1856</v>
      </c>
      <c r="O1028" s="219" t="s">
        <v>7431</v>
      </c>
      <c r="P1028" s="70" t="s">
        <v>53</v>
      </c>
      <c r="Q1028" s="100">
        <f t="shared" si="532"/>
        <v>0</v>
      </c>
      <c r="R1028" s="13" t="str">
        <f t="shared" si="533"/>
        <v>Фото &gt;&gt;</v>
      </c>
      <c r="S1028" s="14" t="s">
        <v>1752</v>
      </c>
      <c r="T1028" s="509"/>
      <c r="U1028" s="4"/>
      <c r="V1028" s="4"/>
      <c r="X1028" s="4"/>
      <c r="Y1028" s="4"/>
      <c r="Z1028" s="4"/>
      <c r="AA1028" s="4"/>
      <c r="AK1028">
        <v>0.04</v>
      </c>
      <c r="AL1028">
        <f t="shared" si="534"/>
        <v>0</v>
      </c>
      <c r="AM1028">
        <f t="shared" si="535"/>
        <v>0</v>
      </c>
      <c r="AN1028">
        <f t="shared" si="536"/>
        <v>0</v>
      </c>
      <c r="AO1028" t="s">
        <v>3811</v>
      </c>
      <c r="AS1028" s="298" t="s">
        <v>3792</v>
      </c>
      <c r="AV1028" t="str">
        <f>IF(F1028&gt;0,(COUNT($AV$1:AV1027)+1),"")</f>
        <v/>
      </c>
    </row>
    <row r="1029" spans="1:48" ht="15" customHeight="1" x14ac:dyDescent="0.25">
      <c r="A1029" s="1"/>
      <c r="B1029" s="785">
        <v>20564</v>
      </c>
      <c r="C1029" s="786">
        <v>4640125883728</v>
      </c>
      <c r="D1029" s="787" t="s">
        <v>6804</v>
      </c>
      <c r="E1029" s="788">
        <v>20</v>
      </c>
      <c r="F1029" s="789"/>
      <c r="G1029" s="811">
        <v>99.6</v>
      </c>
      <c r="H1029" s="790">
        <v>103.6</v>
      </c>
      <c r="I1029" s="791">
        <v>111.6</v>
      </c>
      <c r="J1029" s="792" t="s">
        <v>599</v>
      </c>
      <c r="K1029" s="793" t="s">
        <v>442</v>
      </c>
      <c r="L1029" s="781" t="s">
        <v>3258</v>
      </c>
      <c r="M1029" s="782" t="s">
        <v>1856</v>
      </c>
      <c r="N1029" s="1009" t="s">
        <v>1856</v>
      </c>
      <c r="O1029" s="783"/>
      <c r="P1029" s="784" t="s">
        <v>72</v>
      </c>
      <c r="Q1029" s="100">
        <f t="shared" si="532"/>
        <v>0</v>
      </c>
      <c r="R1029" s="13" t="str">
        <f t="shared" si="533"/>
        <v>Фото &gt;&gt;</v>
      </c>
      <c r="S1029" s="14" t="s">
        <v>4051</v>
      </c>
      <c r="T1029" s="509"/>
      <c r="U1029" s="4"/>
      <c r="V1029" s="4"/>
      <c r="X1029" s="4"/>
      <c r="Y1029" s="4"/>
      <c r="Z1029" s="4"/>
      <c r="AA1029" s="4"/>
      <c r="AK1029">
        <v>0.03</v>
      </c>
      <c r="AL1029">
        <f t="shared" si="534"/>
        <v>0</v>
      </c>
      <c r="AM1029">
        <f t="shared" si="535"/>
        <v>0</v>
      </c>
      <c r="AN1029">
        <f t="shared" si="536"/>
        <v>0</v>
      </c>
      <c r="AO1029" t="s">
        <v>4050</v>
      </c>
      <c r="AV1029" t="str">
        <f>IF(F1029&gt;0,(COUNT($AV$1:AV1028)+1),"")</f>
        <v/>
      </c>
    </row>
    <row r="1030" spans="1:48" ht="15" customHeight="1" x14ac:dyDescent="0.25">
      <c r="A1030" s="1"/>
      <c r="B1030" s="31">
        <v>19528</v>
      </c>
      <c r="C1030" s="16">
        <v>4650062591488</v>
      </c>
      <c r="D1030" s="154" t="s">
        <v>7603</v>
      </c>
      <c r="E1030" s="69">
        <v>20</v>
      </c>
      <c r="F1030" s="223"/>
      <c r="G1030" s="108">
        <v>99.6</v>
      </c>
      <c r="H1030" s="17">
        <v>103.6</v>
      </c>
      <c r="I1030" s="18">
        <v>111.6</v>
      </c>
      <c r="J1030" s="113" t="s">
        <v>599</v>
      </c>
      <c r="K1030" s="44" t="s">
        <v>442</v>
      </c>
      <c r="L1030" s="442" t="s">
        <v>3258</v>
      </c>
      <c r="M1030" s="480" t="s">
        <v>1856</v>
      </c>
      <c r="N1030" s="1015" t="s">
        <v>1856</v>
      </c>
      <c r="O1030" s="217"/>
      <c r="P1030" s="68" t="s">
        <v>72</v>
      </c>
      <c r="Q1030" s="100">
        <f t="shared" si="532"/>
        <v>0</v>
      </c>
      <c r="R1030" s="13" t="str">
        <f t="shared" si="533"/>
        <v>Фото &gt;&gt;</v>
      </c>
      <c r="S1030" s="14" t="s">
        <v>616</v>
      </c>
      <c r="T1030" s="509"/>
      <c r="U1030" s="4"/>
      <c r="V1030" s="4"/>
      <c r="X1030" s="4"/>
      <c r="Y1030" s="4"/>
      <c r="Z1030" s="4"/>
      <c r="AA1030" s="4"/>
      <c r="AK1030">
        <v>0.03</v>
      </c>
      <c r="AL1030">
        <f t="shared" si="534"/>
        <v>0</v>
      </c>
      <c r="AM1030">
        <f t="shared" si="535"/>
        <v>0</v>
      </c>
      <c r="AN1030">
        <f t="shared" si="536"/>
        <v>0</v>
      </c>
      <c r="AO1030" t="s">
        <v>2688</v>
      </c>
      <c r="AS1030" s="298" t="s">
        <v>3792</v>
      </c>
      <c r="AV1030" t="str">
        <f>IF(F1030&gt;0,(COUNT($AV$1:AV1029)+1),"")</f>
        <v/>
      </c>
    </row>
    <row r="1031" spans="1:48" ht="15" customHeight="1" x14ac:dyDescent="0.25">
      <c r="A1031" s="1"/>
      <c r="B1031" s="30">
        <v>19529</v>
      </c>
      <c r="C1031" s="20">
        <v>4650062591471</v>
      </c>
      <c r="D1031" s="421" t="s">
        <v>7625</v>
      </c>
      <c r="E1031" s="67">
        <v>20</v>
      </c>
      <c r="F1031" s="222"/>
      <c r="G1031" s="419">
        <v>79.7</v>
      </c>
      <c r="H1031" s="417">
        <v>82.9</v>
      </c>
      <c r="I1031" s="418">
        <v>89.3</v>
      </c>
      <c r="J1031" s="112" t="s">
        <v>599</v>
      </c>
      <c r="K1031" s="45" t="s">
        <v>442</v>
      </c>
      <c r="L1031" s="437" t="s">
        <v>3258</v>
      </c>
      <c r="M1031" s="474" t="s">
        <v>1856</v>
      </c>
      <c r="N1031" s="1013" t="s">
        <v>1856</v>
      </c>
      <c r="O1031" s="209" t="s">
        <v>7396</v>
      </c>
      <c r="P1031" s="66" t="s">
        <v>72</v>
      </c>
      <c r="Q1031" s="100">
        <f t="shared" si="532"/>
        <v>0</v>
      </c>
      <c r="R1031" s="13" t="str">
        <f t="shared" si="533"/>
        <v>Фото &gt;&gt;</v>
      </c>
      <c r="S1031" s="14" t="s">
        <v>617</v>
      </c>
      <c r="T1031" s="509"/>
      <c r="U1031" s="4"/>
      <c r="V1031" s="4"/>
      <c r="X1031" s="4"/>
      <c r="Y1031" s="4"/>
      <c r="Z1031" s="4"/>
      <c r="AA1031" s="4"/>
      <c r="AK1031">
        <v>0.03</v>
      </c>
      <c r="AL1031">
        <f t="shared" si="534"/>
        <v>0</v>
      </c>
      <c r="AM1031">
        <f t="shared" si="535"/>
        <v>0</v>
      </c>
      <c r="AN1031">
        <f t="shared" si="536"/>
        <v>0</v>
      </c>
      <c r="AO1031" t="s">
        <v>2689</v>
      </c>
      <c r="AS1031" s="298" t="s">
        <v>3792</v>
      </c>
      <c r="AV1031" t="str">
        <f>IF(F1031&gt;0,(COUNT($AV$1:AV1030)+1),"")</f>
        <v/>
      </c>
    </row>
    <row r="1032" spans="1:48" ht="15" customHeight="1" x14ac:dyDescent="0.25">
      <c r="A1032" s="1"/>
      <c r="B1032" s="32">
        <v>19530</v>
      </c>
      <c r="C1032" s="33">
        <v>4650062591464</v>
      </c>
      <c r="D1032" s="227" t="s">
        <v>7337</v>
      </c>
      <c r="E1032" s="71">
        <v>20</v>
      </c>
      <c r="F1032" s="223"/>
      <c r="G1032" s="109">
        <v>99.6</v>
      </c>
      <c r="H1032" s="34">
        <v>103.6</v>
      </c>
      <c r="I1032" s="35">
        <v>111.6</v>
      </c>
      <c r="J1032" s="114" t="s">
        <v>599</v>
      </c>
      <c r="K1032" s="57" t="s">
        <v>442</v>
      </c>
      <c r="L1032" s="438" t="s">
        <v>3258</v>
      </c>
      <c r="M1032" s="484" t="s">
        <v>1856</v>
      </c>
      <c r="N1032" s="1008" t="s">
        <v>1856</v>
      </c>
      <c r="O1032" s="218"/>
      <c r="P1032" s="70" t="s">
        <v>72</v>
      </c>
      <c r="Q1032" s="100">
        <f t="shared" si="532"/>
        <v>0</v>
      </c>
      <c r="R1032" s="13" t="str">
        <f t="shared" si="533"/>
        <v>Фото &gt;&gt;</v>
      </c>
      <c r="S1032" s="14" t="s">
        <v>618</v>
      </c>
      <c r="T1032" s="509"/>
      <c r="U1032" s="4"/>
      <c r="V1032" s="4"/>
      <c r="X1032" s="4"/>
      <c r="Y1032" s="4"/>
      <c r="Z1032" s="4"/>
      <c r="AA1032" s="4"/>
      <c r="AK1032">
        <v>0.03</v>
      </c>
      <c r="AL1032">
        <f t="shared" si="534"/>
        <v>0</v>
      </c>
      <c r="AM1032">
        <f t="shared" si="535"/>
        <v>0</v>
      </c>
      <c r="AN1032">
        <f t="shared" si="536"/>
        <v>0</v>
      </c>
      <c r="AO1032" t="s">
        <v>2690</v>
      </c>
      <c r="AS1032" s="298" t="s">
        <v>3792</v>
      </c>
      <c r="AV1032" t="str">
        <f>IF(F1032&gt;0,(COUNT($AV$1:AV1031)+1),"")</f>
        <v/>
      </c>
    </row>
    <row r="1033" spans="1:48" ht="15" customHeight="1" x14ac:dyDescent="0.25">
      <c r="A1033" s="1"/>
      <c r="B1033" s="785">
        <v>21117</v>
      </c>
      <c r="C1033" s="786">
        <v>4640125885531</v>
      </c>
      <c r="D1033" s="824" t="s">
        <v>7604</v>
      </c>
      <c r="E1033" s="821">
        <v>12</v>
      </c>
      <c r="F1033" s="789"/>
      <c r="G1033" s="811">
        <v>78</v>
      </c>
      <c r="H1033" s="790">
        <v>82</v>
      </c>
      <c r="I1033" s="791">
        <v>90</v>
      </c>
      <c r="J1033" s="792" t="s">
        <v>599</v>
      </c>
      <c r="K1033" s="793" t="s">
        <v>428</v>
      </c>
      <c r="L1033" s="781" t="s">
        <v>3258</v>
      </c>
      <c r="M1033" s="782" t="s">
        <v>1856</v>
      </c>
      <c r="N1033" s="1009" t="s">
        <v>1856</v>
      </c>
      <c r="O1033" s="783" t="s">
        <v>4226</v>
      </c>
      <c r="P1033" s="784" t="s">
        <v>72</v>
      </c>
      <c r="Q1033" s="100">
        <f t="shared" si="532"/>
        <v>0</v>
      </c>
      <c r="R1033" s="13" t="str">
        <f t="shared" si="533"/>
        <v>Фото &gt;&gt;</v>
      </c>
      <c r="S1033" s="14" t="s">
        <v>6180</v>
      </c>
      <c r="T1033" s="509"/>
      <c r="U1033" s="4"/>
      <c r="V1033" s="4"/>
      <c r="X1033" s="4"/>
      <c r="Y1033" s="4"/>
      <c r="Z1033" s="4"/>
      <c r="AA1033" s="4"/>
      <c r="AK1033">
        <v>0.03</v>
      </c>
      <c r="AL1033">
        <f t="shared" ref="AL1033:AL1037" si="537">F1033*G1033</f>
        <v>0</v>
      </c>
      <c r="AM1033">
        <f t="shared" ref="AM1033:AM1037" si="538">F1033*H1033</f>
        <v>0</v>
      </c>
      <c r="AN1033">
        <f t="shared" ref="AN1033:AN1037" si="539">AK1033*F1033+IF(E1033&gt;1.01,F1033/E1033*0.2,0)</f>
        <v>0</v>
      </c>
      <c r="AO1033" t="s">
        <v>6045</v>
      </c>
      <c r="AV1033" t="str">
        <f>IF(F1033&gt;0,(COUNT($AV$1:AV1032)+1),"")</f>
        <v/>
      </c>
    </row>
    <row r="1034" spans="1:48" ht="15" customHeight="1" x14ac:dyDescent="0.25">
      <c r="A1034" s="1"/>
      <c r="B1034" s="587">
        <v>21121</v>
      </c>
      <c r="C1034" s="588">
        <v>4640125885623</v>
      </c>
      <c r="D1034" s="596" t="s">
        <v>7799</v>
      </c>
      <c r="E1034" s="1250">
        <v>12</v>
      </c>
      <c r="F1034" s="1094"/>
      <c r="G1034" s="1252">
        <v>62.4</v>
      </c>
      <c r="H1034" s="1253">
        <v>65.599999999999994</v>
      </c>
      <c r="I1034" s="1254">
        <v>72</v>
      </c>
      <c r="J1034" s="1256" t="s">
        <v>599</v>
      </c>
      <c r="K1034" s="1257" t="s">
        <v>428</v>
      </c>
      <c r="L1034" s="442" t="s">
        <v>3258</v>
      </c>
      <c r="M1034" s="480" t="s">
        <v>1856</v>
      </c>
      <c r="N1034" s="1015" t="s">
        <v>1856</v>
      </c>
      <c r="O1034" s="217" t="s">
        <v>1690</v>
      </c>
      <c r="P1034" s="68" t="s">
        <v>72</v>
      </c>
      <c r="Q1034" s="100">
        <f t="shared" si="532"/>
        <v>0</v>
      </c>
      <c r="R1034" s="13" t="str">
        <f t="shared" si="533"/>
        <v>Фото &gt;&gt;</v>
      </c>
      <c r="S1034" s="14" t="s">
        <v>6182</v>
      </c>
      <c r="T1034" s="509"/>
      <c r="U1034" s="4"/>
      <c r="V1034" s="4"/>
      <c r="X1034" s="4"/>
      <c r="Y1034" s="4"/>
      <c r="Z1034" s="4"/>
      <c r="AA1034" s="4"/>
      <c r="AK1034">
        <v>0.03</v>
      </c>
      <c r="AL1034">
        <f t="shared" si="537"/>
        <v>0</v>
      </c>
      <c r="AM1034">
        <f t="shared" si="538"/>
        <v>0</v>
      </c>
      <c r="AN1034">
        <f t="shared" si="539"/>
        <v>0</v>
      </c>
      <c r="AO1034" t="s">
        <v>6046</v>
      </c>
      <c r="AV1034" t="str">
        <f>IF(F1034&gt;0,(COUNT($AV$1:AV1033)+1),"")</f>
        <v/>
      </c>
    </row>
    <row r="1035" spans="1:48" ht="15" customHeight="1" x14ac:dyDescent="0.25">
      <c r="A1035" s="1"/>
      <c r="B1035" s="578">
        <v>21122</v>
      </c>
      <c r="C1035" s="579">
        <v>4640125885555</v>
      </c>
      <c r="D1035" s="595" t="s">
        <v>7800</v>
      </c>
      <c r="E1035" s="1255">
        <v>12</v>
      </c>
      <c r="F1035" s="1094"/>
      <c r="G1035" s="582">
        <v>78</v>
      </c>
      <c r="H1035" s="583">
        <v>82</v>
      </c>
      <c r="I1035" s="584">
        <v>90</v>
      </c>
      <c r="J1035" s="1258" t="s">
        <v>599</v>
      </c>
      <c r="K1035" s="1259" t="s">
        <v>428</v>
      </c>
      <c r="L1035" s="437" t="s">
        <v>3258</v>
      </c>
      <c r="M1035" s="474" t="s">
        <v>1856</v>
      </c>
      <c r="N1035" s="1013" t="s">
        <v>1856</v>
      </c>
      <c r="O1035" s="212" t="s">
        <v>1690</v>
      </c>
      <c r="P1035" s="66" t="s">
        <v>72</v>
      </c>
      <c r="Q1035" s="100">
        <f t="shared" si="532"/>
        <v>0</v>
      </c>
      <c r="R1035" s="13" t="str">
        <f t="shared" si="533"/>
        <v>Фото &gt;&gt;</v>
      </c>
      <c r="S1035" s="14" t="s">
        <v>6183</v>
      </c>
      <c r="T1035" s="509"/>
      <c r="U1035" s="4"/>
      <c r="V1035" s="4"/>
      <c r="X1035" s="4"/>
      <c r="Y1035" s="4"/>
      <c r="Z1035" s="4"/>
      <c r="AA1035" s="4"/>
      <c r="AK1035">
        <v>0.03</v>
      </c>
      <c r="AL1035">
        <f t="shared" si="537"/>
        <v>0</v>
      </c>
      <c r="AM1035">
        <f t="shared" si="538"/>
        <v>0</v>
      </c>
      <c r="AN1035">
        <f t="shared" si="539"/>
        <v>0</v>
      </c>
      <c r="AO1035" t="s">
        <v>6184</v>
      </c>
      <c r="AV1035" t="str">
        <f>IF(F1035&gt;0,(COUNT($AV$1:AV1034)+1),"")</f>
        <v/>
      </c>
    </row>
    <row r="1036" spans="1:48" ht="15" customHeight="1" x14ac:dyDescent="0.25">
      <c r="A1036" s="1"/>
      <c r="B1036" s="32">
        <v>21123</v>
      </c>
      <c r="C1036" s="33">
        <v>4640125885579</v>
      </c>
      <c r="D1036" s="227" t="s">
        <v>7338</v>
      </c>
      <c r="E1036" s="623">
        <v>12</v>
      </c>
      <c r="F1036" s="223"/>
      <c r="G1036" s="109">
        <v>78</v>
      </c>
      <c r="H1036" s="34">
        <v>82</v>
      </c>
      <c r="I1036" s="35">
        <v>90</v>
      </c>
      <c r="J1036" s="114" t="s">
        <v>599</v>
      </c>
      <c r="K1036" s="57" t="s">
        <v>428</v>
      </c>
      <c r="L1036" s="438" t="s">
        <v>3258</v>
      </c>
      <c r="M1036" s="484" t="s">
        <v>1856</v>
      </c>
      <c r="N1036" s="1008" t="s">
        <v>1856</v>
      </c>
      <c r="O1036" s="218" t="s">
        <v>4226</v>
      </c>
      <c r="P1036" s="70" t="s">
        <v>72</v>
      </c>
      <c r="Q1036" s="100">
        <f t="shared" si="532"/>
        <v>0</v>
      </c>
      <c r="R1036" s="13" t="str">
        <f t="shared" si="533"/>
        <v>Фото &gt;&gt;</v>
      </c>
      <c r="S1036" s="14" t="s">
        <v>6181</v>
      </c>
      <c r="T1036" s="509"/>
      <c r="U1036" s="4"/>
      <c r="V1036" s="4"/>
      <c r="X1036" s="4"/>
      <c r="Y1036" s="4"/>
      <c r="Z1036" s="4"/>
      <c r="AA1036" s="4"/>
      <c r="AK1036">
        <v>0.03</v>
      </c>
      <c r="AL1036">
        <f t="shared" si="537"/>
        <v>0</v>
      </c>
      <c r="AM1036">
        <f t="shared" si="538"/>
        <v>0</v>
      </c>
      <c r="AN1036">
        <f t="shared" si="539"/>
        <v>0</v>
      </c>
      <c r="AO1036" t="s">
        <v>6047</v>
      </c>
      <c r="AV1036" t="str">
        <f>IF(F1036&gt;0,(COUNT($AV$1:AV1035)+1),"")</f>
        <v/>
      </c>
    </row>
    <row r="1037" spans="1:48" ht="15" customHeight="1" x14ac:dyDescent="0.25">
      <c r="A1037" s="1"/>
      <c r="B1037" s="785">
        <v>18192</v>
      </c>
      <c r="C1037" s="786">
        <v>4650062595448</v>
      </c>
      <c r="D1037" s="824" t="s">
        <v>7605</v>
      </c>
      <c r="E1037" s="788">
        <v>8</v>
      </c>
      <c r="F1037" s="789"/>
      <c r="G1037" s="811">
        <v>154.1</v>
      </c>
      <c r="H1037" s="790">
        <v>160.30000000000001</v>
      </c>
      <c r="I1037" s="791">
        <v>172.6</v>
      </c>
      <c r="J1037" s="792" t="s">
        <v>599</v>
      </c>
      <c r="K1037" s="793" t="s">
        <v>326</v>
      </c>
      <c r="L1037" s="781" t="s">
        <v>3258</v>
      </c>
      <c r="M1037" s="782" t="s">
        <v>1856</v>
      </c>
      <c r="N1037" s="1009" t="s">
        <v>1856</v>
      </c>
      <c r="O1037" s="783"/>
      <c r="P1037" s="784" t="s">
        <v>72</v>
      </c>
      <c r="Q1037" s="100">
        <f t="shared" si="532"/>
        <v>0</v>
      </c>
      <c r="R1037" s="13" t="str">
        <f t="shared" si="533"/>
        <v>Фото &gt;&gt;</v>
      </c>
      <c r="S1037" s="14" t="s">
        <v>2008</v>
      </c>
      <c r="T1037" s="509"/>
      <c r="U1037" s="4"/>
      <c r="V1037" s="4"/>
      <c r="X1037" s="4"/>
      <c r="Y1037" s="4"/>
      <c r="Z1037" s="4"/>
      <c r="AA1037" s="4"/>
      <c r="AK1037">
        <v>0.15</v>
      </c>
      <c r="AL1037">
        <f t="shared" si="537"/>
        <v>0</v>
      </c>
      <c r="AM1037">
        <f t="shared" si="538"/>
        <v>0</v>
      </c>
      <c r="AN1037">
        <f t="shared" si="539"/>
        <v>0</v>
      </c>
      <c r="AO1037" t="s">
        <v>4918</v>
      </c>
      <c r="AS1037" s="298" t="s">
        <v>3792</v>
      </c>
      <c r="AV1037" t="str">
        <f>IF(F1037&gt;0,(COUNT($AV$1:AV1036)+1),"")</f>
        <v/>
      </c>
    </row>
    <row r="1038" spans="1:48" ht="15" customHeight="1" x14ac:dyDescent="0.25">
      <c r="A1038" s="1"/>
      <c r="B1038" s="31">
        <v>18194</v>
      </c>
      <c r="C1038" s="16">
        <v>4650062595516</v>
      </c>
      <c r="D1038" s="226" t="s">
        <v>7339</v>
      </c>
      <c r="E1038" s="69">
        <v>8</v>
      </c>
      <c r="F1038" s="223"/>
      <c r="G1038" s="108">
        <v>154.1</v>
      </c>
      <c r="H1038" s="17">
        <v>160.30000000000001</v>
      </c>
      <c r="I1038" s="18">
        <v>172.6</v>
      </c>
      <c r="J1038" s="113" t="s">
        <v>599</v>
      </c>
      <c r="K1038" s="44" t="s">
        <v>326</v>
      </c>
      <c r="L1038" s="442" t="s">
        <v>3258</v>
      </c>
      <c r="M1038" s="480" t="s">
        <v>1856</v>
      </c>
      <c r="N1038" s="1015" t="s">
        <v>1856</v>
      </c>
      <c r="O1038" s="217"/>
      <c r="P1038" s="68" t="s">
        <v>72</v>
      </c>
      <c r="Q1038" s="100">
        <f t="shared" si="532"/>
        <v>0</v>
      </c>
      <c r="R1038" s="13" t="str">
        <f t="shared" si="533"/>
        <v>Фото &gt;&gt;</v>
      </c>
      <c r="S1038" s="14" t="s">
        <v>2011</v>
      </c>
      <c r="T1038" s="509"/>
      <c r="U1038" s="4"/>
      <c r="V1038" s="4"/>
      <c r="X1038" s="4"/>
      <c r="Y1038" s="4"/>
      <c r="Z1038" s="4"/>
      <c r="AA1038" s="4"/>
      <c r="AK1038">
        <v>0.15</v>
      </c>
      <c r="AL1038">
        <f t="shared" si="534"/>
        <v>0</v>
      </c>
      <c r="AM1038">
        <f t="shared" si="535"/>
        <v>0</v>
      </c>
      <c r="AN1038">
        <f t="shared" si="536"/>
        <v>0</v>
      </c>
      <c r="AO1038" t="s">
        <v>4919</v>
      </c>
      <c r="AS1038" s="298" t="s">
        <v>3792</v>
      </c>
      <c r="AV1038" t="str">
        <f>IF(F1038&gt;0,(COUNT($AV$1:AV1037)+1),"")</f>
        <v/>
      </c>
    </row>
    <row r="1039" spans="1:48" ht="15" customHeight="1" x14ac:dyDescent="0.25">
      <c r="A1039" s="1"/>
      <c r="B1039" s="30">
        <v>18195</v>
      </c>
      <c r="C1039" s="20">
        <v>4650062595547</v>
      </c>
      <c r="D1039" s="225" t="s">
        <v>7340</v>
      </c>
      <c r="E1039" s="67">
        <v>8</v>
      </c>
      <c r="F1039" s="222"/>
      <c r="G1039" s="107">
        <v>154.1</v>
      </c>
      <c r="H1039" s="21">
        <v>160.03</v>
      </c>
      <c r="I1039" s="22">
        <v>172.6</v>
      </c>
      <c r="J1039" s="112" t="s">
        <v>599</v>
      </c>
      <c r="K1039" s="45" t="s">
        <v>326</v>
      </c>
      <c r="L1039" s="437" t="s">
        <v>3258</v>
      </c>
      <c r="M1039" s="474" t="s">
        <v>1856</v>
      </c>
      <c r="N1039" s="1013" t="s">
        <v>1856</v>
      </c>
      <c r="O1039" s="212"/>
      <c r="P1039" s="66" t="s">
        <v>72</v>
      </c>
      <c r="Q1039" s="100">
        <f t="shared" si="532"/>
        <v>0</v>
      </c>
      <c r="R1039" s="13" t="str">
        <f t="shared" si="533"/>
        <v>Фото &gt;&gt;</v>
      </c>
      <c r="S1039" s="14" t="s">
        <v>2012</v>
      </c>
      <c r="T1039" s="509"/>
      <c r="U1039" s="4"/>
      <c r="V1039" s="4"/>
      <c r="X1039" s="4"/>
      <c r="Y1039" s="4"/>
      <c r="Z1039" s="4"/>
      <c r="AA1039" s="4"/>
      <c r="AK1039">
        <v>0.15</v>
      </c>
      <c r="AL1039">
        <f t="shared" si="534"/>
        <v>0</v>
      </c>
      <c r="AM1039">
        <f t="shared" si="535"/>
        <v>0</v>
      </c>
      <c r="AN1039">
        <f t="shared" si="536"/>
        <v>0</v>
      </c>
      <c r="AO1039" t="s">
        <v>4141</v>
      </c>
      <c r="AS1039" s="298" t="s">
        <v>3792</v>
      </c>
      <c r="AV1039" t="str">
        <f>IF(F1039&gt;0,(COUNT($AV$1:AV1038)+1),"")</f>
        <v/>
      </c>
    </row>
    <row r="1040" spans="1:48" ht="15" customHeight="1" x14ac:dyDescent="0.25">
      <c r="A1040" s="1"/>
      <c r="B1040" s="31">
        <v>19551</v>
      </c>
      <c r="C1040" s="16">
        <v>4640125881168</v>
      </c>
      <c r="D1040" s="422" t="s">
        <v>7626</v>
      </c>
      <c r="E1040" s="69">
        <v>8</v>
      </c>
      <c r="F1040" s="223"/>
      <c r="G1040" s="420">
        <v>123.3</v>
      </c>
      <c r="H1040" s="415">
        <v>128.19999999999999</v>
      </c>
      <c r="I1040" s="416">
        <v>138</v>
      </c>
      <c r="J1040" s="113" t="s">
        <v>599</v>
      </c>
      <c r="K1040" s="44" t="s">
        <v>326</v>
      </c>
      <c r="L1040" s="442" t="s">
        <v>3258</v>
      </c>
      <c r="M1040" s="480" t="s">
        <v>1856</v>
      </c>
      <c r="N1040" s="1015"/>
      <c r="O1040" s="210" t="s">
        <v>7396</v>
      </c>
      <c r="P1040" s="68" t="s">
        <v>72</v>
      </c>
      <c r="Q1040" s="100">
        <f t="shared" si="532"/>
        <v>0</v>
      </c>
      <c r="R1040" s="13" t="str">
        <f>IF(AO1040&gt;0,HYPERLINK(AO1040,"Фото &gt;&gt;"),"")</f>
        <v>Фото &gt;&gt;</v>
      </c>
      <c r="S1040" s="14" t="s">
        <v>2009</v>
      </c>
      <c r="T1040" s="509"/>
      <c r="U1040" s="4"/>
      <c r="V1040" s="4"/>
      <c r="X1040" s="4"/>
      <c r="Y1040" s="4"/>
      <c r="Z1040" s="4"/>
      <c r="AA1040" s="4"/>
      <c r="AK1040">
        <v>0.15</v>
      </c>
      <c r="AL1040">
        <f t="shared" si="534"/>
        <v>0</v>
      </c>
      <c r="AM1040">
        <f t="shared" si="535"/>
        <v>0</v>
      </c>
      <c r="AN1040">
        <f t="shared" si="536"/>
        <v>0</v>
      </c>
      <c r="AO1040" t="s">
        <v>2675</v>
      </c>
      <c r="AS1040" s="298" t="s">
        <v>3792</v>
      </c>
      <c r="AV1040" t="str">
        <f>IF(F1040&gt;0,(COUNT($AV$1:AV1039)+1),"")</f>
        <v/>
      </c>
    </row>
    <row r="1041" spans="1:48" ht="15" customHeight="1" x14ac:dyDescent="0.25">
      <c r="A1041" s="1"/>
      <c r="B1041" s="30">
        <v>18193</v>
      </c>
      <c r="C1041" s="20">
        <v>4650062595509</v>
      </c>
      <c r="D1041" s="153" t="s">
        <v>7606</v>
      </c>
      <c r="E1041" s="67">
        <v>8</v>
      </c>
      <c r="F1041" s="222"/>
      <c r="G1041" s="107">
        <v>154.1</v>
      </c>
      <c r="H1041" s="21">
        <v>160.30000000000001</v>
      </c>
      <c r="I1041" s="22">
        <v>172.6</v>
      </c>
      <c r="J1041" s="112" t="s">
        <v>599</v>
      </c>
      <c r="K1041" s="45" t="s">
        <v>326</v>
      </c>
      <c r="L1041" s="437" t="s">
        <v>3258</v>
      </c>
      <c r="M1041" s="474" t="s">
        <v>1856</v>
      </c>
      <c r="N1041" s="1013" t="s">
        <v>1856</v>
      </c>
      <c r="O1041" s="212"/>
      <c r="P1041" s="66" t="s">
        <v>72</v>
      </c>
      <c r="Q1041" s="100">
        <f t="shared" si="532"/>
        <v>0</v>
      </c>
      <c r="R1041" s="13" t="str">
        <f t="shared" ref="R1041:R1047" si="540">IF(AO1041&gt;0,HYPERLINK(AO1041,"Фото &gt;&gt;"),"")</f>
        <v>Фото &gt;&gt;</v>
      </c>
      <c r="S1041" s="14" t="s">
        <v>2010</v>
      </c>
      <c r="T1041" s="509"/>
      <c r="U1041" s="4"/>
      <c r="V1041" s="4"/>
      <c r="X1041" s="4"/>
      <c r="Y1041" s="4"/>
      <c r="Z1041" s="4"/>
      <c r="AA1041" s="4"/>
      <c r="AK1041">
        <v>0.15</v>
      </c>
      <c r="AL1041">
        <f t="shared" si="534"/>
        <v>0</v>
      </c>
      <c r="AM1041">
        <f t="shared" si="535"/>
        <v>0</v>
      </c>
      <c r="AN1041">
        <f t="shared" si="536"/>
        <v>0</v>
      </c>
      <c r="AO1041" t="s">
        <v>4142</v>
      </c>
      <c r="AS1041" s="298" t="s">
        <v>3792</v>
      </c>
      <c r="AV1041" t="str">
        <f>IF(F1041&gt;0,(COUNT($AV$1:AV1040)+1),"")</f>
        <v/>
      </c>
    </row>
    <row r="1042" spans="1:48" ht="15" customHeight="1" x14ac:dyDescent="0.25">
      <c r="A1042" s="1"/>
      <c r="B1042" s="31">
        <v>20452</v>
      </c>
      <c r="C1042" s="16">
        <v>4640125883933</v>
      </c>
      <c r="D1042" s="422" t="s">
        <v>7627</v>
      </c>
      <c r="E1042" s="69">
        <v>8</v>
      </c>
      <c r="F1042" s="223"/>
      <c r="G1042" s="420">
        <v>143.9</v>
      </c>
      <c r="H1042" s="415">
        <v>149.69999999999999</v>
      </c>
      <c r="I1042" s="416">
        <v>161.6</v>
      </c>
      <c r="J1042" s="113" t="s">
        <v>599</v>
      </c>
      <c r="K1042" s="44" t="s">
        <v>326</v>
      </c>
      <c r="L1042" s="442" t="s">
        <v>3258</v>
      </c>
      <c r="M1042" s="480" t="s">
        <v>1856</v>
      </c>
      <c r="N1042" s="1015" t="s">
        <v>1856</v>
      </c>
      <c r="O1042" s="210" t="s">
        <v>7396</v>
      </c>
      <c r="P1042" s="68" t="s">
        <v>72</v>
      </c>
      <c r="Q1042" s="100">
        <f t="shared" si="532"/>
        <v>0</v>
      </c>
      <c r="R1042" s="13" t="str">
        <f t="shared" si="540"/>
        <v>Фото &gt;&gt;</v>
      </c>
      <c r="S1042" s="14" t="s">
        <v>3791</v>
      </c>
      <c r="T1042" s="509"/>
      <c r="U1042" s="4"/>
      <c r="V1042" s="4"/>
      <c r="X1042" s="4"/>
      <c r="Y1042" s="4"/>
      <c r="Z1042" s="4"/>
      <c r="AA1042" s="4"/>
      <c r="AK1042">
        <v>0.19</v>
      </c>
      <c r="AL1042">
        <f t="shared" si="534"/>
        <v>0</v>
      </c>
      <c r="AM1042">
        <f t="shared" si="535"/>
        <v>0</v>
      </c>
      <c r="AN1042">
        <f t="shared" si="536"/>
        <v>0</v>
      </c>
      <c r="AO1042" t="s">
        <v>2676</v>
      </c>
      <c r="AS1042" s="298" t="s">
        <v>3792</v>
      </c>
      <c r="AV1042" t="str">
        <f>IF(F1042&gt;0,(COUNT($AV$1:AV1041)+1),"")</f>
        <v/>
      </c>
    </row>
    <row r="1043" spans="1:48" ht="15" customHeight="1" x14ac:dyDescent="0.25">
      <c r="A1043" s="1"/>
      <c r="B1043" s="30">
        <v>20434</v>
      </c>
      <c r="C1043" s="20">
        <v>4640125881922</v>
      </c>
      <c r="D1043" s="225" t="s">
        <v>6805</v>
      </c>
      <c r="E1043" s="67">
        <v>8</v>
      </c>
      <c r="F1043" s="222"/>
      <c r="G1043" s="107">
        <v>179.9</v>
      </c>
      <c r="H1043" s="21">
        <v>187.1</v>
      </c>
      <c r="I1043" s="22">
        <v>202</v>
      </c>
      <c r="J1043" s="112" t="s">
        <v>599</v>
      </c>
      <c r="K1043" s="45" t="s">
        <v>326</v>
      </c>
      <c r="L1043" s="437" t="s">
        <v>3258</v>
      </c>
      <c r="M1043" s="474" t="s">
        <v>1856</v>
      </c>
      <c r="N1043" s="1013" t="s">
        <v>1856</v>
      </c>
      <c r="O1043" s="212"/>
      <c r="P1043" s="66" t="s">
        <v>72</v>
      </c>
      <c r="Q1043" s="100">
        <f t="shared" si="532"/>
        <v>0</v>
      </c>
      <c r="R1043" s="13" t="str">
        <f t="shared" si="540"/>
        <v>Фото &gt;&gt;</v>
      </c>
      <c r="S1043" s="14" t="s">
        <v>3789</v>
      </c>
      <c r="T1043" s="509"/>
      <c r="U1043" s="4"/>
      <c r="V1043" s="4"/>
      <c r="X1043" s="4"/>
      <c r="Y1043" s="4"/>
      <c r="Z1043" s="4"/>
      <c r="AA1043" s="4"/>
      <c r="AK1043">
        <v>0.19</v>
      </c>
      <c r="AL1043">
        <f t="shared" si="534"/>
        <v>0</v>
      </c>
      <c r="AM1043">
        <f t="shared" si="535"/>
        <v>0</v>
      </c>
      <c r="AN1043">
        <f t="shared" si="536"/>
        <v>0</v>
      </c>
      <c r="AO1043" t="s">
        <v>2677</v>
      </c>
      <c r="AS1043" s="298" t="s">
        <v>3792</v>
      </c>
      <c r="AV1043" t="str">
        <f>IF(F1043&gt;0,(COUNT($AV$1:AV1042)+1),"")</f>
        <v/>
      </c>
    </row>
    <row r="1044" spans="1:48" ht="15" customHeight="1" x14ac:dyDescent="0.25">
      <c r="A1044" s="1"/>
      <c r="B1044" s="31">
        <v>20394</v>
      </c>
      <c r="C1044" s="16">
        <v>4640125883940</v>
      </c>
      <c r="D1044" s="154" t="s">
        <v>7607</v>
      </c>
      <c r="E1044" s="69">
        <v>8</v>
      </c>
      <c r="F1044" s="223"/>
      <c r="G1044" s="108">
        <v>179.9</v>
      </c>
      <c r="H1044" s="17">
        <v>187.1</v>
      </c>
      <c r="I1044" s="18">
        <v>202</v>
      </c>
      <c r="J1044" s="113" t="s">
        <v>599</v>
      </c>
      <c r="K1044" s="44" t="s">
        <v>326</v>
      </c>
      <c r="L1044" s="442" t="s">
        <v>3258</v>
      </c>
      <c r="M1044" s="480" t="s">
        <v>1856</v>
      </c>
      <c r="N1044" s="1015" t="s">
        <v>1856</v>
      </c>
      <c r="O1044" s="217"/>
      <c r="P1044" s="68" t="s">
        <v>72</v>
      </c>
      <c r="Q1044" s="100">
        <f t="shared" si="532"/>
        <v>0</v>
      </c>
      <c r="R1044" s="13" t="str">
        <f t="shared" si="540"/>
        <v>Фото &gt;&gt;</v>
      </c>
      <c r="S1044" s="14" t="s">
        <v>3790</v>
      </c>
      <c r="T1044" s="509"/>
      <c r="U1044" s="4"/>
      <c r="V1044" s="4"/>
      <c r="X1044" s="4"/>
      <c r="Y1044" s="4"/>
      <c r="Z1044" s="4"/>
      <c r="AA1044" s="4"/>
      <c r="AK1044">
        <v>0.19</v>
      </c>
      <c r="AL1044">
        <f t="shared" si="534"/>
        <v>0</v>
      </c>
      <c r="AM1044">
        <f t="shared" si="535"/>
        <v>0</v>
      </c>
      <c r="AN1044">
        <f t="shared" si="536"/>
        <v>0</v>
      </c>
      <c r="AO1044" t="s">
        <v>3787</v>
      </c>
      <c r="AS1044" s="298" t="s">
        <v>3792</v>
      </c>
      <c r="AV1044" t="str">
        <f>IF(F1044&gt;0,(COUNT($AV$1:AV1043)+1),"")</f>
        <v/>
      </c>
    </row>
    <row r="1045" spans="1:48" ht="15" customHeight="1" x14ac:dyDescent="0.25">
      <c r="A1045" s="1"/>
      <c r="B1045" s="30">
        <v>21120</v>
      </c>
      <c r="C1045" s="20">
        <v>4640125885692</v>
      </c>
      <c r="D1045" s="225" t="s">
        <v>7341</v>
      </c>
      <c r="E1045" s="67">
        <v>8</v>
      </c>
      <c r="F1045" s="222"/>
      <c r="G1045" s="107">
        <v>89.5</v>
      </c>
      <c r="H1045" s="21">
        <v>94</v>
      </c>
      <c r="I1045" s="22">
        <v>103.5</v>
      </c>
      <c r="J1045" s="112" t="s">
        <v>599</v>
      </c>
      <c r="K1045" s="45" t="s">
        <v>326</v>
      </c>
      <c r="L1045" s="437" t="s">
        <v>3258</v>
      </c>
      <c r="M1045" s="474" t="s">
        <v>1856</v>
      </c>
      <c r="N1045" s="1013" t="s">
        <v>1856</v>
      </c>
      <c r="O1045" s="212"/>
      <c r="P1045" s="66" t="s">
        <v>72</v>
      </c>
      <c r="Q1045" s="100">
        <f t="shared" si="532"/>
        <v>0</v>
      </c>
      <c r="R1045" s="13" t="str">
        <f t="shared" si="540"/>
        <v>Фото &gt;&gt;</v>
      </c>
      <c r="S1045" s="14" t="s">
        <v>6186</v>
      </c>
      <c r="T1045" s="509"/>
      <c r="U1045" s="4"/>
      <c r="V1045" s="4"/>
      <c r="X1045" s="4"/>
      <c r="Y1045" s="4"/>
      <c r="Z1045" s="4"/>
      <c r="AA1045" s="4"/>
      <c r="AK1045">
        <v>0.08</v>
      </c>
      <c r="AL1045">
        <f t="shared" ref="AL1045:AL1047" si="541">F1045*G1045</f>
        <v>0</v>
      </c>
      <c r="AM1045">
        <f t="shared" ref="AM1045:AM1047" si="542">F1045*H1045</f>
        <v>0</v>
      </c>
      <c r="AN1045">
        <f t="shared" ref="AN1045:AN1047" si="543">AK1045*F1045+IF(E1045&gt;1.01,F1045/E1045*0.2,0)</f>
        <v>0</v>
      </c>
      <c r="AO1045" t="s">
        <v>6043</v>
      </c>
      <c r="AV1045" t="str">
        <f>IF(F1045&gt;0,(COUNT($AV$1:AV1044)+1),"")</f>
        <v/>
      </c>
    </row>
    <row r="1046" spans="1:48" ht="15" customHeight="1" x14ac:dyDescent="0.25">
      <c r="A1046" s="1"/>
      <c r="B1046" s="31">
        <v>21119</v>
      </c>
      <c r="C1046" s="16">
        <v>4640125885708</v>
      </c>
      <c r="D1046" s="154" t="s">
        <v>7608</v>
      </c>
      <c r="E1046" s="69">
        <v>8</v>
      </c>
      <c r="F1046" s="223"/>
      <c r="G1046" s="108">
        <v>89.5</v>
      </c>
      <c r="H1046" s="17">
        <v>94</v>
      </c>
      <c r="I1046" s="18">
        <v>103.5</v>
      </c>
      <c r="J1046" s="113" t="s">
        <v>599</v>
      </c>
      <c r="K1046" s="44" t="s">
        <v>326</v>
      </c>
      <c r="L1046" s="442" t="s">
        <v>3258</v>
      </c>
      <c r="M1046" s="480" t="s">
        <v>1856</v>
      </c>
      <c r="N1046" s="1015" t="s">
        <v>1856</v>
      </c>
      <c r="O1046" s="217"/>
      <c r="P1046" s="68" t="s">
        <v>72</v>
      </c>
      <c r="Q1046" s="100">
        <f t="shared" si="532"/>
        <v>0</v>
      </c>
      <c r="R1046" s="13" t="str">
        <f t="shared" si="540"/>
        <v>Фото &gt;&gt;</v>
      </c>
      <c r="S1046" s="14" t="s">
        <v>6187</v>
      </c>
      <c r="T1046" s="509"/>
      <c r="U1046" s="4"/>
      <c r="V1046" s="4"/>
      <c r="X1046" s="4"/>
      <c r="Y1046" s="4"/>
      <c r="Z1046" s="4"/>
      <c r="AA1046" s="4"/>
      <c r="AK1046">
        <v>0.08</v>
      </c>
      <c r="AL1046">
        <f t="shared" si="541"/>
        <v>0</v>
      </c>
      <c r="AM1046">
        <f t="shared" si="542"/>
        <v>0</v>
      </c>
      <c r="AN1046">
        <f t="shared" si="543"/>
        <v>0</v>
      </c>
      <c r="AO1046" t="s">
        <v>6044</v>
      </c>
      <c r="AV1046" t="str">
        <f>IF(F1046&gt;0,(COUNT($AV$1:AV1045)+1),"")</f>
        <v/>
      </c>
    </row>
    <row r="1047" spans="1:48" ht="15" customHeight="1" x14ac:dyDescent="0.25">
      <c r="A1047" s="1"/>
      <c r="B1047" s="37">
        <v>21118</v>
      </c>
      <c r="C1047" s="23">
        <v>4640125885715</v>
      </c>
      <c r="D1047" s="616" t="s">
        <v>7628</v>
      </c>
      <c r="E1047" s="75">
        <v>8</v>
      </c>
      <c r="F1047" s="223"/>
      <c r="G1047" s="927">
        <v>71.599999999999994</v>
      </c>
      <c r="H1047" s="928">
        <v>75.2</v>
      </c>
      <c r="I1047" s="929">
        <v>82.8</v>
      </c>
      <c r="J1047" s="115" t="s">
        <v>599</v>
      </c>
      <c r="K1047" s="46" t="s">
        <v>326</v>
      </c>
      <c r="L1047" s="440" t="s">
        <v>3258</v>
      </c>
      <c r="M1047" s="482" t="s">
        <v>1856</v>
      </c>
      <c r="N1047" s="1002" t="s">
        <v>1856</v>
      </c>
      <c r="O1047" s="211" t="s">
        <v>7396</v>
      </c>
      <c r="P1047" s="74" t="s">
        <v>72</v>
      </c>
      <c r="Q1047" s="100">
        <f t="shared" si="532"/>
        <v>0</v>
      </c>
      <c r="R1047" s="13" t="str">
        <f t="shared" si="540"/>
        <v>Фото &gt;&gt;</v>
      </c>
      <c r="S1047" s="14" t="s">
        <v>6185</v>
      </c>
      <c r="T1047" s="509"/>
      <c r="U1047" s="4"/>
      <c r="V1047" s="4"/>
      <c r="X1047" s="4"/>
      <c r="Y1047" s="4"/>
      <c r="Z1047" s="4"/>
      <c r="AA1047" s="4"/>
      <c r="AK1047">
        <v>0.08</v>
      </c>
      <c r="AL1047">
        <f t="shared" si="541"/>
        <v>0</v>
      </c>
      <c r="AM1047">
        <f t="shared" si="542"/>
        <v>0</v>
      </c>
      <c r="AN1047">
        <f t="shared" si="543"/>
        <v>0</v>
      </c>
      <c r="AO1047" t="s">
        <v>6043</v>
      </c>
      <c r="AV1047" t="str">
        <f>IF(F1047&gt;0,(COUNT($AV$1:AV1046)+1),"")</f>
        <v/>
      </c>
    </row>
    <row r="1048" spans="1:48" ht="15" customHeight="1" x14ac:dyDescent="0.25">
      <c r="A1048" s="1"/>
      <c r="B1048" s="25"/>
      <c r="C1048" s="26"/>
      <c r="D1048" s="756" t="s">
        <v>3001</v>
      </c>
      <c r="E1048" s="80"/>
      <c r="F1048" s="96"/>
      <c r="G1048" s="28"/>
      <c r="H1048" s="29"/>
      <c r="I1048" s="29"/>
      <c r="J1048" s="51"/>
      <c r="K1048" s="47"/>
      <c r="L1048" s="447"/>
      <c r="M1048" s="489"/>
      <c r="N1048" s="716"/>
      <c r="O1048" s="186"/>
      <c r="P1048" s="79"/>
      <c r="Q1048" s="104"/>
      <c r="R1048" s="13"/>
      <c r="S1048" s="93"/>
      <c r="T1048" s="509"/>
      <c r="U1048" s="4"/>
      <c r="V1048" s="4"/>
      <c r="X1048" s="4"/>
      <c r="Y1048" s="4"/>
      <c r="Z1048" s="4"/>
      <c r="AA1048" s="4"/>
      <c r="AL1048">
        <f t="shared" si="534"/>
        <v>0</v>
      </c>
      <c r="AM1048">
        <f t="shared" si="535"/>
        <v>0</v>
      </c>
      <c r="AN1048">
        <f t="shared" si="536"/>
        <v>0</v>
      </c>
      <c r="AO1048" t="s">
        <v>104</v>
      </c>
      <c r="AS1048" s="298" t="s">
        <v>3792</v>
      </c>
      <c r="AV1048" t="str">
        <f>IF(F1048&gt;0,(COUNT($AV$1:AV1047)+1),"")</f>
        <v/>
      </c>
    </row>
    <row r="1049" spans="1:48" ht="15" customHeight="1" x14ac:dyDescent="0.25">
      <c r="A1049" s="1"/>
      <c r="B1049" s="31">
        <v>17071</v>
      </c>
      <c r="C1049" s="16">
        <v>4650062593031</v>
      </c>
      <c r="D1049" s="226" t="s">
        <v>7342</v>
      </c>
      <c r="E1049" s="69">
        <v>10</v>
      </c>
      <c r="F1049" s="222"/>
      <c r="G1049" s="108">
        <v>200.3</v>
      </c>
      <c r="H1049" s="17">
        <v>208.5</v>
      </c>
      <c r="I1049" s="18">
        <v>224.7</v>
      </c>
      <c r="J1049" s="113" t="s">
        <v>599</v>
      </c>
      <c r="K1049" s="44" t="s">
        <v>92</v>
      </c>
      <c r="L1049" s="442" t="s">
        <v>3258</v>
      </c>
      <c r="M1049" s="480" t="s">
        <v>1856</v>
      </c>
      <c r="N1049" s="1015" t="s">
        <v>1856</v>
      </c>
      <c r="O1049" s="217"/>
      <c r="P1049" s="68" t="s">
        <v>72</v>
      </c>
      <c r="Q1049" s="100">
        <f t="shared" ref="Q1049:Q1065" si="544">IF($AO$1011=8,ROUND((G1049*F1049)*0.95,1),IF(OR(F1049/E1049=INT(F1049/E1049),$AO$1011=1),F1049*G1049,IF($AO$1011=2,F1049*H1049,F1049*I1049)))</f>
        <v>0</v>
      </c>
      <c r="R1049" s="13" t="str">
        <f t="shared" ref="R1049:R1065" si="545">IF(AO1049&gt;0,HYPERLINK(AO1049,"Фото &gt;&gt;"),"")</f>
        <v>Фото &gt;&gt;</v>
      </c>
      <c r="S1049" s="14" t="s">
        <v>600</v>
      </c>
      <c r="T1049" s="509"/>
      <c r="U1049" s="4"/>
      <c r="V1049" s="4"/>
      <c r="X1049" s="4"/>
      <c r="Y1049" s="4"/>
      <c r="Z1049" s="4"/>
      <c r="AA1049" s="4"/>
      <c r="AK1049">
        <v>0.22</v>
      </c>
      <c r="AL1049">
        <f t="shared" si="534"/>
        <v>0</v>
      </c>
      <c r="AM1049">
        <f t="shared" si="535"/>
        <v>0</v>
      </c>
      <c r="AN1049">
        <f t="shared" si="536"/>
        <v>0</v>
      </c>
      <c r="AO1049" t="s">
        <v>4920</v>
      </c>
      <c r="AS1049" s="298" t="s">
        <v>3792</v>
      </c>
      <c r="AV1049" t="str">
        <f>IF(F1049&gt;0,(COUNT($AV$1:AV1048)+1),"")</f>
        <v/>
      </c>
    </row>
    <row r="1050" spans="1:48" ht="15" customHeight="1" x14ac:dyDescent="0.25">
      <c r="A1050" s="1"/>
      <c r="B1050" s="30">
        <v>17073</v>
      </c>
      <c r="C1050" s="20">
        <v>4650062593000</v>
      </c>
      <c r="D1050" s="421" t="s">
        <v>7629</v>
      </c>
      <c r="E1050" s="67">
        <v>10</v>
      </c>
      <c r="F1050" s="222"/>
      <c r="G1050" s="419">
        <v>160.19999999999999</v>
      </c>
      <c r="H1050" s="417">
        <v>166.8</v>
      </c>
      <c r="I1050" s="418">
        <v>179.8</v>
      </c>
      <c r="J1050" s="112" t="s">
        <v>599</v>
      </c>
      <c r="K1050" s="45" t="s">
        <v>92</v>
      </c>
      <c r="L1050" s="437" t="s">
        <v>3258</v>
      </c>
      <c r="M1050" s="474" t="s">
        <v>1856</v>
      </c>
      <c r="N1050" s="1013" t="s">
        <v>1856</v>
      </c>
      <c r="O1050" s="209" t="s">
        <v>7396</v>
      </c>
      <c r="P1050" s="66" t="s">
        <v>72</v>
      </c>
      <c r="Q1050" s="100">
        <f t="shared" si="544"/>
        <v>0</v>
      </c>
      <c r="R1050" s="13" t="str">
        <f t="shared" si="545"/>
        <v>Фото &gt;&gt;</v>
      </c>
      <c r="S1050" s="14" t="s">
        <v>601</v>
      </c>
      <c r="T1050" s="509"/>
      <c r="U1050" s="4"/>
      <c r="V1050" s="4"/>
      <c r="X1050" s="4"/>
      <c r="Y1050" s="4"/>
      <c r="Z1050" s="4"/>
      <c r="AA1050" s="4"/>
      <c r="AK1050">
        <v>0.22</v>
      </c>
      <c r="AL1050">
        <f t="shared" si="534"/>
        <v>0</v>
      </c>
      <c r="AM1050">
        <f t="shared" si="535"/>
        <v>0</v>
      </c>
      <c r="AN1050">
        <f t="shared" si="536"/>
        <v>0</v>
      </c>
      <c r="AO1050" t="s">
        <v>4921</v>
      </c>
      <c r="AS1050" s="298" t="s">
        <v>3792</v>
      </c>
      <c r="AV1050" t="str">
        <f>IF(F1050&gt;0,(COUNT($AV$1:AV1049)+1),"")</f>
        <v/>
      </c>
    </row>
    <row r="1051" spans="1:48" ht="15" customHeight="1" x14ac:dyDescent="0.25">
      <c r="A1051" s="1"/>
      <c r="B1051" s="31">
        <v>17074</v>
      </c>
      <c r="C1051" s="16">
        <v>4650062593017</v>
      </c>
      <c r="D1051" s="154" t="s">
        <v>7609</v>
      </c>
      <c r="E1051" s="69">
        <v>10</v>
      </c>
      <c r="F1051" s="222"/>
      <c r="G1051" s="108">
        <v>200.3</v>
      </c>
      <c r="H1051" s="17">
        <v>208.5</v>
      </c>
      <c r="I1051" s="18">
        <v>224.7</v>
      </c>
      <c r="J1051" s="113" t="s">
        <v>599</v>
      </c>
      <c r="K1051" s="44" t="s">
        <v>92</v>
      </c>
      <c r="L1051" s="442" t="s">
        <v>3258</v>
      </c>
      <c r="M1051" s="480" t="s">
        <v>1856</v>
      </c>
      <c r="N1051" s="1015" t="s">
        <v>1856</v>
      </c>
      <c r="O1051" s="217"/>
      <c r="P1051" s="68" t="s">
        <v>72</v>
      </c>
      <c r="Q1051" s="100">
        <f t="shared" si="544"/>
        <v>0</v>
      </c>
      <c r="R1051" s="13" t="str">
        <f t="shared" si="545"/>
        <v>Фото &gt;&gt;</v>
      </c>
      <c r="S1051" s="14" t="s">
        <v>602</v>
      </c>
      <c r="T1051" s="509"/>
      <c r="U1051" s="4"/>
      <c r="V1051" s="4"/>
      <c r="X1051" s="4"/>
      <c r="Y1051" s="4"/>
      <c r="Z1051" s="4"/>
      <c r="AA1051" s="4"/>
      <c r="AK1051">
        <v>0.22</v>
      </c>
      <c r="AL1051">
        <f t="shared" si="534"/>
        <v>0</v>
      </c>
      <c r="AM1051">
        <f t="shared" si="535"/>
        <v>0</v>
      </c>
      <c r="AN1051">
        <f t="shared" si="536"/>
        <v>0</v>
      </c>
      <c r="AO1051" t="s">
        <v>4922</v>
      </c>
      <c r="AS1051" s="298" t="s">
        <v>3792</v>
      </c>
      <c r="AV1051" t="str">
        <f>IF(F1051&gt;0,(COUNT($AV$1:AV1050)+1),"")</f>
        <v/>
      </c>
    </row>
    <row r="1052" spans="1:48" ht="15" customHeight="1" x14ac:dyDescent="0.25">
      <c r="A1052" s="1"/>
      <c r="B1052" s="30">
        <v>19019</v>
      </c>
      <c r="C1052" s="20">
        <v>4650062598302</v>
      </c>
      <c r="D1052" s="421" t="s">
        <v>7630</v>
      </c>
      <c r="E1052" s="67">
        <v>12</v>
      </c>
      <c r="F1052" s="222"/>
      <c r="G1052" s="419">
        <v>132.4</v>
      </c>
      <c r="H1052" s="417">
        <v>137.69999999999999</v>
      </c>
      <c r="I1052" s="418">
        <v>148.19999999999999</v>
      </c>
      <c r="J1052" s="112" t="s">
        <v>599</v>
      </c>
      <c r="K1052" s="45" t="s">
        <v>92</v>
      </c>
      <c r="L1052" s="437" t="s">
        <v>3258</v>
      </c>
      <c r="M1052" s="474" t="s">
        <v>1856</v>
      </c>
      <c r="N1052" s="1013" t="s">
        <v>1856</v>
      </c>
      <c r="O1052" s="209" t="s">
        <v>7396</v>
      </c>
      <c r="P1052" s="66" t="s">
        <v>72</v>
      </c>
      <c r="Q1052" s="100">
        <f t="shared" si="544"/>
        <v>0</v>
      </c>
      <c r="R1052" s="13" t="str">
        <f t="shared" si="545"/>
        <v>Фото &gt;&gt;</v>
      </c>
      <c r="S1052" s="14" t="s">
        <v>1729</v>
      </c>
      <c r="T1052" s="509"/>
      <c r="U1052" s="4"/>
      <c r="V1052" s="4"/>
      <c r="X1052" s="4"/>
      <c r="Y1052" s="4"/>
      <c r="Z1052" s="4"/>
      <c r="AA1052" s="4"/>
      <c r="AK1052">
        <v>0.13500000000000001</v>
      </c>
      <c r="AL1052">
        <f t="shared" si="534"/>
        <v>0</v>
      </c>
      <c r="AM1052">
        <f t="shared" si="535"/>
        <v>0</v>
      </c>
      <c r="AN1052">
        <f t="shared" si="536"/>
        <v>0</v>
      </c>
      <c r="AO1052" t="s">
        <v>2678</v>
      </c>
      <c r="AS1052" s="298" t="s">
        <v>3792</v>
      </c>
      <c r="AV1052" t="str">
        <f>IF(F1052&gt;0,(COUNT($AV$1:AV1051)+1),"")</f>
        <v/>
      </c>
    </row>
    <row r="1053" spans="1:48" ht="15" customHeight="1" x14ac:dyDescent="0.25">
      <c r="A1053" s="1"/>
      <c r="B1053" s="31">
        <v>19020</v>
      </c>
      <c r="C1053" s="16">
        <v>4650062598289</v>
      </c>
      <c r="D1053" s="226" t="s">
        <v>7343</v>
      </c>
      <c r="E1053" s="69">
        <v>12</v>
      </c>
      <c r="F1053" s="222"/>
      <c r="G1053" s="108">
        <v>165.5</v>
      </c>
      <c r="H1053" s="17">
        <v>172.1</v>
      </c>
      <c r="I1053" s="18">
        <v>185.3</v>
      </c>
      <c r="J1053" s="113" t="s">
        <v>599</v>
      </c>
      <c r="K1053" s="44" t="s">
        <v>92</v>
      </c>
      <c r="L1053" s="442" t="s">
        <v>3258</v>
      </c>
      <c r="M1053" s="480" t="s">
        <v>1856</v>
      </c>
      <c r="N1053" s="1015"/>
      <c r="O1053" s="217"/>
      <c r="P1053" s="68" t="s">
        <v>72</v>
      </c>
      <c r="Q1053" s="100">
        <f t="shared" si="544"/>
        <v>0</v>
      </c>
      <c r="R1053" s="13" t="str">
        <f t="shared" si="545"/>
        <v>Фото &gt;&gt;</v>
      </c>
      <c r="S1053" s="14" t="s">
        <v>1728</v>
      </c>
      <c r="T1053" s="509"/>
      <c r="U1053" s="4"/>
      <c r="V1053" s="4"/>
      <c r="X1053" s="4"/>
      <c r="Y1053" s="4"/>
      <c r="Z1053" s="4"/>
      <c r="AA1053" s="4"/>
      <c r="AK1053">
        <v>0.13500000000000001</v>
      </c>
      <c r="AL1053">
        <f t="shared" si="534"/>
        <v>0</v>
      </c>
      <c r="AM1053">
        <f t="shared" si="535"/>
        <v>0</v>
      </c>
      <c r="AN1053">
        <f t="shared" si="536"/>
        <v>0</v>
      </c>
      <c r="AO1053" t="s">
        <v>2679</v>
      </c>
      <c r="AS1053" s="298" t="s">
        <v>3792</v>
      </c>
      <c r="AV1053" t="str">
        <f>IF(F1053&gt;0,(COUNT($AV$1:AV1052)+1),"")</f>
        <v/>
      </c>
    </row>
    <row r="1054" spans="1:48" ht="15" customHeight="1" x14ac:dyDescent="0.25">
      <c r="A1054" s="1"/>
      <c r="B1054" s="30">
        <v>16806</v>
      </c>
      <c r="C1054" s="20">
        <v>4650062592799</v>
      </c>
      <c r="D1054" s="421" t="s">
        <v>603</v>
      </c>
      <c r="E1054" s="67">
        <v>8</v>
      </c>
      <c r="F1054" s="222"/>
      <c r="G1054" s="419">
        <v>125.3</v>
      </c>
      <c r="H1054" s="417">
        <v>130.19999999999999</v>
      </c>
      <c r="I1054" s="418">
        <v>140.30000000000001</v>
      </c>
      <c r="J1054" s="112" t="s">
        <v>599</v>
      </c>
      <c r="K1054" s="45" t="s">
        <v>92</v>
      </c>
      <c r="L1054" s="437" t="s">
        <v>3258</v>
      </c>
      <c r="M1054" s="474" t="s">
        <v>1856</v>
      </c>
      <c r="N1054" s="1013" t="s">
        <v>1856</v>
      </c>
      <c r="O1054" s="209" t="s">
        <v>7396</v>
      </c>
      <c r="P1054" s="66" t="s">
        <v>72</v>
      </c>
      <c r="Q1054" s="100">
        <f t="shared" si="544"/>
        <v>0</v>
      </c>
      <c r="R1054" s="13" t="str">
        <f t="shared" si="545"/>
        <v>Фото &gt;&gt;</v>
      </c>
      <c r="S1054" s="14" t="s">
        <v>604</v>
      </c>
      <c r="T1054" s="509"/>
      <c r="U1054" s="4"/>
      <c r="V1054" s="4"/>
      <c r="X1054" s="4"/>
      <c r="Y1054" s="4"/>
      <c r="Z1054" s="4"/>
      <c r="AA1054" s="4"/>
      <c r="AK1054">
        <v>0.18</v>
      </c>
      <c r="AL1054">
        <f t="shared" si="534"/>
        <v>0</v>
      </c>
      <c r="AM1054">
        <f t="shared" si="535"/>
        <v>0</v>
      </c>
      <c r="AN1054">
        <f t="shared" si="536"/>
        <v>0</v>
      </c>
      <c r="AO1054" t="s">
        <v>4923</v>
      </c>
      <c r="AV1054" t="str">
        <f>IF(F1054&gt;0,(COUNT($AV$1:AV1053)+1),"")</f>
        <v/>
      </c>
    </row>
    <row r="1055" spans="1:48" ht="15" customHeight="1" x14ac:dyDescent="0.25">
      <c r="A1055" s="1"/>
      <c r="B1055" s="31">
        <v>16807</v>
      </c>
      <c r="C1055" s="16">
        <v>4650062592782</v>
      </c>
      <c r="D1055" s="154" t="s">
        <v>7610</v>
      </c>
      <c r="E1055" s="69">
        <v>8</v>
      </c>
      <c r="F1055" s="222"/>
      <c r="G1055" s="108">
        <v>150.5</v>
      </c>
      <c r="H1055" s="17">
        <v>156.6</v>
      </c>
      <c r="I1055" s="18">
        <v>168.6</v>
      </c>
      <c r="J1055" s="113" t="s">
        <v>599</v>
      </c>
      <c r="K1055" s="44" t="s">
        <v>92</v>
      </c>
      <c r="L1055" s="442" t="s">
        <v>3258</v>
      </c>
      <c r="M1055" s="480" t="s">
        <v>1856</v>
      </c>
      <c r="N1055" s="1015" t="s">
        <v>1856</v>
      </c>
      <c r="O1055" s="217"/>
      <c r="P1055" s="68" t="s">
        <v>72</v>
      </c>
      <c r="Q1055" s="100">
        <f t="shared" si="544"/>
        <v>0</v>
      </c>
      <c r="R1055" s="13" t="str">
        <f>IF(AO1055&gt;0,HYPERLINK(AO1055,"Фото &gt;&gt;"),"")</f>
        <v>Фото &gt;&gt;</v>
      </c>
      <c r="S1055" s="14" t="s">
        <v>606</v>
      </c>
      <c r="T1055" s="509"/>
      <c r="U1055" s="4"/>
      <c r="V1055" s="4"/>
      <c r="X1055" s="4"/>
      <c r="Y1055" s="4"/>
      <c r="Z1055" s="4"/>
      <c r="AA1055" s="4"/>
      <c r="AK1055">
        <v>0.18</v>
      </c>
      <c r="AL1055">
        <f>F1055*G1055</f>
        <v>0</v>
      </c>
      <c r="AM1055">
        <f>F1055*H1055</f>
        <v>0</v>
      </c>
      <c r="AN1055">
        <f>AK1055*F1055+IF(E1055&gt;1.01,F1055/E1055*0.2,0)</f>
        <v>0</v>
      </c>
      <c r="AO1055" t="s">
        <v>4925</v>
      </c>
      <c r="AV1055" t="str">
        <f>IF(F1055&gt;0,(COUNT($AV$1:AV1054)+1),"")</f>
        <v/>
      </c>
    </row>
    <row r="1056" spans="1:48" ht="15" customHeight="1" x14ac:dyDescent="0.25">
      <c r="A1056" s="1"/>
      <c r="B1056" s="30">
        <v>16808</v>
      </c>
      <c r="C1056" s="20">
        <v>4650062592805</v>
      </c>
      <c r="D1056" s="225" t="s">
        <v>7344</v>
      </c>
      <c r="E1056" s="67">
        <v>8</v>
      </c>
      <c r="F1056" s="222"/>
      <c r="G1056" s="107">
        <v>150.5</v>
      </c>
      <c r="H1056" s="21">
        <v>156.6</v>
      </c>
      <c r="I1056" s="22">
        <v>168.6</v>
      </c>
      <c r="J1056" s="112" t="s">
        <v>599</v>
      </c>
      <c r="K1056" s="45" t="s">
        <v>92</v>
      </c>
      <c r="L1056" s="437" t="s">
        <v>3258</v>
      </c>
      <c r="M1056" s="474" t="s">
        <v>1856</v>
      </c>
      <c r="N1056" s="1013" t="s">
        <v>1856</v>
      </c>
      <c r="O1056" s="212"/>
      <c r="P1056" s="66" t="s">
        <v>72</v>
      </c>
      <c r="Q1056" s="100">
        <f t="shared" si="544"/>
        <v>0</v>
      </c>
      <c r="R1056" s="13" t="str">
        <f>IF(AO1056&gt;0,HYPERLINK(AO1056,"Фото &gt;&gt;"),"")</f>
        <v>Фото &gt;&gt;</v>
      </c>
      <c r="S1056" s="14" t="s">
        <v>605</v>
      </c>
      <c r="T1056" s="509"/>
      <c r="U1056" s="4"/>
      <c r="V1056" s="4"/>
      <c r="X1056" s="4"/>
      <c r="Y1056" s="4"/>
      <c r="Z1056" s="4"/>
      <c r="AA1056" s="4"/>
      <c r="AK1056">
        <v>0.18</v>
      </c>
      <c r="AL1056">
        <f>F1056*G1056</f>
        <v>0</v>
      </c>
      <c r="AM1056">
        <f>F1056*H1056</f>
        <v>0</v>
      </c>
      <c r="AN1056">
        <f>AK1056*F1056+IF(E1056&gt;1.01,F1056/E1056*0.2,0)</f>
        <v>0</v>
      </c>
      <c r="AO1056" t="s">
        <v>4924</v>
      </c>
      <c r="AV1056" t="str">
        <f>IF(F1056&gt;0,(COUNT($AV$1:AV1055)+1),"")</f>
        <v/>
      </c>
    </row>
    <row r="1057" spans="1:48" ht="15" customHeight="1" x14ac:dyDescent="0.25">
      <c r="A1057" s="1"/>
      <c r="B1057" s="30">
        <v>21428</v>
      </c>
      <c r="C1057" s="20">
        <v>4640125887870</v>
      </c>
      <c r="D1057" s="421" t="s">
        <v>6857</v>
      </c>
      <c r="E1057" s="67">
        <v>8</v>
      </c>
      <c r="F1057" s="222"/>
      <c r="G1057" s="107">
        <v>78.8</v>
      </c>
      <c r="H1057" s="21">
        <v>82.7</v>
      </c>
      <c r="I1057" s="22">
        <v>91</v>
      </c>
      <c r="J1057" s="112" t="s">
        <v>599</v>
      </c>
      <c r="K1057" s="45" t="s">
        <v>92</v>
      </c>
      <c r="L1057" s="437" t="s">
        <v>3258</v>
      </c>
      <c r="M1057" s="474" t="s">
        <v>1856</v>
      </c>
      <c r="N1057" s="1013" t="s">
        <v>1856</v>
      </c>
      <c r="O1057" s="209" t="s">
        <v>6861</v>
      </c>
      <c r="P1057" s="66" t="s">
        <v>72</v>
      </c>
      <c r="Q1057" s="100">
        <f t="shared" si="544"/>
        <v>0</v>
      </c>
      <c r="R1057" s="94" t="str">
        <f t="shared" ref="R1057:R1063" si="546">IF(AO1057&gt;0,HYPERLINK(AO1057,"Фото &gt;&gt;"),"")</f>
        <v>Фото &gt;&gt;</v>
      </c>
      <c r="S1057" s="14" t="s">
        <v>6780</v>
      </c>
      <c r="T1057" s="509"/>
      <c r="U1057" s="4"/>
      <c r="V1057" s="4"/>
      <c r="X1057" s="4"/>
      <c r="Y1057" s="4"/>
      <c r="Z1057" s="4"/>
      <c r="AA1057" s="4"/>
      <c r="AK1057">
        <v>0.11</v>
      </c>
      <c r="AL1057">
        <f t="shared" ref="AL1057:AL1062" si="547">F1057*G1057</f>
        <v>0</v>
      </c>
      <c r="AM1057">
        <f t="shared" ref="AM1057:AM1062" si="548">F1057*H1057</f>
        <v>0</v>
      </c>
      <c r="AN1057">
        <f t="shared" ref="AN1057:AN1062" si="549">AK1057*F1057+IF(E1057&gt;1.01,F1057/E1057*0.2,0)</f>
        <v>0</v>
      </c>
      <c r="AO1057" t="s">
        <v>6767</v>
      </c>
      <c r="AV1057" t="str">
        <f>IF(F1057&gt;0,(COUNT($AV$1:AV1056)+1),"")</f>
        <v/>
      </c>
    </row>
    <row r="1058" spans="1:48" ht="15" customHeight="1" x14ac:dyDescent="0.25">
      <c r="A1058" s="1"/>
      <c r="B1058" s="31">
        <v>21458</v>
      </c>
      <c r="C1058" s="16"/>
      <c r="D1058" s="422" t="s">
        <v>6860</v>
      </c>
      <c r="E1058" s="69">
        <v>8</v>
      </c>
      <c r="F1058" s="222"/>
      <c r="G1058" s="108">
        <v>78.8</v>
      </c>
      <c r="H1058" s="17">
        <v>82.7</v>
      </c>
      <c r="I1058" s="18">
        <v>91</v>
      </c>
      <c r="J1058" s="113" t="s">
        <v>599</v>
      </c>
      <c r="K1058" s="44" t="s">
        <v>92</v>
      </c>
      <c r="L1058" s="442" t="s">
        <v>3258</v>
      </c>
      <c r="M1058" s="480" t="s">
        <v>1856</v>
      </c>
      <c r="N1058" s="1015" t="s">
        <v>1856</v>
      </c>
      <c r="O1058" s="210" t="s">
        <v>6861</v>
      </c>
      <c r="P1058" s="68" t="s">
        <v>72</v>
      </c>
      <c r="Q1058" s="100">
        <f t="shared" si="544"/>
        <v>0</v>
      </c>
      <c r="R1058" s="94" t="str">
        <f t="shared" si="546"/>
        <v>Фото &gt;&gt;</v>
      </c>
      <c r="S1058" s="14" t="s">
        <v>6858</v>
      </c>
      <c r="T1058" s="509"/>
      <c r="U1058" s="4"/>
      <c r="V1058" s="4"/>
      <c r="X1058" s="4"/>
      <c r="Y1058" s="4"/>
      <c r="Z1058" s="4"/>
      <c r="AA1058" s="4"/>
      <c r="AK1058">
        <v>0.11</v>
      </c>
      <c r="AL1058">
        <f t="shared" ref="AL1058" si="550">F1058*G1058</f>
        <v>0</v>
      </c>
      <c r="AM1058">
        <f t="shared" ref="AM1058" si="551">F1058*H1058</f>
        <v>0</v>
      </c>
      <c r="AN1058">
        <f t="shared" ref="AN1058" si="552">AK1058*F1058+IF(E1058&gt;1.01,F1058/E1058*0.2,0)</f>
        <v>0</v>
      </c>
      <c r="AO1058" t="s">
        <v>6859</v>
      </c>
      <c r="AV1058" t="str">
        <f>IF(F1058&gt;0,(COUNT($AV$1:AV1057)+1),"")</f>
        <v/>
      </c>
    </row>
    <row r="1059" spans="1:48" ht="15" customHeight="1" x14ac:dyDescent="0.25">
      <c r="A1059" s="1"/>
      <c r="B1059" s="30">
        <v>21429</v>
      </c>
      <c r="C1059" s="20">
        <v>4640125887849</v>
      </c>
      <c r="D1059" s="421" t="s">
        <v>7619</v>
      </c>
      <c r="E1059" s="67">
        <v>8</v>
      </c>
      <c r="F1059" s="222"/>
      <c r="G1059" s="107">
        <v>78.8</v>
      </c>
      <c r="H1059" s="21">
        <v>82.7</v>
      </c>
      <c r="I1059" s="22">
        <v>91</v>
      </c>
      <c r="J1059" s="112" t="s">
        <v>599</v>
      </c>
      <c r="K1059" s="45" t="s">
        <v>92</v>
      </c>
      <c r="L1059" s="437" t="s">
        <v>3258</v>
      </c>
      <c r="M1059" s="474" t="s">
        <v>1856</v>
      </c>
      <c r="N1059" s="1013" t="s">
        <v>1856</v>
      </c>
      <c r="O1059" s="209" t="s">
        <v>6861</v>
      </c>
      <c r="P1059" s="66" t="s">
        <v>72</v>
      </c>
      <c r="Q1059" s="100">
        <f t="shared" si="544"/>
        <v>0</v>
      </c>
      <c r="R1059" s="94" t="str">
        <f t="shared" si="546"/>
        <v>Фото &gt;&gt;</v>
      </c>
      <c r="S1059" s="14" t="s">
        <v>6781</v>
      </c>
      <c r="T1059" s="509"/>
      <c r="U1059" s="4"/>
      <c r="V1059" s="4"/>
      <c r="X1059" s="4"/>
      <c r="Y1059" s="4"/>
      <c r="Z1059" s="4"/>
      <c r="AA1059" s="4"/>
      <c r="AK1059">
        <v>0.11</v>
      </c>
      <c r="AL1059">
        <f t="shared" si="547"/>
        <v>0</v>
      </c>
      <c r="AM1059">
        <f t="shared" si="548"/>
        <v>0</v>
      </c>
      <c r="AN1059">
        <f t="shared" si="549"/>
        <v>0</v>
      </c>
      <c r="AO1059" t="s">
        <v>6768</v>
      </c>
      <c r="AV1059" t="str">
        <f>IF(F1059&gt;0,(COUNT($AV$1:AV1058)+1),"")</f>
        <v/>
      </c>
    </row>
    <row r="1060" spans="1:48" ht="15" customHeight="1" x14ac:dyDescent="0.25">
      <c r="A1060" s="1"/>
      <c r="B1060" s="31">
        <v>21430</v>
      </c>
      <c r="C1060" s="16">
        <v>4640125887894</v>
      </c>
      <c r="D1060" s="422" t="s">
        <v>6862</v>
      </c>
      <c r="E1060" s="69">
        <v>8</v>
      </c>
      <c r="F1060" s="222"/>
      <c r="G1060" s="420">
        <v>63</v>
      </c>
      <c r="H1060" s="415">
        <v>66.2</v>
      </c>
      <c r="I1060" s="416">
        <v>72.8</v>
      </c>
      <c r="J1060" s="113" t="s">
        <v>599</v>
      </c>
      <c r="K1060" s="44" t="s">
        <v>92</v>
      </c>
      <c r="L1060" s="442" t="s">
        <v>3258</v>
      </c>
      <c r="M1060" s="480" t="s">
        <v>1856</v>
      </c>
      <c r="N1060" s="1015" t="s">
        <v>1856</v>
      </c>
      <c r="O1060" s="210" t="s">
        <v>7432</v>
      </c>
      <c r="P1060" s="68" t="s">
        <v>72</v>
      </c>
      <c r="Q1060" s="100">
        <f t="shared" si="544"/>
        <v>0</v>
      </c>
      <c r="R1060" s="94" t="str">
        <f t="shared" si="546"/>
        <v>Фото &gt;&gt;</v>
      </c>
      <c r="S1060" s="14" t="s">
        <v>6782</v>
      </c>
      <c r="T1060" s="509"/>
      <c r="U1060" s="4"/>
      <c r="V1060" s="4"/>
      <c r="X1060" s="4"/>
      <c r="Y1060" s="4"/>
      <c r="Z1060" s="4"/>
      <c r="AA1060" s="4"/>
      <c r="AK1060">
        <v>0.11</v>
      </c>
      <c r="AL1060">
        <f t="shared" si="547"/>
        <v>0</v>
      </c>
      <c r="AM1060">
        <f t="shared" si="548"/>
        <v>0</v>
      </c>
      <c r="AN1060">
        <f t="shared" si="549"/>
        <v>0</v>
      </c>
      <c r="AO1060" t="s">
        <v>6769</v>
      </c>
      <c r="AV1060" t="str">
        <f>IF(F1060&gt;0,(COUNT($AV$1:AV1059)+1),"")</f>
        <v/>
      </c>
    </row>
    <row r="1061" spans="1:48" ht="15" customHeight="1" x14ac:dyDescent="0.25">
      <c r="A1061" s="1"/>
      <c r="B1061" s="30">
        <v>21431</v>
      </c>
      <c r="C1061" s="20">
        <v>4640125887863</v>
      </c>
      <c r="D1061" s="421" t="s">
        <v>7620</v>
      </c>
      <c r="E1061" s="67">
        <v>8</v>
      </c>
      <c r="F1061" s="222"/>
      <c r="G1061" s="419">
        <v>63</v>
      </c>
      <c r="H1061" s="417">
        <v>66.2</v>
      </c>
      <c r="I1061" s="418">
        <v>72.8</v>
      </c>
      <c r="J1061" s="112" t="s">
        <v>599</v>
      </c>
      <c r="K1061" s="45" t="s">
        <v>92</v>
      </c>
      <c r="L1061" s="437" t="s">
        <v>3258</v>
      </c>
      <c r="M1061" s="474" t="s">
        <v>1856</v>
      </c>
      <c r="N1061" s="1013" t="s">
        <v>1856</v>
      </c>
      <c r="O1061" s="209" t="s">
        <v>7432</v>
      </c>
      <c r="P1061" s="66" t="s">
        <v>72</v>
      </c>
      <c r="Q1061" s="100">
        <f t="shared" si="544"/>
        <v>0</v>
      </c>
      <c r="R1061" s="94" t="str">
        <f t="shared" si="546"/>
        <v>Фото &gt;&gt;</v>
      </c>
      <c r="S1061" s="14" t="s">
        <v>6783</v>
      </c>
      <c r="T1061" s="509"/>
      <c r="U1061" s="4"/>
      <c r="V1061" s="4"/>
      <c r="X1061" s="4"/>
      <c r="Y1061" s="4"/>
      <c r="Z1061" s="4"/>
      <c r="AA1061" s="4"/>
      <c r="AK1061">
        <v>0.11</v>
      </c>
      <c r="AL1061">
        <f t="shared" si="547"/>
        <v>0</v>
      </c>
      <c r="AM1061">
        <f t="shared" si="548"/>
        <v>0</v>
      </c>
      <c r="AN1061">
        <f t="shared" si="549"/>
        <v>0</v>
      </c>
      <c r="AO1061" t="s">
        <v>6770</v>
      </c>
      <c r="AV1061" t="str">
        <f>IF(F1061&gt;0,(COUNT($AV$1:AV1060)+1),"")</f>
        <v/>
      </c>
    </row>
    <row r="1062" spans="1:48" ht="15" customHeight="1" x14ac:dyDescent="0.25">
      <c r="A1062" s="1"/>
      <c r="B1062" s="31">
        <v>16809</v>
      </c>
      <c r="C1062" s="16">
        <v>4650062592775</v>
      </c>
      <c r="D1062" s="226" t="s">
        <v>607</v>
      </c>
      <c r="E1062" s="69">
        <v>8</v>
      </c>
      <c r="F1062" s="222"/>
      <c r="G1062" s="108">
        <v>150.5</v>
      </c>
      <c r="H1062" s="17">
        <v>156.6</v>
      </c>
      <c r="I1062" s="18">
        <v>168.6</v>
      </c>
      <c r="J1062" s="113" t="s">
        <v>599</v>
      </c>
      <c r="K1062" s="44" t="s">
        <v>92</v>
      </c>
      <c r="L1062" s="442" t="s">
        <v>3258</v>
      </c>
      <c r="M1062" s="480" t="s">
        <v>1856</v>
      </c>
      <c r="N1062" s="1015" t="s">
        <v>1856</v>
      </c>
      <c r="O1062" s="217"/>
      <c r="P1062" s="68" t="s">
        <v>72</v>
      </c>
      <c r="Q1062" s="100">
        <f t="shared" si="544"/>
        <v>0</v>
      </c>
      <c r="R1062" s="13" t="str">
        <f t="shared" si="546"/>
        <v>Фото &gt;&gt;</v>
      </c>
      <c r="S1062" s="14" t="s">
        <v>604</v>
      </c>
      <c r="T1062" s="509"/>
      <c r="U1062" s="4"/>
      <c r="V1062" s="4"/>
      <c r="X1062" s="4"/>
      <c r="Y1062" s="4"/>
      <c r="Z1062" s="4"/>
      <c r="AA1062" s="4"/>
      <c r="AK1062">
        <v>0.18</v>
      </c>
      <c r="AL1062">
        <f t="shared" si="547"/>
        <v>0</v>
      </c>
      <c r="AM1062">
        <f t="shared" si="548"/>
        <v>0</v>
      </c>
      <c r="AN1062">
        <f t="shared" si="549"/>
        <v>0</v>
      </c>
      <c r="AO1062" t="s">
        <v>4926</v>
      </c>
      <c r="AV1062" t="str">
        <f>IF(F1062&gt;0,(COUNT($AV$1:AV1061)+1),"")</f>
        <v/>
      </c>
    </row>
    <row r="1063" spans="1:48" ht="15" customHeight="1" x14ac:dyDescent="0.25">
      <c r="A1063" s="1"/>
      <c r="B1063" s="30">
        <v>16810</v>
      </c>
      <c r="C1063" s="20">
        <v>4650062592768</v>
      </c>
      <c r="D1063" s="421" t="s">
        <v>7631</v>
      </c>
      <c r="E1063" s="67">
        <v>8</v>
      </c>
      <c r="F1063" s="222"/>
      <c r="G1063" s="419">
        <v>125.3</v>
      </c>
      <c r="H1063" s="417">
        <v>130.19999999999999</v>
      </c>
      <c r="I1063" s="418">
        <v>140.30000000000001</v>
      </c>
      <c r="J1063" s="112" t="s">
        <v>599</v>
      </c>
      <c r="K1063" s="45" t="s">
        <v>92</v>
      </c>
      <c r="L1063" s="437" t="s">
        <v>3258</v>
      </c>
      <c r="M1063" s="474" t="s">
        <v>1856</v>
      </c>
      <c r="N1063" s="1013" t="s">
        <v>1856</v>
      </c>
      <c r="O1063" s="209" t="s">
        <v>7396</v>
      </c>
      <c r="P1063" s="66" t="s">
        <v>72</v>
      </c>
      <c r="Q1063" s="100">
        <f t="shared" si="544"/>
        <v>0</v>
      </c>
      <c r="R1063" s="13" t="str">
        <f t="shared" si="546"/>
        <v>Фото &gt;&gt;</v>
      </c>
      <c r="S1063" s="14" t="s">
        <v>608</v>
      </c>
      <c r="T1063" s="509"/>
      <c r="U1063" s="4"/>
      <c r="V1063" s="4"/>
      <c r="X1063" s="4"/>
      <c r="Y1063" s="4"/>
      <c r="Z1063" s="4"/>
      <c r="AA1063" s="4"/>
      <c r="AK1063">
        <v>0.18</v>
      </c>
      <c r="AL1063">
        <f t="shared" si="534"/>
        <v>0</v>
      </c>
      <c r="AM1063">
        <f t="shared" si="535"/>
        <v>0</v>
      </c>
      <c r="AN1063">
        <f t="shared" si="536"/>
        <v>0</v>
      </c>
      <c r="AO1063" t="s">
        <v>4927</v>
      </c>
      <c r="AV1063" t="str">
        <f>IF(F1063&gt;0,(COUNT($AV$1:AV1062)+1),"")</f>
        <v/>
      </c>
    </row>
    <row r="1064" spans="1:48" ht="15" customHeight="1" x14ac:dyDescent="0.25">
      <c r="A1064" s="1"/>
      <c r="B1064" s="31">
        <v>20592</v>
      </c>
      <c r="C1064" s="16">
        <v>4640125884107</v>
      </c>
      <c r="D1064" s="154" t="s">
        <v>4101</v>
      </c>
      <c r="E1064" s="69">
        <v>8</v>
      </c>
      <c r="F1064" s="222"/>
      <c r="G1064" s="108">
        <v>179.9</v>
      </c>
      <c r="H1064" s="17">
        <v>187.1</v>
      </c>
      <c r="I1064" s="18">
        <v>201.5</v>
      </c>
      <c r="J1064" s="113" t="s">
        <v>599</v>
      </c>
      <c r="K1064" s="44" t="s">
        <v>92</v>
      </c>
      <c r="L1064" s="442" t="s">
        <v>3258</v>
      </c>
      <c r="M1064" s="480" t="s">
        <v>1856</v>
      </c>
      <c r="N1064" s="1015" t="s">
        <v>1856</v>
      </c>
      <c r="O1064" s="217"/>
      <c r="P1064" s="68" t="s">
        <v>72</v>
      </c>
      <c r="Q1064" s="100">
        <f t="shared" si="544"/>
        <v>0</v>
      </c>
      <c r="R1064" s="13" t="str">
        <f t="shared" si="545"/>
        <v>Фото &gt;&gt;</v>
      </c>
      <c r="S1064" s="14" t="s">
        <v>4105</v>
      </c>
      <c r="T1064" s="509"/>
      <c r="U1064" s="4"/>
      <c r="V1064" s="4"/>
      <c r="X1064" s="4"/>
      <c r="Y1064" s="4"/>
      <c r="Z1064" s="4"/>
      <c r="AA1064" s="4"/>
      <c r="AK1064">
        <v>0.12</v>
      </c>
      <c r="AL1064">
        <f t="shared" si="534"/>
        <v>0</v>
      </c>
      <c r="AM1064">
        <f t="shared" si="535"/>
        <v>0</v>
      </c>
      <c r="AN1064">
        <f t="shared" si="536"/>
        <v>0</v>
      </c>
      <c r="AO1064" t="s">
        <v>4103</v>
      </c>
      <c r="AV1064" t="str">
        <f>IF(F1064&gt;0,(COUNT($AV$1:AV1063)+1),"")</f>
        <v/>
      </c>
    </row>
    <row r="1065" spans="1:48" ht="15" customHeight="1" x14ac:dyDescent="0.25">
      <c r="A1065" s="1"/>
      <c r="B1065" s="30">
        <v>20593</v>
      </c>
      <c r="C1065" s="20">
        <v>4640125884138</v>
      </c>
      <c r="D1065" s="421" t="s">
        <v>4102</v>
      </c>
      <c r="E1065" s="67">
        <v>8</v>
      </c>
      <c r="F1065" s="222"/>
      <c r="G1065" s="419">
        <v>143.9</v>
      </c>
      <c r="H1065" s="417">
        <v>149.69999999999999</v>
      </c>
      <c r="I1065" s="418">
        <v>161.19999999999999</v>
      </c>
      <c r="J1065" s="112" t="s">
        <v>599</v>
      </c>
      <c r="K1065" s="45" t="s">
        <v>92</v>
      </c>
      <c r="L1065" s="437" t="s">
        <v>3258</v>
      </c>
      <c r="M1065" s="474" t="s">
        <v>1856</v>
      </c>
      <c r="N1065" s="1013" t="s">
        <v>1856</v>
      </c>
      <c r="O1065" s="209" t="s">
        <v>7396</v>
      </c>
      <c r="P1065" s="66" t="s">
        <v>72</v>
      </c>
      <c r="Q1065" s="100">
        <f t="shared" si="544"/>
        <v>0</v>
      </c>
      <c r="R1065" s="13" t="str">
        <f t="shared" si="545"/>
        <v>Фото &gt;&gt;</v>
      </c>
      <c r="S1065" s="14" t="s">
        <v>4106</v>
      </c>
      <c r="T1065" s="509"/>
      <c r="U1065" s="4"/>
      <c r="V1065" s="4"/>
      <c r="X1065" s="4"/>
      <c r="Y1065" s="4"/>
      <c r="Z1065" s="4"/>
      <c r="AA1065" s="4"/>
      <c r="AK1065">
        <v>0.12</v>
      </c>
      <c r="AL1065">
        <f t="shared" si="534"/>
        <v>0</v>
      </c>
      <c r="AM1065">
        <f t="shared" si="535"/>
        <v>0</v>
      </c>
      <c r="AN1065">
        <f t="shared" si="536"/>
        <v>0</v>
      </c>
      <c r="AO1065" t="s">
        <v>4104</v>
      </c>
      <c r="AV1065" t="str">
        <f>IF(F1065&gt;0,(COUNT($AV$1:AV1064)+1),"")</f>
        <v/>
      </c>
    </row>
    <row r="1066" spans="1:48" ht="15" customHeight="1" x14ac:dyDescent="0.25">
      <c r="A1066" s="1"/>
      <c r="B1066" s="25"/>
      <c r="C1066" s="26"/>
      <c r="D1066" s="756" t="s">
        <v>3953</v>
      </c>
      <c r="E1066" s="80"/>
      <c r="F1066" s="96"/>
      <c r="G1066" s="28"/>
      <c r="H1066" s="29"/>
      <c r="I1066" s="29"/>
      <c r="J1066" s="51"/>
      <c r="K1066" s="47"/>
      <c r="L1066" s="447"/>
      <c r="M1066" s="489"/>
      <c r="N1066" s="716"/>
      <c r="O1066" s="186"/>
      <c r="P1066" s="79"/>
      <c r="Q1066" s="104"/>
      <c r="R1066" s="13"/>
      <c r="S1066" s="93"/>
      <c r="T1066" s="509"/>
      <c r="U1066" s="4"/>
      <c r="V1066" s="4"/>
      <c r="X1066" s="4"/>
      <c r="Y1066" s="4"/>
      <c r="Z1066" s="4"/>
      <c r="AA1066" s="4"/>
      <c r="AL1066">
        <f t="shared" si="534"/>
        <v>0</v>
      </c>
      <c r="AM1066">
        <f t="shared" si="535"/>
        <v>0</v>
      </c>
      <c r="AN1066">
        <f t="shared" si="536"/>
        <v>0</v>
      </c>
      <c r="AO1066" t="s">
        <v>104</v>
      </c>
      <c r="AS1066" s="298" t="s">
        <v>3792</v>
      </c>
      <c r="AV1066" t="str">
        <f>IF(F1066&gt;0,(COUNT($AV$1:AV1065)+1),"")</f>
        <v/>
      </c>
    </row>
    <row r="1067" spans="1:48" ht="15" customHeight="1" x14ac:dyDescent="0.25">
      <c r="A1067" s="1"/>
      <c r="B1067" s="30">
        <v>20829</v>
      </c>
      <c r="C1067" s="20">
        <v>4640125884596</v>
      </c>
      <c r="D1067" s="225" t="s">
        <v>7345</v>
      </c>
      <c r="E1067" s="85">
        <v>10</v>
      </c>
      <c r="F1067" s="222"/>
      <c r="G1067" s="107">
        <v>94.8</v>
      </c>
      <c r="H1067" s="21">
        <v>98.6</v>
      </c>
      <c r="I1067" s="22">
        <v>106.8</v>
      </c>
      <c r="J1067" s="112" t="s">
        <v>599</v>
      </c>
      <c r="K1067" s="45" t="s">
        <v>419</v>
      </c>
      <c r="L1067" s="437" t="s">
        <v>3258</v>
      </c>
      <c r="M1067" s="474" t="s">
        <v>1856</v>
      </c>
      <c r="N1067" s="1013" t="s">
        <v>1856</v>
      </c>
      <c r="O1067" s="212" t="s">
        <v>2097</v>
      </c>
      <c r="P1067" s="66" t="s">
        <v>195</v>
      </c>
      <c r="Q1067" s="100">
        <f>IF($AO$1011=8,ROUND((G1067*F1067)*0.95,1),IF(OR(F1067/E1067=INT(F1067/E1067),$AO$1011=1),F1067*G1067,IF($AO$1011=2,F1067*H1067,F1067*I1067)))</f>
        <v>0</v>
      </c>
      <c r="R1067" s="13" t="str">
        <f t="shared" ref="R1067:R1071" si="553">IF(AO1067&gt;0,HYPERLINK(AO1067,"Фото &gt;&gt;"),"")</f>
        <v>Фото &gt;&gt;</v>
      </c>
      <c r="S1067" s="14" t="s">
        <v>4554</v>
      </c>
      <c r="T1067" s="509"/>
      <c r="U1067" s="4"/>
      <c r="V1067" s="4"/>
      <c r="X1067" s="4"/>
      <c r="Y1067" s="4"/>
      <c r="Z1067" s="4"/>
      <c r="AA1067" s="4"/>
      <c r="AK1067">
        <v>3.5000000000000003E-2</v>
      </c>
      <c r="AL1067">
        <f t="shared" si="534"/>
        <v>0</v>
      </c>
      <c r="AM1067">
        <f t="shared" si="535"/>
        <v>0</v>
      </c>
      <c r="AN1067">
        <f t="shared" si="536"/>
        <v>0</v>
      </c>
      <c r="AO1067" t="s">
        <v>4555</v>
      </c>
      <c r="AV1067" t="str">
        <f>IF(F1067&gt;0,(COUNT($AV$1:AV1066)+1),"")</f>
        <v/>
      </c>
    </row>
    <row r="1068" spans="1:48" ht="15" customHeight="1" x14ac:dyDescent="0.25">
      <c r="A1068" s="1"/>
      <c r="B1068" s="31">
        <v>20830</v>
      </c>
      <c r="C1068" s="16" t="s">
        <v>104</v>
      </c>
      <c r="D1068" s="226" t="s">
        <v>6842</v>
      </c>
      <c r="E1068" s="86">
        <v>10</v>
      </c>
      <c r="F1068" s="222"/>
      <c r="G1068" s="108">
        <v>94.8</v>
      </c>
      <c r="H1068" s="17">
        <v>98.6</v>
      </c>
      <c r="I1068" s="18">
        <v>106.8</v>
      </c>
      <c r="J1068" s="113" t="s">
        <v>599</v>
      </c>
      <c r="K1068" s="44" t="s">
        <v>419</v>
      </c>
      <c r="L1068" s="442" t="s">
        <v>3258</v>
      </c>
      <c r="M1068" s="480" t="s">
        <v>1856</v>
      </c>
      <c r="N1068" s="1015" t="s">
        <v>1856</v>
      </c>
      <c r="O1068" s="217" t="s">
        <v>2097</v>
      </c>
      <c r="P1068" s="68" t="s">
        <v>195</v>
      </c>
      <c r="Q1068" s="100">
        <f>IF($AO$1011=8,ROUND((G1068*F1068)*0.95,1),IF(OR(F1068/E1068=INT(F1068/E1068),$AO$1011=1),F1068*G1068,IF($AO$1011=2,F1068*H1068,F1068*I1068)))</f>
        <v>0</v>
      </c>
      <c r="R1068" s="13" t="str">
        <f t="shared" si="553"/>
        <v>Фото &gt;&gt;</v>
      </c>
      <c r="S1068" s="14" t="s">
        <v>4554</v>
      </c>
      <c r="T1068" s="509"/>
      <c r="U1068" s="4"/>
      <c r="V1068" s="4"/>
      <c r="X1068" s="4"/>
      <c r="Y1068" s="4"/>
      <c r="Z1068" s="4"/>
      <c r="AA1068" s="4"/>
      <c r="AK1068">
        <v>3.5000000000000003E-2</v>
      </c>
      <c r="AL1068">
        <f t="shared" si="534"/>
        <v>0</v>
      </c>
      <c r="AM1068">
        <f t="shared" si="535"/>
        <v>0</v>
      </c>
      <c r="AN1068">
        <f t="shared" si="536"/>
        <v>0</v>
      </c>
      <c r="AO1068" t="s">
        <v>4556</v>
      </c>
      <c r="AV1068" t="str">
        <f>IF(F1068&gt;0,(COUNT($AV$1:AV1067)+1),"")</f>
        <v/>
      </c>
    </row>
    <row r="1069" spans="1:48" ht="15" customHeight="1" x14ac:dyDescent="0.25">
      <c r="A1069" s="1"/>
      <c r="B1069" s="578">
        <v>20457</v>
      </c>
      <c r="C1069" s="579">
        <v>4640125882752</v>
      </c>
      <c r="D1069" s="595" t="s">
        <v>7798</v>
      </c>
      <c r="E1069" s="580">
        <v>20</v>
      </c>
      <c r="F1069" s="1094"/>
      <c r="G1069" s="582">
        <v>86.2</v>
      </c>
      <c r="H1069" s="583">
        <v>89.7</v>
      </c>
      <c r="I1069" s="584">
        <v>96.6</v>
      </c>
      <c r="J1069" s="585" t="s">
        <v>599</v>
      </c>
      <c r="K1069" s="586" t="s">
        <v>419</v>
      </c>
      <c r="L1069" s="437" t="s">
        <v>3258</v>
      </c>
      <c r="M1069" s="474" t="s">
        <v>1856</v>
      </c>
      <c r="N1069" s="1013" t="s">
        <v>1856</v>
      </c>
      <c r="O1069" s="212" t="s">
        <v>1690</v>
      </c>
      <c r="P1069" s="66" t="s">
        <v>195</v>
      </c>
      <c r="Q1069" s="100">
        <f>IF($AO$1011=8,ROUND((G1069*F1069)*0.95,1),IF(OR(F1069/E1069=INT(F1069/E1069),$AO$1011=1),F1069*G1069,IF($AO$1011=2,F1069*H1069,F1069*I1069)))</f>
        <v>0</v>
      </c>
      <c r="R1069" s="13" t="str">
        <f t="shared" si="553"/>
        <v>Фото &gt;&gt;</v>
      </c>
      <c r="S1069" s="14" t="s">
        <v>3905</v>
      </c>
      <c r="T1069" s="509"/>
      <c r="U1069" s="4"/>
      <c r="V1069" s="4"/>
      <c r="X1069" s="4"/>
      <c r="Y1069" s="4"/>
      <c r="Z1069" s="4"/>
      <c r="AA1069" s="4"/>
      <c r="AK1069">
        <v>0.04</v>
      </c>
      <c r="AL1069">
        <f t="shared" si="534"/>
        <v>0</v>
      </c>
      <c r="AM1069">
        <f t="shared" si="535"/>
        <v>0</v>
      </c>
      <c r="AN1069">
        <f t="shared" si="536"/>
        <v>0</v>
      </c>
      <c r="AO1069" t="s">
        <v>3903</v>
      </c>
      <c r="AS1069" s="298" t="s">
        <v>3792</v>
      </c>
      <c r="AV1069" t="str">
        <f>IF(F1069&gt;0,(COUNT($AV$1:AV1068)+1),"")</f>
        <v/>
      </c>
    </row>
    <row r="1070" spans="1:48" ht="15" customHeight="1" x14ac:dyDescent="0.25">
      <c r="A1070" s="1"/>
      <c r="B1070" s="31">
        <v>20458</v>
      </c>
      <c r="C1070" s="16">
        <v>4640125882714</v>
      </c>
      <c r="D1070" s="422" t="s">
        <v>7632</v>
      </c>
      <c r="E1070" s="69">
        <v>20</v>
      </c>
      <c r="F1070" s="222"/>
      <c r="G1070" s="420">
        <v>69</v>
      </c>
      <c r="H1070" s="415">
        <v>71.8</v>
      </c>
      <c r="I1070" s="416">
        <v>77.3</v>
      </c>
      <c r="J1070" s="113" t="s">
        <v>599</v>
      </c>
      <c r="K1070" s="44" t="s">
        <v>419</v>
      </c>
      <c r="L1070" s="442" t="s">
        <v>3258</v>
      </c>
      <c r="M1070" s="480" t="s">
        <v>1856</v>
      </c>
      <c r="N1070" s="1015" t="s">
        <v>1856</v>
      </c>
      <c r="O1070" s="210" t="s">
        <v>7396</v>
      </c>
      <c r="P1070" s="68" t="s">
        <v>195</v>
      </c>
      <c r="Q1070" s="100">
        <f>IF($AO$1011=8,ROUND((G1070*F1070)*0.95,1),IF(OR(F1070/E1070=INT(F1070/E1070),$AO$1011=1),F1070*G1070,IF($AO$1011=2,F1070*H1070,F1070*I1070)))</f>
        <v>0</v>
      </c>
      <c r="R1070" s="13" t="str">
        <f t="shared" si="553"/>
        <v>Фото &gt;&gt;</v>
      </c>
      <c r="S1070" s="14" t="s">
        <v>4025</v>
      </c>
      <c r="T1070" s="509"/>
      <c r="U1070" s="4"/>
      <c r="V1070" s="4"/>
      <c r="X1070" s="4"/>
      <c r="Y1070" s="4"/>
      <c r="Z1070" s="4"/>
      <c r="AA1070" s="4"/>
      <c r="AK1070">
        <v>0.04</v>
      </c>
      <c r="AL1070">
        <f t="shared" si="534"/>
        <v>0</v>
      </c>
      <c r="AM1070">
        <f t="shared" si="535"/>
        <v>0</v>
      </c>
      <c r="AN1070">
        <f t="shared" si="536"/>
        <v>0</v>
      </c>
      <c r="AO1070" t="s">
        <v>4024</v>
      </c>
      <c r="AV1070" t="str">
        <f>IF(F1070&gt;0,(COUNT($AV$1:AV1069)+1),"")</f>
        <v/>
      </c>
    </row>
    <row r="1071" spans="1:48" ht="15" customHeight="1" x14ac:dyDescent="0.25">
      <c r="A1071" s="1"/>
      <c r="B1071" s="30">
        <v>20461</v>
      </c>
      <c r="C1071" s="20">
        <v>4640125882738</v>
      </c>
      <c r="D1071" s="225" t="s">
        <v>7346</v>
      </c>
      <c r="E1071" s="67">
        <v>20</v>
      </c>
      <c r="F1071" s="222"/>
      <c r="G1071" s="107">
        <v>86.2</v>
      </c>
      <c r="H1071" s="21">
        <v>89.7</v>
      </c>
      <c r="I1071" s="22">
        <v>96.6</v>
      </c>
      <c r="J1071" s="112" t="s">
        <v>599</v>
      </c>
      <c r="K1071" s="45" t="s">
        <v>419</v>
      </c>
      <c r="L1071" s="437" t="s">
        <v>3258</v>
      </c>
      <c r="M1071" s="474" t="s">
        <v>1856</v>
      </c>
      <c r="N1071" s="1013" t="s">
        <v>1856</v>
      </c>
      <c r="O1071" s="212"/>
      <c r="P1071" s="66" t="s">
        <v>195</v>
      </c>
      <c r="Q1071" s="100">
        <f>IF($AO$1011=8,ROUND((G1071*F1071)*0.95,1),IF(OR(F1071/E1071=INT(F1071/E1071),$AO$1011=1),F1071*G1071,IF($AO$1011=2,F1071*H1071,F1071*I1071)))</f>
        <v>0</v>
      </c>
      <c r="R1071" s="13" t="str">
        <f t="shared" si="553"/>
        <v>Фото &gt;&gt;</v>
      </c>
      <c r="S1071" s="14" t="s">
        <v>3902</v>
      </c>
      <c r="T1071" s="509"/>
      <c r="U1071" s="4"/>
      <c r="V1071" s="4"/>
      <c r="X1071" s="4"/>
      <c r="Y1071" s="4"/>
      <c r="Z1071" s="4"/>
      <c r="AA1071" s="4"/>
      <c r="AK1071">
        <v>0.04</v>
      </c>
      <c r="AL1071">
        <f t="shared" si="534"/>
        <v>0</v>
      </c>
      <c r="AM1071">
        <f t="shared" si="535"/>
        <v>0</v>
      </c>
      <c r="AN1071">
        <f t="shared" si="536"/>
        <v>0</v>
      </c>
      <c r="AO1071" t="s">
        <v>3904</v>
      </c>
      <c r="AS1071" s="298" t="s">
        <v>3792</v>
      </c>
      <c r="AV1071" t="str">
        <f>IF(F1071&gt;0,(COUNT($AV$1:AV1070)+1),"")</f>
        <v/>
      </c>
    </row>
    <row r="1072" spans="1:48" ht="15" customHeight="1" x14ac:dyDescent="0.25">
      <c r="A1072" s="1"/>
      <c r="B1072" s="25"/>
      <c r="C1072" s="26"/>
      <c r="D1072" s="756" t="s">
        <v>2999</v>
      </c>
      <c r="E1072" s="80"/>
      <c r="F1072" s="96"/>
      <c r="G1072" s="28"/>
      <c r="H1072" s="29"/>
      <c r="I1072" s="29"/>
      <c r="J1072" s="51"/>
      <c r="K1072" s="47"/>
      <c r="L1072" s="447"/>
      <c r="M1072" s="489"/>
      <c r="N1072" s="716"/>
      <c r="O1072" s="186"/>
      <c r="P1072" s="79"/>
      <c r="Q1072" s="104"/>
      <c r="R1072" s="13"/>
      <c r="S1072" s="93"/>
      <c r="T1072" s="509"/>
      <c r="U1072" s="4"/>
      <c r="V1072" s="4"/>
      <c r="X1072" s="4"/>
      <c r="Y1072" s="4"/>
      <c r="Z1072" s="4"/>
      <c r="AA1072" s="4"/>
      <c r="AL1072">
        <f t="shared" si="534"/>
        <v>0</v>
      </c>
      <c r="AM1072">
        <f t="shared" si="535"/>
        <v>0</v>
      </c>
      <c r="AN1072">
        <f t="shared" si="536"/>
        <v>0</v>
      </c>
      <c r="AO1072" t="s">
        <v>104</v>
      </c>
      <c r="AS1072" s="298" t="s">
        <v>3792</v>
      </c>
      <c r="AV1072" t="str">
        <f>IF(F1072&gt;0,(COUNT($AV$1:AV1071)+1),"")</f>
        <v/>
      </c>
    </row>
    <row r="1073" spans="1:48" ht="15" customHeight="1" x14ac:dyDescent="0.25">
      <c r="A1073" s="1"/>
      <c r="B1073" s="31">
        <v>21235</v>
      </c>
      <c r="C1073" s="16">
        <v>4640125888068</v>
      </c>
      <c r="D1073" s="154" t="s">
        <v>7611</v>
      </c>
      <c r="E1073" s="69">
        <v>8</v>
      </c>
      <c r="F1073" s="222"/>
      <c r="G1073" s="108">
        <v>87.5</v>
      </c>
      <c r="H1073" s="17">
        <v>91.9</v>
      </c>
      <c r="I1073" s="18">
        <v>101.2</v>
      </c>
      <c r="J1073" s="113" t="s">
        <v>599</v>
      </c>
      <c r="K1073" s="44" t="s">
        <v>326</v>
      </c>
      <c r="L1073" s="442"/>
      <c r="M1073" s="480"/>
      <c r="N1073" s="1015"/>
      <c r="O1073" s="217"/>
      <c r="P1073" s="68" t="s">
        <v>72</v>
      </c>
      <c r="Q1073" s="100">
        <f>IF($AO$1011=8,ROUND((G1073*F1073)*0.95,1),IF(OR(F1073/E1073=INT(F1073/E1073),$AO$1011=1),F1073*G1073,IF($AO$1011=2,F1073*H1073,F1073*I1073)))</f>
        <v>0</v>
      </c>
      <c r="R1073" s="13" t="str">
        <f t="shared" ref="R1073:R1076" si="554">IF(AO1073&gt;0,HYPERLINK(AO1073,"Фото &gt;&gt;"),"")</f>
        <v>Фото &gt;&gt;</v>
      </c>
      <c r="S1073" s="14" t="s">
        <v>6400</v>
      </c>
      <c r="T1073" s="509"/>
      <c r="U1073" s="4"/>
      <c r="V1073" s="4"/>
      <c r="X1073" s="4"/>
      <c r="Y1073" s="4"/>
      <c r="Z1073" s="4"/>
      <c r="AA1073" s="4"/>
      <c r="AK1073">
        <v>0.11</v>
      </c>
      <c r="AL1073">
        <f t="shared" ref="AL1073:AL1076" si="555">F1073*G1073</f>
        <v>0</v>
      </c>
      <c r="AM1073">
        <f t="shared" ref="AM1073:AM1076" si="556">F1073*H1073</f>
        <v>0</v>
      </c>
      <c r="AN1073">
        <f t="shared" ref="AN1073:AN1076" si="557">AK1073*F1073+IF(E1073&gt;1.01,F1073/E1073*0.2,0)</f>
        <v>0</v>
      </c>
      <c r="AO1073" t="s">
        <v>6402</v>
      </c>
      <c r="AV1073" t="str">
        <f>IF(F1073&gt;0,(COUNT($AV$1:AV1072)+1),"")</f>
        <v/>
      </c>
    </row>
    <row r="1074" spans="1:48" ht="15" customHeight="1" x14ac:dyDescent="0.25">
      <c r="A1074" s="1"/>
      <c r="B1074" s="30">
        <v>21236</v>
      </c>
      <c r="C1074" s="20">
        <v>4640125888082</v>
      </c>
      <c r="D1074" s="225" t="s">
        <v>7347</v>
      </c>
      <c r="E1074" s="67">
        <v>8</v>
      </c>
      <c r="F1074" s="222"/>
      <c r="G1074" s="107">
        <v>87.5</v>
      </c>
      <c r="H1074" s="21">
        <v>91.9</v>
      </c>
      <c r="I1074" s="22">
        <v>101.2</v>
      </c>
      <c r="J1074" s="112" t="s">
        <v>599</v>
      </c>
      <c r="K1074" s="45" t="s">
        <v>326</v>
      </c>
      <c r="L1074" s="437"/>
      <c r="M1074" s="474"/>
      <c r="N1074" s="1013"/>
      <c r="O1074" s="212"/>
      <c r="P1074" s="66" t="s">
        <v>72</v>
      </c>
      <c r="Q1074" s="100">
        <f>IF($AO$1011=8,ROUND((G1074*F1074)*0.95,1),IF(OR(F1074/E1074=INT(F1074/E1074),$AO$1011=1),F1074*G1074,IF($AO$1011=2,F1074*H1074,F1074*I1074)))</f>
        <v>0</v>
      </c>
      <c r="R1074" s="13" t="str">
        <f t="shared" si="554"/>
        <v>Фото &gt;&gt;</v>
      </c>
      <c r="S1074" s="14" t="s">
        <v>6401</v>
      </c>
      <c r="T1074" s="509"/>
      <c r="U1074" s="4"/>
      <c r="V1074" s="4"/>
      <c r="X1074" s="4"/>
      <c r="Y1074" s="4"/>
      <c r="Z1074" s="4"/>
      <c r="AA1074" s="4"/>
      <c r="AK1074">
        <v>0.11</v>
      </c>
      <c r="AL1074">
        <f t="shared" si="555"/>
        <v>0</v>
      </c>
      <c r="AM1074">
        <f t="shared" si="556"/>
        <v>0</v>
      </c>
      <c r="AN1074">
        <f t="shared" si="557"/>
        <v>0</v>
      </c>
      <c r="AO1074" t="s">
        <v>6319</v>
      </c>
      <c r="AV1074" t="str">
        <f>IF(F1074&gt;0,(COUNT($AV$1:AV1073)+1),"")</f>
        <v/>
      </c>
    </row>
    <row r="1075" spans="1:48" ht="15" customHeight="1" x14ac:dyDescent="0.25">
      <c r="A1075" s="1"/>
      <c r="B1075" s="31">
        <v>20589</v>
      </c>
      <c r="C1075" s="16">
        <v>4640125884145</v>
      </c>
      <c r="D1075" s="154" t="s">
        <v>7612</v>
      </c>
      <c r="E1075" s="69">
        <v>10</v>
      </c>
      <c r="F1075" s="222"/>
      <c r="G1075" s="108">
        <v>97.1</v>
      </c>
      <c r="H1075" s="17">
        <v>101</v>
      </c>
      <c r="I1075" s="18">
        <v>104.9</v>
      </c>
      <c r="J1075" s="113" t="s">
        <v>599</v>
      </c>
      <c r="K1075" s="44" t="s">
        <v>92</v>
      </c>
      <c r="L1075" s="442" t="s">
        <v>3258</v>
      </c>
      <c r="M1075" s="480" t="s">
        <v>1856</v>
      </c>
      <c r="N1075" s="1015" t="s">
        <v>1856</v>
      </c>
      <c r="O1075" s="217"/>
      <c r="P1075" s="68" t="s">
        <v>72</v>
      </c>
      <c r="Q1075" s="100">
        <f>IF($AO$1011=8,ROUND((G1075*F1075)*0.95,1),IF(OR(F1075/E1075=INT(F1075/E1075),$AO$1011=1),F1075*G1075,IF($AO$1011=2,F1075*H1075,F1075*I1075)))</f>
        <v>0</v>
      </c>
      <c r="R1075" s="13" t="str">
        <f t="shared" si="554"/>
        <v>Фото &gt;&gt;</v>
      </c>
      <c r="S1075" s="14" t="s">
        <v>4099</v>
      </c>
      <c r="T1075" s="509"/>
      <c r="U1075" s="4"/>
      <c r="V1075" s="4"/>
      <c r="X1075" s="4"/>
      <c r="Y1075" s="4"/>
      <c r="Z1075" s="4"/>
      <c r="AA1075" s="4"/>
      <c r="AK1075">
        <v>0.08</v>
      </c>
      <c r="AL1075">
        <f t="shared" si="555"/>
        <v>0</v>
      </c>
      <c r="AM1075">
        <f t="shared" si="556"/>
        <v>0</v>
      </c>
      <c r="AN1075">
        <f t="shared" si="557"/>
        <v>0</v>
      </c>
      <c r="AO1075" t="s">
        <v>4098</v>
      </c>
      <c r="AV1075" t="str">
        <f>IF(F1075&gt;0,(COUNT($AV$1:AV1074)+1),"")</f>
        <v/>
      </c>
    </row>
    <row r="1076" spans="1:48" ht="15" customHeight="1" x14ac:dyDescent="0.25">
      <c r="A1076" s="1"/>
      <c r="B1076" s="30">
        <v>20591</v>
      </c>
      <c r="C1076" s="20">
        <v>4640125884169</v>
      </c>
      <c r="D1076" s="421" t="s">
        <v>7633</v>
      </c>
      <c r="E1076" s="67">
        <v>10</v>
      </c>
      <c r="F1076" s="222"/>
      <c r="G1076" s="419">
        <v>77.7</v>
      </c>
      <c r="H1076" s="417">
        <v>80.8</v>
      </c>
      <c r="I1076" s="418">
        <v>83.9</v>
      </c>
      <c r="J1076" s="112" t="s">
        <v>599</v>
      </c>
      <c r="K1076" s="45" t="s">
        <v>92</v>
      </c>
      <c r="L1076" s="437" t="s">
        <v>3258</v>
      </c>
      <c r="M1076" s="474" t="s">
        <v>1856</v>
      </c>
      <c r="N1076" s="1013" t="s">
        <v>1856</v>
      </c>
      <c r="O1076" s="209" t="s">
        <v>7396</v>
      </c>
      <c r="P1076" s="66" t="s">
        <v>72</v>
      </c>
      <c r="Q1076" s="100">
        <f>IF($AO$1011=8,ROUND((G1076*F1076)*0.95,1),IF(OR(F1076/E1076=INT(F1076/E1076),$AO$1011=1),F1076*G1076,IF($AO$1011=2,F1076*H1076,F1076*I1076)))</f>
        <v>0</v>
      </c>
      <c r="R1076" s="13" t="str">
        <f t="shared" si="554"/>
        <v>Фото &gt;&gt;</v>
      </c>
      <c r="S1076" s="14" t="s">
        <v>4100</v>
      </c>
      <c r="T1076" s="509"/>
      <c r="U1076" s="4"/>
      <c r="V1076" s="4"/>
      <c r="X1076" s="4"/>
      <c r="Y1076" s="4"/>
      <c r="Z1076" s="4"/>
      <c r="AA1076" s="4"/>
      <c r="AK1076">
        <v>0.08</v>
      </c>
      <c r="AL1076">
        <f t="shared" si="555"/>
        <v>0</v>
      </c>
      <c r="AM1076">
        <f t="shared" si="556"/>
        <v>0</v>
      </c>
      <c r="AN1076">
        <f t="shared" si="557"/>
        <v>0</v>
      </c>
      <c r="AO1076" t="s">
        <v>4097</v>
      </c>
      <c r="AV1076" t="str">
        <f>IF(F1076&gt;0,(COUNT($AV$1:AV1075)+1),"")</f>
        <v/>
      </c>
    </row>
    <row r="1077" spans="1:48" ht="15" customHeight="1" x14ac:dyDescent="0.25">
      <c r="A1077" s="1"/>
      <c r="B1077" s="25"/>
      <c r="C1077" s="26"/>
      <c r="D1077" s="756" t="s">
        <v>3000</v>
      </c>
      <c r="E1077" s="80"/>
      <c r="F1077" s="96"/>
      <c r="G1077" s="28"/>
      <c r="H1077" s="29"/>
      <c r="I1077" s="29"/>
      <c r="J1077" s="51"/>
      <c r="K1077" s="47"/>
      <c r="L1077" s="447"/>
      <c r="M1077" s="489"/>
      <c r="N1077" s="716"/>
      <c r="O1077" s="186"/>
      <c r="P1077" s="79"/>
      <c r="Q1077" s="104"/>
      <c r="R1077" s="13"/>
      <c r="S1077" s="14"/>
      <c r="T1077" s="509"/>
      <c r="U1077" s="4"/>
      <c r="V1077" s="4"/>
      <c r="X1077" s="4"/>
      <c r="Y1077" s="4"/>
      <c r="Z1077" s="4"/>
      <c r="AA1077" s="4"/>
      <c r="AL1077">
        <f t="shared" si="534"/>
        <v>0</v>
      </c>
      <c r="AM1077">
        <f t="shared" si="535"/>
        <v>0</v>
      </c>
      <c r="AN1077">
        <f t="shared" si="536"/>
        <v>0</v>
      </c>
      <c r="AO1077" t="s">
        <v>104</v>
      </c>
      <c r="AS1077" s="298" t="s">
        <v>3792</v>
      </c>
      <c r="AV1077" t="str">
        <f>IF(F1077&gt;0,(COUNT($AV$1:AV1076)+1),"")</f>
        <v/>
      </c>
    </row>
    <row r="1078" spans="1:48" ht="15" customHeight="1" x14ac:dyDescent="0.25">
      <c r="A1078" s="1"/>
      <c r="B1078" s="31">
        <v>20121</v>
      </c>
      <c r="C1078" s="16">
        <v>4650062599217</v>
      </c>
      <c r="D1078" s="226" t="s">
        <v>7348</v>
      </c>
      <c r="E1078" s="69">
        <v>6</v>
      </c>
      <c r="F1078" s="222"/>
      <c r="G1078" s="108">
        <v>238.8</v>
      </c>
      <c r="H1078" s="17">
        <v>248.4</v>
      </c>
      <c r="I1078" s="18">
        <v>267.5</v>
      </c>
      <c r="J1078" s="113" t="s">
        <v>599</v>
      </c>
      <c r="K1078" s="44" t="s">
        <v>121</v>
      </c>
      <c r="L1078" s="442" t="s">
        <v>3793</v>
      </c>
      <c r="M1078" s="480" t="s">
        <v>1856</v>
      </c>
      <c r="N1078" s="1015" t="s">
        <v>1856</v>
      </c>
      <c r="O1078" s="217"/>
      <c r="P1078" s="68" t="s">
        <v>72</v>
      </c>
      <c r="Q1078" s="100">
        <f t="shared" ref="Q1078:Q1084" si="558">IF($AO$1011=8,ROUND((G1078*F1078)*0.95,1),IF(OR(F1078/E1078=INT(F1078/E1078),$AO$1011=1),F1078*G1078,IF($AO$1011=2,F1078*H1078,F1078*I1078)))</f>
        <v>0</v>
      </c>
      <c r="R1078" s="13" t="str">
        <f t="shared" ref="R1078:R1084" si="559">IF(AO1078&gt;0,HYPERLINK(AO1078,"Фото &gt;&gt;"),"")</f>
        <v>Фото &gt;&gt;</v>
      </c>
      <c r="S1078" s="14" t="s">
        <v>3005</v>
      </c>
      <c r="T1078" s="509"/>
      <c r="U1078" s="4"/>
      <c r="V1078" s="4"/>
      <c r="X1078" s="4"/>
      <c r="Y1078" s="4"/>
      <c r="Z1078" s="4"/>
      <c r="AA1078" s="4"/>
      <c r="AK1078">
        <v>1.1000000000000001</v>
      </c>
      <c r="AL1078">
        <f t="shared" ref="AL1078:AL1085" si="560">F1078*G1078</f>
        <v>0</v>
      </c>
      <c r="AM1078">
        <f t="shared" ref="AM1078:AM1085" si="561">F1078*H1078</f>
        <v>0</v>
      </c>
      <c r="AN1078">
        <f t="shared" ref="AN1078:AN1085" si="562">AK1078*F1078+IF(E1078&gt;1.01,F1078/E1078*0.2,0)</f>
        <v>0</v>
      </c>
      <c r="AO1078" t="s">
        <v>3006</v>
      </c>
      <c r="AS1078" s="298" t="s">
        <v>3792</v>
      </c>
      <c r="AV1078" t="str">
        <f>IF(F1078&gt;0,(COUNT($AV$1:AV1077)+1),"")</f>
        <v/>
      </c>
    </row>
    <row r="1079" spans="1:48" ht="15" customHeight="1" x14ac:dyDescent="0.25">
      <c r="A1079" s="1"/>
      <c r="B1079" s="30">
        <v>20031</v>
      </c>
      <c r="C1079" s="20">
        <v>4650062591952</v>
      </c>
      <c r="D1079" s="421" t="s">
        <v>7634</v>
      </c>
      <c r="E1079" s="67">
        <v>6</v>
      </c>
      <c r="F1079" s="222"/>
      <c r="G1079" s="419">
        <v>191</v>
      </c>
      <c r="H1079" s="417">
        <v>198.7</v>
      </c>
      <c r="I1079" s="418">
        <v>214</v>
      </c>
      <c r="J1079" s="112" t="s">
        <v>599</v>
      </c>
      <c r="K1079" s="45" t="s">
        <v>121</v>
      </c>
      <c r="L1079" s="437" t="s">
        <v>3793</v>
      </c>
      <c r="M1079" s="474" t="s">
        <v>1856</v>
      </c>
      <c r="N1079" s="1013" t="s">
        <v>1856</v>
      </c>
      <c r="O1079" s="209" t="s">
        <v>7396</v>
      </c>
      <c r="P1079" s="66" t="s">
        <v>72</v>
      </c>
      <c r="Q1079" s="100">
        <f t="shared" si="558"/>
        <v>0</v>
      </c>
      <c r="R1079" s="13" t="str">
        <f t="shared" si="559"/>
        <v>Фото &gt;&gt;</v>
      </c>
      <c r="S1079" s="14" t="s">
        <v>6064</v>
      </c>
      <c r="T1079" s="509"/>
      <c r="U1079" s="4"/>
      <c r="V1079" s="4"/>
      <c r="X1079" s="4"/>
      <c r="Y1079" s="4"/>
      <c r="Z1079" s="4"/>
      <c r="AA1079" s="4"/>
      <c r="AK1079">
        <v>1.1000000000000001</v>
      </c>
      <c r="AL1079">
        <f t="shared" ref="AL1079:AL1081" si="563">F1079*G1079</f>
        <v>0</v>
      </c>
      <c r="AM1079">
        <f t="shared" ref="AM1079:AM1081" si="564">F1079*H1079</f>
        <v>0</v>
      </c>
      <c r="AN1079">
        <f t="shared" ref="AN1079:AN1081" si="565">AK1079*F1079+IF(E1079&gt;1.01,F1079/E1079*0.2,0)</f>
        <v>0</v>
      </c>
      <c r="AO1079" t="s">
        <v>6065</v>
      </c>
      <c r="AS1079" s="298" t="s">
        <v>3792</v>
      </c>
      <c r="AV1079" t="str">
        <f>IF(F1079&gt;0,(COUNT($AV$1:AV1078)+1),"")</f>
        <v/>
      </c>
    </row>
    <row r="1080" spans="1:48" ht="15" customHeight="1" x14ac:dyDescent="0.25">
      <c r="A1080" s="1"/>
      <c r="B1080" s="31">
        <v>19924</v>
      </c>
      <c r="C1080" s="16">
        <v>4650062591945</v>
      </c>
      <c r="D1080" s="154" t="s">
        <v>7613</v>
      </c>
      <c r="E1080" s="69">
        <v>6</v>
      </c>
      <c r="F1080" s="222"/>
      <c r="G1080" s="108">
        <v>206.5</v>
      </c>
      <c r="H1080" s="17">
        <v>214.8</v>
      </c>
      <c r="I1080" s="18">
        <v>231.3</v>
      </c>
      <c r="J1080" s="113" t="s">
        <v>599</v>
      </c>
      <c r="K1080" s="44" t="s">
        <v>121</v>
      </c>
      <c r="L1080" s="442" t="s">
        <v>3793</v>
      </c>
      <c r="M1080" s="480" t="s">
        <v>1856</v>
      </c>
      <c r="N1080" s="1015" t="s">
        <v>1856</v>
      </c>
      <c r="O1080" s="217"/>
      <c r="P1080" s="68" t="s">
        <v>72</v>
      </c>
      <c r="Q1080" s="100">
        <f t="shared" si="558"/>
        <v>0</v>
      </c>
      <c r="R1080" s="13" t="str">
        <f t="shared" si="559"/>
        <v>Фото &gt;&gt;</v>
      </c>
      <c r="S1080" s="14" t="s">
        <v>6140</v>
      </c>
      <c r="T1080" s="509"/>
      <c r="U1080" s="4"/>
      <c r="V1080" s="4"/>
      <c r="X1080" s="4"/>
      <c r="Y1080" s="4"/>
      <c r="Z1080" s="4"/>
      <c r="AA1080" s="4"/>
      <c r="AK1080">
        <v>1.1000000000000001</v>
      </c>
      <c r="AL1080">
        <f t="shared" si="563"/>
        <v>0</v>
      </c>
      <c r="AM1080">
        <f t="shared" si="564"/>
        <v>0</v>
      </c>
      <c r="AN1080">
        <f t="shared" si="565"/>
        <v>0</v>
      </c>
      <c r="AO1080" t="s">
        <v>6141</v>
      </c>
      <c r="AS1080" s="298" t="s">
        <v>3792</v>
      </c>
      <c r="AV1080" t="str">
        <f>IF(F1080&gt;0,(COUNT($AV$1:AV1079)+1),"")</f>
        <v/>
      </c>
    </row>
    <row r="1081" spans="1:48" ht="15" customHeight="1" x14ac:dyDescent="0.25">
      <c r="A1081" s="1"/>
      <c r="B1081" s="30">
        <v>20120</v>
      </c>
      <c r="C1081" s="20">
        <v>4650062591983</v>
      </c>
      <c r="D1081" s="421" t="s">
        <v>7635</v>
      </c>
      <c r="E1081" s="67">
        <v>6</v>
      </c>
      <c r="F1081" s="222"/>
      <c r="G1081" s="419">
        <v>165.2</v>
      </c>
      <c r="H1081" s="417">
        <v>171.8</v>
      </c>
      <c r="I1081" s="418">
        <v>185</v>
      </c>
      <c r="J1081" s="112" t="s">
        <v>599</v>
      </c>
      <c r="K1081" s="45" t="s">
        <v>121</v>
      </c>
      <c r="L1081" s="437" t="s">
        <v>3793</v>
      </c>
      <c r="M1081" s="474" t="s">
        <v>1856</v>
      </c>
      <c r="N1081" s="1013" t="s">
        <v>1856</v>
      </c>
      <c r="O1081" s="209" t="s">
        <v>7396</v>
      </c>
      <c r="P1081" s="66" t="s">
        <v>72</v>
      </c>
      <c r="Q1081" s="100">
        <f t="shared" si="558"/>
        <v>0</v>
      </c>
      <c r="R1081" s="13" t="str">
        <f t="shared" si="559"/>
        <v>Фото &gt;&gt;</v>
      </c>
      <c r="S1081" s="14" t="s">
        <v>609</v>
      </c>
      <c r="T1081" s="509"/>
      <c r="U1081" s="4"/>
      <c r="V1081" s="4"/>
      <c r="X1081" s="4"/>
      <c r="Y1081" s="4"/>
      <c r="Z1081" s="4"/>
      <c r="AA1081" s="4"/>
      <c r="AK1081">
        <v>1.1000000000000001</v>
      </c>
      <c r="AL1081">
        <f t="shared" si="563"/>
        <v>0</v>
      </c>
      <c r="AM1081">
        <f t="shared" si="564"/>
        <v>0</v>
      </c>
      <c r="AN1081">
        <f t="shared" si="565"/>
        <v>0</v>
      </c>
      <c r="AO1081" t="s">
        <v>4928</v>
      </c>
      <c r="AS1081" s="298" t="s">
        <v>3792</v>
      </c>
      <c r="AV1081" t="str">
        <f>IF(F1081&gt;0,(COUNT($AV$1:AV1080)+1),"")</f>
        <v/>
      </c>
    </row>
    <row r="1082" spans="1:48" ht="15" customHeight="1" x14ac:dyDescent="0.25">
      <c r="A1082" s="1"/>
      <c r="B1082" s="31">
        <v>20032</v>
      </c>
      <c r="C1082" s="16">
        <v>4650062591969</v>
      </c>
      <c r="D1082" s="226" t="s">
        <v>7349</v>
      </c>
      <c r="E1082" s="69">
        <v>6</v>
      </c>
      <c r="F1082" s="222"/>
      <c r="G1082" s="108">
        <v>206.5</v>
      </c>
      <c r="H1082" s="17">
        <v>214.8</v>
      </c>
      <c r="I1082" s="18">
        <v>231.3</v>
      </c>
      <c r="J1082" s="113" t="s">
        <v>599</v>
      </c>
      <c r="K1082" s="44" t="s">
        <v>121</v>
      </c>
      <c r="L1082" s="442" t="s">
        <v>3793</v>
      </c>
      <c r="M1082" s="480" t="s">
        <v>1856</v>
      </c>
      <c r="N1082" s="1015" t="s">
        <v>1856</v>
      </c>
      <c r="O1082" s="217"/>
      <c r="P1082" s="68" t="s">
        <v>72</v>
      </c>
      <c r="Q1082" s="100">
        <f t="shared" si="558"/>
        <v>0</v>
      </c>
      <c r="R1082" s="13" t="str">
        <f t="shared" si="559"/>
        <v>Фото &gt;&gt;</v>
      </c>
      <c r="S1082" s="14" t="s">
        <v>3003</v>
      </c>
      <c r="T1082" s="509"/>
      <c r="U1082" s="4"/>
      <c r="V1082" s="4"/>
      <c r="X1082" s="4"/>
      <c r="Y1082" s="4"/>
      <c r="Z1082" s="4"/>
      <c r="AA1082" s="4"/>
      <c r="AK1082">
        <v>1.1000000000000001</v>
      </c>
      <c r="AL1082">
        <f t="shared" si="560"/>
        <v>0</v>
      </c>
      <c r="AM1082">
        <f t="shared" si="561"/>
        <v>0</v>
      </c>
      <c r="AN1082">
        <f t="shared" si="562"/>
        <v>0</v>
      </c>
      <c r="AO1082" t="s">
        <v>4929</v>
      </c>
      <c r="AS1082" s="298" t="s">
        <v>3792</v>
      </c>
      <c r="AV1082" t="str">
        <f>IF(F1082&gt;0,(COUNT($AV$1:AV1081)+1),"")</f>
        <v/>
      </c>
    </row>
    <row r="1083" spans="1:48" ht="15" customHeight="1" x14ac:dyDescent="0.25">
      <c r="A1083" s="1"/>
      <c r="B1083" s="30">
        <v>20119</v>
      </c>
      <c r="C1083" s="20">
        <v>4650062599224</v>
      </c>
      <c r="D1083" s="225" t="s">
        <v>7350</v>
      </c>
      <c r="E1083" s="67">
        <v>6</v>
      </c>
      <c r="F1083" s="222"/>
      <c r="G1083" s="107">
        <v>238.8</v>
      </c>
      <c r="H1083" s="21">
        <v>248.4</v>
      </c>
      <c r="I1083" s="22">
        <v>267.5</v>
      </c>
      <c r="J1083" s="112" t="s">
        <v>599</v>
      </c>
      <c r="K1083" s="45" t="s">
        <v>121</v>
      </c>
      <c r="L1083" s="437" t="s">
        <v>3793</v>
      </c>
      <c r="M1083" s="474" t="s">
        <v>1856</v>
      </c>
      <c r="N1083" s="1013" t="s">
        <v>1856</v>
      </c>
      <c r="O1083" s="212"/>
      <c r="P1083" s="66" t="s">
        <v>72</v>
      </c>
      <c r="Q1083" s="100">
        <f t="shared" si="558"/>
        <v>0</v>
      </c>
      <c r="R1083" s="13" t="str">
        <f t="shared" si="559"/>
        <v>Фото &gt;&gt;</v>
      </c>
      <c r="S1083" s="14" t="s">
        <v>3004</v>
      </c>
      <c r="T1083" s="509"/>
      <c r="U1083" s="4"/>
      <c r="V1083" s="4"/>
      <c r="X1083" s="4"/>
      <c r="Y1083" s="4"/>
      <c r="Z1083" s="4"/>
      <c r="AA1083" s="4"/>
      <c r="AK1083">
        <v>1.1000000000000001</v>
      </c>
      <c r="AL1083">
        <f t="shared" si="560"/>
        <v>0</v>
      </c>
      <c r="AM1083">
        <f t="shared" si="561"/>
        <v>0</v>
      </c>
      <c r="AN1083">
        <f t="shared" si="562"/>
        <v>0</v>
      </c>
      <c r="AO1083" t="s">
        <v>3007</v>
      </c>
      <c r="AS1083" s="298" t="s">
        <v>3792</v>
      </c>
      <c r="AV1083" t="str">
        <f>IF(F1083&gt;0,(COUNT($AV$1:AV1082)+1),"")</f>
        <v/>
      </c>
    </row>
    <row r="1084" spans="1:48" ht="15" customHeight="1" x14ac:dyDescent="0.25">
      <c r="A1084" s="1"/>
      <c r="B1084" s="31">
        <v>20501</v>
      </c>
      <c r="C1084" s="16">
        <v>4640125883513</v>
      </c>
      <c r="D1084" s="422" t="s">
        <v>7636</v>
      </c>
      <c r="E1084" s="69">
        <v>6</v>
      </c>
      <c r="F1084" s="222"/>
      <c r="G1084" s="420">
        <v>157.69999999999999</v>
      </c>
      <c r="H1084" s="415">
        <v>164</v>
      </c>
      <c r="I1084" s="416">
        <v>176.8</v>
      </c>
      <c r="J1084" s="113" t="s">
        <v>599</v>
      </c>
      <c r="K1084" s="44" t="s">
        <v>121</v>
      </c>
      <c r="L1084" s="442" t="s">
        <v>3793</v>
      </c>
      <c r="M1084" s="480" t="s">
        <v>1856</v>
      </c>
      <c r="N1084" s="1015" t="s">
        <v>1856</v>
      </c>
      <c r="O1084" s="210" t="s">
        <v>7396</v>
      </c>
      <c r="P1084" s="68" t="s">
        <v>72</v>
      </c>
      <c r="Q1084" s="100">
        <f t="shared" si="558"/>
        <v>0</v>
      </c>
      <c r="R1084" s="13" t="str">
        <f t="shared" si="559"/>
        <v>Фото &gt;&gt;</v>
      </c>
      <c r="S1084" s="14" t="s">
        <v>3978</v>
      </c>
      <c r="T1084" s="509"/>
      <c r="U1084" s="4"/>
      <c r="V1084" s="4"/>
      <c r="X1084" s="4"/>
      <c r="Y1084" s="4"/>
      <c r="Z1084" s="4"/>
      <c r="AA1084" s="4"/>
      <c r="AK1084">
        <v>1.1000000000000001</v>
      </c>
      <c r="AL1084">
        <f t="shared" si="560"/>
        <v>0</v>
      </c>
      <c r="AM1084">
        <f t="shared" si="561"/>
        <v>0</v>
      </c>
      <c r="AN1084">
        <f t="shared" si="562"/>
        <v>0</v>
      </c>
      <c r="AO1084" t="s">
        <v>3977</v>
      </c>
      <c r="AS1084" s="298" t="s">
        <v>3792</v>
      </c>
      <c r="AV1084" t="str">
        <f>IF(F1084&gt;0,(COUNT($AV$1:AV1083)+1),"")</f>
        <v/>
      </c>
    </row>
    <row r="1085" spans="1:48" ht="15" customHeight="1" x14ac:dyDescent="0.25">
      <c r="A1085" s="1"/>
      <c r="B1085" s="25"/>
      <c r="C1085" s="26"/>
      <c r="D1085" s="756" t="s">
        <v>3002</v>
      </c>
      <c r="E1085" s="80"/>
      <c r="F1085" s="96"/>
      <c r="G1085" s="28"/>
      <c r="H1085" s="29"/>
      <c r="I1085" s="29"/>
      <c r="J1085" s="51"/>
      <c r="K1085" s="47"/>
      <c r="L1085" s="447"/>
      <c r="M1085" s="489"/>
      <c r="N1085" s="716"/>
      <c r="O1085" s="186"/>
      <c r="P1085" s="79"/>
      <c r="Q1085" s="104"/>
      <c r="R1085" s="13"/>
      <c r="S1085" s="14"/>
      <c r="T1085" s="509"/>
      <c r="U1085" s="4"/>
      <c r="V1085" s="4"/>
      <c r="X1085" s="4"/>
      <c r="Y1085" s="4"/>
      <c r="Z1085" s="4"/>
      <c r="AA1085" s="4"/>
      <c r="AL1085">
        <f t="shared" si="560"/>
        <v>0</v>
      </c>
      <c r="AM1085">
        <f t="shared" si="561"/>
        <v>0</v>
      </c>
      <c r="AN1085">
        <f t="shared" si="562"/>
        <v>0</v>
      </c>
      <c r="AO1085" t="s">
        <v>104</v>
      </c>
      <c r="AS1085" s="298" t="s">
        <v>3792</v>
      </c>
      <c r="AV1085" t="str">
        <f>IF(F1085&gt;0,(COUNT($AV$1:AV1084)+1),"")</f>
        <v/>
      </c>
    </row>
    <row r="1086" spans="1:48" ht="15" customHeight="1" x14ac:dyDescent="0.25">
      <c r="A1086" s="1"/>
      <c r="B1086" s="31">
        <v>20836</v>
      </c>
      <c r="C1086" s="16">
        <v>4640125885111</v>
      </c>
      <c r="D1086" s="422" t="s">
        <v>7637</v>
      </c>
      <c r="E1086" s="86">
        <v>16</v>
      </c>
      <c r="F1086" s="222"/>
      <c r="G1086" s="420">
        <v>83.4</v>
      </c>
      <c r="H1086" s="415">
        <v>86.7</v>
      </c>
      <c r="I1086" s="416">
        <v>93.4</v>
      </c>
      <c r="J1086" s="113" t="s">
        <v>599</v>
      </c>
      <c r="K1086" s="44" t="s">
        <v>96</v>
      </c>
      <c r="L1086" s="442" t="s">
        <v>2927</v>
      </c>
      <c r="M1086" s="480" t="s">
        <v>1856</v>
      </c>
      <c r="N1086" s="1015"/>
      <c r="O1086" s="210" t="s">
        <v>7430</v>
      </c>
      <c r="P1086" s="68" t="s">
        <v>195</v>
      </c>
      <c r="Q1086" s="100">
        <f t="shared" ref="Q1086:Q1102" si="566">IF($AO$1011=8,ROUND((G1086*F1086)*0.95,1),IF(OR(F1086/E1086=INT(F1086/E1086),$AO$1011=1),F1086*G1086,IF($AO$1011=2,F1086*H1086,F1086*I1086)))</f>
        <v>0</v>
      </c>
      <c r="R1086" s="13" t="str">
        <f t="shared" ref="R1086:R1100" si="567">IF(AO1086&gt;0,HYPERLINK(AO1086,"Фото &gt;&gt;"),"")</f>
        <v>Фото &gt;&gt;</v>
      </c>
      <c r="S1086" s="14" t="s">
        <v>4550</v>
      </c>
      <c r="T1086" s="509"/>
      <c r="U1086" s="4"/>
      <c r="V1086" s="4"/>
      <c r="X1086" s="4"/>
      <c r="Y1086" s="4"/>
      <c r="Z1086" s="4"/>
      <c r="AA1086" s="4"/>
      <c r="AK1086">
        <v>0.05</v>
      </c>
      <c r="AL1086">
        <f t="shared" ref="AL1086:AL1100" si="568">F1086*G1086</f>
        <v>0</v>
      </c>
      <c r="AM1086">
        <f t="shared" ref="AM1086:AM1100" si="569">F1086*H1086</f>
        <v>0</v>
      </c>
      <c r="AN1086">
        <f t="shared" ref="AN1086:AN1102" si="570">AK1086*F1086+IF(E1086&gt;1.01,F1086/E1086*0.2,0)</f>
        <v>0</v>
      </c>
      <c r="AO1086" t="s">
        <v>4551</v>
      </c>
      <c r="AV1086" t="str">
        <f>IF(F1086&gt;0,(COUNT($AV$1:AV1085)+1),"")</f>
        <v/>
      </c>
    </row>
    <row r="1087" spans="1:48" ht="15" customHeight="1" x14ac:dyDescent="0.25">
      <c r="A1087" s="1"/>
      <c r="B1087" s="30">
        <v>20851</v>
      </c>
      <c r="C1087" s="20">
        <v>4640125885296</v>
      </c>
      <c r="D1087" s="153" t="s">
        <v>7614</v>
      </c>
      <c r="E1087" s="85">
        <v>16</v>
      </c>
      <c r="F1087" s="222"/>
      <c r="G1087" s="107">
        <v>104.3</v>
      </c>
      <c r="H1087" s="21">
        <v>108.4</v>
      </c>
      <c r="I1087" s="22">
        <v>116.8</v>
      </c>
      <c r="J1087" s="112" t="s">
        <v>599</v>
      </c>
      <c r="K1087" s="45" t="s">
        <v>96</v>
      </c>
      <c r="L1087" s="437" t="s">
        <v>2927</v>
      </c>
      <c r="M1087" s="474" t="s">
        <v>1856</v>
      </c>
      <c r="N1087" s="1013"/>
      <c r="O1087" s="212" t="s">
        <v>3828</v>
      </c>
      <c r="P1087" s="66" t="s">
        <v>195</v>
      </c>
      <c r="Q1087" s="100">
        <f t="shared" si="566"/>
        <v>0</v>
      </c>
      <c r="R1087" s="13" t="str">
        <f t="shared" si="567"/>
        <v>Фото &gt;&gt;</v>
      </c>
      <c r="S1087" s="14" t="s">
        <v>4550</v>
      </c>
      <c r="T1087" s="509"/>
      <c r="U1087" s="4"/>
      <c r="V1087" s="4"/>
      <c r="X1087" s="4"/>
      <c r="Y1087" s="4"/>
      <c r="Z1087" s="4"/>
      <c r="AA1087" s="4"/>
      <c r="AK1087">
        <v>0.05</v>
      </c>
      <c r="AL1087">
        <f t="shared" si="568"/>
        <v>0</v>
      </c>
      <c r="AM1087">
        <f t="shared" si="569"/>
        <v>0</v>
      </c>
      <c r="AN1087">
        <f t="shared" si="570"/>
        <v>0</v>
      </c>
      <c r="AO1087" t="s">
        <v>4605</v>
      </c>
      <c r="AV1087" t="str">
        <f>IF(F1087&gt;0,(COUNT($AV$1:AV1086)+1),"")</f>
        <v/>
      </c>
    </row>
    <row r="1088" spans="1:48" ht="15" customHeight="1" x14ac:dyDescent="0.25">
      <c r="A1088" s="1"/>
      <c r="B1088" s="31">
        <v>20837</v>
      </c>
      <c r="C1088" s="16">
        <v>4640125885319</v>
      </c>
      <c r="D1088" s="154" t="s">
        <v>7615</v>
      </c>
      <c r="E1088" s="86">
        <v>16</v>
      </c>
      <c r="F1088" s="222"/>
      <c r="G1088" s="108">
        <v>104.3</v>
      </c>
      <c r="H1088" s="17">
        <v>108.4</v>
      </c>
      <c r="I1088" s="18">
        <v>116.8</v>
      </c>
      <c r="J1088" s="113" t="s">
        <v>599</v>
      </c>
      <c r="K1088" s="44" t="s">
        <v>96</v>
      </c>
      <c r="L1088" s="442" t="s">
        <v>2927</v>
      </c>
      <c r="M1088" s="480" t="s">
        <v>1856</v>
      </c>
      <c r="N1088" s="1015"/>
      <c r="O1088" s="217" t="s">
        <v>3828</v>
      </c>
      <c r="P1088" s="68" t="s">
        <v>195</v>
      </c>
      <c r="Q1088" s="100">
        <f t="shared" si="566"/>
        <v>0</v>
      </c>
      <c r="R1088" s="13" t="str">
        <f t="shared" si="567"/>
        <v>Фото &gt;&gt;</v>
      </c>
      <c r="S1088" s="14" t="s">
        <v>4550</v>
      </c>
      <c r="T1088" s="509"/>
      <c r="U1088" s="4"/>
      <c r="V1088" s="4"/>
      <c r="X1088" s="4"/>
      <c r="Y1088" s="4"/>
      <c r="Z1088" s="4"/>
      <c r="AA1088" s="4"/>
      <c r="AK1088">
        <v>0.05</v>
      </c>
      <c r="AL1088">
        <f t="shared" si="568"/>
        <v>0</v>
      </c>
      <c r="AM1088">
        <f t="shared" si="569"/>
        <v>0</v>
      </c>
      <c r="AN1088">
        <f t="shared" si="570"/>
        <v>0</v>
      </c>
      <c r="AO1088" t="s">
        <v>4552</v>
      </c>
      <c r="AV1088" t="str">
        <f>IF(F1088&gt;0,(COUNT($AV$1:AV1087)+1),"")</f>
        <v/>
      </c>
    </row>
    <row r="1089" spans="1:48" ht="15" customHeight="1" x14ac:dyDescent="0.25">
      <c r="A1089" s="1"/>
      <c r="B1089" s="30">
        <v>20838</v>
      </c>
      <c r="C1089" s="20">
        <v>4640125885098</v>
      </c>
      <c r="D1089" s="225" t="s">
        <v>7351</v>
      </c>
      <c r="E1089" s="85">
        <v>16</v>
      </c>
      <c r="F1089" s="222"/>
      <c r="G1089" s="107">
        <v>104.3</v>
      </c>
      <c r="H1089" s="21">
        <v>108.4</v>
      </c>
      <c r="I1089" s="22">
        <v>116.8</v>
      </c>
      <c r="J1089" s="112" t="s">
        <v>599</v>
      </c>
      <c r="K1089" s="45" t="s">
        <v>96</v>
      </c>
      <c r="L1089" s="437" t="s">
        <v>2927</v>
      </c>
      <c r="M1089" s="474" t="s">
        <v>1856</v>
      </c>
      <c r="N1089" s="1013"/>
      <c r="O1089" s="212" t="s">
        <v>3828</v>
      </c>
      <c r="P1089" s="66" t="s">
        <v>195</v>
      </c>
      <c r="Q1089" s="100">
        <f t="shared" si="566"/>
        <v>0</v>
      </c>
      <c r="R1089" s="13" t="str">
        <f t="shared" si="567"/>
        <v>Фото &gt;&gt;</v>
      </c>
      <c r="S1089" s="14" t="s">
        <v>4550</v>
      </c>
      <c r="T1089" s="509"/>
      <c r="U1089" s="4"/>
      <c r="V1089" s="4"/>
      <c r="X1089" s="4"/>
      <c r="Y1089" s="4"/>
      <c r="Z1089" s="4"/>
      <c r="AA1089" s="4"/>
      <c r="AK1089">
        <v>0.05</v>
      </c>
      <c r="AL1089">
        <f t="shared" si="568"/>
        <v>0</v>
      </c>
      <c r="AM1089">
        <f t="shared" si="569"/>
        <v>0</v>
      </c>
      <c r="AN1089">
        <f t="shared" si="570"/>
        <v>0</v>
      </c>
      <c r="AO1089" t="s">
        <v>4553</v>
      </c>
      <c r="AV1089" t="str">
        <f>IF(F1089&gt;0,(COUNT($AV$1:AV1088)+1),"")</f>
        <v/>
      </c>
    </row>
    <row r="1090" spans="1:48" ht="15" customHeight="1" x14ac:dyDescent="0.25">
      <c r="A1090" s="1"/>
      <c r="B1090" s="31">
        <v>19658</v>
      </c>
      <c r="C1090" s="16">
        <v>4640125881861</v>
      </c>
      <c r="D1090" s="154" t="s">
        <v>7616</v>
      </c>
      <c r="E1090" s="86">
        <v>16</v>
      </c>
      <c r="F1090" s="222"/>
      <c r="G1090" s="108">
        <v>104.3</v>
      </c>
      <c r="H1090" s="17">
        <v>108.4</v>
      </c>
      <c r="I1090" s="18">
        <v>116.8</v>
      </c>
      <c r="J1090" s="113" t="s">
        <v>599</v>
      </c>
      <c r="K1090" s="44" t="s">
        <v>96</v>
      </c>
      <c r="L1090" s="442" t="s">
        <v>2927</v>
      </c>
      <c r="M1090" s="480" t="s">
        <v>1856</v>
      </c>
      <c r="N1090" s="1015"/>
      <c r="O1090" s="217" t="s">
        <v>3828</v>
      </c>
      <c r="P1090" s="68" t="s">
        <v>195</v>
      </c>
      <c r="Q1090" s="100">
        <f t="shared" si="566"/>
        <v>0</v>
      </c>
      <c r="R1090" s="13" t="str">
        <f t="shared" si="567"/>
        <v>Фото &gt;&gt;</v>
      </c>
      <c r="S1090" s="14" t="s">
        <v>1909</v>
      </c>
      <c r="T1090" s="509"/>
      <c r="U1090" s="4"/>
      <c r="V1090" s="4"/>
      <c r="X1090" s="4"/>
      <c r="Y1090" s="4"/>
      <c r="Z1090" s="4"/>
      <c r="AA1090" s="4"/>
      <c r="AK1090">
        <v>5.5E-2</v>
      </c>
      <c r="AL1090">
        <f t="shared" si="568"/>
        <v>0</v>
      </c>
      <c r="AM1090">
        <f t="shared" si="569"/>
        <v>0</v>
      </c>
      <c r="AN1090">
        <f t="shared" si="570"/>
        <v>0</v>
      </c>
      <c r="AO1090" t="s">
        <v>2680</v>
      </c>
      <c r="AS1090" s="298" t="s">
        <v>3792</v>
      </c>
      <c r="AV1090" t="str">
        <f>IF(F1090&gt;0,(COUNT($AV$1:AV1089)+1),"")</f>
        <v/>
      </c>
    </row>
    <row r="1091" spans="1:48" ht="15" customHeight="1" x14ac:dyDescent="0.25">
      <c r="A1091" s="1"/>
      <c r="B1091" s="30">
        <v>19659</v>
      </c>
      <c r="C1091" s="20">
        <v>4640125881885</v>
      </c>
      <c r="D1091" s="421" t="s">
        <v>7638</v>
      </c>
      <c r="E1091" s="85">
        <v>16</v>
      </c>
      <c r="F1091" s="222"/>
      <c r="G1091" s="419">
        <v>83.4</v>
      </c>
      <c r="H1091" s="417">
        <v>86.7</v>
      </c>
      <c r="I1091" s="418">
        <v>93.4</v>
      </c>
      <c r="J1091" s="112" t="s">
        <v>599</v>
      </c>
      <c r="K1091" s="45" t="s">
        <v>96</v>
      </c>
      <c r="L1091" s="437" t="s">
        <v>2927</v>
      </c>
      <c r="M1091" s="474" t="s">
        <v>1856</v>
      </c>
      <c r="N1091" s="1013"/>
      <c r="O1091" s="209" t="s">
        <v>7430</v>
      </c>
      <c r="P1091" s="66" t="s">
        <v>195</v>
      </c>
      <c r="Q1091" s="100">
        <f t="shared" si="566"/>
        <v>0</v>
      </c>
      <c r="R1091" s="13" t="str">
        <f t="shared" si="567"/>
        <v>Фото &gt;&gt;</v>
      </c>
      <c r="S1091" s="14" t="s">
        <v>1910</v>
      </c>
      <c r="T1091" s="509"/>
      <c r="U1091" s="4"/>
      <c r="V1091" s="4"/>
      <c r="X1091" s="4"/>
      <c r="Y1091" s="4"/>
      <c r="Z1091" s="4"/>
      <c r="AA1091" s="4"/>
      <c r="AK1091">
        <v>5.5E-2</v>
      </c>
      <c r="AL1091">
        <f t="shared" si="568"/>
        <v>0</v>
      </c>
      <c r="AM1091">
        <f t="shared" si="569"/>
        <v>0</v>
      </c>
      <c r="AN1091">
        <f t="shared" si="570"/>
        <v>0</v>
      </c>
      <c r="AO1091" t="s">
        <v>2681</v>
      </c>
      <c r="AS1091" s="298" t="s">
        <v>3792</v>
      </c>
      <c r="AV1091" t="str">
        <f>IF(F1091&gt;0,(COUNT($AV$1:AV1090)+1),"")</f>
        <v/>
      </c>
    </row>
    <row r="1092" spans="1:48" ht="15" customHeight="1" x14ac:dyDescent="0.25">
      <c r="A1092" s="1"/>
      <c r="B1092" s="31">
        <v>20084</v>
      </c>
      <c r="C1092" s="16">
        <v>4640125882356</v>
      </c>
      <c r="D1092" s="154" t="s">
        <v>7617</v>
      </c>
      <c r="E1092" s="86">
        <v>16</v>
      </c>
      <c r="F1092" s="222"/>
      <c r="G1092" s="108">
        <v>104.3</v>
      </c>
      <c r="H1092" s="17">
        <v>108.4</v>
      </c>
      <c r="I1092" s="18">
        <v>116.8</v>
      </c>
      <c r="J1092" s="113" t="s">
        <v>599</v>
      </c>
      <c r="K1092" s="44" t="s">
        <v>96</v>
      </c>
      <c r="L1092" s="442" t="s">
        <v>2927</v>
      </c>
      <c r="M1092" s="480" t="s">
        <v>1856</v>
      </c>
      <c r="N1092" s="1015"/>
      <c r="O1092" s="217" t="s">
        <v>3828</v>
      </c>
      <c r="P1092" s="68" t="s">
        <v>195</v>
      </c>
      <c r="Q1092" s="100">
        <f t="shared" si="566"/>
        <v>0</v>
      </c>
      <c r="R1092" s="13" t="str">
        <f t="shared" si="567"/>
        <v>Фото &gt;&gt;</v>
      </c>
      <c r="S1092" s="14" t="s">
        <v>2268</v>
      </c>
      <c r="T1092" s="509"/>
      <c r="U1092" s="4"/>
      <c r="V1092" s="4"/>
      <c r="X1092" s="4"/>
      <c r="Y1092" s="4"/>
      <c r="Z1092" s="4"/>
      <c r="AA1092" s="4"/>
      <c r="AK1092">
        <v>5.5E-2</v>
      </c>
      <c r="AL1092">
        <f t="shared" si="568"/>
        <v>0</v>
      </c>
      <c r="AM1092">
        <f t="shared" si="569"/>
        <v>0</v>
      </c>
      <c r="AN1092">
        <f t="shared" si="570"/>
        <v>0</v>
      </c>
      <c r="AO1092" t="s">
        <v>2682</v>
      </c>
      <c r="AS1092" s="298" t="s">
        <v>3792</v>
      </c>
      <c r="AV1092" t="str">
        <f>IF(F1092&gt;0,(COUNT($AV$1:AV1091)+1),"")</f>
        <v/>
      </c>
    </row>
    <row r="1093" spans="1:48" ht="15" customHeight="1" x14ac:dyDescent="0.25">
      <c r="A1093" s="1"/>
      <c r="B1093" s="30">
        <v>19892</v>
      </c>
      <c r="C1093" s="20">
        <v>4640125881977</v>
      </c>
      <c r="D1093" s="421" t="s">
        <v>7639</v>
      </c>
      <c r="E1093" s="85">
        <v>16</v>
      </c>
      <c r="F1093" s="222"/>
      <c r="G1093" s="419">
        <v>83.4</v>
      </c>
      <c r="H1093" s="417">
        <v>86.7</v>
      </c>
      <c r="I1093" s="418">
        <v>93.4</v>
      </c>
      <c r="J1093" s="112" t="s">
        <v>599</v>
      </c>
      <c r="K1093" s="45" t="s">
        <v>96</v>
      </c>
      <c r="L1093" s="437" t="s">
        <v>2927</v>
      </c>
      <c r="M1093" s="474" t="s">
        <v>1856</v>
      </c>
      <c r="N1093" s="1013"/>
      <c r="O1093" s="209" t="s">
        <v>7430</v>
      </c>
      <c r="P1093" s="66" t="s">
        <v>195</v>
      </c>
      <c r="Q1093" s="100">
        <f t="shared" si="566"/>
        <v>0</v>
      </c>
      <c r="R1093" s="13" t="str">
        <f t="shared" si="567"/>
        <v>Фото &gt;&gt;</v>
      </c>
      <c r="S1093" s="14" t="s">
        <v>2089</v>
      </c>
      <c r="T1093" s="509"/>
      <c r="U1093" s="4"/>
      <c r="V1093" s="4"/>
      <c r="X1093" s="4"/>
      <c r="Y1093" s="4"/>
      <c r="Z1093" s="4"/>
      <c r="AA1093" s="4"/>
      <c r="AK1093">
        <v>5.5E-2</v>
      </c>
      <c r="AL1093">
        <f t="shared" si="568"/>
        <v>0</v>
      </c>
      <c r="AM1093">
        <f t="shared" si="569"/>
        <v>0</v>
      </c>
      <c r="AN1093">
        <f t="shared" si="570"/>
        <v>0</v>
      </c>
      <c r="AO1093" t="s">
        <v>2683</v>
      </c>
      <c r="AS1093" s="298" t="s">
        <v>3792</v>
      </c>
      <c r="AV1093" t="str">
        <f>IF(F1093&gt;0,(COUNT($AV$1:AV1092)+1),"")</f>
        <v/>
      </c>
    </row>
    <row r="1094" spans="1:48" ht="15" customHeight="1" x14ac:dyDescent="0.25">
      <c r="A1094" s="1"/>
      <c r="B1094" s="31">
        <v>19893</v>
      </c>
      <c r="C1094" s="16">
        <v>4640125882165</v>
      </c>
      <c r="D1094" s="422" t="s">
        <v>7640</v>
      </c>
      <c r="E1094" s="86">
        <v>16</v>
      </c>
      <c r="F1094" s="222"/>
      <c r="G1094" s="420">
        <v>83.4</v>
      </c>
      <c r="H1094" s="415">
        <v>86.7</v>
      </c>
      <c r="I1094" s="416">
        <v>93.4</v>
      </c>
      <c r="J1094" s="113" t="s">
        <v>599</v>
      </c>
      <c r="K1094" s="44" t="s">
        <v>96</v>
      </c>
      <c r="L1094" s="442" t="s">
        <v>2927</v>
      </c>
      <c r="M1094" s="480" t="s">
        <v>1856</v>
      </c>
      <c r="N1094" s="1015"/>
      <c r="O1094" s="210" t="s">
        <v>7430</v>
      </c>
      <c r="P1094" s="68" t="s">
        <v>195</v>
      </c>
      <c r="Q1094" s="100">
        <f t="shared" si="566"/>
        <v>0</v>
      </c>
      <c r="R1094" s="13" t="str">
        <f t="shared" si="567"/>
        <v>Фото &gt;&gt;</v>
      </c>
      <c r="S1094" s="14" t="s">
        <v>2090</v>
      </c>
      <c r="T1094" s="509"/>
      <c r="U1094" s="4"/>
      <c r="V1094" s="4"/>
      <c r="X1094" s="4"/>
      <c r="Y1094" s="4"/>
      <c r="Z1094" s="4"/>
      <c r="AA1094" s="4"/>
      <c r="AK1094">
        <v>5.5E-2</v>
      </c>
      <c r="AL1094">
        <f t="shared" si="568"/>
        <v>0</v>
      </c>
      <c r="AM1094">
        <f t="shared" si="569"/>
        <v>0</v>
      </c>
      <c r="AN1094">
        <f t="shared" si="570"/>
        <v>0</v>
      </c>
      <c r="AO1094" t="s">
        <v>2684</v>
      </c>
      <c r="AS1094" s="298" t="s">
        <v>3792</v>
      </c>
      <c r="AV1094" t="str">
        <f>IF(F1094&gt;0,(COUNT($AV$1:AV1093)+1),"")</f>
        <v/>
      </c>
    </row>
    <row r="1095" spans="1:48" ht="15" customHeight="1" x14ac:dyDescent="0.25">
      <c r="A1095" s="1"/>
      <c r="B1095" s="30">
        <v>20563</v>
      </c>
      <c r="C1095" s="20">
        <v>4640125883902</v>
      </c>
      <c r="D1095" s="225" t="s">
        <v>7352</v>
      </c>
      <c r="E1095" s="85">
        <v>16</v>
      </c>
      <c r="F1095" s="222"/>
      <c r="G1095" s="107">
        <v>104.3</v>
      </c>
      <c r="H1095" s="21">
        <v>108.4</v>
      </c>
      <c r="I1095" s="22">
        <v>116.8</v>
      </c>
      <c r="J1095" s="112" t="s">
        <v>599</v>
      </c>
      <c r="K1095" s="45" t="s">
        <v>96</v>
      </c>
      <c r="L1095" s="437" t="s">
        <v>2927</v>
      </c>
      <c r="M1095" s="474" t="s">
        <v>1856</v>
      </c>
      <c r="N1095" s="1013"/>
      <c r="O1095" s="212" t="s">
        <v>3828</v>
      </c>
      <c r="P1095" s="66" t="s">
        <v>195</v>
      </c>
      <c r="Q1095" s="100">
        <f t="shared" si="566"/>
        <v>0</v>
      </c>
      <c r="R1095" s="13" t="str">
        <f t="shared" si="567"/>
        <v>Фото &gt;&gt;</v>
      </c>
      <c r="S1095" s="14" t="s">
        <v>4048</v>
      </c>
      <c r="T1095" s="509"/>
      <c r="U1095" s="4"/>
      <c r="V1095" s="4"/>
      <c r="X1095" s="4"/>
      <c r="Y1095" s="4"/>
      <c r="Z1095" s="4"/>
      <c r="AA1095" s="4"/>
      <c r="AK1095">
        <v>5.5E-2</v>
      </c>
      <c r="AL1095">
        <f t="shared" si="568"/>
        <v>0</v>
      </c>
      <c r="AM1095">
        <f t="shared" si="569"/>
        <v>0</v>
      </c>
      <c r="AN1095">
        <f t="shared" si="570"/>
        <v>0</v>
      </c>
      <c r="AO1095" t="s">
        <v>4049</v>
      </c>
      <c r="AV1095" t="str">
        <f>IF(F1095&gt;0,(COUNT($AV$1:AV1094)+1),"")</f>
        <v/>
      </c>
    </row>
    <row r="1096" spans="1:48" ht="15" customHeight="1" x14ac:dyDescent="0.25">
      <c r="A1096" s="1"/>
      <c r="B1096" s="31">
        <v>19891</v>
      </c>
      <c r="C1096" s="16">
        <v>4640125881946</v>
      </c>
      <c r="D1096" s="226" t="s">
        <v>7353</v>
      </c>
      <c r="E1096" s="86">
        <v>16</v>
      </c>
      <c r="F1096" s="222"/>
      <c r="G1096" s="108">
        <v>104.3</v>
      </c>
      <c r="H1096" s="17">
        <v>108.4</v>
      </c>
      <c r="I1096" s="18">
        <v>116.8</v>
      </c>
      <c r="J1096" s="113" t="s">
        <v>599</v>
      </c>
      <c r="K1096" s="44" t="s">
        <v>96</v>
      </c>
      <c r="L1096" s="442" t="s">
        <v>2927</v>
      </c>
      <c r="M1096" s="480" t="s">
        <v>1856</v>
      </c>
      <c r="N1096" s="1015"/>
      <c r="O1096" s="217" t="s">
        <v>3828</v>
      </c>
      <c r="P1096" s="68" t="s">
        <v>195</v>
      </c>
      <c r="Q1096" s="100">
        <f t="shared" si="566"/>
        <v>0</v>
      </c>
      <c r="R1096" s="13" t="str">
        <f t="shared" si="567"/>
        <v>Фото &gt;&gt;</v>
      </c>
      <c r="S1096" s="14" t="s">
        <v>2091</v>
      </c>
      <c r="T1096" s="509"/>
      <c r="U1096" s="4"/>
      <c r="V1096" s="4"/>
      <c r="X1096" s="4"/>
      <c r="Y1096" s="4"/>
      <c r="Z1096" s="4"/>
      <c r="AA1096" s="4"/>
      <c r="AK1096">
        <v>5.5E-2</v>
      </c>
      <c r="AL1096">
        <f t="shared" si="568"/>
        <v>0</v>
      </c>
      <c r="AM1096">
        <f t="shared" si="569"/>
        <v>0</v>
      </c>
      <c r="AN1096">
        <f t="shared" si="570"/>
        <v>0</v>
      </c>
      <c r="AO1096" t="s">
        <v>2685</v>
      </c>
      <c r="AS1096" s="298" t="s">
        <v>3792</v>
      </c>
      <c r="AV1096" t="str">
        <f>IF(F1096&gt;0,(COUNT($AV$1:AV1095)+1),"")</f>
        <v/>
      </c>
    </row>
    <row r="1097" spans="1:48" ht="15" customHeight="1" x14ac:dyDescent="0.25">
      <c r="A1097" s="1"/>
      <c r="B1097" s="37">
        <v>19657</v>
      </c>
      <c r="C1097" s="23">
        <v>4640125881823</v>
      </c>
      <c r="D1097" s="237" t="s">
        <v>7354</v>
      </c>
      <c r="E1097" s="89">
        <v>16</v>
      </c>
      <c r="F1097" s="223"/>
      <c r="G1097" s="111">
        <v>104.3</v>
      </c>
      <c r="H1097" s="5">
        <v>108.4</v>
      </c>
      <c r="I1097" s="24">
        <v>116.8</v>
      </c>
      <c r="J1097" s="115" t="s">
        <v>599</v>
      </c>
      <c r="K1097" s="46" t="s">
        <v>96</v>
      </c>
      <c r="L1097" s="440" t="s">
        <v>2927</v>
      </c>
      <c r="M1097" s="482" t="s">
        <v>1856</v>
      </c>
      <c r="N1097" s="1002"/>
      <c r="O1097" s="214" t="s">
        <v>3828</v>
      </c>
      <c r="P1097" s="74" t="s">
        <v>195</v>
      </c>
      <c r="Q1097" s="100">
        <f t="shared" si="566"/>
        <v>0</v>
      </c>
      <c r="R1097" s="13" t="str">
        <f t="shared" si="567"/>
        <v>Фото &gt;&gt;</v>
      </c>
      <c r="S1097" s="14" t="s">
        <v>2146</v>
      </c>
      <c r="T1097" s="509"/>
      <c r="U1097" s="4"/>
      <c r="V1097" s="4"/>
      <c r="X1097" s="4"/>
      <c r="Y1097" s="4"/>
      <c r="Z1097" s="4"/>
      <c r="AA1097" s="4"/>
      <c r="AK1097">
        <v>5.5E-2</v>
      </c>
      <c r="AL1097">
        <f t="shared" si="568"/>
        <v>0</v>
      </c>
      <c r="AM1097">
        <f t="shared" si="569"/>
        <v>0</v>
      </c>
      <c r="AN1097">
        <f t="shared" si="570"/>
        <v>0</v>
      </c>
      <c r="AO1097" t="s">
        <v>2686</v>
      </c>
      <c r="AS1097" s="298" t="s">
        <v>3792</v>
      </c>
      <c r="AV1097" t="str">
        <f>IF(F1097&gt;0,(COUNT($AV$1:AV1096)+1),"")</f>
        <v/>
      </c>
    </row>
    <row r="1098" spans="1:48" ht="15" customHeight="1" x14ac:dyDescent="0.25">
      <c r="A1098" s="1"/>
      <c r="B1098" s="785">
        <v>15542</v>
      </c>
      <c r="C1098" s="786">
        <v>4650062590702</v>
      </c>
      <c r="D1098" s="787" t="s">
        <v>6839</v>
      </c>
      <c r="E1098" s="894">
        <v>12</v>
      </c>
      <c r="F1098" s="789"/>
      <c r="G1098" s="811">
        <v>100.7</v>
      </c>
      <c r="H1098" s="790">
        <v>104.7</v>
      </c>
      <c r="I1098" s="791">
        <v>112.8</v>
      </c>
      <c r="J1098" s="792" t="s">
        <v>599</v>
      </c>
      <c r="K1098" s="793" t="s">
        <v>96</v>
      </c>
      <c r="L1098" s="781" t="s">
        <v>3258</v>
      </c>
      <c r="M1098" s="782" t="s">
        <v>1856</v>
      </c>
      <c r="N1098" s="1009" t="s">
        <v>1856</v>
      </c>
      <c r="O1098" s="783" t="s">
        <v>4226</v>
      </c>
      <c r="P1098" s="784" t="s">
        <v>72</v>
      </c>
      <c r="Q1098" s="100">
        <f t="shared" si="566"/>
        <v>0</v>
      </c>
      <c r="R1098" s="13" t="str">
        <f t="shared" si="567"/>
        <v>Фото &gt;&gt;</v>
      </c>
      <c r="S1098" s="14" t="s">
        <v>613</v>
      </c>
      <c r="T1098" s="509"/>
      <c r="U1098" s="4"/>
      <c r="V1098" s="4"/>
      <c r="X1098" s="4"/>
      <c r="Y1098" s="4"/>
      <c r="Z1098" s="4"/>
      <c r="AA1098" s="4"/>
      <c r="AK1098">
        <v>0.05</v>
      </c>
      <c r="AL1098">
        <f t="shared" si="568"/>
        <v>0</v>
      </c>
      <c r="AM1098">
        <f t="shared" si="569"/>
        <v>0</v>
      </c>
      <c r="AN1098">
        <f t="shared" si="570"/>
        <v>0</v>
      </c>
      <c r="AO1098" t="s">
        <v>3056</v>
      </c>
      <c r="AS1098" s="298" t="s">
        <v>3792</v>
      </c>
      <c r="AV1098" t="str">
        <f>IF(F1098&gt;0,(COUNT($AV$1:AV1097)+1),"")</f>
        <v/>
      </c>
    </row>
    <row r="1099" spans="1:48" ht="15" customHeight="1" x14ac:dyDescent="0.25">
      <c r="A1099" s="1"/>
      <c r="B1099" s="31">
        <v>14442</v>
      </c>
      <c r="C1099" s="16">
        <v>4650062590399</v>
      </c>
      <c r="D1099" s="226" t="s">
        <v>6840</v>
      </c>
      <c r="E1099" s="86">
        <v>12</v>
      </c>
      <c r="F1099" s="222"/>
      <c r="G1099" s="108">
        <v>100.7</v>
      </c>
      <c r="H1099" s="17">
        <v>104.7</v>
      </c>
      <c r="I1099" s="18">
        <v>112.8</v>
      </c>
      <c r="J1099" s="113" t="s">
        <v>599</v>
      </c>
      <c r="K1099" s="44" t="s">
        <v>96</v>
      </c>
      <c r="L1099" s="442" t="s">
        <v>3258</v>
      </c>
      <c r="M1099" s="480" t="s">
        <v>1856</v>
      </c>
      <c r="N1099" s="1015" t="s">
        <v>1856</v>
      </c>
      <c r="O1099" s="217" t="s">
        <v>4226</v>
      </c>
      <c r="P1099" s="68" t="s">
        <v>72</v>
      </c>
      <c r="Q1099" s="100">
        <f t="shared" si="566"/>
        <v>0</v>
      </c>
      <c r="R1099" s="13" t="str">
        <f t="shared" si="567"/>
        <v>Фото &gt;&gt;</v>
      </c>
      <c r="S1099" s="14" t="s">
        <v>614</v>
      </c>
      <c r="T1099" s="509"/>
      <c r="U1099" s="4"/>
      <c r="V1099" s="4"/>
      <c r="X1099" s="4"/>
      <c r="Y1099" s="4"/>
      <c r="Z1099" s="4"/>
      <c r="AA1099" s="4"/>
      <c r="AK1099">
        <v>0.06</v>
      </c>
      <c r="AL1099">
        <f t="shared" si="568"/>
        <v>0</v>
      </c>
      <c r="AM1099">
        <f t="shared" si="569"/>
        <v>0</v>
      </c>
      <c r="AN1099">
        <f t="shared" si="570"/>
        <v>0</v>
      </c>
      <c r="AO1099" t="s">
        <v>3057</v>
      </c>
      <c r="AS1099" s="298" t="s">
        <v>3792</v>
      </c>
      <c r="AV1099" t="str">
        <f>IF(F1099&gt;0,(COUNT($AV$1:AV1098)+1),"")</f>
        <v/>
      </c>
    </row>
    <row r="1100" spans="1:48" ht="15" customHeight="1" x14ac:dyDescent="0.25">
      <c r="A1100" s="1"/>
      <c r="B1100" s="37">
        <v>14441</v>
      </c>
      <c r="C1100" s="23">
        <v>4650062590467</v>
      </c>
      <c r="D1100" s="237" t="s">
        <v>6841</v>
      </c>
      <c r="E1100" s="89">
        <v>12</v>
      </c>
      <c r="F1100" s="223"/>
      <c r="G1100" s="111">
        <v>100.7</v>
      </c>
      <c r="H1100" s="5">
        <v>104.7</v>
      </c>
      <c r="I1100" s="24">
        <v>112.8</v>
      </c>
      <c r="J1100" s="115" t="s">
        <v>599</v>
      </c>
      <c r="K1100" s="46" t="s">
        <v>96</v>
      </c>
      <c r="L1100" s="440" t="s">
        <v>3258</v>
      </c>
      <c r="M1100" s="482" t="s">
        <v>1856</v>
      </c>
      <c r="N1100" s="1002" t="s">
        <v>1856</v>
      </c>
      <c r="O1100" s="214" t="s">
        <v>3828</v>
      </c>
      <c r="P1100" s="74" t="s">
        <v>72</v>
      </c>
      <c r="Q1100" s="100">
        <f t="shared" si="566"/>
        <v>0</v>
      </c>
      <c r="R1100" s="13" t="str">
        <f t="shared" si="567"/>
        <v>Фото &gt;&gt;</v>
      </c>
      <c r="S1100" s="14" t="s">
        <v>615</v>
      </c>
      <c r="T1100" s="509"/>
      <c r="U1100" s="4"/>
      <c r="V1100" s="4"/>
      <c r="X1100" s="4"/>
      <c r="Y1100" s="4"/>
      <c r="Z1100" s="4"/>
      <c r="AA1100" s="4"/>
      <c r="AK1100">
        <v>0.06</v>
      </c>
      <c r="AL1100">
        <f t="shared" si="568"/>
        <v>0</v>
      </c>
      <c r="AM1100">
        <f t="shared" si="569"/>
        <v>0</v>
      </c>
      <c r="AN1100">
        <f t="shared" si="570"/>
        <v>0</v>
      </c>
      <c r="AO1100" t="s">
        <v>3058</v>
      </c>
      <c r="AS1100" s="298" t="s">
        <v>3792</v>
      </c>
      <c r="AV1100" t="str">
        <f>IF(F1100&gt;0,(COUNT($AV$1:AV1099)+1),"")</f>
        <v/>
      </c>
    </row>
    <row r="1101" spans="1:48" ht="15" customHeight="1" x14ac:dyDescent="0.25">
      <c r="A1101" s="1"/>
      <c r="B1101" s="795">
        <v>19133</v>
      </c>
      <c r="C1101" s="796">
        <v>4650062598814</v>
      </c>
      <c r="D1101" s="898" t="s">
        <v>7618</v>
      </c>
      <c r="E1101" s="895">
        <v>12</v>
      </c>
      <c r="F1101" s="789"/>
      <c r="G1101" s="810">
        <v>113</v>
      </c>
      <c r="H1101" s="799">
        <v>117.5</v>
      </c>
      <c r="I1101" s="800">
        <v>126.5</v>
      </c>
      <c r="J1101" s="801" t="s">
        <v>599</v>
      </c>
      <c r="K1101" s="802" t="s">
        <v>96</v>
      </c>
      <c r="L1101" s="803" t="s">
        <v>2927</v>
      </c>
      <c r="M1101" s="804" t="s">
        <v>1856</v>
      </c>
      <c r="N1101" s="1006" t="s">
        <v>1856</v>
      </c>
      <c r="O1101" s="887" t="s">
        <v>4226</v>
      </c>
      <c r="P1101" s="806" t="s">
        <v>72</v>
      </c>
      <c r="Q1101" s="100">
        <f t="shared" si="566"/>
        <v>0</v>
      </c>
      <c r="R1101" s="13" t="str">
        <f>IF(AO1101&gt;0,HYPERLINK(AO1101,"Фото &gt;&gt;"),"")</f>
        <v>Фото &gt;&gt;</v>
      </c>
      <c r="S1101" s="14" t="s">
        <v>1772</v>
      </c>
      <c r="T1101" s="509"/>
      <c r="U1101" s="4"/>
      <c r="V1101" s="4"/>
      <c r="X1101" s="4"/>
      <c r="Y1101" s="4"/>
      <c r="Z1101" s="4"/>
      <c r="AA1101" s="4"/>
      <c r="AK1101">
        <v>0.05</v>
      </c>
      <c r="AL1101">
        <f>F1101*G1101</f>
        <v>0</v>
      </c>
      <c r="AM1101">
        <f>F1101*H1101</f>
        <v>0</v>
      </c>
      <c r="AN1101">
        <f t="shared" si="570"/>
        <v>0</v>
      </c>
      <c r="AO1101" t="s">
        <v>3812</v>
      </c>
      <c r="AS1101" s="298" t="s">
        <v>3792</v>
      </c>
      <c r="AV1101" t="str">
        <f>IF(F1101&gt;0,(COUNT($AV$1:AV1100)+1),"")</f>
        <v/>
      </c>
    </row>
    <row r="1102" spans="1:48" ht="15" customHeight="1" x14ac:dyDescent="0.25">
      <c r="A1102" s="1"/>
      <c r="B1102" s="30">
        <v>19134</v>
      </c>
      <c r="C1102" s="20">
        <v>4650062598807</v>
      </c>
      <c r="D1102" s="225" t="s">
        <v>7355</v>
      </c>
      <c r="E1102" s="85">
        <v>12</v>
      </c>
      <c r="F1102" s="222"/>
      <c r="G1102" s="107">
        <v>113</v>
      </c>
      <c r="H1102" s="21">
        <v>117.5</v>
      </c>
      <c r="I1102" s="22">
        <v>126.5</v>
      </c>
      <c r="J1102" s="112" t="s">
        <v>599</v>
      </c>
      <c r="K1102" s="45" t="s">
        <v>96</v>
      </c>
      <c r="L1102" s="437" t="s">
        <v>2927</v>
      </c>
      <c r="M1102" s="474" t="s">
        <v>1856</v>
      </c>
      <c r="N1102" s="1013" t="s">
        <v>1856</v>
      </c>
      <c r="O1102" s="212" t="s">
        <v>4226</v>
      </c>
      <c r="P1102" s="66" t="s">
        <v>72</v>
      </c>
      <c r="Q1102" s="100">
        <f t="shared" si="566"/>
        <v>0</v>
      </c>
      <c r="R1102" s="13" t="str">
        <f>IF(AO1102&gt;0,HYPERLINK(AO1102,"Фото &gt;&gt;"),"")</f>
        <v>Фото &gt;&gt;</v>
      </c>
      <c r="S1102" s="14" t="s">
        <v>1771</v>
      </c>
      <c r="T1102" s="509"/>
      <c r="U1102" s="4"/>
      <c r="V1102" s="4"/>
      <c r="X1102" s="4"/>
      <c r="Y1102" s="4"/>
      <c r="Z1102" s="4"/>
      <c r="AA1102" s="4"/>
      <c r="AK1102">
        <v>0.05</v>
      </c>
      <c r="AL1102">
        <f>F1102*G1102</f>
        <v>0</v>
      </c>
      <c r="AM1102">
        <f>F1102*H1102</f>
        <v>0</v>
      </c>
      <c r="AN1102">
        <f t="shared" si="570"/>
        <v>0</v>
      </c>
      <c r="AO1102" t="s">
        <v>3813</v>
      </c>
      <c r="AS1102" s="298" t="s">
        <v>3792</v>
      </c>
      <c r="AV1102" t="str">
        <f>IF(F1102&gt;0,(COUNT($AV$1:AV1101)+1),"")</f>
        <v/>
      </c>
    </row>
    <row r="1103" spans="1:48" ht="15" customHeight="1" x14ac:dyDescent="0.25">
      <c r="A1103" s="1"/>
      <c r="B1103" s="125"/>
      <c r="C1103" s="126"/>
      <c r="D1103" s="127"/>
      <c r="E1103" s="134"/>
      <c r="F1103" s="189"/>
      <c r="G1103" s="130"/>
      <c r="H1103" s="131"/>
      <c r="I1103" s="132"/>
      <c r="J1103" s="128"/>
      <c r="K1103" s="129"/>
      <c r="L1103" s="433"/>
      <c r="M1103" s="481" t="s">
        <v>104</v>
      </c>
      <c r="N1103" s="471"/>
      <c r="O1103" s="181"/>
      <c r="P1103" s="133"/>
      <c r="Q1103" s="135"/>
      <c r="R1103" s="13"/>
      <c r="S1103" s="14"/>
      <c r="U1103" s="4"/>
      <c r="V1103" s="4"/>
      <c r="X1103" s="4"/>
      <c r="Y1103" s="4"/>
      <c r="Z1103" s="4"/>
      <c r="AA1103" s="4"/>
      <c r="AV1103" t="str">
        <f>IF(F1103&gt;0,(COUNT($AV$1:AV1102)+1),"")</f>
        <v/>
      </c>
    </row>
    <row r="1104" spans="1:48" ht="15" customHeight="1" thickBot="1" x14ac:dyDescent="0.3">
      <c r="A1104" s="1"/>
      <c r="B1104" s="136"/>
      <c r="C1104" s="137"/>
      <c r="D1104" s="138"/>
      <c r="E1104" s="145"/>
      <c r="F1104" s="190"/>
      <c r="G1104" s="141"/>
      <c r="H1104" s="142"/>
      <c r="I1104" s="143"/>
      <c r="J1104" s="139"/>
      <c r="K1104" s="140"/>
      <c r="L1104" s="434"/>
      <c r="M1104" s="477" t="s">
        <v>104</v>
      </c>
      <c r="N1104" s="468"/>
      <c r="O1104" s="182"/>
      <c r="P1104" s="144"/>
      <c r="Q1104" s="146"/>
      <c r="R1104" s="13"/>
      <c r="S1104" s="14"/>
      <c r="AV1104" t="str">
        <f>IF(F1104&gt;0,(COUNT($AV$1:AV1103)+1),"")</f>
        <v/>
      </c>
    </row>
    <row r="1105" spans="1:48" ht="24.95" customHeight="1" thickBot="1" x14ac:dyDescent="0.3">
      <c r="A1105" s="1"/>
      <c r="B1105" s="266"/>
      <c r="C1105" s="267"/>
      <c r="D1105" s="268" t="str">
        <f>CONCATENATE("ТвердоХлеб","     |     Сумма заказа: ",AK1105," руб.")</f>
        <v>ТвердоХлеб     |     Сумма заказа: 0 руб.</v>
      </c>
      <c r="E1105" s="269"/>
      <c r="F1105" s="270"/>
      <c r="G1105" s="271" t="str">
        <f>CONCATENATE("Ценовая колонка: ",AO1105,"   |   До следующей скидки: ",AJ1105," руб.")</f>
        <v>Ценовая колонка: 3   |   До следующей скидки: 5000 руб.</v>
      </c>
      <c r="H1105" s="272"/>
      <c r="I1105" s="272"/>
      <c r="J1105" s="273" t="s">
        <v>1847</v>
      </c>
      <c r="K1105" s="274"/>
      <c r="L1105" s="451"/>
      <c r="M1105" s="495" t="s">
        <v>104</v>
      </c>
      <c r="N1105" s="571"/>
      <c r="O1105" s="275"/>
      <c r="P1105" s="276"/>
      <c r="Q1105" s="277"/>
      <c r="R1105" s="265" t="s">
        <v>1558</v>
      </c>
      <c r="S1105" s="6"/>
      <c r="AJ1105">
        <f>ROUND(IF(AL1105&gt;20000,"0", IF(AND(AL1105&lt;20000,AM1105&gt;5000),20000-AL1105,5000-AM1105)),2)</f>
        <v>5000</v>
      </c>
      <c r="AK1105">
        <f>SUM(Q1107:Q1120)</f>
        <v>0</v>
      </c>
      <c r="AL1105">
        <f>SUM(AL1107:AL1120)</f>
        <v>0</v>
      </c>
      <c r="AM1105">
        <f>SUM(AM1107:AM1120)</f>
        <v>0</v>
      </c>
      <c r="AO1105">
        <f>IF(AM1105&gt;5000,IF(AL1105&gt;20000,1,2),3)</f>
        <v>3</v>
      </c>
      <c r="AV1105" t="str">
        <f>IF(F1105&gt;0,(COUNT($AV$1:AV1104)+1),"")</f>
        <v/>
      </c>
    </row>
    <row r="1106" spans="1:48" ht="15" customHeight="1" x14ac:dyDescent="0.25">
      <c r="A1106" s="1"/>
      <c r="B1106" s="297"/>
      <c r="C1106" s="283"/>
      <c r="D1106" s="284" t="s">
        <v>1865</v>
      </c>
      <c r="E1106" s="285"/>
      <c r="F1106" s="286"/>
      <c r="G1106" s="287" t="s">
        <v>15</v>
      </c>
      <c r="H1106" s="288" t="s">
        <v>16</v>
      </c>
      <c r="I1106" s="288" t="s">
        <v>221</v>
      </c>
      <c r="J1106" s="289"/>
      <c r="K1106" s="290"/>
      <c r="L1106" s="452"/>
      <c r="M1106" s="496" t="s">
        <v>104</v>
      </c>
      <c r="N1106" s="572"/>
      <c r="O1106" s="291"/>
      <c r="P1106" s="292"/>
      <c r="Q1106" s="293"/>
      <c r="R1106" s="2"/>
      <c r="S1106" s="6"/>
      <c r="AV1106" t="str">
        <f>IF(F1106&gt;0,(COUNT($AV$1:AV1105)+1),"")</f>
        <v/>
      </c>
    </row>
    <row r="1107" spans="1:48" ht="15" customHeight="1" x14ac:dyDescent="0.25">
      <c r="A1107" s="1"/>
      <c r="B1107" s="15">
        <v>20455</v>
      </c>
      <c r="C1107" s="16">
        <v>4670018921756</v>
      </c>
      <c r="D1107" s="226" t="s">
        <v>3887</v>
      </c>
      <c r="E1107" s="86" t="s">
        <v>1846</v>
      </c>
      <c r="F1107" s="222"/>
      <c r="G1107" s="108">
        <v>65.599999999999994</v>
      </c>
      <c r="H1107" s="17">
        <v>69.3</v>
      </c>
      <c r="I1107" s="18">
        <v>73.8</v>
      </c>
      <c r="J1107" s="113" t="s">
        <v>1847</v>
      </c>
      <c r="K1107" s="44" t="s">
        <v>78</v>
      </c>
      <c r="L1107" s="442"/>
      <c r="M1107" s="480" t="s">
        <v>1856</v>
      </c>
      <c r="N1107" s="1015" t="s">
        <v>1856</v>
      </c>
      <c r="O1107" s="217" t="s">
        <v>2000</v>
      </c>
      <c r="P1107" s="68" t="s">
        <v>50</v>
      </c>
      <c r="Q1107" s="100">
        <f t="shared" ref="Q1107:Q1120" si="571">IF($AO$1105=2,F1107*H1107,IF($AO$1105=1,F1107*G1107,F1107*I1107))</f>
        <v>0</v>
      </c>
      <c r="R1107" s="13" t="str">
        <f t="shared" ref="R1107:R1120" si="572">IF(AO1107&gt;0,HYPERLINK(AO1107,"Фото &gt;&gt;"),"")</f>
        <v>Фото &gt;&gt;</v>
      </c>
      <c r="S1107" s="14" t="s">
        <v>3888</v>
      </c>
      <c r="AK1107">
        <v>0.55000000000000004</v>
      </c>
      <c r="AL1107">
        <f t="shared" ref="AL1107:AL1120" si="573">F1107*G1107</f>
        <v>0</v>
      </c>
      <c r="AM1107">
        <f t="shared" ref="AM1107:AM1120" si="574">F1107*H1107</f>
        <v>0</v>
      </c>
      <c r="AN1107">
        <f t="shared" ref="AN1107:AN1113" si="575">AK1107*F1107</f>
        <v>0</v>
      </c>
      <c r="AO1107" t="s">
        <v>3889</v>
      </c>
      <c r="AV1107" t="str">
        <f>IF(F1107&gt;0,(COUNT($AV$1:AV1106)+1),"")</f>
        <v/>
      </c>
    </row>
    <row r="1108" spans="1:48" ht="15" customHeight="1" x14ac:dyDescent="0.25">
      <c r="A1108" s="1"/>
      <c r="B1108" s="19">
        <v>19462</v>
      </c>
      <c r="C1108" s="20">
        <v>4670018921602</v>
      </c>
      <c r="D1108" s="153" t="s">
        <v>1837</v>
      </c>
      <c r="E1108" s="85" t="s">
        <v>1846</v>
      </c>
      <c r="F1108" s="222"/>
      <c r="G1108" s="107">
        <v>93.8</v>
      </c>
      <c r="H1108" s="21">
        <v>98</v>
      </c>
      <c r="I1108" s="22">
        <v>103</v>
      </c>
      <c r="J1108" s="112" t="s">
        <v>1847</v>
      </c>
      <c r="K1108" s="45" t="s">
        <v>78</v>
      </c>
      <c r="L1108" s="437"/>
      <c r="M1108" s="474" t="s">
        <v>1856</v>
      </c>
      <c r="N1108" s="1013" t="s">
        <v>1856</v>
      </c>
      <c r="O1108" s="212" t="s">
        <v>2000</v>
      </c>
      <c r="P1108" s="66" t="s">
        <v>72</v>
      </c>
      <c r="Q1108" s="100">
        <f t="shared" si="571"/>
        <v>0</v>
      </c>
      <c r="R1108" s="13" t="str">
        <f t="shared" ref="R1108" si="576">IF(AO1108&gt;0,HYPERLINK(AO1108,"Фото &gt;&gt;"),"")</f>
        <v>Фото &gt;&gt;</v>
      </c>
      <c r="S1108" s="14" t="s">
        <v>3506</v>
      </c>
      <c r="AK1108">
        <v>0.55000000000000004</v>
      </c>
      <c r="AL1108">
        <f t="shared" ref="AL1108" si="577">F1108*G1108</f>
        <v>0</v>
      </c>
      <c r="AM1108">
        <f t="shared" ref="AM1108" si="578">F1108*H1108</f>
        <v>0</v>
      </c>
      <c r="AN1108">
        <f t="shared" ref="AN1108" si="579">AK1108*F1108</f>
        <v>0</v>
      </c>
      <c r="AO1108" t="s">
        <v>3516</v>
      </c>
      <c r="AV1108" t="str">
        <f>IF(F1108&gt;0,(COUNT($AV$1:AV1107)+1),"")</f>
        <v/>
      </c>
    </row>
    <row r="1109" spans="1:48" ht="15" customHeight="1" x14ac:dyDescent="0.25">
      <c r="A1109" s="1"/>
      <c r="B1109" s="15">
        <v>19461</v>
      </c>
      <c r="C1109" s="16">
        <v>4670018921299</v>
      </c>
      <c r="D1109" s="154" t="s">
        <v>1838</v>
      </c>
      <c r="E1109" s="86" t="s">
        <v>1846</v>
      </c>
      <c r="F1109" s="222"/>
      <c r="G1109" s="108">
        <v>93.8</v>
      </c>
      <c r="H1109" s="17">
        <v>98</v>
      </c>
      <c r="I1109" s="18">
        <v>103</v>
      </c>
      <c r="J1109" s="113" t="s">
        <v>1847</v>
      </c>
      <c r="K1109" s="44" t="s">
        <v>78</v>
      </c>
      <c r="L1109" s="442"/>
      <c r="M1109" s="480" t="s">
        <v>1856</v>
      </c>
      <c r="N1109" s="1015" t="s">
        <v>1856</v>
      </c>
      <c r="O1109" s="217" t="s">
        <v>2000</v>
      </c>
      <c r="P1109" s="68" t="s">
        <v>72</v>
      </c>
      <c r="Q1109" s="100">
        <f t="shared" si="571"/>
        <v>0</v>
      </c>
      <c r="R1109" s="13" t="str">
        <f t="shared" si="572"/>
        <v>Фото &gt;&gt;</v>
      </c>
      <c r="S1109" s="14" t="s">
        <v>3507</v>
      </c>
      <c r="AK1109">
        <v>0.55000000000000004</v>
      </c>
      <c r="AL1109">
        <f t="shared" si="573"/>
        <v>0</v>
      </c>
      <c r="AM1109">
        <f t="shared" si="574"/>
        <v>0</v>
      </c>
      <c r="AN1109">
        <f t="shared" si="575"/>
        <v>0</v>
      </c>
      <c r="AO1109" t="s">
        <v>3501</v>
      </c>
      <c r="AV1109" t="str">
        <f>IF(F1109&gt;0,(COUNT($AV$1:AV1108)+1),"")</f>
        <v/>
      </c>
    </row>
    <row r="1110" spans="1:48" ht="15" customHeight="1" x14ac:dyDescent="0.25">
      <c r="A1110" s="1"/>
      <c r="B1110" s="19">
        <v>19457</v>
      </c>
      <c r="C1110" s="20">
        <v>4670018920452</v>
      </c>
      <c r="D1110" s="153" t="s">
        <v>1839</v>
      </c>
      <c r="E1110" s="85" t="s">
        <v>1846</v>
      </c>
      <c r="F1110" s="222"/>
      <c r="G1110" s="107">
        <v>62.5</v>
      </c>
      <c r="H1110" s="21">
        <v>65.5</v>
      </c>
      <c r="I1110" s="22">
        <v>70</v>
      </c>
      <c r="J1110" s="112" t="s">
        <v>1847</v>
      </c>
      <c r="K1110" s="45" t="s">
        <v>78</v>
      </c>
      <c r="L1110" s="437"/>
      <c r="M1110" s="474" t="s">
        <v>1856</v>
      </c>
      <c r="N1110" s="1013" t="s">
        <v>1856</v>
      </c>
      <c r="O1110" s="212" t="s">
        <v>2000</v>
      </c>
      <c r="P1110" s="66" t="s">
        <v>53</v>
      </c>
      <c r="Q1110" s="100">
        <f t="shared" si="571"/>
        <v>0</v>
      </c>
      <c r="R1110" s="13" t="str">
        <f t="shared" si="572"/>
        <v>Фото &gt;&gt;</v>
      </c>
      <c r="S1110" s="14" t="s">
        <v>3508</v>
      </c>
      <c r="AK1110">
        <v>0.55000000000000004</v>
      </c>
      <c r="AL1110">
        <f t="shared" si="573"/>
        <v>0</v>
      </c>
      <c r="AM1110">
        <f t="shared" si="574"/>
        <v>0</v>
      </c>
      <c r="AN1110">
        <f t="shared" si="575"/>
        <v>0</v>
      </c>
      <c r="AO1110" t="s">
        <v>3518</v>
      </c>
      <c r="AP1110" s="520"/>
      <c r="AV1110" t="str">
        <f>IF(F1110&gt;0,(COUNT($AV$1:AV1109)+1),"")</f>
        <v/>
      </c>
    </row>
    <row r="1111" spans="1:48" ht="15" customHeight="1" x14ac:dyDescent="0.25">
      <c r="A1111" s="1"/>
      <c r="B1111" s="15">
        <v>19460</v>
      </c>
      <c r="C1111" s="16">
        <v>4670018920483</v>
      </c>
      <c r="D1111" s="154" t="s">
        <v>1840</v>
      </c>
      <c r="E1111" s="86" t="s">
        <v>1846</v>
      </c>
      <c r="F1111" s="222"/>
      <c r="G1111" s="108">
        <v>87.5</v>
      </c>
      <c r="H1111" s="17">
        <v>91</v>
      </c>
      <c r="I1111" s="18">
        <v>96</v>
      </c>
      <c r="J1111" s="113" t="s">
        <v>1847</v>
      </c>
      <c r="K1111" s="44" t="s">
        <v>78</v>
      </c>
      <c r="L1111" s="442"/>
      <c r="M1111" s="480" t="s">
        <v>1856</v>
      </c>
      <c r="N1111" s="1015" t="s">
        <v>1856</v>
      </c>
      <c r="O1111" s="217" t="s">
        <v>2000</v>
      </c>
      <c r="P1111" s="68" t="s">
        <v>72</v>
      </c>
      <c r="Q1111" s="100">
        <f t="shared" si="571"/>
        <v>0</v>
      </c>
      <c r="R1111" s="13" t="str">
        <f t="shared" si="572"/>
        <v>Фото &gt;&gt;</v>
      </c>
      <c r="S1111" s="14" t="s">
        <v>3509</v>
      </c>
      <c r="AK1111">
        <v>0.55000000000000004</v>
      </c>
      <c r="AL1111">
        <f t="shared" si="573"/>
        <v>0</v>
      </c>
      <c r="AM1111">
        <f t="shared" si="574"/>
        <v>0</v>
      </c>
      <c r="AN1111">
        <f t="shared" si="575"/>
        <v>0</v>
      </c>
      <c r="AO1111" t="s">
        <v>3515</v>
      </c>
      <c r="AV1111" t="str">
        <f>IF(F1111&gt;0,(COUNT($AV$1:AV1110)+1),"")</f>
        <v/>
      </c>
    </row>
    <row r="1112" spans="1:48" ht="15" customHeight="1" x14ac:dyDescent="0.25">
      <c r="A1112" s="1"/>
      <c r="B1112" s="19">
        <v>19459</v>
      </c>
      <c r="C1112" s="20">
        <v>4670018920438</v>
      </c>
      <c r="D1112" s="153" t="s">
        <v>1841</v>
      </c>
      <c r="E1112" s="85" t="s">
        <v>1846</v>
      </c>
      <c r="F1112" s="222"/>
      <c r="G1112" s="107">
        <v>77.5</v>
      </c>
      <c r="H1112" s="21">
        <v>80.599999999999994</v>
      </c>
      <c r="I1112" s="22">
        <v>85</v>
      </c>
      <c r="J1112" s="112" t="s">
        <v>1847</v>
      </c>
      <c r="K1112" s="45" t="s">
        <v>78</v>
      </c>
      <c r="L1112" s="437"/>
      <c r="M1112" s="474" t="s">
        <v>1856</v>
      </c>
      <c r="N1112" s="1013" t="s">
        <v>1856</v>
      </c>
      <c r="O1112" s="212" t="s">
        <v>2000</v>
      </c>
      <c r="P1112" s="66" t="s">
        <v>72</v>
      </c>
      <c r="Q1112" s="100">
        <f t="shared" si="571"/>
        <v>0</v>
      </c>
      <c r="R1112" s="13" t="str">
        <f t="shared" si="572"/>
        <v>Фото &gt;&gt;</v>
      </c>
      <c r="S1112" s="14" t="s">
        <v>3510</v>
      </c>
      <c r="AK1112">
        <v>0.55000000000000004</v>
      </c>
      <c r="AL1112">
        <f t="shared" si="573"/>
        <v>0</v>
      </c>
      <c r="AM1112">
        <f t="shared" si="574"/>
        <v>0</v>
      </c>
      <c r="AN1112">
        <f t="shared" si="575"/>
        <v>0</v>
      </c>
      <c r="AO1112" t="s">
        <v>3514</v>
      </c>
      <c r="AV1112" t="str">
        <f>IF(F1112&gt;0,(COUNT($AV$1:AV1111)+1),"")</f>
        <v/>
      </c>
    </row>
    <row r="1113" spans="1:48" ht="15" customHeight="1" x14ac:dyDescent="0.25">
      <c r="A1113" s="1"/>
      <c r="B1113" s="15">
        <v>19458</v>
      </c>
      <c r="C1113" s="16">
        <v>4670018920445</v>
      </c>
      <c r="D1113" s="154" t="s">
        <v>1842</v>
      </c>
      <c r="E1113" s="86" t="s">
        <v>1846</v>
      </c>
      <c r="F1113" s="222"/>
      <c r="G1113" s="108">
        <v>93.6</v>
      </c>
      <c r="H1113" s="17">
        <v>98.2</v>
      </c>
      <c r="I1113" s="18">
        <v>105</v>
      </c>
      <c r="J1113" s="113" t="s">
        <v>1847</v>
      </c>
      <c r="K1113" s="44" t="s">
        <v>78</v>
      </c>
      <c r="L1113" s="442"/>
      <c r="M1113" s="480" t="s">
        <v>1856</v>
      </c>
      <c r="N1113" s="1015" t="s">
        <v>1856</v>
      </c>
      <c r="O1113" s="217" t="s">
        <v>2000</v>
      </c>
      <c r="P1113" s="68" t="s">
        <v>72</v>
      </c>
      <c r="Q1113" s="100">
        <f t="shared" si="571"/>
        <v>0</v>
      </c>
      <c r="R1113" s="13" t="str">
        <f t="shared" si="572"/>
        <v>Фото &gt;&gt;</v>
      </c>
      <c r="S1113" s="14" t="s">
        <v>3511</v>
      </c>
      <c r="AK1113">
        <v>0.55000000000000004</v>
      </c>
      <c r="AL1113">
        <f t="shared" si="573"/>
        <v>0</v>
      </c>
      <c r="AM1113">
        <f t="shared" si="574"/>
        <v>0</v>
      </c>
      <c r="AN1113">
        <f t="shared" si="575"/>
        <v>0</v>
      </c>
      <c r="AO1113" t="s">
        <v>3512</v>
      </c>
      <c r="AV1113" t="str">
        <f>IF(F1113&gt;0,(COUNT($AV$1:AV1112)+1),"")</f>
        <v/>
      </c>
    </row>
    <row r="1114" spans="1:48" ht="15" customHeight="1" x14ac:dyDescent="0.25">
      <c r="A1114" s="1"/>
      <c r="B1114" s="19">
        <v>19455</v>
      </c>
      <c r="C1114" s="20">
        <v>4670018921060</v>
      </c>
      <c r="D1114" s="264" t="s">
        <v>1862</v>
      </c>
      <c r="E1114" s="85">
        <v>6</v>
      </c>
      <c r="F1114" s="222"/>
      <c r="G1114" s="107">
        <v>60</v>
      </c>
      <c r="H1114" s="21">
        <v>62.4</v>
      </c>
      <c r="I1114" s="22">
        <v>65</v>
      </c>
      <c r="J1114" s="112" t="s">
        <v>1847</v>
      </c>
      <c r="K1114" s="45" t="s">
        <v>78</v>
      </c>
      <c r="L1114" s="437"/>
      <c r="M1114" s="474" t="s">
        <v>1856</v>
      </c>
      <c r="N1114" s="1013" t="s">
        <v>1856</v>
      </c>
      <c r="O1114" s="212" t="s">
        <v>2000</v>
      </c>
      <c r="P1114" s="66" t="s">
        <v>72</v>
      </c>
      <c r="Q1114" s="100">
        <f t="shared" si="571"/>
        <v>0</v>
      </c>
      <c r="R1114" s="13" t="str">
        <f t="shared" si="572"/>
        <v>Фото &gt;&gt;</v>
      </c>
      <c r="S1114" s="14" t="s">
        <v>3502</v>
      </c>
      <c r="AK1114">
        <v>1.05</v>
      </c>
      <c r="AL1114">
        <f t="shared" si="573"/>
        <v>0</v>
      </c>
      <c r="AM1114">
        <f t="shared" si="574"/>
        <v>0</v>
      </c>
      <c r="AN1114">
        <f t="shared" ref="AN1114:AN1120" si="580">AK1114*F1114+IF(E1114&gt;1.01,F1114/E1114*0.2,0)</f>
        <v>0</v>
      </c>
      <c r="AO1114" t="s">
        <v>3520</v>
      </c>
      <c r="AV1114" t="str">
        <f>IF(F1114&gt;0,(COUNT($AV$1:AV1113)+1),"")</f>
        <v/>
      </c>
    </row>
    <row r="1115" spans="1:48" ht="15" customHeight="1" x14ac:dyDescent="0.25">
      <c r="A1115" s="1"/>
      <c r="B1115" s="15">
        <v>19456</v>
      </c>
      <c r="C1115" s="16">
        <v>4670018921459</v>
      </c>
      <c r="D1115" s="385" t="s">
        <v>1863</v>
      </c>
      <c r="E1115" s="86">
        <v>6</v>
      </c>
      <c r="F1115" s="222"/>
      <c r="G1115" s="108">
        <v>58.5</v>
      </c>
      <c r="H1115" s="17">
        <v>61</v>
      </c>
      <c r="I1115" s="18">
        <v>65</v>
      </c>
      <c r="J1115" s="113" t="s">
        <v>1847</v>
      </c>
      <c r="K1115" s="44" t="s">
        <v>78</v>
      </c>
      <c r="L1115" s="442"/>
      <c r="M1115" s="480" t="s">
        <v>1856</v>
      </c>
      <c r="N1115" s="1015" t="s">
        <v>1856</v>
      </c>
      <c r="O1115" s="217" t="s">
        <v>2000</v>
      </c>
      <c r="P1115" s="68" t="s">
        <v>72</v>
      </c>
      <c r="Q1115" s="100">
        <f t="shared" si="571"/>
        <v>0</v>
      </c>
      <c r="R1115" s="13" t="str">
        <f t="shared" si="572"/>
        <v>Фото &gt;&gt;</v>
      </c>
      <c r="S1115" s="14" t="s">
        <v>3503</v>
      </c>
      <c r="AK1115">
        <v>1.05</v>
      </c>
      <c r="AL1115">
        <f t="shared" si="573"/>
        <v>0</v>
      </c>
      <c r="AM1115">
        <f t="shared" si="574"/>
        <v>0</v>
      </c>
      <c r="AN1115">
        <f t="shared" si="580"/>
        <v>0</v>
      </c>
      <c r="AO1115" t="s">
        <v>3521</v>
      </c>
      <c r="AV1115" t="str">
        <f>IF(F1115&gt;0,(COUNT($AV$1:AV1114)+1),"")</f>
        <v/>
      </c>
    </row>
    <row r="1116" spans="1:48" ht="15" customHeight="1" x14ac:dyDescent="0.25">
      <c r="A1116" s="1"/>
      <c r="B1116" s="19">
        <v>19453</v>
      </c>
      <c r="C1116" s="20">
        <v>4670018920018</v>
      </c>
      <c r="D1116" s="264" t="s">
        <v>1872</v>
      </c>
      <c r="E1116" s="85">
        <v>6</v>
      </c>
      <c r="F1116" s="222"/>
      <c r="G1116" s="107">
        <v>74</v>
      </c>
      <c r="H1116" s="21">
        <v>78</v>
      </c>
      <c r="I1116" s="22">
        <v>83</v>
      </c>
      <c r="J1116" s="112" t="s">
        <v>1847</v>
      </c>
      <c r="K1116" s="45" t="s">
        <v>78</v>
      </c>
      <c r="L1116" s="437"/>
      <c r="M1116" s="474" t="s">
        <v>1856</v>
      </c>
      <c r="N1116" s="1013" t="s">
        <v>1856</v>
      </c>
      <c r="O1116" s="212" t="s">
        <v>2000</v>
      </c>
      <c r="P1116" s="66" t="s">
        <v>72</v>
      </c>
      <c r="Q1116" s="100">
        <f t="shared" si="571"/>
        <v>0</v>
      </c>
      <c r="R1116" s="13" t="str">
        <f t="shared" si="572"/>
        <v>Фото &gt;&gt;</v>
      </c>
      <c r="S1116" s="14" t="s">
        <v>3504</v>
      </c>
      <c r="AK1116">
        <v>1.05</v>
      </c>
      <c r="AL1116">
        <f t="shared" si="573"/>
        <v>0</v>
      </c>
      <c r="AM1116">
        <f t="shared" si="574"/>
        <v>0</v>
      </c>
      <c r="AN1116">
        <f t="shared" si="580"/>
        <v>0</v>
      </c>
      <c r="AO1116" t="s">
        <v>3519</v>
      </c>
      <c r="AV1116" t="str">
        <f>IF(F1116&gt;0,(COUNT($AV$1:AV1115)+1),"")</f>
        <v/>
      </c>
    </row>
    <row r="1117" spans="1:48" ht="15" customHeight="1" x14ac:dyDescent="0.25">
      <c r="A1117" s="1"/>
      <c r="B1117" s="15">
        <v>20456</v>
      </c>
      <c r="C1117" s="16">
        <v>4670018921671</v>
      </c>
      <c r="D1117" s="226" t="s">
        <v>4084</v>
      </c>
      <c r="E1117" s="86">
        <v>6</v>
      </c>
      <c r="F1117" s="222"/>
      <c r="G1117" s="108">
        <v>72</v>
      </c>
      <c r="H1117" s="17">
        <v>76</v>
      </c>
      <c r="I1117" s="18">
        <v>83</v>
      </c>
      <c r="J1117" s="113" t="s">
        <v>1847</v>
      </c>
      <c r="K1117" s="44" t="s">
        <v>78</v>
      </c>
      <c r="L1117" s="442"/>
      <c r="M1117" s="480" t="s">
        <v>1856</v>
      </c>
      <c r="N1117" s="1015" t="s">
        <v>1856</v>
      </c>
      <c r="O1117" s="217" t="s">
        <v>2000</v>
      </c>
      <c r="P1117" s="68" t="s">
        <v>72</v>
      </c>
      <c r="Q1117" s="100">
        <f t="shared" si="571"/>
        <v>0</v>
      </c>
      <c r="R1117" s="13" t="str">
        <f t="shared" si="572"/>
        <v>Фото &gt;&gt;</v>
      </c>
      <c r="S1117" s="14" t="s">
        <v>3890</v>
      </c>
      <c r="AK1117">
        <v>0.55000000000000004</v>
      </c>
      <c r="AL1117">
        <f t="shared" ref="AL1117:AL1118" si="581">F1117*G1117</f>
        <v>0</v>
      </c>
      <c r="AM1117">
        <f t="shared" ref="AM1117:AM1118" si="582">F1117*H1117</f>
        <v>0</v>
      </c>
      <c r="AN1117">
        <f t="shared" ref="AN1117:AN1118" si="583">AK1117*F1117+IF(E1117&gt;1.01,F1117/E1117*0.2,0)</f>
        <v>0</v>
      </c>
      <c r="AO1117" t="s">
        <v>3891</v>
      </c>
      <c r="AV1117" t="str">
        <f>IF(F1117&gt;0,(COUNT($AV$1:AV1116)+1),"")</f>
        <v/>
      </c>
    </row>
    <row r="1118" spans="1:48" ht="15" customHeight="1" x14ac:dyDescent="0.25">
      <c r="A1118" s="1"/>
      <c r="B1118" s="19">
        <v>19454</v>
      </c>
      <c r="C1118" s="20">
        <v>4670018920025</v>
      </c>
      <c r="D1118" s="264" t="s">
        <v>1843</v>
      </c>
      <c r="E1118" s="85">
        <v>6</v>
      </c>
      <c r="F1118" s="222"/>
      <c r="G1118" s="107">
        <v>78.8</v>
      </c>
      <c r="H1118" s="21">
        <v>82</v>
      </c>
      <c r="I1118" s="22">
        <v>86</v>
      </c>
      <c r="J1118" s="112" t="s">
        <v>1847</v>
      </c>
      <c r="K1118" s="45" t="s">
        <v>78</v>
      </c>
      <c r="L1118" s="437"/>
      <c r="M1118" s="474" t="s">
        <v>1856</v>
      </c>
      <c r="N1118" s="1013" t="s">
        <v>1856</v>
      </c>
      <c r="O1118" s="212" t="s">
        <v>2000</v>
      </c>
      <c r="P1118" s="66" t="s">
        <v>72</v>
      </c>
      <c r="Q1118" s="100">
        <f t="shared" si="571"/>
        <v>0</v>
      </c>
      <c r="R1118" s="13" t="str">
        <f t="shared" si="572"/>
        <v>Фото &gt;&gt;</v>
      </c>
      <c r="S1118" s="14" t="s">
        <v>3504</v>
      </c>
      <c r="AK1118">
        <v>1.05</v>
      </c>
      <c r="AL1118">
        <f t="shared" si="581"/>
        <v>0</v>
      </c>
      <c r="AM1118">
        <f t="shared" si="582"/>
        <v>0</v>
      </c>
      <c r="AN1118">
        <f t="shared" si="583"/>
        <v>0</v>
      </c>
      <c r="AO1118" t="s">
        <v>3517</v>
      </c>
      <c r="AV1118" t="str">
        <f>IF(F1118&gt;0,(COUNT($AV$1:AV1117)+1),"")</f>
        <v/>
      </c>
    </row>
    <row r="1119" spans="1:48" ht="15" customHeight="1" x14ac:dyDescent="0.25">
      <c r="A1119" s="1"/>
      <c r="B1119" s="15">
        <v>19452</v>
      </c>
      <c r="C1119" s="16">
        <v>4670018920049</v>
      </c>
      <c r="D1119" s="385" t="s">
        <v>1844</v>
      </c>
      <c r="E1119" s="86">
        <v>6</v>
      </c>
      <c r="F1119" s="222"/>
      <c r="G1119" s="108">
        <v>71</v>
      </c>
      <c r="H1119" s="17">
        <v>74</v>
      </c>
      <c r="I1119" s="18">
        <v>78</v>
      </c>
      <c r="J1119" s="113" t="s">
        <v>1847</v>
      </c>
      <c r="K1119" s="44" t="s">
        <v>78</v>
      </c>
      <c r="L1119" s="442"/>
      <c r="M1119" s="480" t="s">
        <v>1856</v>
      </c>
      <c r="N1119" s="1015" t="s">
        <v>1856</v>
      </c>
      <c r="O1119" s="217" t="s">
        <v>2000</v>
      </c>
      <c r="P1119" s="68" t="s">
        <v>72</v>
      </c>
      <c r="Q1119" s="100">
        <f t="shared" si="571"/>
        <v>0</v>
      </c>
      <c r="R1119" s="13" t="str">
        <f t="shared" si="572"/>
        <v>Фото &gt;&gt;</v>
      </c>
      <c r="S1119" s="14" t="s">
        <v>3505</v>
      </c>
      <c r="AK1119">
        <v>1.05</v>
      </c>
      <c r="AL1119">
        <f t="shared" si="573"/>
        <v>0</v>
      </c>
      <c r="AM1119">
        <f t="shared" si="574"/>
        <v>0</v>
      </c>
      <c r="AN1119">
        <f t="shared" si="580"/>
        <v>0</v>
      </c>
      <c r="AO1119" t="s">
        <v>3513</v>
      </c>
      <c r="AV1119" t="str">
        <f>IF(F1119&gt;0,(COUNT($AV$1:AV1118)+1),"")</f>
        <v/>
      </c>
    </row>
    <row r="1120" spans="1:48" ht="15" customHeight="1" x14ac:dyDescent="0.25">
      <c r="A1120" s="1"/>
      <c r="B1120" s="19">
        <v>19451</v>
      </c>
      <c r="C1120" s="20">
        <v>4670018920032</v>
      </c>
      <c r="D1120" s="264" t="s">
        <v>1845</v>
      </c>
      <c r="E1120" s="85">
        <v>6</v>
      </c>
      <c r="F1120" s="222"/>
      <c r="G1120" s="107">
        <v>66.5</v>
      </c>
      <c r="H1120" s="21">
        <v>69.5</v>
      </c>
      <c r="I1120" s="22">
        <v>73</v>
      </c>
      <c r="J1120" s="112" t="s">
        <v>1847</v>
      </c>
      <c r="K1120" s="45" t="s">
        <v>78</v>
      </c>
      <c r="L1120" s="437"/>
      <c r="M1120" s="474" t="s">
        <v>1856</v>
      </c>
      <c r="N1120" s="1013" t="s">
        <v>1856</v>
      </c>
      <c r="O1120" s="212" t="s">
        <v>2000</v>
      </c>
      <c r="P1120" s="66" t="s">
        <v>72</v>
      </c>
      <c r="Q1120" s="100">
        <f t="shared" si="571"/>
        <v>0</v>
      </c>
      <c r="R1120" s="13" t="str">
        <f t="shared" si="572"/>
        <v>Фото &gt;&gt;</v>
      </c>
      <c r="S1120" s="14" t="s">
        <v>3505</v>
      </c>
      <c r="AK1120">
        <v>1.05</v>
      </c>
      <c r="AL1120">
        <f t="shared" si="573"/>
        <v>0</v>
      </c>
      <c r="AM1120">
        <f t="shared" si="574"/>
        <v>0</v>
      </c>
      <c r="AN1120">
        <f t="shared" si="580"/>
        <v>0</v>
      </c>
      <c r="AO1120" t="s">
        <v>3522</v>
      </c>
      <c r="AV1120" t="str">
        <f>IF(F1120&gt;0,(COUNT($AV$1:AV1119)+1),"")</f>
        <v/>
      </c>
    </row>
    <row r="1121" spans="1:48" ht="15" customHeight="1" x14ac:dyDescent="0.25">
      <c r="A1121" s="1"/>
      <c r="B1121" s="125"/>
      <c r="C1121" s="126"/>
      <c r="D1121" s="127"/>
      <c r="E1121" s="134"/>
      <c r="F1121" s="189"/>
      <c r="G1121" s="130"/>
      <c r="H1121" s="131"/>
      <c r="I1121" s="132"/>
      <c r="J1121" s="128"/>
      <c r="K1121" s="129"/>
      <c r="L1121" s="433"/>
      <c r="M1121" s="481" t="s">
        <v>104</v>
      </c>
      <c r="N1121" s="471"/>
      <c r="O1121" s="181"/>
      <c r="P1121" s="133"/>
      <c r="Q1121" s="135"/>
      <c r="R1121" s="13"/>
      <c r="S1121" s="14"/>
      <c r="AV1121" t="str">
        <f>IF(F1121&gt;0,(COUNT($AV$1:AV1120)+1),"")</f>
        <v/>
      </c>
    </row>
    <row r="1122" spans="1:48" ht="15" customHeight="1" thickBot="1" x14ac:dyDescent="0.3">
      <c r="A1122" s="1"/>
      <c r="B1122" s="158"/>
      <c r="C1122" s="159"/>
      <c r="D1122" s="160"/>
      <c r="E1122" s="167"/>
      <c r="F1122" s="191"/>
      <c r="G1122" s="163"/>
      <c r="H1122" s="164"/>
      <c r="I1122" s="165"/>
      <c r="J1122" s="161"/>
      <c r="K1122" s="162"/>
      <c r="L1122" s="439"/>
      <c r="M1122" s="475" t="s">
        <v>104</v>
      </c>
      <c r="N1122" s="467"/>
      <c r="O1122" s="183"/>
      <c r="P1122" s="166"/>
      <c r="Q1122" s="168"/>
      <c r="R1122" s="13"/>
      <c r="S1122" s="14"/>
      <c r="AV1122" t="str">
        <f>IF(F1122&gt;0,(COUNT($AV$1:AV1121)+1),"")</f>
        <v/>
      </c>
    </row>
    <row r="1123" spans="1:48" ht="24.95" customHeight="1" thickBot="1" x14ac:dyDescent="0.3">
      <c r="A1123" s="1"/>
      <c r="B1123" s="169"/>
      <c r="C1123" s="170"/>
      <c r="D1123" s="171" t="str">
        <f>CONCATENATE("Древо Жизни","     |     Сумма заказа: ",AK1123," руб.")</f>
        <v>Древо Жизни     |     Сумма заказа: 0 руб.</v>
      </c>
      <c r="E1123" s="176"/>
      <c r="F1123" s="177"/>
      <c r="G1123" s="180" t="str">
        <f>CONCATENATE("Ценовая колонка: ",AO1123,"   |   До следующей скидки: ",AJ1123," руб.")</f>
        <v>Ценовая колонка: 3   |   До следующей скидки: 5000 руб.</v>
      </c>
      <c r="H1123" s="174"/>
      <c r="I1123" s="174"/>
      <c r="J1123" s="172" t="s">
        <v>341</v>
      </c>
      <c r="K1123" s="173"/>
      <c r="L1123" s="444"/>
      <c r="M1123" s="486" t="s">
        <v>104</v>
      </c>
      <c r="N1123" s="717"/>
      <c r="O1123" s="184"/>
      <c r="P1123" s="175"/>
      <c r="Q1123" s="178"/>
      <c r="R1123" s="179" t="s">
        <v>1558</v>
      </c>
      <c r="S1123" s="14"/>
      <c r="AJ1123">
        <f>ROUND(IF(AL1123&gt;20000,"0", IF(AND(AL1123&lt;20000,AM1123&gt;5000),20000-AL1123,5000-AM1123)),2)</f>
        <v>5000</v>
      </c>
      <c r="AK1123">
        <f>SUM(Q1125:Q1161)</f>
        <v>0</v>
      </c>
      <c r="AL1123">
        <f>SUM(AL1125:AL1161)</f>
        <v>0</v>
      </c>
      <c r="AM1123">
        <f>SUM(AM1125:AM1161)</f>
        <v>0</v>
      </c>
      <c r="AO1123">
        <f>IF(AM1123&gt;5000,IF(AL1123&gt;20000,1,2),3)</f>
        <v>3</v>
      </c>
      <c r="AV1123" t="str">
        <f>IF(F1123&gt;0,(COUNT($AV$1:AV1122)+1),"")</f>
        <v/>
      </c>
    </row>
    <row r="1124" spans="1:48" ht="15" customHeight="1" x14ac:dyDescent="0.25">
      <c r="A1124" s="1"/>
      <c r="B1124" s="296"/>
      <c r="C1124" s="38"/>
      <c r="D1124" s="39" t="s">
        <v>48</v>
      </c>
      <c r="E1124" s="82"/>
      <c r="F1124" s="97"/>
      <c r="G1124" s="40" t="s">
        <v>15</v>
      </c>
      <c r="H1124" s="41" t="s">
        <v>16</v>
      </c>
      <c r="I1124" s="41" t="s">
        <v>221</v>
      </c>
      <c r="J1124" s="52"/>
      <c r="K1124" s="48"/>
      <c r="L1124" s="448"/>
      <c r="M1124" s="491" t="s">
        <v>104</v>
      </c>
      <c r="N1124" s="715"/>
      <c r="O1124" s="187"/>
      <c r="P1124" s="81"/>
      <c r="Q1124" s="105"/>
      <c r="R1124" s="13"/>
      <c r="S1124" s="14"/>
      <c r="AV1124" t="str">
        <f>IF(F1124&gt;0,(COUNT($AV$1:AV1123)+1),"")</f>
        <v/>
      </c>
    </row>
    <row r="1125" spans="1:48" ht="15" customHeight="1" x14ac:dyDescent="0.25">
      <c r="A1125" s="1"/>
      <c r="B1125" s="31">
        <v>15405</v>
      </c>
      <c r="C1125" s="16">
        <v>4607953271073</v>
      </c>
      <c r="D1125" s="154" t="s">
        <v>343</v>
      </c>
      <c r="E1125" s="69">
        <v>20</v>
      </c>
      <c r="F1125" s="222"/>
      <c r="G1125" s="108">
        <v>246.4</v>
      </c>
      <c r="H1125" s="17">
        <v>258</v>
      </c>
      <c r="I1125" s="18">
        <v>285</v>
      </c>
      <c r="J1125" s="113" t="s">
        <v>341</v>
      </c>
      <c r="K1125" s="44" t="s">
        <v>49</v>
      </c>
      <c r="L1125" s="442"/>
      <c r="M1125" s="480" t="s">
        <v>1856</v>
      </c>
      <c r="N1125" s="1015" t="s">
        <v>1856</v>
      </c>
      <c r="O1125" s="217"/>
      <c r="P1125" s="68" t="s">
        <v>72</v>
      </c>
      <c r="Q1125" s="100">
        <f t="shared" ref="Q1125:Q1136" si="584">IF($AO$1123=2,F1125*H1125,IF($AO$1123=1,F1125*G1125,F1125*I1125))</f>
        <v>0</v>
      </c>
      <c r="R1125" s="13" t="str">
        <f t="shared" si="450"/>
        <v>Фото &gt;&gt;</v>
      </c>
      <c r="S1125" s="14" t="s">
        <v>344</v>
      </c>
      <c r="AK1125">
        <v>0.22</v>
      </c>
      <c r="AL1125">
        <f t="shared" ref="AL1125:AL1150" si="585">F1125*G1125</f>
        <v>0</v>
      </c>
      <c r="AM1125">
        <f t="shared" ref="AM1125:AM1150" si="586">F1125*H1125</f>
        <v>0</v>
      </c>
      <c r="AN1125">
        <f t="shared" ref="AN1125:AN1150" si="587">AK1125*F1125+IF(E1125&gt;1.01,F1125/E1125*0.2,0)</f>
        <v>0</v>
      </c>
      <c r="AO1125" t="s">
        <v>3303</v>
      </c>
      <c r="AV1125" t="str">
        <f>IF(F1125&gt;0,(COUNT($AV$1:AV1124)+1),"")</f>
        <v/>
      </c>
    </row>
    <row r="1126" spans="1:48" ht="15" customHeight="1" x14ac:dyDescent="0.25">
      <c r="A1126" s="1"/>
      <c r="B1126" s="30">
        <v>15407</v>
      </c>
      <c r="C1126" s="20">
        <v>4603726179256</v>
      </c>
      <c r="D1126" s="153" t="s">
        <v>345</v>
      </c>
      <c r="E1126" s="67">
        <v>20</v>
      </c>
      <c r="F1126" s="222"/>
      <c r="G1126" s="107">
        <v>279.5</v>
      </c>
      <c r="H1126" s="21">
        <v>293</v>
      </c>
      <c r="I1126" s="22">
        <v>323</v>
      </c>
      <c r="J1126" s="112" t="s">
        <v>341</v>
      </c>
      <c r="K1126" s="45" t="s">
        <v>49</v>
      </c>
      <c r="L1126" s="437"/>
      <c r="M1126" s="474" t="s">
        <v>1856</v>
      </c>
      <c r="N1126" s="1013" t="s">
        <v>1856</v>
      </c>
      <c r="O1126" s="212"/>
      <c r="P1126" s="66" t="s">
        <v>72</v>
      </c>
      <c r="Q1126" s="100">
        <f t="shared" si="584"/>
        <v>0</v>
      </c>
      <c r="R1126" s="13" t="str">
        <f t="shared" si="450"/>
        <v>Фото &gt;&gt;</v>
      </c>
      <c r="S1126" s="14" t="s">
        <v>346</v>
      </c>
      <c r="AK1126">
        <v>0.22</v>
      </c>
      <c r="AL1126">
        <f t="shared" si="585"/>
        <v>0</v>
      </c>
      <c r="AM1126">
        <f t="shared" si="586"/>
        <v>0</v>
      </c>
      <c r="AN1126">
        <f t="shared" si="587"/>
        <v>0</v>
      </c>
      <c r="AO1126" t="s">
        <v>3304</v>
      </c>
      <c r="AV1126" t="str">
        <f>IF(F1126&gt;0,(COUNT($AV$1:AV1125)+1),"")</f>
        <v/>
      </c>
    </row>
    <row r="1127" spans="1:48" ht="15" customHeight="1" x14ac:dyDescent="0.25">
      <c r="A1127" s="1"/>
      <c r="B1127" s="31">
        <v>15403</v>
      </c>
      <c r="C1127" s="16">
        <v>4603726179195</v>
      </c>
      <c r="D1127" s="154" t="s">
        <v>347</v>
      </c>
      <c r="E1127" s="69">
        <v>20</v>
      </c>
      <c r="F1127" s="222"/>
      <c r="G1127" s="108">
        <v>150</v>
      </c>
      <c r="H1127" s="17">
        <v>157.5</v>
      </c>
      <c r="I1127" s="18">
        <v>175</v>
      </c>
      <c r="J1127" s="113" t="s">
        <v>341</v>
      </c>
      <c r="K1127" s="44" t="s">
        <v>49</v>
      </c>
      <c r="L1127" s="442"/>
      <c r="M1127" s="480" t="s">
        <v>1856</v>
      </c>
      <c r="N1127" s="1015" t="s">
        <v>1856</v>
      </c>
      <c r="O1127" s="217"/>
      <c r="P1127" s="68" t="s">
        <v>72</v>
      </c>
      <c r="Q1127" s="100">
        <f t="shared" si="584"/>
        <v>0</v>
      </c>
      <c r="R1127" s="13" t="str">
        <f t="shared" si="450"/>
        <v>Фото &gt;&gt;</v>
      </c>
      <c r="S1127" s="14" t="s">
        <v>348</v>
      </c>
      <c r="AK1127">
        <v>0.22</v>
      </c>
      <c r="AL1127">
        <f t="shared" si="585"/>
        <v>0</v>
      </c>
      <c r="AM1127">
        <f t="shared" si="586"/>
        <v>0</v>
      </c>
      <c r="AN1127">
        <f t="shared" si="587"/>
        <v>0</v>
      </c>
      <c r="AO1127" t="s">
        <v>3305</v>
      </c>
      <c r="AV1127" t="str">
        <f>IF(F1127&gt;0,(COUNT($AV$1:AV1126)+1),"")</f>
        <v/>
      </c>
    </row>
    <row r="1128" spans="1:48" ht="15" customHeight="1" x14ac:dyDescent="0.25">
      <c r="A1128" s="1"/>
      <c r="B1128" s="30">
        <v>15404</v>
      </c>
      <c r="C1128" s="20">
        <v>4603726179201</v>
      </c>
      <c r="D1128" s="153" t="s">
        <v>349</v>
      </c>
      <c r="E1128" s="67">
        <v>12</v>
      </c>
      <c r="F1128" s="222"/>
      <c r="G1128" s="107">
        <v>223</v>
      </c>
      <c r="H1128" s="21">
        <v>234</v>
      </c>
      <c r="I1128" s="22">
        <v>246</v>
      </c>
      <c r="J1128" s="112" t="s">
        <v>341</v>
      </c>
      <c r="K1128" s="45" t="s">
        <v>49</v>
      </c>
      <c r="L1128" s="437"/>
      <c r="M1128" s="474" t="s">
        <v>1856</v>
      </c>
      <c r="N1128" s="1013" t="s">
        <v>1856</v>
      </c>
      <c r="O1128" s="212"/>
      <c r="P1128" s="66" t="s">
        <v>72</v>
      </c>
      <c r="Q1128" s="100">
        <f t="shared" si="584"/>
        <v>0</v>
      </c>
      <c r="R1128" s="13" t="str">
        <f t="shared" si="450"/>
        <v>Фото &gt;&gt;</v>
      </c>
      <c r="S1128" s="14" t="s">
        <v>348</v>
      </c>
      <c r="AK1128">
        <v>0.42</v>
      </c>
      <c r="AL1128">
        <f t="shared" si="585"/>
        <v>0</v>
      </c>
      <c r="AM1128">
        <f t="shared" si="586"/>
        <v>0</v>
      </c>
      <c r="AN1128">
        <f t="shared" si="587"/>
        <v>0</v>
      </c>
      <c r="AO1128" t="s">
        <v>3305</v>
      </c>
      <c r="AV1128" t="str">
        <f>IF(F1128&gt;0,(COUNT($AV$1:AV1127)+1),"")</f>
        <v/>
      </c>
    </row>
    <row r="1129" spans="1:48" ht="15" customHeight="1" x14ac:dyDescent="0.25">
      <c r="A1129" s="1"/>
      <c r="B1129" s="31">
        <v>15410</v>
      </c>
      <c r="C1129" s="16">
        <v>4603726179188</v>
      </c>
      <c r="D1129" s="154" t="s">
        <v>350</v>
      </c>
      <c r="E1129" s="69">
        <v>12</v>
      </c>
      <c r="F1129" s="222"/>
      <c r="G1129" s="108">
        <v>177.3</v>
      </c>
      <c r="H1129" s="17">
        <v>183</v>
      </c>
      <c r="I1129" s="18">
        <v>196</v>
      </c>
      <c r="J1129" s="113" t="s">
        <v>341</v>
      </c>
      <c r="K1129" s="44" t="s">
        <v>49</v>
      </c>
      <c r="L1129" s="442"/>
      <c r="M1129" s="480" t="s">
        <v>1856</v>
      </c>
      <c r="N1129" s="1015" t="s">
        <v>1856</v>
      </c>
      <c r="O1129" s="217"/>
      <c r="P1129" s="68" t="s">
        <v>72</v>
      </c>
      <c r="Q1129" s="100">
        <f t="shared" si="584"/>
        <v>0</v>
      </c>
      <c r="R1129" s="13" t="str">
        <f t="shared" si="450"/>
        <v>Фото &gt;&gt;</v>
      </c>
      <c r="S1129" s="14" t="s">
        <v>82</v>
      </c>
      <c r="AK1129">
        <v>0.42</v>
      </c>
      <c r="AL1129">
        <f t="shared" si="585"/>
        <v>0</v>
      </c>
      <c r="AM1129">
        <f t="shared" si="586"/>
        <v>0</v>
      </c>
      <c r="AN1129">
        <f t="shared" si="587"/>
        <v>0</v>
      </c>
      <c r="AO1129" t="s">
        <v>3306</v>
      </c>
      <c r="AV1129" t="str">
        <f>IF(F1129&gt;0,(COUNT($AV$1:AV1128)+1),"")</f>
        <v/>
      </c>
    </row>
    <row r="1130" spans="1:48" ht="15" customHeight="1" x14ac:dyDescent="0.25">
      <c r="A1130" s="1"/>
      <c r="B1130" s="30">
        <v>15474</v>
      </c>
      <c r="C1130" s="20">
        <v>4603726179300</v>
      </c>
      <c r="D1130" s="153" t="s">
        <v>3301</v>
      </c>
      <c r="E1130" s="67">
        <v>20</v>
      </c>
      <c r="F1130" s="222"/>
      <c r="G1130" s="107">
        <v>331.5</v>
      </c>
      <c r="H1130" s="21">
        <v>348</v>
      </c>
      <c r="I1130" s="22">
        <v>366</v>
      </c>
      <c r="J1130" s="112" t="s">
        <v>341</v>
      </c>
      <c r="K1130" s="45" t="s">
        <v>49</v>
      </c>
      <c r="L1130" s="437"/>
      <c r="M1130" s="474" t="s">
        <v>1856</v>
      </c>
      <c r="N1130" s="1013" t="s">
        <v>1856</v>
      </c>
      <c r="O1130" s="212"/>
      <c r="P1130" s="66" t="s">
        <v>72</v>
      </c>
      <c r="Q1130" s="100">
        <f t="shared" si="584"/>
        <v>0</v>
      </c>
      <c r="R1130" s="13" t="str">
        <f t="shared" si="450"/>
        <v>Фото &gt;&gt;</v>
      </c>
      <c r="S1130" s="14" t="s">
        <v>355</v>
      </c>
      <c r="AK1130">
        <v>0.15</v>
      </c>
      <c r="AL1130">
        <f t="shared" si="585"/>
        <v>0</v>
      </c>
      <c r="AM1130">
        <f t="shared" si="586"/>
        <v>0</v>
      </c>
      <c r="AN1130">
        <f t="shared" si="587"/>
        <v>0</v>
      </c>
      <c r="AO1130" t="s">
        <v>3302</v>
      </c>
      <c r="AV1130" t="str">
        <f>IF(F1130&gt;0,(COUNT($AV$1:AV1129)+1),"")</f>
        <v/>
      </c>
    </row>
    <row r="1131" spans="1:48" ht="15" customHeight="1" x14ac:dyDescent="0.25">
      <c r="A1131" s="1"/>
      <c r="B1131" s="32">
        <v>16359</v>
      </c>
      <c r="C1131" s="33">
        <v>4603726179447</v>
      </c>
      <c r="D1131" s="155" t="s">
        <v>356</v>
      </c>
      <c r="E1131" s="71">
        <v>20</v>
      </c>
      <c r="F1131" s="223"/>
      <c r="G1131" s="109">
        <v>332</v>
      </c>
      <c r="H1131" s="34">
        <v>349</v>
      </c>
      <c r="I1131" s="35">
        <v>366</v>
      </c>
      <c r="J1131" s="114" t="s">
        <v>341</v>
      </c>
      <c r="K1131" s="57" t="s">
        <v>49</v>
      </c>
      <c r="L1131" s="438"/>
      <c r="M1131" s="484" t="s">
        <v>1856</v>
      </c>
      <c r="N1131" s="1008" t="s">
        <v>1856</v>
      </c>
      <c r="O1131" s="218"/>
      <c r="P1131" s="70" t="s">
        <v>72</v>
      </c>
      <c r="Q1131" s="100">
        <f t="shared" si="584"/>
        <v>0</v>
      </c>
      <c r="R1131" s="13" t="str">
        <f t="shared" si="450"/>
        <v>Фото &gt;&gt;</v>
      </c>
      <c r="S1131" s="14" t="s">
        <v>357</v>
      </c>
      <c r="AK1131">
        <v>0.21</v>
      </c>
      <c r="AL1131">
        <f t="shared" si="585"/>
        <v>0</v>
      </c>
      <c r="AM1131">
        <f t="shared" si="586"/>
        <v>0</v>
      </c>
      <c r="AN1131">
        <f t="shared" si="587"/>
        <v>0</v>
      </c>
      <c r="AO1131" t="s">
        <v>3307</v>
      </c>
      <c r="AV1131" t="str">
        <f>IF(F1131&gt;0,(COUNT($AV$1:AV1130)+1),"")</f>
        <v/>
      </c>
    </row>
    <row r="1132" spans="1:48" ht="15" customHeight="1" x14ac:dyDescent="0.25">
      <c r="A1132" s="1"/>
      <c r="B1132" s="669">
        <v>16185</v>
      </c>
      <c r="C1132" s="670">
        <v>4603726179409</v>
      </c>
      <c r="D1132" s="1203" t="s">
        <v>1763</v>
      </c>
      <c r="E1132" s="672">
        <v>20</v>
      </c>
      <c r="F1132" s="673"/>
      <c r="G1132" s="674">
        <v>174.9</v>
      </c>
      <c r="H1132" s="675">
        <v>183.6</v>
      </c>
      <c r="I1132" s="676">
        <v>202</v>
      </c>
      <c r="J1132" s="899" t="s">
        <v>341</v>
      </c>
      <c r="K1132" s="678" t="s">
        <v>199</v>
      </c>
      <c r="L1132" s="679"/>
      <c r="M1132" s="680" t="s">
        <v>1856</v>
      </c>
      <c r="N1132" s="1027" t="s">
        <v>1856</v>
      </c>
      <c r="O1132" s="1110"/>
      <c r="P1132" s="682" t="s">
        <v>53</v>
      </c>
      <c r="Q1132" s="100">
        <f t="shared" si="584"/>
        <v>0</v>
      </c>
      <c r="R1132" s="13" t="str">
        <f t="shared" si="450"/>
        <v>Фото &gt;&gt;</v>
      </c>
      <c r="S1132" s="14" t="s">
        <v>351</v>
      </c>
      <c r="AK1132">
        <v>0.22</v>
      </c>
      <c r="AL1132">
        <f t="shared" si="585"/>
        <v>0</v>
      </c>
      <c r="AM1132">
        <f t="shared" si="586"/>
        <v>0</v>
      </c>
      <c r="AN1132">
        <f t="shared" si="587"/>
        <v>0</v>
      </c>
      <c r="AO1132" t="s">
        <v>3310</v>
      </c>
      <c r="AV1132" t="str">
        <f>IF(F1132&gt;0,(COUNT($AV$1:AV1131)+1),"")</f>
        <v/>
      </c>
    </row>
    <row r="1133" spans="1:48" ht="15" customHeight="1" x14ac:dyDescent="0.25">
      <c r="A1133" s="1"/>
      <c r="B1133" s="31">
        <v>16186</v>
      </c>
      <c r="C1133" s="16">
        <v>4607953271059</v>
      </c>
      <c r="D1133" s="154" t="s">
        <v>1764</v>
      </c>
      <c r="E1133" s="69">
        <v>20</v>
      </c>
      <c r="F1133" s="222"/>
      <c r="G1133" s="108">
        <v>200</v>
      </c>
      <c r="H1133" s="17">
        <v>210</v>
      </c>
      <c r="I1133" s="18">
        <v>220.5</v>
      </c>
      <c r="J1133" s="113" t="s">
        <v>341</v>
      </c>
      <c r="K1133" s="44" t="s">
        <v>199</v>
      </c>
      <c r="L1133" s="442"/>
      <c r="M1133" s="480" t="s">
        <v>1856</v>
      </c>
      <c r="N1133" s="1015" t="s">
        <v>1856</v>
      </c>
      <c r="O1133" s="217"/>
      <c r="P1133" s="68" t="s">
        <v>53</v>
      </c>
      <c r="Q1133" s="100">
        <f t="shared" si="584"/>
        <v>0</v>
      </c>
      <c r="R1133" s="13" t="str">
        <f t="shared" si="450"/>
        <v>Фото &gt;&gt;</v>
      </c>
      <c r="S1133" s="14" t="s">
        <v>352</v>
      </c>
      <c r="AK1133">
        <v>0.22</v>
      </c>
      <c r="AL1133">
        <f t="shared" si="585"/>
        <v>0</v>
      </c>
      <c r="AM1133">
        <f t="shared" si="586"/>
        <v>0</v>
      </c>
      <c r="AN1133">
        <f t="shared" si="587"/>
        <v>0</v>
      </c>
      <c r="AO1133" t="s">
        <v>3311</v>
      </c>
      <c r="AV1133" t="str">
        <f>IF(F1133&gt;0,(COUNT($AV$1:AV1132)+1),"")</f>
        <v/>
      </c>
    </row>
    <row r="1134" spans="1:48" ht="15" customHeight="1" x14ac:dyDescent="0.25">
      <c r="A1134" s="1"/>
      <c r="B1134" s="30">
        <v>16187</v>
      </c>
      <c r="C1134" s="20">
        <v>4603726179430</v>
      </c>
      <c r="D1134" s="153" t="s">
        <v>1765</v>
      </c>
      <c r="E1134" s="67">
        <v>20</v>
      </c>
      <c r="F1134" s="222"/>
      <c r="G1134" s="107">
        <v>231</v>
      </c>
      <c r="H1134" s="21">
        <v>242.5</v>
      </c>
      <c r="I1134" s="22">
        <v>260</v>
      </c>
      <c r="J1134" s="112" t="s">
        <v>341</v>
      </c>
      <c r="K1134" s="45" t="s">
        <v>199</v>
      </c>
      <c r="L1134" s="437"/>
      <c r="M1134" s="474" t="s">
        <v>1856</v>
      </c>
      <c r="N1134" s="1013" t="s">
        <v>1856</v>
      </c>
      <c r="O1134" s="212"/>
      <c r="P1134" s="66" t="s">
        <v>72</v>
      </c>
      <c r="Q1134" s="100">
        <f t="shared" si="584"/>
        <v>0</v>
      </c>
      <c r="R1134" s="13" t="str">
        <f t="shared" si="450"/>
        <v>Фото &gt;&gt;</v>
      </c>
      <c r="S1134" s="14" t="s">
        <v>353</v>
      </c>
      <c r="AK1134">
        <v>0.22</v>
      </c>
      <c r="AL1134">
        <f t="shared" si="585"/>
        <v>0</v>
      </c>
      <c r="AM1134">
        <f t="shared" si="586"/>
        <v>0</v>
      </c>
      <c r="AN1134">
        <f t="shared" si="587"/>
        <v>0</v>
      </c>
      <c r="AO1134" t="s">
        <v>3312</v>
      </c>
      <c r="AV1134" t="str">
        <f>IF(F1134&gt;0,(COUNT($AV$1:AV1133)+1),"")</f>
        <v/>
      </c>
    </row>
    <row r="1135" spans="1:48" ht="15" customHeight="1" x14ac:dyDescent="0.25">
      <c r="A1135" s="1"/>
      <c r="B1135" s="32">
        <v>15411</v>
      </c>
      <c r="C1135" s="33">
        <v>4607953271066</v>
      </c>
      <c r="D1135" s="155" t="s">
        <v>3309</v>
      </c>
      <c r="E1135" s="71">
        <v>20</v>
      </c>
      <c r="F1135" s="223"/>
      <c r="G1135" s="109">
        <v>147</v>
      </c>
      <c r="H1135" s="34">
        <v>154.30000000000001</v>
      </c>
      <c r="I1135" s="35">
        <v>169</v>
      </c>
      <c r="J1135" s="114" t="s">
        <v>341</v>
      </c>
      <c r="K1135" s="57" t="s">
        <v>199</v>
      </c>
      <c r="L1135" s="438"/>
      <c r="M1135" s="484" t="s">
        <v>1856</v>
      </c>
      <c r="N1135" s="1008" t="s">
        <v>1856</v>
      </c>
      <c r="O1135" s="218"/>
      <c r="P1135" s="70" t="s">
        <v>72</v>
      </c>
      <c r="Q1135" s="100">
        <f t="shared" si="584"/>
        <v>0</v>
      </c>
      <c r="R1135" s="13" t="str">
        <f t="shared" si="450"/>
        <v>Фото &gt;&gt;</v>
      </c>
      <c r="S1135" s="14" t="s">
        <v>354</v>
      </c>
      <c r="AK1135">
        <v>0.23</v>
      </c>
      <c r="AL1135">
        <f t="shared" si="585"/>
        <v>0</v>
      </c>
      <c r="AM1135">
        <f t="shared" si="586"/>
        <v>0</v>
      </c>
      <c r="AN1135">
        <f t="shared" si="587"/>
        <v>0</v>
      </c>
      <c r="AO1135" t="s">
        <v>3308</v>
      </c>
      <c r="AV1135" t="str">
        <f>IF(F1135&gt;0,(COUNT($AV$1:AV1134)+1),"")</f>
        <v/>
      </c>
    </row>
    <row r="1136" spans="1:48" ht="15" customHeight="1" x14ac:dyDescent="0.25">
      <c r="A1136" s="1"/>
      <c r="B1136" s="1188">
        <v>15412</v>
      </c>
      <c r="C1136" s="1189">
        <v>4603726179164</v>
      </c>
      <c r="D1136" s="1190" t="s">
        <v>6295</v>
      </c>
      <c r="E1136" s="1191">
        <v>12</v>
      </c>
      <c r="F1136" s="1192"/>
      <c r="G1136" s="1193">
        <v>218</v>
      </c>
      <c r="H1136" s="1194">
        <v>229</v>
      </c>
      <c r="I1136" s="1195">
        <v>241</v>
      </c>
      <c r="J1136" s="1196" t="s">
        <v>341</v>
      </c>
      <c r="K1136" s="1197" t="s">
        <v>199</v>
      </c>
      <c r="L1136" s="1198"/>
      <c r="M1136" s="1199" t="s">
        <v>1856</v>
      </c>
      <c r="N1136" s="1200" t="s">
        <v>1856</v>
      </c>
      <c r="O1136" s="1201"/>
      <c r="P1136" s="1202" t="s">
        <v>72</v>
      </c>
      <c r="Q1136" s="100">
        <f t="shared" si="584"/>
        <v>0</v>
      </c>
      <c r="R1136" s="13" t="str">
        <f t="shared" ref="R1136:R1156" si="588">IF(AO1136&gt;0,HYPERLINK(AO1136,"Фото &gt;&gt;"),"")</f>
        <v>Фото &gt;&gt;</v>
      </c>
      <c r="S1136" s="14" t="s">
        <v>354</v>
      </c>
      <c r="AK1136">
        <v>0.43</v>
      </c>
      <c r="AL1136">
        <f t="shared" si="585"/>
        <v>0</v>
      </c>
      <c r="AM1136">
        <f t="shared" si="586"/>
        <v>0</v>
      </c>
      <c r="AN1136">
        <f t="shared" si="587"/>
        <v>0</v>
      </c>
      <c r="AO1136" t="s">
        <v>3308</v>
      </c>
      <c r="AV1136" t="str">
        <f>IF(F1136&gt;0,(COUNT($AV$1:AV1135)+1),"")</f>
        <v/>
      </c>
    </row>
    <row r="1137" spans="1:48" ht="15" customHeight="1" x14ac:dyDescent="0.25">
      <c r="A1137" s="1"/>
      <c r="B1137" s="25"/>
      <c r="C1137" s="26"/>
      <c r="D1137" s="27" t="s">
        <v>101</v>
      </c>
      <c r="E1137" s="80"/>
      <c r="F1137" s="96"/>
      <c r="G1137" s="28"/>
      <c r="H1137" s="29"/>
      <c r="I1137" s="29"/>
      <c r="J1137" s="51"/>
      <c r="K1137" s="47"/>
      <c r="L1137" s="447"/>
      <c r="M1137" s="489" t="s">
        <v>104</v>
      </c>
      <c r="N1137" s="716"/>
      <c r="O1137" s="186"/>
      <c r="P1137" s="79"/>
      <c r="Q1137" s="104"/>
      <c r="R1137" s="13"/>
      <c r="S1137" s="14"/>
      <c r="AL1137">
        <f t="shared" si="585"/>
        <v>0</v>
      </c>
      <c r="AM1137">
        <f t="shared" si="586"/>
        <v>0</v>
      </c>
      <c r="AN1137">
        <f t="shared" si="587"/>
        <v>0</v>
      </c>
      <c r="AV1137" t="str">
        <f>IF(F1137&gt;0,(COUNT($AV$1:AV1136)+1),"")</f>
        <v/>
      </c>
    </row>
    <row r="1138" spans="1:48" ht="15" customHeight="1" x14ac:dyDescent="0.25">
      <c r="A1138" s="1"/>
      <c r="B1138" s="30">
        <v>19850</v>
      </c>
      <c r="C1138" s="20">
        <v>4607953270694</v>
      </c>
      <c r="D1138" s="225" t="s">
        <v>4138</v>
      </c>
      <c r="E1138" s="67">
        <v>12</v>
      </c>
      <c r="F1138" s="222"/>
      <c r="G1138" s="107">
        <v>232</v>
      </c>
      <c r="H1138" s="21">
        <v>243</v>
      </c>
      <c r="I1138" s="22">
        <v>267</v>
      </c>
      <c r="J1138" s="112" t="s">
        <v>341</v>
      </c>
      <c r="K1138" s="45" t="s">
        <v>101</v>
      </c>
      <c r="L1138" s="437"/>
      <c r="M1138" s="474" t="s">
        <v>1856</v>
      </c>
      <c r="N1138" s="1013" t="s">
        <v>1856</v>
      </c>
      <c r="O1138" s="209"/>
      <c r="P1138" s="66" t="s">
        <v>20</v>
      </c>
      <c r="Q1138" s="100">
        <f t="shared" ref="Q1138:Q1143" si="589">IF($AO$1123=2,F1138*H1138,IF($AO$1123=1,F1138*G1138,F1138*I1138))</f>
        <v>0</v>
      </c>
      <c r="R1138" s="13" t="str">
        <f t="shared" si="588"/>
        <v>Фото &gt;&gt;</v>
      </c>
      <c r="S1138" s="14" t="s">
        <v>2201</v>
      </c>
      <c r="AK1138">
        <v>0.27</v>
      </c>
      <c r="AL1138">
        <f t="shared" ref="AL1138:AL1140" si="590">F1138*G1138</f>
        <v>0</v>
      </c>
      <c r="AM1138">
        <f t="shared" ref="AM1138:AM1140" si="591">F1138*H1138</f>
        <v>0</v>
      </c>
      <c r="AN1138">
        <f t="shared" si="587"/>
        <v>0</v>
      </c>
      <c r="AO1138" t="s">
        <v>2642</v>
      </c>
      <c r="AV1138" t="str">
        <f>IF(F1138&gt;0,(COUNT($AV$1:AV1137)+1),"")</f>
        <v/>
      </c>
    </row>
    <row r="1139" spans="1:48" ht="15" customHeight="1" x14ac:dyDescent="0.25">
      <c r="A1139" s="1"/>
      <c r="B1139" s="31">
        <v>19851</v>
      </c>
      <c r="C1139" s="16">
        <v>4607953270670</v>
      </c>
      <c r="D1139" s="226" t="s">
        <v>4139</v>
      </c>
      <c r="E1139" s="69">
        <v>12</v>
      </c>
      <c r="F1139" s="222"/>
      <c r="G1139" s="108">
        <v>232</v>
      </c>
      <c r="H1139" s="17">
        <v>243</v>
      </c>
      <c r="I1139" s="18">
        <v>267</v>
      </c>
      <c r="J1139" s="113" t="s">
        <v>341</v>
      </c>
      <c r="K1139" s="44" t="s">
        <v>101</v>
      </c>
      <c r="L1139" s="442"/>
      <c r="M1139" s="480" t="s">
        <v>1856</v>
      </c>
      <c r="N1139" s="1015" t="s">
        <v>1856</v>
      </c>
      <c r="O1139" s="210"/>
      <c r="P1139" s="68" t="s">
        <v>20</v>
      </c>
      <c r="Q1139" s="100">
        <f t="shared" si="589"/>
        <v>0</v>
      </c>
      <c r="R1139" s="13" t="str">
        <f t="shared" si="588"/>
        <v>Фото &gt;&gt;</v>
      </c>
      <c r="S1139" s="14" t="s">
        <v>2202</v>
      </c>
      <c r="AK1139">
        <v>0.27</v>
      </c>
      <c r="AL1139">
        <f t="shared" si="590"/>
        <v>0</v>
      </c>
      <c r="AM1139">
        <f t="shared" si="591"/>
        <v>0</v>
      </c>
      <c r="AN1139">
        <f t="shared" si="587"/>
        <v>0</v>
      </c>
      <c r="AO1139" t="s">
        <v>2643</v>
      </c>
      <c r="AV1139" t="str">
        <f>IF(F1139&gt;0,(COUNT($AV$1:AV1138)+1),"")</f>
        <v/>
      </c>
    </row>
    <row r="1140" spans="1:48" ht="15" customHeight="1" x14ac:dyDescent="0.25">
      <c r="A1140" s="1"/>
      <c r="B1140" s="30">
        <v>19852</v>
      </c>
      <c r="C1140" s="20">
        <v>4607953270700</v>
      </c>
      <c r="D1140" s="225" t="s">
        <v>4140</v>
      </c>
      <c r="E1140" s="67">
        <v>12</v>
      </c>
      <c r="F1140" s="222"/>
      <c r="G1140" s="107">
        <v>232</v>
      </c>
      <c r="H1140" s="21">
        <v>243</v>
      </c>
      <c r="I1140" s="22">
        <v>267</v>
      </c>
      <c r="J1140" s="112" t="s">
        <v>341</v>
      </c>
      <c r="K1140" s="45" t="s">
        <v>101</v>
      </c>
      <c r="L1140" s="437"/>
      <c r="M1140" s="474" t="s">
        <v>1856</v>
      </c>
      <c r="N1140" s="1013" t="s">
        <v>1856</v>
      </c>
      <c r="O1140" s="209"/>
      <c r="P1140" s="66" t="s">
        <v>20</v>
      </c>
      <c r="Q1140" s="100">
        <f t="shared" si="589"/>
        <v>0</v>
      </c>
      <c r="R1140" s="13" t="str">
        <f t="shared" si="588"/>
        <v>Фото &gt;&gt;</v>
      </c>
      <c r="S1140" s="14" t="s">
        <v>2203</v>
      </c>
      <c r="AK1140">
        <v>0.27</v>
      </c>
      <c r="AL1140">
        <f t="shared" si="590"/>
        <v>0</v>
      </c>
      <c r="AM1140">
        <f t="shared" si="591"/>
        <v>0</v>
      </c>
      <c r="AN1140">
        <f t="shared" si="587"/>
        <v>0</v>
      </c>
      <c r="AO1140" t="s">
        <v>2644</v>
      </c>
      <c r="AV1140" t="str">
        <f>IF(F1140&gt;0,(COUNT($AV$1:AV1139)+1),"")</f>
        <v/>
      </c>
    </row>
    <row r="1141" spans="1:48" ht="15" customHeight="1" x14ac:dyDescent="0.25">
      <c r="A1141" s="1"/>
      <c r="B1141" s="31">
        <v>19849</v>
      </c>
      <c r="C1141" s="16">
        <v>4607953270908</v>
      </c>
      <c r="D1141" s="226" t="s">
        <v>359</v>
      </c>
      <c r="E1141" s="69">
        <v>12</v>
      </c>
      <c r="F1141" s="222"/>
      <c r="G1141" s="108">
        <v>225</v>
      </c>
      <c r="H1141" s="17">
        <v>236</v>
      </c>
      <c r="I1141" s="18">
        <v>250</v>
      </c>
      <c r="J1141" s="113" t="s">
        <v>341</v>
      </c>
      <c r="K1141" s="44" t="s">
        <v>101</v>
      </c>
      <c r="L1141" s="442"/>
      <c r="M1141" s="480" t="s">
        <v>1856</v>
      </c>
      <c r="N1141" s="1015" t="s">
        <v>1856</v>
      </c>
      <c r="O1141" s="217"/>
      <c r="P1141" s="68" t="s">
        <v>20</v>
      </c>
      <c r="Q1141" s="100">
        <f t="shared" si="589"/>
        <v>0</v>
      </c>
      <c r="R1141" s="13" t="str">
        <f t="shared" si="588"/>
        <v>Фото &gt;&gt;</v>
      </c>
      <c r="S1141" s="14" t="s">
        <v>360</v>
      </c>
      <c r="AK1141">
        <v>0.43</v>
      </c>
      <c r="AL1141">
        <f t="shared" ref="AL1141" si="592">F1141*G1141</f>
        <v>0</v>
      </c>
      <c r="AM1141">
        <f t="shared" ref="AM1141" si="593">F1141*H1141</f>
        <v>0</v>
      </c>
      <c r="AN1141">
        <f t="shared" si="587"/>
        <v>0</v>
      </c>
      <c r="AO1141" t="s">
        <v>3116</v>
      </c>
      <c r="AV1141" t="str">
        <f>IF(F1141&gt;0,(COUNT($AV$1:AV1140)+1),"")</f>
        <v/>
      </c>
    </row>
    <row r="1142" spans="1:48" ht="15" customHeight="1" x14ac:dyDescent="0.25">
      <c r="A1142" s="1"/>
      <c r="B1142" s="30">
        <v>19848</v>
      </c>
      <c r="C1142" s="20">
        <v>4603726179010</v>
      </c>
      <c r="D1142" s="225" t="s">
        <v>361</v>
      </c>
      <c r="E1142" s="67">
        <v>12</v>
      </c>
      <c r="F1142" s="222"/>
      <c r="G1142" s="107">
        <v>225</v>
      </c>
      <c r="H1142" s="21">
        <v>236</v>
      </c>
      <c r="I1142" s="22">
        <v>250</v>
      </c>
      <c r="J1142" s="112" t="s">
        <v>341</v>
      </c>
      <c r="K1142" s="45" t="s">
        <v>101</v>
      </c>
      <c r="L1142" s="437"/>
      <c r="M1142" s="474" t="s">
        <v>1856</v>
      </c>
      <c r="N1142" s="1013" t="s">
        <v>1856</v>
      </c>
      <c r="O1142" s="212"/>
      <c r="P1142" s="66" t="s">
        <v>20</v>
      </c>
      <c r="Q1142" s="100">
        <f t="shared" si="589"/>
        <v>0</v>
      </c>
      <c r="R1142" s="13" t="str">
        <f t="shared" si="588"/>
        <v>Фото &gt;&gt;</v>
      </c>
      <c r="S1142" s="14" t="s">
        <v>362</v>
      </c>
      <c r="AK1142">
        <v>0.43</v>
      </c>
      <c r="AL1142">
        <f t="shared" si="585"/>
        <v>0</v>
      </c>
      <c r="AM1142">
        <f t="shared" si="586"/>
        <v>0</v>
      </c>
      <c r="AN1142">
        <f t="shared" si="587"/>
        <v>0</v>
      </c>
      <c r="AO1142" t="s">
        <v>3117</v>
      </c>
      <c r="AV1142" t="str">
        <f>IF(F1142&gt;0,(COUNT($AV$1:AV1141)+1),"")</f>
        <v/>
      </c>
    </row>
    <row r="1143" spans="1:48" ht="15" customHeight="1" x14ac:dyDescent="0.25">
      <c r="A1143" s="1"/>
      <c r="B1143" s="31">
        <v>19847</v>
      </c>
      <c r="C1143" s="16">
        <v>4603726179041</v>
      </c>
      <c r="D1143" s="226" t="s">
        <v>363</v>
      </c>
      <c r="E1143" s="69">
        <v>12</v>
      </c>
      <c r="F1143" s="222"/>
      <c r="G1143" s="108">
        <v>225</v>
      </c>
      <c r="H1143" s="17">
        <v>236</v>
      </c>
      <c r="I1143" s="18">
        <v>250</v>
      </c>
      <c r="J1143" s="113" t="s">
        <v>341</v>
      </c>
      <c r="K1143" s="44" t="s">
        <v>101</v>
      </c>
      <c r="L1143" s="442"/>
      <c r="M1143" s="480" t="s">
        <v>1856</v>
      </c>
      <c r="N1143" s="1015" t="s">
        <v>1856</v>
      </c>
      <c r="O1143" s="220"/>
      <c r="P1143" s="68" t="s">
        <v>20</v>
      </c>
      <c r="Q1143" s="100">
        <f t="shared" si="589"/>
        <v>0</v>
      </c>
      <c r="R1143" s="13" t="str">
        <f t="shared" si="588"/>
        <v>Фото &gt;&gt;</v>
      </c>
      <c r="S1143" s="14" t="s">
        <v>364</v>
      </c>
      <c r="AK1143">
        <v>0.43</v>
      </c>
      <c r="AL1143">
        <f t="shared" ref="AL1143:AL1145" si="594">F1143*G1143</f>
        <v>0</v>
      </c>
      <c r="AM1143">
        <f t="shared" ref="AM1143:AM1145" si="595">F1143*H1143</f>
        <v>0</v>
      </c>
      <c r="AN1143">
        <f t="shared" si="587"/>
        <v>0</v>
      </c>
      <c r="AO1143" t="s">
        <v>3118</v>
      </c>
      <c r="AV1143" t="str">
        <f>IF(F1143&gt;0,(COUNT($AV$1:AV1142)+1),"")</f>
        <v/>
      </c>
    </row>
    <row r="1144" spans="1:48" ht="15" customHeight="1" x14ac:dyDescent="0.25">
      <c r="A1144" s="1"/>
      <c r="B1144" s="25"/>
      <c r="C1144" s="26"/>
      <c r="D1144" s="27" t="s">
        <v>326</v>
      </c>
      <c r="E1144" s="80"/>
      <c r="F1144" s="96"/>
      <c r="G1144" s="28"/>
      <c r="H1144" s="29"/>
      <c r="I1144" s="29"/>
      <c r="J1144" s="51"/>
      <c r="K1144" s="47"/>
      <c r="L1144" s="447"/>
      <c r="M1144" s="489" t="s">
        <v>104</v>
      </c>
      <c r="N1144" s="716"/>
      <c r="O1144" s="186"/>
      <c r="P1144" s="79"/>
      <c r="Q1144" s="104"/>
      <c r="R1144" s="13"/>
      <c r="S1144" s="14"/>
      <c r="AL1144">
        <f t="shared" si="594"/>
        <v>0</v>
      </c>
      <c r="AM1144">
        <f t="shared" si="595"/>
        <v>0</v>
      </c>
      <c r="AN1144">
        <f t="shared" si="587"/>
        <v>0</v>
      </c>
      <c r="AV1144" t="str">
        <f>IF(F1144&gt;0,(COUNT($AV$1:AV1143)+1),"")</f>
        <v/>
      </c>
    </row>
    <row r="1145" spans="1:48" ht="15" customHeight="1" x14ac:dyDescent="0.25">
      <c r="A1145" s="1"/>
      <c r="B1145" s="30">
        <v>17569</v>
      </c>
      <c r="C1145" s="20">
        <v>4607953270564</v>
      </c>
      <c r="D1145" s="225" t="s">
        <v>1781</v>
      </c>
      <c r="E1145" s="67">
        <v>9</v>
      </c>
      <c r="F1145" s="222"/>
      <c r="G1145" s="107">
        <v>188.6</v>
      </c>
      <c r="H1145" s="21">
        <v>198</v>
      </c>
      <c r="I1145" s="22">
        <v>217</v>
      </c>
      <c r="J1145" s="112" t="s">
        <v>341</v>
      </c>
      <c r="K1145" s="45" t="s">
        <v>326</v>
      </c>
      <c r="L1145" s="437"/>
      <c r="M1145" s="474" t="s">
        <v>1856</v>
      </c>
      <c r="N1145" s="1013" t="s">
        <v>1856</v>
      </c>
      <c r="O1145" s="209"/>
      <c r="P1145" s="66" t="s">
        <v>53</v>
      </c>
      <c r="Q1145" s="100">
        <f>IF($AO$1123=2,F1145*H1145,IF($AO$1123=1,F1145*G1145,F1145*I1145))</f>
        <v>0</v>
      </c>
      <c r="R1145" s="13" t="str">
        <f t="shared" si="588"/>
        <v>Фото &gt;&gt;</v>
      </c>
      <c r="S1145" s="14" t="s">
        <v>5673</v>
      </c>
      <c r="AK1145">
        <v>0.22</v>
      </c>
      <c r="AL1145">
        <f t="shared" si="594"/>
        <v>0</v>
      </c>
      <c r="AM1145">
        <f t="shared" si="595"/>
        <v>0</v>
      </c>
      <c r="AN1145">
        <f t="shared" si="587"/>
        <v>0</v>
      </c>
      <c r="AO1145" t="s">
        <v>2645</v>
      </c>
      <c r="AV1145" t="str">
        <f>IF(F1145&gt;0,(COUNT($AV$1:AV1144)+1),"")</f>
        <v/>
      </c>
    </row>
    <row r="1146" spans="1:48" ht="15" customHeight="1" x14ac:dyDescent="0.25">
      <c r="A1146" s="1"/>
      <c r="B1146" s="31">
        <v>19160</v>
      </c>
      <c r="C1146" s="16">
        <v>4603765297065</v>
      </c>
      <c r="D1146" s="226" t="s">
        <v>1900</v>
      </c>
      <c r="E1146" s="69">
        <v>12</v>
      </c>
      <c r="F1146" s="222"/>
      <c r="G1146" s="108">
        <v>188.6</v>
      </c>
      <c r="H1146" s="17">
        <v>198</v>
      </c>
      <c r="I1146" s="18">
        <v>217</v>
      </c>
      <c r="J1146" s="113" t="s">
        <v>341</v>
      </c>
      <c r="K1146" s="44" t="s">
        <v>326</v>
      </c>
      <c r="L1146" s="442"/>
      <c r="M1146" s="480" t="s">
        <v>1856</v>
      </c>
      <c r="N1146" s="1015" t="s">
        <v>1856</v>
      </c>
      <c r="O1146" s="210"/>
      <c r="P1146" s="68" t="s">
        <v>53</v>
      </c>
      <c r="Q1146" s="100">
        <f>IF($AO$1123=2,F1146*H1146,IF($AO$1123=1,F1146*G1146,F1146*I1146))</f>
        <v>0</v>
      </c>
      <c r="R1146" s="13" t="str">
        <f t="shared" si="588"/>
        <v>Фото &gt;&gt;</v>
      </c>
      <c r="S1146" s="14" t="s">
        <v>1783</v>
      </c>
      <c r="AK1146">
        <v>0.17</v>
      </c>
      <c r="AL1146">
        <f t="shared" si="585"/>
        <v>0</v>
      </c>
      <c r="AM1146">
        <f t="shared" si="586"/>
        <v>0</v>
      </c>
      <c r="AN1146">
        <f t="shared" si="587"/>
        <v>0</v>
      </c>
      <c r="AO1146" t="s">
        <v>4847</v>
      </c>
      <c r="AV1146" t="str">
        <f>IF(F1146&gt;0,(COUNT($AV$1:AV1145)+1),"")</f>
        <v/>
      </c>
    </row>
    <row r="1147" spans="1:48" ht="15" customHeight="1" x14ac:dyDescent="0.25">
      <c r="A1147" s="1"/>
      <c r="B1147" s="30">
        <v>17568</v>
      </c>
      <c r="C1147" s="20">
        <v>4603726179799</v>
      </c>
      <c r="D1147" s="225" t="s">
        <v>1782</v>
      </c>
      <c r="E1147" s="67">
        <v>9</v>
      </c>
      <c r="F1147" s="222"/>
      <c r="G1147" s="107">
        <v>188.6</v>
      </c>
      <c r="H1147" s="21">
        <v>198</v>
      </c>
      <c r="I1147" s="22">
        <v>217</v>
      </c>
      <c r="J1147" s="112" t="s">
        <v>341</v>
      </c>
      <c r="K1147" s="45" t="s">
        <v>326</v>
      </c>
      <c r="L1147" s="437"/>
      <c r="M1147" s="474" t="s">
        <v>1856</v>
      </c>
      <c r="N1147" s="1013" t="s">
        <v>1856</v>
      </c>
      <c r="O1147" s="209"/>
      <c r="P1147" s="66" t="s">
        <v>53</v>
      </c>
      <c r="Q1147" s="100">
        <f>IF($AO$1123=2,F1147*H1147,IF($AO$1123=1,F1147*G1147,F1147*I1147))</f>
        <v>0</v>
      </c>
      <c r="R1147" s="13" t="str">
        <f t="shared" si="588"/>
        <v>Фото &gt;&gt;</v>
      </c>
      <c r="S1147" s="14" t="s">
        <v>5672</v>
      </c>
      <c r="AK1147">
        <v>0.22</v>
      </c>
      <c r="AL1147">
        <f t="shared" si="585"/>
        <v>0</v>
      </c>
      <c r="AM1147">
        <f t="shared" si="586"/>
        <v>0</v>
      </c>
      <c r="AN1147">
        <f t="shared" si="587"/>
        <v>0</v>
      </c>
      <c r="AO1147" t="s">
        <v>2646</v>
      </c>
      <c r="AV1147" t="str">
        <f>IF(F1147&gt;0,(COUNT($AV$1:AV1146)+1),"")</f>
        <v/>
      </c>
    </row>
    <row r="1148" spans="1:48" ht="15" customHeight="1" x14ac:dyDescent="0.25">
      <c r="A1148" s="1"/>
      <c r="B1148" s="31">
        <v>17953</v>
      </c>
      <c r="C1148" s="16">
        <v>4603765297010</v>
      </c>
      <c r="D1148" s="226" t="s">
        <v>365</v>
      </c>
      <c r="E1148" s="69">
        <v>9</v>
      </c>
      <c r="F1148" s="222"/>
      <c r="G1148" s="108">
        <v>188.6</v>
      </c>
      <c r="H1148" s="17">
        <v>198</v>
      </c>
      <c r="I1148" s="18">
        <v>217</v>
      </c>
      <c r="J1148" s="113" t="s">
        <v>341</v>
      </c>
      <c r="K1148" s="44" t="s">
        <v>326</v>
      </c>
      <c r="L1148" s="442"/>
      <c r="M1148" s="480" t="s">
        <v>1856</v>
      </c>
      <c r="N1148" s="1015" t="s">
        <v>1856</v>
      </c>
      <c r="O1148" s="210"/>
      <c r="P1148" s="68" t="s">
        <v>53</v>
      </c>
      <c r="Q1148" s="100">
        <f>IF($AO$1123=2,F1148*H1148,IF($AO$1123=1,F1148*G1148,F1148*I1148))</f>
        <v>0</v>
      </c>
      <c r="R1148" s="13" t="str">
        <f t="shared" si="588"/>
        <v>Фото &gt;&gt;</v>
      </c>
      <c r="S1148" s="14" t="s">
        <v>5671</v>
      </c>
      <c r="AK1148">
        <v>0.22</v>
      </c>
      <c r="AL1148">
        <f t="shared" si="585"/>
        <v>0</v>
      </c>
      <c r="AM1148">
        <f t="shared" si="586"/>
        <v>0</v>
      </c>
      <c r="AN1148">
        <f t="shared" si="587"/>
        <v>0</v>
      </c>
      <c r="AO1148" t="s">
        <v>2647</v>
      </c>
      <c r="AV1148" t="str">
        <f>IF(F1148&gt;0,(COUNT($AV$1:AV1147)+1),"")</f>
        <v/>
      </c>
    </row>
    <row r="1149" spans="1:48" ht="15" customHeight="1" x14ac:dyDescent="0.25">
      <c r="A1149" s="1"/>
      <c r="B1149" s="30">
        <v>17952</v>
      </c>
      <c r="C1149" s="20">
        <v>4603765297003</v>
      </c>
      <c r="D1149" s="225" t="s">
        <v>366</v>
      </c>
      <c r="E1149" s="67">
        <v>9</v>
      </c>
      <c r="F1149" s="222"/>
      <c r="G1149" s="107">
        <v>216.2</v>
      </c>
      <c r="H1149" s="21">
        <v>227</v>
      </c>
      <c r="I1149" s="22">
        <v>249</v>
      </c>
      <c r="J1149" s="112" t="s">
        <v>341</v>
      </c>
      <c r="K1149" s="45" t="s">
        <v>326</v>
      </c>
      <c r="L1149" s="437"/>
      <c r="M1149" s="474" t="s">
        <v>1856</v>
      </c>
      <c r="N1149" s="1013" t="s">
        <v>1856</v>
      </c>
      <c r="O1149" s="209"/>
      <c r="P1149" s="66" t="s">
        <v>53</v>
      </c>
      <c r="Q1149" s="100">
        <f>IF($AO$1123=2,F1149*H1149,IF($AO$1123=1,F1149*G1149,F1149*I1149))</f>
        <v>0</v>
      </c>
      <c r="R1149" s="13" t="str">
        <f t="shared" si="588"/>
        <v>Фото &gt;&gt;</v>
      </c>
      <c r="S1149" s="14" t="s">
        <v>5670</v>
      </c>
      <c r="AK1149">
        <v>0.22</v>
      </c>
      <c r="AL1149">
        <f t="shared" si="585"/>
        <v>0</v>
      </c>
      <c r="AM1149">
        <f t="shared" si="586"/>
        <v>0</v>
      </c>
      <c r="AN1149">
        <f t="shared" si="587"/>
        <v>0</v>
      </c>
      <c r="AO1149" t="s">
        <v>3313</v>
      </c>
      <c r="AV1149" t="str">
        <f>IF(F1149&gt;0,(COUNT($AV$1:AV1148)+1),"")</f>
        <v/>
      </c>
    </row>
    <row r="1150" spans="1:48" ht="15" customHeight="1" x14ac:dyDescent="0.25">
      <c r="A1150" s="1"/>
      <c r="B1150" s="25"/>
      <c r="C1150" s="26"/>
      <c r="D1150" s="27" t="s">
        <v>1422</v>
      </c>
      <c r="E1150" s="80"/>
      <c r="F1150" s="96"/>
      <c r="G1150" s="28"/>
      <c r="H1150" s="29"/>
      <c r="I1150" s="29"/>
      <c r="J1150" s="51"/>
      <c r="K1150" s="47"/>
      <c r="L1150" s="447"/>
      <c r="M1150" s="489" t="s">
        <v>104</v>
      </c>
      <c r="N1150" s="716"/>
      <c r="O1150" s="186"/>
      <c r="P1150" s="79"/>
      <c r="Q1150" s="104"/>
      <c r="R1150" s="13"/>
      <c r="S1150" s="14"/>
      <c r="AL1150">
        <f t="shared" si="585"/>
        <v>0</v>
      </c>
      <c r="AM1150">
        <f t="shared" si="586"/>
        <v>0</v>
      </c>
      <c r="AN1150">
        <f t="shared" si="587"/>
        <v>0</v>
      </c>
      <c r="AO1150" t="s">
        <v>104</v>
      </c>
      <c r="AV1150" t="str">
        <f>IF(F1150&gt;0,(COUNT($AV$1:AV1149)+1),"")</f>
        <v/>
      </c>
    </row>
    <row r="1151" spans="1:48" ht="15" customHeight="1" x14ac:dyDescent="0.25">
      <c r="A1151" s="1"/>
      <c r="B1151" s="30">
        <v>21388</v>
      </c>
      <c r="C1151" s="20">
        <v>4607953270083</v>
      </c>
      <c r="D1151" s="421" t="s">
        <v>7111</v>
      </c>
      <c r="E1151" s="67">
        <v>10</v>
      </c>
      <c r="F1151" s="222"/>
      <c r="G1151" s="107">
        <v>238</v>
      </c>
      <c r="H1151" s="21">
        <v>249.9</v>
      </c>
      <c r="I1151" s="22">
        <v>263</v>
      </c>
      <c r="J1151" s="112" t="s">
        <v>341</v>
      </c>
      <c r="K1151" s="45" t="s">
        <v>128</v>
      </c>
      <c r="L1151" s="437"/>
      <c r="M1151" s="474" t="s">
        <v>1856</v>
      </c>
      <c r="N1151" s="1013" t="s">
        <v>1856</v>
      </c>
      <c r="O1151" s="209" t="s">
        <v>2953</v>
      </c>
      <c r="P1151" s="66" t="s">
        <v>100</v>
      </c>
      <c r="Q1151" s="100">
        <f t="shared" ref="Q1151:Q1156" si="596">IF($AO$1123=2,F1151*H1151,IF($AO$1123=1,F1151*G1151,F1151*I1151))</f>
        <v>0</v>
      </c>
      <c r="R1151" s="94" t="str">
        <f t="shared" si="588"/>
        <v/>
      </c>
      <c r="S1151" s="14" t="s">
        <v>6961</v>
      </c>
      <c r="AK1151">
        <v>0.26</v>
      </c>
      <c r="AL1151">
        <v>0</v>
      </c>
      <c r="AM1151">
        <v>0</v>
      </c>
      <c r="AN1151">
        <v>0</v>
      </c>
      <c r="AV1151" t="str">
        <f>IF(F1151&gt;0,(COUNT($AV$1:AV1150)+1),"")</f>
        <v/>
      </c>
    </row>
    <row r="1152" spans="1:48" ht="15" customHeight="1" x14ac:dyDescent="0.25">
      <c r="A1152" s="1"/>
      <c r="B1152" s="32">
        <v>21386</v>
      </c>
      <c r="C1152" s="33">
        <v>4603734168037</v>
      </c>
      <c r="D1152" s="615" t="s">
        <v>7110</v>
      </c>
      <c r="E1152" s="71">
        <v>10</v>
      </c>
      <c r="F1152" s="223"/>
      <c r="G1152" s="109">
        <v>232.2</v>
      </c>
      <c r="H1152" s="34">
        <v>244</v>
      </c>
      <c r="I1152" s="35">
        <v>256</v>
      </c>
      <c r="J1152" s="114" t="s">
        <v>341</v>
      </c>
      <c r="K1152" s="57" t="s">
        <v>128</v>
      </c>
      <c r="L1152" s="438"/>
      <c r="M1152" s="484" t="s">
        <v>1856</v>
      </c>
      <c r="N1152" s="1008" t="s">
        <v>1856</v>
      </c>
      <c r="O1152" s="219" t="s">
        <v>2953</v>
      </c>
      <c r="P1152" s="70" t="s">
        <v>100</v>
      </c>
      <c r="Q1152" s="100">
        <f t="shared" si="596"/>
        <v>0</v>
      </c>
      <c r="R1152" s="94" t="str">
        <f t="shared" si="588"/>
        <v/>
      </c>
      <c r="S1152" s="14" t="s">
        <v>6962</v>
      </c>
      <c r="AK1152">
        <v>0.26</v>
      </c>
      <c r="AL1152">
        <v>0</v>
      </c>
      <c r="AM1152">
        <v>0</v>
      </c>
      <c r="AN1152">
        <v>0</v>
      </c>
      <c r="AV1152" t="str">
        <f>IF(F1152&gt;0,(COUNT($AV$1:AV1151)+1),"")</f>
        <v/>
      </c>
    </row>
    <row r="1153" spans="1:48" ht="15" customHeight="1" x14ac:dyDescent="0.25">
      <c r="A1153" s="1"/>
      <c r="B1153" s="785">
        <v>21522</v>
      </c>
      <c r="C1153" s="786"/>
      <c r="D1153" s="933" t="s">
        <v>7126</v>
      </c>
      <c r="E1153" s="788">
        <v>12</v>
      </c>
      <c r="F1153" s="789"/>
      <c r="G1153" s="811">
        <v>303.7</v>
      </c>
      <c r="H1153" s="790">
        <v>319</v>
      </c>
      <c r="I1153" s="791">
        <v>350</v>
      </c>
      <c r="J1153" s="792" t="s">
        <v>341</v>
      </c>
      <c r="K1153" s="793" t="s">
        <v>128</v>
      </c>
      <c r="L1153" s="781"/>
      <c r="M1153" s="782" t="s">
        <v>1856</v>
      </c>
      <c r="N1153" s="1009" t="s">
        <v>1856</v>
      </c>
      <c r="O1153" s="794" t="s">
        <v>2953</v>
      </c>
      <c r="P1153" s="784" t="s">
        <v>100</v>
      </c>
      <c r="Q1153" s="100">
        <f t="shared" si="596"/>
        <v>0</v>
      </c>
      <c r="R1153" s="94" t="str">
        <f t="shared" si="588"/>
        <v>Фото &gt;&gt;</v>
      </c>
      <c r="S1153" s="14" t="s">
        <v>7135</v>
      </c>
      <c r="AK1153">
        <v>0.31</v>
      </c>
      <c r="AL1153">
        <v>0</v>
      </c>
      <c r="AM1153">
        <v>0</v>
      </c>
      <c r="AN1153">
        <v>0</v>
      </c>
      <c r="AO1153" t="s">
        <v>7130</v>
      </c>
      <c r="AV1153" t="str">
        <f>IF(F1153&gt;0,(COUNT($AV$1:AV1152)+1),"")</f>
        <v/>
      </c>
    </row>
    <row r="1154" spans="1:48" ht="15" customHeight="1" x14ac:dyDescent="0.25">
      <c r="A1154" s="1"/>
      <c r="B1154" s="31">
        <v>21523</v>
      </c>
      <c r="C1154" s="16"/>
      <c r="D1154" s="422" t="s">
        <v>7127</v>
      </c>
      <c r="E1154" s="69">
        <v>12</v>
      </c>
      <c r="F1154" s="222"/>
      <c r="G1154" s="108">
        <v>303.7</v>
      </c>
      <c r="H1154" s="17">
        <v>319</v>
      </c>
      <c r="I1154" s="18">
        <v>350</v>
      </c>
      <c r="J1154" s="113" t="s">
        <v>341</v>
      </c>
      <c r="K1154" s="44" t="s">
        <v>128</v>
      </c>
      <c r="L1154" s="442"/>
      <c r="M1154" s="480" t="s">
        <v>1856</v>
      </c>
      <c r="N1154" s="1015" t="s">
        <v>1856</v>
      </c>
      <c r="O1154" s="210" t="s">
        <v>2953</v>
      </c>
      <c r="P1154" s="68" t="s">
        <v>100</v>
      </c>
      <c r="Q1154" s="100">
        <f t="shared" si="596"/>
        <v>0</v>
      </c>
      <c r="R1154" s="94" t="str">
        <f t="shared" si="588"/>
        <v>Фото &gt;&gt;</v>
      </c>
      <c r="S1154" s="14" t="s">
        <v>7134</v>
      </c>
      <c r="AK1154">
        <v>0.31</v>
      </c>
      <c r="AL1154">
        <v>0</v>
      </c>
      <c r="AM1154">
        <v>0</v>
      </c>
      <c r="AN1154">
        <v>0</v>
      </c>
      <c r="AO1154" t="s">
        <v>7131</v>
      </c>
      <c r="AV1154" t="str">
        <f>IF(F1154&gt;0,(COUNT($AV$1:AV1153)+1),"")</f>
        <v/>
      </c>
    </row>
    <row r="1155" spans="1:48" ht="15" customHeight="1" x14ac:dyDescent="0.25">
      <c r="A1155" s="1"/>
      <c r="B1155" s="30">
        <v>21521</v>
      </c>
      <c r="C1155" s="20"/>
      <c r="D1155" s="421" t="s">
        <v>7128</v>
      </c>
      <c r="E1155" s="67">
        <v>12</v>
      </c>
      <c r="F1155" s="222"/>
      <c r="G1155" s="107">
        <v>303.7</v>
      </c>
      <c r="H1155" s="21">
        <v>319</v>
      </c>
      <c r="I1155" s="22">
        <v>350</v>
      </c>
      <c r="J1155" s="112" t="s">
        <v>341</v>
      </c>
      <c r="K1155" s="45" t="s">
        <v>128</v>
      </c>
      <c r="L1155" s="437"/>
      <c r="M1155" s="474" t="s">
        <v>1856</v>
      </c>
      <c r="N1155" s="1013" t="s">
        <v>1856</v>
      </c>
      <c r="O1155" s="209" t="s">
        <v>2953</v>
      </c>
      <c r="P1155" s="66" t="s">
        <v>100</v>
      </c>
      <c r="Q1155" s="100">
        <f t="shared" si="596"/>
        <v>0</v>
      </c>
      <c r="R1155" s="94" t="str">
        <f t="shared" si="588"/>
        <v>Фото &gt;&gt;</v>
      </c>
      <c r="S1155" s="14" t="s">
        <v>7136</v>
      </c>
      <c r="AK1155">
        <v>0.31</v>
      </c>
      <c r="AL1155">
        <v>0</v>
      </c>
      <c r="AM1155">
        <v>0</v>
      </c>
      <c r="AN1155">
        <v>0</v>
      </c>
      <c r="AO1155" t="s">
        <v>7132</v>
      </c>
      <c r="AV1155" t="str">
        <f>IF(F1155&gt;0,(COUNT($AV$1:AV1154)+1),"")</f>
        <v/>
      </c>
    </row>
    <row r="1156" spans="1:48" ht="15" customHeight="1" x14ac:dyDescent="0.25">
      <c r="A1156" s="1"/>
      <c r="B1156" s="31">
        <v>21525</v>
      </c>
      <c r="C1156" s="16"/>
      <c r="D1156" s="422" t="s">
        <v>7129</v>
      </c>
      <c r="E1156" s="69">
        <v>12</v>
      </c>
      <c r="F1156" s="222"/>
      <c r="G1156" s="108">
        <v>303.7</v>
      </c>
      <c r="H1156" s="17">
        <v>319</v>
      </c>
      <c r="I1156" s="18">
        <v>350</v>
      </c>
      <c r="J1156" s="113" t="s">
        <v>341</v>
      </c>
      <c r="K1156" s="44" t="s">
        <v>128</v>
      </c>
      <c r="L1156" s="442"/>
      <c r="M1156" s="480" t="s">
        <v>1856</v>
      </c>
      <c r="N1156" s="1015" t="s">
        <v>1856</v>
      </c>
      <c r="O1156" s="210" t="s">
        <v>2953</v>
      </c>
      <c r="P1156" s="68" t="s">
        <v>100</v>
      </c>
      <c r="Q1156" s="100">
        <f t="shared" si="596"/>
        <v>0</v>
      </c>
      <c r="R1156" s="94" t="str">
        <f t="shared" si="588"/>
        <v>Фото &gt;&gt;</v>
      </c>
      <c r="S1156" s="14" t="s">
        <v>7137</v>
      </c>
      <c r="AK1156">
        <v>0.31</v>
      </c>
      <c r="AL1156">
        <v>0</v>
      </c>
      <c r="AM1156">
        <v>0</v>
      </c>
      <c r="AN1156">
        <v>0</v>
      </c>
      <c r="AO1156" t="s">
        <v>7133</v>
      </c>
      <c r="AV1156" t="str">
        <f>IF(F1156&gt;0,(COUNT($AV$1:AV1155)+1),"")</f>
        <v/>
      </c>
    </row>
    <row r="1157" spans="1:48" ht="15" customHeight="1" x14ac:dyDescent="0.25">
      <c r="A1157" s="1"/>
      <c r="B1157" s="25"/>
      <c r="C1157" s="26"/>
      <c r="D1157" s="228" t="s">
        <v>1917</v>
      </c>
      <c r="E1157" s="80"/>
      <c r="F1157" s="96"/>
      <c r="G1157" s="28"/>
      <c r="H1157" s="29"/>
      <c r="I1157" s="29"/>
      <c r="J1157" s="51"/>
      <c r="K1157" s="47"/>
      <c r="L1157" s="447"/>
      <c r="M1157" s="489" t="s">
        <v>104</v>
      </c>
      <c r="N1157" s="716"/>
      <c r="O1157" s="186"/>
      <c r="P1157" s="79"/>
      <c r="Q1157" s="104"/>
      <c r="R1157" s="13"/>
      <c r="S1157" s="14"/>
      <c r="AL1157">
        <f t="shared" ref="AL1157" si="597">F1157*G1157</f>
        <v>0</v>
      </c>
      <c r="AM1157">
        <f t="shared" ref="AM1157" si="598">F1157*H1157</f>
        <v>0</v>
      </c>
      <c r="AN1157">
        <f t="shared" ref="AN1157:AN1160" si="599">AK1157*F1157+IF(E1157&gt;1.01,F1157/E1157*0.2,0)</f>
        <v>0</v>
      </c>
      <c r="AO1157" t="s">
        <v>104</v>
      </c>
      <c r="AV1157" t="str">
        <f>IF(F1157&gt;0,(COUNT($AV$1:AV1156)+1),"")</f>
        <v/>
      </c>
    </row>
    <row r="1158" spans="1:48" ht="15" customHeight="1" x14ac:dyDescent="0.25">
      <c r="A1158" s="1"/>
      <c r="B1158" s="31">
        <v>19677</v>
      </c>
      <c r="C1158" s="16">
        <v>4607953270120</v>
      </c>
      <c r="D1158" s="385" t="s">
        <v>1921</v>
      </c>
      <c r="E1158" s="69">
        <v>18</v>
      </c>
      <c r="F1158" s="222"/>
      <c r="G1158" s="108">
        <v>232.7</v>
      </c>
      <c r="H1158" s="17">
        <v>244</v>
      </c>
      <c r="I1158" s="18">
        <v>257</v>
      </c>
      <c r="J1158" s="113" t="s">
        <v>341</v>
      </c>
      <c r="K1158" s="44" t="s">
        <v>1918</v>
      </c>
      <c r="L1158" s="442"/>
      <c r="M1158" s="480" t="s">
        <v>1856</v>
      </c>
      <c r="N1158" s="1015" t="s">
        <v>1856</v>
      </c>
      <c r="O1158" s="220"/>
      <c r="P1158" s="68" t="s">
        <v>50</v>
      </c>
      <c r="Q1158" s="100">
        <f>IF($AO$1123=2,F1158*H1158,IF($AO$1123=1,F1158*G1158,F1158*I1158))</f>
        <v>0</v>
      </c>
      <c r="R1158" s="13" t="str">
        <f t="shared" ref="R1158:R1161" si="600">IF(AO1158&gt;0,HYPERLINK(AO1158,"Фото &gt;&gt;"),"")</f>
        <v>Фото &gt;&gt;</v>
      </c>
      <c r="S1158" s="14" t="s">
        <v>1919</v>
      </c>
      <c r="AK1158">
        <v>0.21</v>
      </c>
      <c r="AL1158">
        <f t="shared" ref="AL1158:AL1160" si="601">F1158*G1158</f>
        <v>0</v>
      </c>
      <c r="AM1158">
        <f t="shared" ref="AM1158:AM1160" si="602">F1158*H1158</f>
        <v>0</v>
      </c>
      <c r="AN1158">
        <f t="shared" si="599"/>
        <v>0</v>
      </c>
      <c r="AO1158" t="s">
        <v>2648</v>
      </c>
      <c r="AV1158" t="str">
        <f>IF(F1158&gt;0,(COUNT($AV$1:AV1157)+1),"")</f>
        <v/>
      </c>
    </row>
    <row r="1159" spans="1:48" ht="15" customHeight="1" x14ac:dyDescent="0.25">
      <c r="A1159" s="1"/>
      <c r="B1159" s="30">
        <v>19673</v>
      </c>
      <c r="C1159" s="20">
        <v>4607953270403</v>
      </c>
      <c r="D1159" s="264" t="s">
        <v>2031</v>
      </c>
      <c r="E1159" s="67">
        <v>30</v>
      </c>
      <c r="F1159" s="222"/>
      <c r="G1159" s="107">
        <v>195</v>
      </c>
      <c r="H1159" s="21">
        <v>204.6</v>
      </c>
      <c r="I1159" s="22">
        <v>215</v>
      </c>
      <c r="J1159" s="112" t="s">
        <v>341</v>
      </c>
      <c r="K1159" s="45" t="s">
        <v>1918</v>
      </c>
      <c r="L1159" s="437"/>
      <c r="M1159" s="474" t="s">
        <v>1856</v>
      </c>
      <c r="N1159" s="1013" t="s">
        <v>1856</v>
      </c>
      <c r="O1159" s="216"/>
      <c r="P1159" s="66" t="s">
        <v>72</v>
      </c>
      <c r="Q1159" s="100">
        <f>IF($AO$1123=2,F1159*H1159,IF($AO$1123=1,F1159*G1159,F1159*I1159))</f>
        <v>0</v>
      </c>
      <c r="R1159" s="13" t="str">
        <f t="shared" si="600"/>
        <v>Фото &gt;&gt;</v>
      </c>
      <c r="S1159" s="14" t="s">
        <v>1920</v>
      </c>
      <c r="AK1159">
        <v>0.11</v>
      </c>
      <c r="AL1159">
        <f t="shared" si="601"/>
        <v>0</v>
      </c>
      <c r="AM1159">
        <f t="shared" si="602"/>
        <v>0</v>
      </c>
      <c r="AN1159">
        <f t="shared" si="599"/>
        <v>0</v>
      </c>
      <c r="AO1159" t="s">
        <v>5667</v>
      </c>
      <c r="AV1159" t="str">
        <f>IF(F1159&gt;0,(COUNT($AV$1:AV1158)+1),"")</f>
        <v/>
      </c>
    </row>
    <row r="1160" spans="1:48" ht="15" customHeight="1" x14ac:dyDescent="0.25">
      <c r="A1160" s="1"/>
      <c r="B1160" s="31">
        <v>19674</v>
      </c>
      <c r="C1160" s="16">
        <v>4607953270441</v>
      </c>
      <c r="D1160" s="385" t="s">
        <v>5620</v>
      </c>
      <c r="E1160" s="69">
        <v>30</v>
      </c>
      <c r="F1160" s="222"/>
      <c r="G1160" s="108">
        <v>195</v>
      </c>
      <c r="H1160" s="17">
        <v>205</v>
      </c>
      <c r="I1160" s="18">
        <v>215</v>
      </c>
      <c r="J1160" s="113" t="s">
        <v>341</v>
      </c>
      <c r="K1160" s="44" t="s">
        <v>1918</v>
      </c>
      <c r="L1160" s="442"/>
      <c r="M1160" s="480" t="s">
        <v>1856</v>
      </c>
      <c r="N1160" s="1015" t="s">
        <v>1856</v>
      </c>
      <c r="O1160" s="220"/>
      <c r="P1160" s="68" t="s">
        <v>72</v>
      </c>
      <c r="Q1160" s="100">
        <f>IF($AO$1123=2,F1160*H1160,IF($AO$1123=1,F1160*G1160,F1160*I1160))</f>
        <v>0</v>
      </c>
      <c r="R1160" s="13" t="str">
        <f t="shared" si="600"/>
        <v>Фото &gt;&gt;</v>
      </c>
      <c r="S1160" s="14" t="s">
        <v>5674</v>
      </c>
      <c r="AK1160">
        <v>0.11</v>
      </c>
      <c r="AL1160">
        <f t="shared" si="601"/>
        <v>0</v>
      </c>
      <c r="AM1160">
        <f t="shared" si="602"/>
        <v>0</v>
      </c>
      <c r="AN1160">
        <f t="shared" si="599"/>
        <v>0</v>
      </c>
      <c r="AO1160" t="s">
        <v>5668</v>
      </c>
      <c r="AV1160" t="str">
        <f>IF(F1160&gt;0,(COUNT($AV$1:AV1159)+1),"")</f>
        <v/>
      </c>
    </row>
    <row r="1161" spans="1:48" ht="15" customHeight="1" x14ac:dyDescent="0.25">
      <c r="A1161" s="1"/>
      <c r="B1161" s="30">
        <v>19675</v>
      </c>
      <c r="C1161" s="20">
        <v>4607953270434</v>
      </c>
      <c r="D1161" s="225" t="s">
        <v>5760</v>
      </c>
      <c r="E1161" s="67">
        <v>9</v>
      </c>
      <c r="F1161" s="222"/>
      <c r="G1161" s="107">
        <v>195</v>
      </c>
      <c r="H1161" s="21">
        <v>204</v>
      </c>
      <c r="I1161" s="22">
        <v>225</v>
      </c>
      <c r="J1161" s="112" t="s">
        <v>341</v>
      </c>
      <c r="K1161" s="45" t="s">
        <v>1918</v>
      </c>
      <c r="L1161" s="437"/>
      <c r="M1161" s="474" t="s">
        <v>1856</v>
      </c>
      <c r="N1161" s="1013" t="s">
        <v>1856</v>
      </c>
      <c r="O1161" s="209"/>
      <c r="P1161" s="66" t="s">
        <v>72</v>
      </c>
      <c r="Q1161" s="100">
        <f>IF($AO$1123=2,F1161*H1161,IF($AO$1123=1,F1161*G1161,F1161*I1161))</f>
        <v>0</v>
      </c>
      <c r="R1161" s="13" t="str">
        <f t="shared" si="600"/>
        <v>Фото &gt;&gt;</v>
      </c>
      <c r="S1161" s="14" t="s">
        <v>5621</v>
      </c>
      <c r="AK1161">
        <v>0.11</v>
      </c>
      <c r="AL1161">
        <f t="shared" ref="AL1161" si="603">F1161*G1161</f>
        <v>0</v>
      </c>
      <c r="AM1161">
        <f t="shared" ref="AM1161" si="604">F1161*H1161</f>
        <v>0</v>
      </c>
      <c r="AN1161">
        <f t="shared" ref="AN1161" si="605">AK1161*F1161+IF(E1161&gt;1.01,F1161/E1161*0.2,0)</f>
        <v>0</v>
      </c>
      <c r="AO1161" t="s">
        <v>5669</v>
      </c>
      <c r="AV1161" t="str">
        <f>IF(F1161&gt;0,(COUNT($AV$1:AV1160)+1),"")</f>
        <v/>
      </c>
    </row>
    <row r="1162" spans="1:48" ht="15" customHeight="1" x14ac:dyDescent="0.25">
      <c r="A1162" s="1"/>
      <c r="B1162" s="125"/>
      <c r="C1162" s="126"/>
      <c r="D1162" s="127"/>
      <c r="E1162" s="134"/>
      <c r="F1162" s="189"/>
      <c r="G1162" s="130"/>
      <c r="H1162" s="131"/>
      <c r="I1162" s="132"/>
      <c r="J1162" s="128"/>
      <c r="K1162" s="129"/>
      <c r="L1162" s="433"/>
      <c r="M1162" s="481" t="s">
        <v>104</v>
      </c>
      <c r="N1162" s="471"/>
      <c r="O1162" s="181"/>
      <c r="P1162" s="133"/>
      <c r="Q1162" s="135"/>
      <c r="R1162" s="13"/>
      <c r="S1162" s="14"/>
      <c r="AV1162" t="str">
        <f>IF(F1162&gt;0,(COUNT($AV$1:AV1161)+1),"")</f>
        <v/>
      </c>
    </row>
    <row r="1163" spans="1:48" ht="15" customHeight="1" thickBot="1" x14ac:dyDescent="0.3">
      <c r="A1163" s="1"/>
      <c r="B1163" s="136"/>
      <c r="C1163" s="137"/>
      <c r="D1163" s="138"/>
      <c r="E1163" s="145"/>
      <c r="F1163" s="190"/>
      <c r="G1163" s="141"/>
      <c r="H1163" s="142"/>
      <c r="I1163" s="143"/>
      <c r="J1163" s="139"/>
      <c r="K1163" s="140"/>
      <c r="L1163" s="434"/>
      <c r="M1163" s="477" t="s">
        <v>104</v>
      </c>
      <c r="N1163" s="468"/>
      <c r="O1163" s="182"/>
      <c r="P1163" s="144"/>
      <c r="Q1163" s="146"/>
      <c r="R1163" s="13"/>
      <c r="S1163" s="14"/>
      <c r="AV1163" t="str">
        <f>IF(F1163&gt;0,(COUNT($AV$1:AV1162)+1),"")</f>
        <v/>
      </c>
    </row>
    <row r="1164" spans="1:48" ht="24.95" customHeight="1" thickBot="1" x14ac:dyDescent="0.3">
      <c r="A1164" s="1"/>
      <c r="B1164" s="169"/>
      <c r="C1164" s="170"/>
      <c r="D1164" s="171" t="str">
        <f>CONCATENATE("Вастэко","     |     Сумма заказа: ",AK1164," руб.")</f>
        <v>Вастэко     |     Сумма заказа: 0 руб.</v>
      </c>
      <c r="E1164" s="176"/>
      <c r="F1164" s="177"/>
      <c r="G1164" s="180" t="str">
        <f>CONCATENATE("Ценовая колонка: ",AO1164,"   |   До следующей скидки: ",AJ1164," руб.")</f>
        <v>Ценовая колонка: 3   |   До следующей скидки: 5000 руб.</v>
      </c>
      <c r="H1164" s="174"/>
      <c r="I1164" s="174"/>
      <c r="J1164" s="172" t="s">
        <v>407</v>
      </c>
      <c r="K1164" s="173"/>
      <c r="L1164" s="444"/>
      <c r="M1164" s="486" t="s">
        <v>104</v>
      </c>
      <c r="N1164" s="717"/>
      <c r="O1164" s="184"/>
      <c r="P1164" s="175"/>
      <c r="Q1164" s="178"/>
      <c r="R1164" s="179" t="s">
        <v>1558</v>
      </c>
      <c r="S1164" s="14"/>
      <c r="AJ1164">
        <f>ROUND(IF(AL1164&gt;30000,"0", IF(AND(AL1164&lt;30000,AM1164&gt;5000),30000-AL1164,5000-AM1164)),2)</f>
        <v>5000</v>
      </c>
      <c r="AK1164">
        <f>SUM(Q1166:Q1248)</f>
        <v>0</v>
      </c>
      <c r="AL1164">
        <f>SUM(AL1166:AL1248)</f>
        <v>0</v>
      </c>
      <c r="AM1164">
        <f>SUM(AM1166:AM1248)</f>
        <v>0</v>
      </c>
      <c r="AO1164">
        <f>IF(AM1164&gt;5000,IF(AL1164&gt;30000,1,2),3)</f>
        <v>3</v>
      </c>
      <c r="AV1164" t="str">
        <f>IF(F1164&gt;0,(COUNT($AV$1:AV1163)+1),"")</f>
        <v/>
      </c>
    </row>
    <row r="1165" spans="1:48" ht="15" customHeight="1" x14ac:dyDescent="0.25">
      <c r="A1165" s="1"/>
      <c r="B1165" s="296"/>
      <c r="C1165" s="38"/>
      <c r="D1165" s="39" t="s">
        <v>4047</v>
      </c>
      <c r="E1165" s="82"/>
      <c r="F1165" s="97"/>
      <c r="G1165" s="40" t="s">
        <v>1426</v>
      </c>
      <c r="H1165" s="41" t="s">
        <v>16</v>
      </c>
      <c r="I1165" s="41" t="s">
        <v>221</v>
      </c>
      <c r="J1165" s="52"/>
      <c r="K1165" s="48"/>
      <c r="L1165" s="448"/>
      <c r="M1165" s="491" t="s">
        <v>104</v>
      </c>
      <c r="N1165" s="715"/>
      <c r="O1165" s="187"/>
      <c r="P1165" s="81"/>
      <c r="Q1165" s="105"/>
      <c r="R1165" s="13"/>
      <c r="S1165" s="14"/>
      <c r="AV1165" t="str">
        <f>IF(F1165&gt;0,(COUNT($AV$1:AV1164)+1),"")</f>
        <v/>
      </c>
    </row>
    <row r="1166" spans="1:48" ht="15" customHeight="1" x14ac:dyDescent="0.25">
      <c r="A1166" s="1"/>
      <c r="B1166" s="31">
        <v>15969</v>
      </c>
      <c r="C1166" s="16">
        <v>4627094502157</v>
      </c>
      <c r="D1166" s="154" t="s">
        <v>408</v>
      </c>
      <c r="E1166" s="323">
        <v>8</v>
      </c>
      <c r="F1166" s="222"/>
      <c r="G1166" s="108">
        <v>517.20000000000005</v>
      </c>
      <c r="H1166" s="17">
        <v>537</v>
      </c>
      <c r="I1166" s="18">
        <v>558</v>
      </c>
      <c r="J1166" s="113" t="s">
        <v>407</v>
      </c>
      <c r="K1166" s="44" t="s">
        <v>19</v>
      </c>
      <c r="L1166" s="442"/>
      <c r="M1166" s="480" t="s">
        <v>1856</v>
      </c>
      <c r="N1166" s="1015" t="s">
        <v>1856</v>
      </c>
      <c r="O1166" s="217" t="s">
        <v>5955</v>
      </c>
      <c r="P1166" s="68" t="s">
        <v>40</v>
      </c>
      <c r="Q1166" s="100">
        <f t="shared" ref="Q1166:Q1178" si="606">IF($AO$1164=2,F1166*H1166,IF($AO$1164=1,F1166*G1166,F1166*I1166))</f>
        <v>0</v>
      </c>
      <c r="R1166" s="13" t="str">
        <f t="shared" ref="R1166:R1192" si="607">IF(AO1166&gt;0,HYPERLINK(AO1166,"Фото &gt;&gt;"),"")</f>
        <v>Фото &gt;&gt;</v>
      </c>
      <c r="S1166" s="14" t="s">
        <v>1990</v>
      </c>
      <c r="AK1166">
        <v>0.45</v>
      </c>
      <c r="AL1166">
        <f t="shared" ref="AL1166:AL1189" si="608">F1166*G1166</f>
        <v>0</v>
      </c>
      <c r="AM1166">
        <f t="shared" ref="AM1166:AM1189" si="609">F1166*H1166</f>
        <v>0</v>
      </c>
      <c r="AN1166">
        <f t="shared" ref="AN1166:AN1192" si="610">AK1166*F1166+IF(E1166&gt;1.01,F1166/E1166*0.2,0)</f>
        <v>0</v>
      </c>
      <c r="AO1166" t="s">
        <v>5390</v>
      </c>
      <c r="AV1166" t="str">
        <f>IF(F1166&gt;0,(COUNT($AV$1:AV1165)+1),"")</f>
        <v/>
      </c>
    </row>
    <row r="1167" spans="1:48" ht="15" customHeight="1" x14ac:dyDescent="0.25">
      <c r="A1167" s="1"/>
      <c r="B1167" s="30">
        <v>15087</v>
      </c>
      <c r="C1167" s="20">
        <v>4650118190016</v>
      </c>
      <c r="D1167" s="153" t="s">
        <v>2409</v>
      </c>
      <c r="E1167" s="67">
        <v>8</v>
      </c>
      <c r="F1167" s="222"/>
      <c r="G1167" s="107">
        <v>442.6</v>
      </c>
      <c r="H1167" s="21">
        <v>460</v>
      </c>
      <c r="I1167" s="22">
        <v>485</v>
      </c>
      <c r="J1167" s="112" t="s">
        <v>407</v>
      </c>
      <c r="K1167" s="45" t="s">
        <v>19</v>
      </c>
      <c r="L1167" s="437"/>
      <c r="M1167" s="474" t="s">
        <v>1856</v>
      </c>
      <c r="N1167" s="1013" t="s">
        <v>1856</v>
      </c>
      <c r="O1167" s="212"/>
      <c r="P1167" s="66" t="s">
        <v>40</v>
      </c>
      <c r="Q1167" s="100">
        <f t="shared" si="606"/>
        <v>0</v>
      </c>
      <c r="R1167" s="13" t="str">
        <f t="shared" si="607"/>
        <v>Фото &gt;&gt;</v>
      </c>
      <c r="S1167" s="14" t="s">
        <v>1989</v>
      </c>
      <c r="AK1167">
        <v>0.45</v>
      </c>
      <c r="AL1167">
        <f t="shared" si="608"/>
        <v>0</v>
      </c>
      <c r="AM1167">
        <f t="shared" si="609"/>
        <v>0</v>
      </c>
      <c r="AN1167">
        <f t="shared" si="610"/>
        <v>0</v>
      </c>
      <c r="AO1167" t="s">
        <v>3524</v>
      </c>
      <c r="AV1167" t="str">
        <f>IF(F1167&gt;0,(COUNT($AV$1:AV1166)+1),"")</f>
        <v/>
      </c>
    </row>
    <row r="1168" spans="1:48" ht="15" customHeight="1" x14ac:dyDescent="0.25">
      <c r="A1168" s="1"/>
      <c r="B1168" s="31">
        <v>15088</v>
      </c>
      <c r="C1168" s="16">
        <v>4650118190030</v>
      </c>
      <c r="D1168" s="154" t="s">
        <v>2410</v>
      </c>
      <c r="E1168" s="69">
        <v>12</v>
      </c>
      <c r="F1168" s="222"/>
      <c r="G1168" s="108">
        <v>715</v>
      </c>
      <c r="H1168" s="17">
        <v>744.5</v>
      </c>
      <c r="I1168" s="18">
        <v>782</v>
      </c>
      <c r="J1168" s="113" t="s">
        <v>407</v>
      </c>
      <c r="K1168" s="44" t="s">
        <v>19</v>
      </c>
      <c r="L1168" s="442"/>
      <c r="M1168" s="480" t="s">
        <v>1856</v>
      </c>
      <c r="N1168" s="1015" t="s">
        <v>1856</v>
      </c>
      <c r="O1168" s="217"/>
      <c r="P1168" s="68" t="s">
        <v>40</v>
      </c>
      <c r="Q1168" s="100">
        <f t="shared" si="606"/>
        <v>0</v>
      </c>
      <c r="R1168" s="13" t="str">
        <f t="shared" si="607"/>
        <v>Фото &gt;&gt;</v>
      </c>
      <c r="S1168" s="14" t="s">
        <v>1989</v>
      </c>
      <c r="AK1168">
        <v>0.67</v>
      </c>
      <c r="AL1168">
        <f t="shared" si="608"/>
        <v>0</v>
      </c>
      <c r="AM1168">
        <f t="shared" si="609"/>
        <v>0</v>
      </c>
      <c r="AN1168">
        <f t="shared" si="610"/>
        <v>0</v>
      </c>
      <c r="AO1168" t="s">
        <v>3525</v>
      </c>
      <c r="AV1168" t="str">
        <f>IF(F1168&gt;0,(COUNT($AV$1:AV1167)+1),"")</f>
        <v/>
      </c>
    </row>
    <row r="1169" spans="1:48" ht="15" customHeight="1" x14ac:dyDescent="0.25">
      <c r="A1169" s="1"/>
      <c r="B1169" s="30">
        <v>18657</v>
      </c>
      <c r="C1169" s="20">
        <v>4650118190412</v>
      </c>
      <c r="D1169" s="153" t="s">
        <v>409</v>
      </c>
      <c r="E1169" s="67">
        <v>6</v>
      </c>
      <c r="F1169" s="222"/>
      <c r="G1169" s="107">
        <v>574.6</v>
      </c>
      <c r="H1169" s="21">
        <v>597</v>
      </c>
      <c r="I1169" s="22">
        <v>620</v>
      </c>
      <c r="J1169" s="112" t="s">
        <v>407</v>
      </c>
      <c r="K1169" s="45" t="s">
        <v>19</v>
      </c>
      <c r="L1169" s="437"/>
      <c r="M1169" s="474" t="s">
        <v>1856</v>
      </c>
      <c r="N1169" s="1013" t="s">
        <v>1856</v>
      </c>
      <c r="O1169" s="212"/>
      <c r="P1169" s="66" t="s">
        <v>40</v>
      </c>
      <c r="Q1169" s="100">
        <f t="shared" si="606"/>
        <v>0</v>
      </c>
      <c r="R1169" s="13" t="str">
        <f t="shared" si="607"/>
        <v>Фото &gt;&gt;</v>
      </c>
      <c r="S1169" s="14" t="s">
        <v>1989</v>
      </c>
      <c r="AK1169">
        <v>0.4</v>
      </c>
      <c r="AL1169">
        <f t="shared" si="608"/>
        <v>0</v>
      </c>
      <c r="AM1169">
        <f t="shared" si="609"/>
        <v>0</v>
      </c>
      <c r="AN1169">
        <f t="shared" si="610"/>
        <v>0</v>
      </c>
      <c r="AO1169" t="s">
        <v>2649</v>
      </c>
      <c r="AV1169" t="str">
        <f>IF(F1169&gt;0,(COUNT($AV$1:AV1168)+1),"")</f>
        <v/>
      </c>
    </row>
    <row r="1170" spans="1:48" ht="15" customHeight="1" x14ac:dyDescent="0.25">
      <c r="A1170" s="1"/>
      <c r="B1170" s="31">
        <v>19197</v>
      </c>
      <c r="C1170" s="16">
        <v>4650118192881</v>
      </c>
      <c r="D1170" s="154" t="s">
        <v>5615</v>
      </c>
      <c r="E1170" s="69">
        <v>12</v>
      </c>
      <c r="F1170" s="222"/>
      <c r="G1170" s="108">
        <v>275.2</v>
      </c>
      <c r="H1170" s="17">
        <v>286.2</v>
      </c>
      <c r="I1170" s="18">
        <v>297</v>
      </c>
      <c r="J1170" s="113" t="s">
        <v>407</v>
      </c>
      <c r="K1170" s="44" t="s">
        <v>19</v>
      </c>
      <c r="L1170" s="442"/>
      <c r="M1170" s="480" t="s">
        <v>1856</v>
      </c>
      <c r="N1170" s="1015" t="s">
        <v>1856</v>
      </c>
      <c r="O1170" s="217"/>
      <c r="P1170" s="68" t="s">
        <v>72</v>
      </c>
      <c r="Q1170" s="100">
        <f t="shared" si="606"/>
        <v>0</v>
      </c>
      <c r="R1170" s="13" t="str">
        <f t="shared" si="607"/>
        <v>Фото &gt;&gt;</v>
      </c>
      <c r="S1170" s="14" t="s">
        <v>2411</v>
      </c>
      <c r="AK1170">
        <v>0.6</v>
      </c>
      <c r="AL1170">
        <f t="shared" ref="AL1170" si="611">F1170*G1170</f>
        <v>0</v>
      </c>
      <c r="AM1170">
        <f t="shared" ref="AM1170" si="612">F1170*H1170</f>
        <v>0</v>
      </c>
      <c r="AN1170">
        <f t="shared" ref="AN1170" si="613">AK1170*F1170+IF(E1170&gt;1.01,F1170/E1170*0.2,0)</f>
        <v>0</v>
      </c>
      <c r="AO1170" t="s">
        <v>5391</v>
      </c>
      <c r="AV1170" t="str">
        <f>IF(F1170&gt;0,(COUNT($AV$1:AV1169)+1),"")</f>
        <v/>
      </c>
    </row>
    <row r="1171" spans="1:48" ht="15" customHeight="1" x14ac:dyDescent="0.25">
      <c r="A1171" s="1"/>
      <c r="B1171" s="30">
        <v>21146</v>
      </c>
      <c r="C1171" s="20">
        <v>4650118197350</v>
      </c>
      <c r="D1171" s="225" t="s">
        <v>7276</v>
      </c>
      <c r="E1171" s="67">
        <v>6</v>
      </c>
      <c r="F1171" s="222"/>
      <c r="G1171" s="107">
        <v>374.8</v>
      </c>
      <c r="H1171" s="21">
        <v>389.7</v>
      </c>
      <c r="I1171" s="22">
        <v>415.6</v>
      </c>
      <c r="J1171" s="112" t="s">
        <v>407</v>
      </c>
      <c r="K1171" s="45" t="s">
        <v>19</v>
      </c>
      <c r="L1171" s="437"/>
      <c r="M1171" s="474" t="s">
        <v>1856</v>
      </c>
      <c r="N1171" s="1013" t="s">
        <v>1856</v>
      </c>
      <c r="O1171" s="209"/>
      <c r="P1171" s="66" t="s">
        <v>72</v>
      </c>
      <c r="Q1171" s="100">
        <f t="shared" si="606"/>
        <v>0</v>
      </c>
      <c r="R1171" s="13" t="str">
        <f t="shared" si="607"/>
        <v>Фото &gt;&gt;</v>
      </c>
      <c r="S1171" s="14" t="s">
        <v>2411</v>
      </c>
      <c r="AK1171">
        <v>0.9</v>
      </c>
      <c r="AL1171">
        <f t="shared" ref="AL1171:AL1176" si="614">F1171*G1171</f>
        <v>0</v>
      </c>
      <c r="AM1171">
        <f t="shared" ref="AM1171:AM1176" si="615">F1171*H1171</f>
        <v>0</v>
      </c>
      <c r="AN1171">
        <f t="shared" ref="AN1171:AN1176" si="616">AK1171*F1171+IF(E1171&gt;1.01,F1171/E1171*0.2,0)</f>
        <v>0</v>
      </c>
      <c r="AO1171" t="s">
        <v>6115</v>
      </c>
      <c r="AV1171" t="str">
        <f>IF(F1171&gt;0,(COUNT($AV$1:AV1170)+1),"")</f>
        <v/>
      </c>
    </row>
    <row r="1172" spans="1:48" ht="15" customHeight="1" x14ac:dyDescent="0.25">
      <c r="A1172" s="1"/>
      <c r="B1172" s="31">
        <v>19940</v>
      </c>
      <c r="C1172" s="16">
        <v>4650118197152</v>
      </c>
      <c r="D1172" s="154" t="s">
        <v>5616</v>
      </c>
      <c r="E1172" s="69">
        <v>12</v>
      </c>
      <c r="F1172" s="222"/>
      <c r="G1172" s="108">
        <v>301</v>
      </c>
      <c r="H1172" s="17">
        <v>313</v>
      </c>
      <c r="I1172" s="18">
        <v>325</v>
      </c>
      <c r="J1172" s="113" t="s">
        <v>407</v>
      </c>
      <c r="K1172" s="44" t="s">
        <v>19</v>
      </c>
      <c r="L1172" s="442"/>
      <c r="M1172" s="480" t="s">
        <v>1856</v>
      </c>
      <c r="N1172" s="1015" t="s">
        <v>1856</v>
      </c>
      <c r="O1172" s="217"/>
      <c r="P1172" s="68" t="s">
        <v>72</v>
      </c>
      <c r="Q1172" s="100">
        <f t="shared" si="606"/>
        <v>0</v>
      </c>
      <c r="R1172" s="13" t="str">
        <f t="shared" si="607"/>
        <v>Фото &gt;&gt;</v>
      </c>
      <c r="S1172" s="14" t="s">
        <v>5613</v>
      </c>
      <c r="AK1172">
        <v>0.6</v>
      </c>
      <c r="AL1172">
        <f t="shared" si="614"/>
        <v>0</v>
      </c>
      <c r="AM1172">
        <f t="shared" si="615"/>
        <v>0</v>
      </c>
      <c r="AN1172">
        <f t="shared" si="616"/>
        <v>0</v>
      </c>
      <c r="AO1172" t="s">
        <v>5614</v>
      </c>
      <c r="AV1172" t="str">
        <f>IF(F1172&gt;0,(COUNT($AV$1:AV1171)+1),"")</f>
        <v/>
      </c>
    </row>
    <row r="1173" spans="1:48" ht="15" customHeight="1" x14ac:dyDescent="0.25">
      <c r="A1173" s="1"/>
      <c r="B1173" s="30">
        <v>19198</v>
      </c>
      <c r="C1173" s="20">
        <v>4650118193338</v>
      </c>
      <c r="D1173" s="153" t="s">
        <v>5617</v>
      </c>
      <c r="E1173" s="67">
        <v>8</v>
      </c>
      <c r="F1173" s="222"/>
      <c r="G1173" s="107">
        <v>324</v>
      </c>
      <c r="H1173" s="21">
        <v>337</v>
      </c>
      <c r="I1173" s="22">
        <v>349</v>
      </c>
      <c r="J1173" s="112" t="s">
        <v>407</v>
      </c>
      <c r="K1173" s="45" t="s">
        <v>19</v>
      </c>
      <c r="L1173" s="437"/>
      <c r="M1173" s="474" t="s">
        <v>1856</v>
      </c>
      <c r="N1173" s="1013" t="s">
        <v>1856</v>
      </c>
      <c r="O1173" s="212"/>
      <c r="P1173" s="66" t="s">
        <v>72</v>
      </c>
      <c r="Q1173" s="100">
        <f t="shared" si="606"/>
        <v>0</v>
      </c>
      <c r="R1173" s="13" t="str">
        <f t="shared" si="607"/>
        <v>Фото &gt;&gt;</v>
      </c>
      <c r="S1173" s="14" t="s">
        <v>5618</v>
      </c>
      <c r="AK1173">
        <v>0.45</v>
      </c>
      <c r="AL1173">
        <f t="shared" si="614"/>
        <v>0</v>
      </c>
      <c r="AM1173">
        <f t="shared" si="615"/>
        <v>0</v>
      </c>
      <c r="AN1173">
        <f t="shared" si="616"/>
        <v>0</v>
      </c>
      <c r="AO1173" t="s">
        <v>5619</v>
      </c>
      <c r="AV1173" t="str">
        <f>IF(F1173&gt;0,(COUNT($AV$1:AV1172)+1),"")</f>
        <v/>
      </c>
    </row>
    <row r="1174" spans="1:48" ht="15" customHeight="1" x14ac:dyDescent="0.25">
      <c r="A1174" s="1"/>
      <c r="B1174" s="31">
        <v>20958</v>
      </c>
      <c r="C1174" s="16">
        <v>4650118195424</v>
      </c>
      <c r="D1174" s="226" t="s">
        <v>5655</v>
      </c>
      <c r="E1174" s="69">
        <v>12</v>
      </c>
      <c r="F1174" s="222"/>
      <c r="G1174" s="108">
        <v>562.5</v>
      </c>
      <c r="H1174" s="17">
        <v>585</v>
      </c>
      <c r="I1174" s="18">
        <v>607</v>
      </c>
      <c r="J1174" s="113" t="s">
        <v>407</v>
      </c>
      <c r="K1174" s="44" t="s">
        <v>19</v>
      </c>
      <c r="L1174" s="442"/>
      <c r="M1174" s="480" t="s">
        <v>1856</v>
      </c>
      <c r="N1174" s="1015" t="s">
        <v>1856</v>
      </c>
      <c r="O1174" s="210"/>
      <c r="P1174" s="68" t="s">
        <v>72</v>
      </c>
      <c r="Q1174" s="100">
        <f t="shared" si="606"/>
        <v>0</v>
      </c>
      <c r="R1174" s="13" t="str">
        <f t="shared" si="607"/>
        <v>Фото &gt;&gt;</v>
      </c>
      <c r="S1174" s="14" t="s">
        <v>5618</v>
      </c>
      <c r="AK1174">
        <v>0.65</v>
      </c>
      <c r="AL1174">
        <f t="shared" si="614"/>
        <v>0</v>
      </c>
      <c r="AM1174">
        <f t="shared" si="615"/>
        <v>0</v>
      </c>
      <c r="AN1174">
        <f t="shared" si="616"/>
        <v>0</v>
      </c>
      <c r="AO1174" t="s">
        <v>5656</v>
      </c>
      <c r="AV1174" t="str">
        <f>IF(F1174&gt;0,(COUNT($AV$1:AV1173)+1),"")</f>
        <v/>
      </c>
    </row>
    <row r="1175" spans="1:48" ht="15" customHeight="1" x14ac:dyDescent="0.25">
      <c r="A1175" s="1"/>
      <c r="B1175" s="30">
        <v>21147</v>
      </c>
      <c r="C1175" s="20">
        <v>4650118199026</v>
      </c>
      <c r="D1175" s="225" t="s">
        <v>7277</v>
      </c>
      <c r="E1175" s="67">
        <v>6</v>
      </c>
      <c r="F1175" s="222"/>
      <c r="G1175" s="107">
        <v>523.6</v>
      </c>
      <c r="H1175" s="21">
        <v>544.20000000000005</v>
      </c>
      <c r="I1175" s="22">
        <v>566</v>
      </c>
      <c r="J1175" s="112" t="s">
        <v>407</v>
      </c>
      <c r="K1175" s="45" t="s">
        <v>19</v>
      </c>
      <c r="L1175" s="437"/>
      <c r="M1175" s="474" t="s">
        <v>1856</v>
      </c>
      <c r="N1175" s="1013" t="s">
        <v>1856</v>
      </c>
      <c r="O1175" s="209"/>
      <c r="P1175" s="66" t="s">
        <v>72</v>
      </c>
      <c r="Q1175" s="100">
        <f t="shared" si="606"/>
        <v>0</v>
      </c>
      <c r="R1175" s="13" t="str">
        <f t="shared" si="607"/>
        <v>Фото &gt;&gt;</v>
      </c>
      <c r="S1175" s="14" t="s">
        <v>6114</v>
      </c>
      <c r="AK1175">
        <v>0.65</v>
      </c>
      <c r="AL1175">
        <f t="shared" si="614"/>
        <v>0</v>
      </c>
      <c r="AM1175">
        <f t="shared" si="615"/>
        <v>0</v>
      </c>
      <c r="AN1175">
        <f t="shared" si="616"/>
        <v>0</v>
      </c>
      <c r="AO1175" t="s">
        <v>6116</v>
      </c>
      <c r="AV1175" t="str">
        <f>IF(F1175&gt;0,(COUNT($AV$1:AV1174)+1),"")</f>
        <v/>
      </c>
    </row>
    <row r="1176" spans="1:48" ht="15" customHeight="1" x14ac:dyDescent="0.25">
      <c r="A1176" s="1"/>
      <c r="B1176" s="31">
        <v>20946</v>
      </c>
      <c r="C1176" s="16">
        <v>4650118197145</v>
      </c>
      <c r="D1176" s="154" t="s">
        <v>5562</v>
      </c>
      <c r="E1176" s="69">
        <v>6</v>
      </c>
      <c r="F1176" s="222"/>
      <c r="G1176" s="108">
        <v>553.79999999999995</v>
      </c>
      <c r="H1176" s="17">
        <v>576.4</v>
      </c>
      <c r="I1176" s="18">
        <v>599.20000000000005</v>
      </c>
      <c r="J1176" s="113" t="s">
        <v>407</v>
      </c>
      <c r="K1176" s="44" t="s">
        <v>201</v>
      </c>
      <c r="L1176" s="442"/>
      <c r="M1176" s="480" t="s">
        <v>1856</v>
      </c>
      <c r="N1176" s="1015" t="s">
        <v>1856</v>
      </c>
      <c r="O1176" s="217" t="s">
        <v>2953</v>
      </c>
      <c r="P1176" s="68" t="s">
        <v>72</v>
      </c>
      <c r="Q1176" s="100">
        <f t="shared" si="606"/>
        <v>0</v>
      </c>
      <c r="R1176" s="13" t="str">
        <f t="shared" si="607"/>
        <v>Фото &gt;&gt;</v>
      </c>
      <c r="S1176" s="14" t="s">
        <v>2224</v>
      </c>
      <c r="AK1176">
        <v>0.5</v>
      </c>
      <c r="AL1176">
        <f t="shared" si="614"/>
        <v>0</v>
      </c>
      <c r="AM1176">
        <f t="shared" si="615"/>
        <v>0</v>
      </c>
      <c r="AN1176">
        <f t="shared" si="616"/>
        <v>0</v>
      </c>
      <c r="AO1176" t="s">
        <v>5563</v>
      </c>
      <c r="AV1176" t="str">
        <f>IF(F1176&gt;0,(COUNT($AV$1:AV1175)+1),"")</f>
        <v/>
      </c>
    </row>
    <row r="1177" spans="1:48" ht="15" customHeight="1" x14ac:dyDescent="0.25">
      <c r="A1177" s="1"/>
      <c r="B1177" s="30">
        <v>21145</v>
      </c>
      <c r="C1177" s="20">
        <v>4640240810692</v>
      </c>
      <c r="D1177" s="225" t="s">
        <v>7278</v>
      </c>
      <c r="E1177" s="67">
        <v>6</v>
      </c>
      <c r="F1177" s="222"/>
      <c r="G1177" s="107">
        <v>230.7</v>
      </c>
      <c r="H1177" s="21">
        <v>244.5</v>
      </c>
      <c r="I1177" s="22">
        <v>260.8</v>
      </c>
      <c r="J1177" s="112" t="s">
        <v>407</v>
      </c>
      <c r="K1177" s="45" t="s">
        <v>1424</v>
      </c>
      <c r="L1177" s="437"/>
      <c r="M1177" s="474" t="s">
        <v>1856</v>
      </c>
      <c r="N1177" s="1013" t="s">
        <v>1856</v>
      </c>
      <c r="O1177" s="209"/>
      <c r="P1177" s="66" t="s">
        <v>6120</v>
      </c>
      <c r="Q1177" s="100">
        <f t="shared" si="606"/>
        <v>0</v>
      </c>
      <c r="R1177" s="13" t="str">
        <f t="shared" si="607"/>
        <v>Фото &gt;&gt;</v>
      </c>
      <c r="S1177" s="14" t="s">
        <v>6121</v>
      </c>
      <c r="AK1177">
        <v>1.05</v>
      </c>
      <c r="AL1177">
        <f t="shared" ref="AL1177:AL1178" si="617">F1177*G1177</f>
        <v>0</v>
      </c>
      <c r="AM1177">
        <f t="shared" ref="AM1177:AM1178" si="618">F1177*H1177</f>
        <v>0</v>
      </c>
      <c r="AN1177">
        <f t="shared" ref="AN1177:AN1178" si="619">AK1177*F1177+IF(E1177&gt;1.01,F1177/E1177*0.2,0)</f>
        <v>0</v>
      </c>
      <c r="AO1177" t="s">
        <v>6122</v>
      </c>
      <c r="AV1177" t="str">
        <f>IF(F1177&gt;0,(COUNT($AV$1:AV1176)+1),"")</f>
        <v/>
      </c>
    </row>
    <row r="1178" spans="1:48" ht="15" customHeight="1" x14ac:dyDescent="0.25">
      <c r="A1178" s="1"/>
      <c r="B1178" s="31">
        <v>21144</v>
      </c>
      <c r="C1178" s="16">
        <v>4640240810715</v>
      </c>
      <c r="D1178" s="226" t="s">
        <v>7279</v>
      </c>
      <c r="E1178" s="69">
        <v>6</v>
      </c>
      <c r="F1178" s="222"/>
      <c r="G1178" s="108">
        <v>230.7</v>
      </c>
      <c r="H1178" s="17">
        <v>244.5</v>
      </c>
      <c r="I1178" s="18">
        <v>260.8</v>
      </c>
      <c r="J1178" s="113" t="s">
        <v>407</v>
      </c>
      <c r="K1178" s="44" t="s">
        <v>1424</v>
      </c>
      <c r="L1178" s="442"/>
      <c r="M1178" s="480" t="s">
        <v>1856</v>
      </c>
      <c r="N1178" s="1015" t="s">
        <v>1856</v>
      </c>
      <c r="O1178" s="210"/>
      <c r="P1178" s="68" t="s">
        <v>6120</v>
      </c>
      <c r="Q1178" s="100">
        <f t="shared" si="606"/>
        <v>0</v>
      </c>
      <c r="R1178" s="13" t="str">
        <f t="shared" si="607"/>
        <v>Фото &gt;&gt;</v>
      </c>
      <c r="S1178" s="14" t="s">
        <v>6121</v>
      </c>
      <c r="AK1178">
        <v>1.05</v>
      </c>
      <c r="AL1178">
        <f t="shared" si="617"/>
        <v>0</v>
      </c>
      <c r="AM1178">
        <f t="shared" si="618"/>
        <v>0</v>
      </c>
      <c r="AN1178">
        <f t="shared" si="619"/>
        <v>0</v>
      </c>
      <c r="AO1178" t="s">
        <v>6123</v>
      </c>
      <c r="AV1178" t="str">
        <f>IF(F1178&gt;0,(COUNT($AV$1:AV1177)+1),"")</f>
        <v/>
      </c>
    </row>
    <row r="1179" spans="1:48" ht="15" customHeight="1" x14ac:dyDescent="0.25">
      <c r="A1179" s="1"/>
      <c r="B1179" s="537"/>
      <c r="C1179" s="538"/>
      <c r="D1179" s="766" t="s">
        <v>68</v>
      </c>
      <c r="E1179" s="539"/>
      <c r="F1179" s="540"/>
      <c r="G1179" s="541"/>
      <c r="H1179" s="542"/>
      <c r="I1179" s="542"/>
      <c r="J1179" s="543"/>
      <c r="K1179" s="544"/>
      <c r="L1179" s="545"/>
      <c r="M1179" s="546" t="s">
        <v>104</v>
      </c>
      <c r="N1179" s="859"/>
      <c r="O1179" s="547"/>
      <c r="P1179" s="548"/>
      <c r="Q1179" s="549"/>
      <c r="R1179" s="13"/>
      <c r="S1179" s="14"/>
      <c r="AL1179">
        <f t="shared" ref="AL1179:AL1185" si="620">F1179*G1179</f>
        <v>0</v>
      </c>
      <c r="AM1179">
        <f t="shared" ref="AM1179:AM1185" si="621">F1179*H1179</f>
        <v>0</v>
      </c>
      <c r="AN1179">
        <f t="shared" ref="AN1179:AN1185" si="622">AK1179*F1179+IF(E1179&gt;1.01,F1179/E1179*0.2,0)</f>
        <v>0</v>
      </c>
      <c r="AO1179" t="s">
        <v>104</v>
      </c>
      <c r="AV1179" t="str">
        <f>IF(F1179&gt;0,(COUNT($AV$1:AV1178)+1),"")</f>
        <v/>
      </c>
    </row>
    <row r="1180" spans="1:48" ht="15" customHeight="1" x14ac:dyDescent="0.25">
      <c r="A1180" s="1"/>
      <c r="B1180" s="30">
        <v>21182</v>
      </c>
      <c r="C1180" s="20">
        <v>4640240810340</v>
      </c>
      <c r="D1180" s="225" t="s">
        <v>6234</v>
      </c>
      <c r="E1180" s="67">
        <v>6</v>
      </c>
      <c r="F1180" s="280"/>
      <c r="G1180" s="107">
        <v>740</v>
      </c>
      <c r="H1180" s="21">
        <v>778.2</v>
      </c>
      <c r="I1180" s="22">
        <v>788.6</v>
      </c>
      <c r="J1180" s="112" t="s">
        <v>407</v>
      </c>
      <c r="K1180" s="45" t="s">
        <v>68</v>
      </c>
      <c r="L1180" s="437"/>
      <c r="M1180" s="474" t="s">
        <v>1856</v>
      </c>
      <c r="N1180" s="1013" t="s">
        <v>1856</v>
      </c>
      <c r="O1180" s="209"/>
      <c r="P1180" s="66" t="s">
        <v>50</v>
      </c>
      <c r="Q1180" s="100">
        <f>IF($AO$1164=2,F1180*H1180,IF($AO$1164=1,F1180*G1180,F1180*I1180))</f>
        <v>0</v>
      </c>
      <c r="R1180" s="13" t="str">
        <f t="shared" si="607"/>
        <v>Фото &gt;&gt;</v>
      </c>
      <c r="S1180" s="14" t="s">
        <v>6229</v>
      </c>
      <c r="AK1180">
        <v>0.17</v>
      </c>
      <c r="AL1180">
        <f t="shared" si="620"/>
        <v>0</v>
      </c>
      <c r="AM1180">
        <f t="shared" si="621"/>
        <v>0</v>
      </c>
      <c r="AN1180">
        <f t="shared" si="622"/>
        <v>0</v>
      </c>
      <c r="AO1180" t="s">
        <v>6230</v>
      </c>
      <c r="AV1180" t="str">
        <f>IF(F1180&gt;0,(COUNT($AV$1:AV1179)+1),"")</f>
        <v/>
      </c>
    </row>
    <row r="1181" spans="1:48" ht="15" customHeight="1" x14ac:dyDescent="0.25">
      <c r="A1181" s="1"/>
      <c r="B1181" s="31">
        <v>21183</v>
      </c>
      <c r="C1181" s="16">
        <v>4640240810357</v>
      </c>
      <c r="D1181" s="226" t="s">
        <v>6235</v>
      </c>
      <c r="E1181" s="69">
        <v>6</v>
      </c>
      <c r="F1181" s="280"/>
      <c r="G1181" s="108">
        <v>740</v>
      </c>
      <c r="H1181" s="17">
        <v>778.2</v>
      </c>
      <c r="I1181" s="18">
        <v>788.6</v>
      </c>
      <c r="J1181" s="113" t="s">
        <v>407</v>
      </c>
      <c r="K1181" s="44" t="s">
        <v>68</v>
      </c>
      <c r="L1181" s="442"/>
      <c r="M1181" s="480" t="s">
        <v>1856</v>
      </c>
      <c r="N1181" s="1015" t="s">
        <v>1856</v>
      </c>
      <c r="O1181" s="210"/>
      <c r="P1181" s="68" t="s">
        <v>50</v>
      </c>
      <c r="Q1181" s="100">
        <f>IF($AO$1164=2,F1181*H1181,IF($AO$1164=1,F1181*G1181,F1181*I1181))</f>
        <v>0</v>
      </c>
      <c r="R1181" s="13" t="str">
        <f t="shared" si="607"/>
        <v>Фото &gt;&gt;</v>
      </c>
      <c r="S1181" s="14" t="s">
        <v>6232</v>
      </c>
      <c r="AK1181">
        <v>0.17</v>
      </c>
      <c r="AL1181">
        <f t="shared" si="620"/>
        <v>0</v>
      </c>
      <c r="AM1181">
        <f t="shared" si="621"/>
        <v>0</v>
      </c>
      <c r="AN1181">
        <f t="shared" si="622"/>
        <v>0</v>
      </c>
      <c r="AO1181" t="s">
        <v>6231</v>
      </c>
      <c r="AV1181" t="str">
        <f>IF(F1181&gt;0,(COUNT($AV$1:AV1180)+1),"")</f>
        <v/>
      </c>
    </row>
    <row r="1182" spans="1:48" ht="15" customHeight="1" x14ac:dyDescent="0.25">
      <c r="A1182" s="1"/>
      <c r="B1182" s="30">
        <v>21184</v>
      </c>
      <c r="C1182" s="20">
        <v>4640240810845</v>
      </c>
      <c r="D1182" s="225" t="s">
        <v>6233</v>
      </c>
      <c r="E1182" s="67">
        <v>6</v>
      </c>
      <c r="F1182" s="280"/>
      <c r="G1182" s="107">
        <v>794.4</v>
      </c>
      <c r="H1182" s="21">
        <v>835.6</v>
      </c>
      <c r="I1182" s="22">
        <v>921.4</v>
      </c>
      <c r="J1182" s="112" t="s">
        <v>407</v>
      </c>
      <c r="K1182" s="45" t="s">
        <v>68</v>
      </c>
      <c r="L1182" s="437"/>
      <c r="M1182" s="474" t="s">
        <v>1856</v>
      </c>
      <c r="N1182" s="1013" t="s">
        <v>1856</v>
      </c>
      <c r="O1182" s="209"/>
      <c r="P1182" s="66" t="s">
        <v>50</v>
      </c>
      <c r="Q1182" s="100">
        <f>IF($AO$1164=2,F1182*H1182,IF($AO$1164=1,F1182*G1182,F1182*I1182))</f>
        <v>0</v>
      </c>
      <c r="R1182" s="13" t="str">
        <f t="shared" si="607"/>
        <v>Фото &gt;&gt;</v>
      </c>
      <c r="S1182" s="14" t="s">
        <v>6236</v>
      </c>
      <c r="AK1182">
        <v>0.17</v>
      </c>
      <c r="AL1182">
        <f t="shared" si="620"/>
        <v>0</v>
      </c>
      <c r="AM1182">
        <f t="shared" si="621"/>
        <v>0</v>
      </c>
      <c r="AN1182">
        <f t="shared" si="622"/>
        <v>0</v>
      </c>
      <c r="AO1182" t="s">
        <v>6238</v>
      </c>
      <c r="AV1182" t="str">
        <f>IF(F1182&gt;0,(COUNT($AV$1:AV1181)+1),"")</f>
        <v/>
      </c>
    </row>
    <row r="1183" spans="1:48" ht="15" customHeight="1" x14ac:dyDescent="0.25">
      <c r="A1183" s="1"/>
      <c r="B1183" s="31">
        <v>21181</v>
      </c>
      <c r="C1183" s="16">
        <v>4640240811330</v>
      </c>
      <c r="D1183" s="226" t="s">
        <v>6240</v>
      </c>
      <c r="E1183" s="69">
        <v>6</v>
      </c>
      <c r="F1183" s="280"/>
      <c r="G1183" s="108">
        <v>236.6</v>
      </c>
      <c r="H1183" s="17">
        <v>249</v>
      </c>
      <c r="I1183" s="18">
        <v>274.8</v>
      </c>
      <c r="J1183" s="113" t="s">
        <v>407</v>
      </c>
      <c r="K1183" s="44" t="s">
        <v>68</v>
      </c>
      <c r="L1183" s="442"/>
      <c r="M1183" s="480" t="s">
        <v>1856</v>
      </c>
      <c r="N1183" s="1015" t="s">
        <v>1856</v>
      </c>
      <c r="O1183" s="210"/>
      <c r="P1183" s="68" t="s">
        <v>50</v>
      </c>
      <c r="Q1183" s="100">
        <f>IF($AO$1164=2,F1183*H1183,IF($AO$1164=1,F1183*G1183,F1183*I1183))</f>
        <v>0</v>
      </c>
      <c r="R1183" s="13" t="str">
        <f t="shared" si="607"/>
        <v>Фото &gt;&gt;</v>
      </c>
      <c r="S1183" s="14" t="s">
        <v>6237</v>
      </c>
      <c r="AK1183">
        <v>0.14000000000000001</v>
      </c>
      <c r="AL1183">
        <f t="shared" si="620"/>
        <v>0</v>
      </c>
      <c r="AM1183">
        <f t="shared" si="621"/>
        <v>0</v>
      </c>
      <c r="AN1183">
        <f t="shared" si="622"/>
        <v>0</v>
      </c>
      <c r="AO1183" t="s">
        <v>6239</v>
      </c>
      <c r="AV1183" t="str">
        <f>IF(F1183&gt;0,(COUNT($AV$1:AV1182)+1),"")</f>
        <v/>
      </c>
    </row>
    <row r="1184" spans="1:48" ht="15" customHeight="1" x14ac:dyDescent="0.25">
      <c r="A1184" s="1"/>
      <c r="B1184" s="25"/>
      <c r="C1184" s="26"/>
      <c r="D1184" s="27" t="s">
        <v>1427</v>
      </c>
      <c r="E1184" s="80"/>
      <c r="F1184" s="96"/>
      <c r="G1184" s="28"/>
      <c r="H1184" s="29"/>
      <c r="I1184" s="29"/>
      <c r="J1184" s="51"/>
      <c r="K1184" s="47"/>
      <c r="L1184" s="447"/>
      <c r="M1184" s="489" t="s">
        <v>104</v>
      </c>
      <c r="N1184" s="716"/>
      <c r="O1184" s="186"/>
      <c r="P1184" s="79"/>
      <c r="Q1184" s="104"/>
      <c r="R1184" s="13"/>
      <c r="S1184" s="14"/>
      <c r="AL1184">
        <f t="shared" si="620"/>
        <v>0</v>
      </c>
      <c r="AM1184">
        <f t="shared" si="621"/>
        <v>0</v>
      </c>
      <c r="AN1184">
        <f t="shared" si="622"/>
        <v>0</v>
      </c>
      <c r="AO1184" t="s">
        <v>104</v>
      </c>
      <c r="AV1184" t="str">
        <f>IF(F1184&gt;0,(COUNT($AV$1:AV1183)+1),"")</f>
        <v/>
      </c>
    </row>
    <row r="1185" spans="1:48" ht="15" customHeight="1" x14ac:dyDescent="0.25">
      <c r="A1185" s="1"/>
      <c r="B1185" s="30">
        <v>13487</v>
      </c>
      <c r="C1185" s="20">
        <v>4627094500047</v>
      </c>
      <c r="D1185" s="225" t="s">
        <v>410</v>
      </c>
      <c r="E1185" s="67">
        <v>8</v>
      </c>
      <c r="F1185" s="222"/>
      <c r="G1185" s="107">
        <v>89.6</v>
      </c>
      <c r="H1185" s="21">
        <v>93.1</v>
      </c>
      <c r="I1185" s="22">
        <v>96.7</v>
      </c>
      <c r="J1185" s="112" t="s">
        <v>407</v>
      </c>
      <c r="K1185" s="45" t="s">
        <v>78</v>
      </c>
      <c r="L1185" s="437"/>
      <c r="M1185" s="474" t="s">
        <v>1856</v>
      </c>
      <c r="N1185" s="1013" t="s">
        <v>1856</v>
      </c>
      <c r="O1185" s="325"/>
      <c r="P1185" s="66" t="s">
        <v>40</v>
      </c>
      <c r="Q1185" s="100">
        <f>IF($AO$1164=2,F1185*H1185,IF($AO$1164=1,F1185*G1185,F1185*I1185))</f>
        <v>0</v>
      </c>
      <c r="R1185" s="13" t="str">
        <f t="shared" si="607"/>
        <v>Фото &gt;&gt;</v>
      </c>
      <c r="S1185" s="14" t="s">
        <v>411</v>
      </c>
      <c r="AK1185">
        <v>0.51</v>
      </c>
      <c r="AL1185">
        <f t="shared" si="620"/>
        <v>0</v>
      </c>
      <c r="AM1185">
        <f t="shared" si="621"/>
        <v>0</v>
      </c>
      <c r="AN1185">
        <f t="shared" si="622"/>
        <v>0</v>
      </c>
      <c r="AO1185" t="s">
        <v>3526</v>
      </c>
      <c r="AV1185" t="str">
        <f>IF(F1185&gt;0,(COUNT($AV$1:AV1184)+1),"")</f>
        <v/>
      </c>
    </row>
    <row r="1186" spans="1:48" ht="15" customHeight="1" x14ac:dyDescent="0.25">
      <c r="A1186" s="1"/>
      <c r="B1186" s="25"/>
      <c r="C1186" s="26"/>
      <c r="D1186" s="27" t="s">
        <v>1428</v>
      </c>
      <c r="E1186" s="80"/>
      <c r="F1186" s="96"/>
      <c r="G1186" s="28"/>
      <c r="H1186" s="29"/>
      <c r="I1186" s="29"/>
      <c r="J1186" s="51"/>
      <c r="K1186" s="47"/>
      <c r="L1186" s="447"/>
      <c r="M1186" s="489" t="s">
        <v>104</v>
      </c>
      <c r="N1186" s="716"/>
      <c r="O1186" s="186"/>
      <c r="P1186" s="79"/>
      <c r="Q1186" s="104"/>
      <c r="R1186" s="13"/>
      <c r="S1186" s="14"/>
      <c r="AL1186">
        <f t="shared" si="608"/>
        <v>0</v>
      </c>
      <c r="AM1186">
        <f t="shared" si="609"/>
        <v>0</v>
      </c>
      <c r="AN1186">
        <f t="shared" si="610"/>
        <v>0</v>
      </c>
      <c r="AO1186" t="s">
        <v>104</v>
      </c>
      <c r="AV1186" t="str">
        <f>IF(F1186&gt;0,(COUNT($AV$1:AV1185)+1),"")</f>
        <v/>
      </c>
    </row>
    <row r="1187" spans="1:48" ht="15" customHeight="1" x14ac:dyDescent="0.25">
      <c r="A1187" s="1"/>
      <c r="B1187" s="31">
        <v>13486</v>
      </c>
      <c r="C1187" s="16">
        <v>4627094500085</v>
      </c>
      <c r="D1187" s="226" t="s">
        <v>414</v>
      </c>
      <c r="E1187" s="69">
        <v>10</v>
      </c>
      <c r="F1187" s="222"/>
      <c r="G1187" s="108">
        <v>96.1</v>
      </c>
      <c r="H1187" s="17">
        <v>100</v>
      </c>
      <c r="I1187" s="18">
        <v>103.8</v>
      </c>
      <c r="J1187" s="113" t="s">
        <v>407</v>
      </c>
      <c r="K1187" s="44" t="s">
        <v>99</v>
      </c>
      <c r="L1187" s="442"/>
      <c r="M1187" s="480" t="s">
        <v>1856</v>
      </c>
      <c r="N1187" s="1015" t="s">
        <v>1856</v>
      </c>
      <c r="O1187" s="210"/>
      <c r="P1187" s="68" t="s">
        <v>412</v>
      </c>
      <c r="Q1187" s="100">
        <f>IF($AO$1164=2,F1187*H1187,IF($AO$1164=1,F1187*G1187,F1187*I1187))</f>
        <v>0</v>
      </c>
      <c r="R1187" s="13" t="str">
        <f t="shared" ref="R1187" si="623">IF(AO1187&gt;0,HYPERLINK(AO1187,"Фото &gt;&gt;"),"")</f>
        <v>Фото &gt;&gt;</v>
      </c>
      <c r="S1187" s="14" t="s">
        <v>3527</v>
      </c>
      <c r="AK1187">
        <v>0.41</v>
      </c>
      <c r="AL1187">
        <f t="shared" si="608"/>
        <v>0</v>
      </c>
      <c r="AM1187">
        <f t="shared" si="609"/>
        <v>0</v>
      </c>
      <c r="AN1187">
        <f t="shared" si="610"/>
        <v>0</v>
      </c>
      <c r="AO1187" t="s">
        <v>3528</v>
      </c>
      <c r="AV1187" t="str">
        <f>IF(F1187&gt;0,(COUNT($AV$1:AV1186)+1),"")</f>
        <v/>
      </c>
    </row>
    <row r="1188" spans="1:48" ht="15" customHeight="1" x14ac:dyDescent="0.25">
      <c r="A1188" s="1"/>
      <c r="B1188" s="25"/>
      <c r="C1188" s="26"/>
      <c r="D1188" s="27" t="s">
        <v>105</v>
      </c>
      <c r="E1188" s="80"/>
      <c r="F1188" s="96"/>
      <c r="G1188" s="28"/>
      <c r="H1188" s="29"/>
      <c r="I1188" s="29"/>
      <c r="J1188" s="51"/>
      <c r="K1188" s="47"/>
      <c r="L1188" s="447"/>
      <c r="M1188" s="489"/>
      <c r="N1188" s="716"/>
      <c r="O1188" s="186"/>
      <c r="P1188" s="79"/>
      <c r="Q1188" s="104"/>
      <c r="R1188" s="13"/>
      <c r="S1188" s="14"/>
      <c r="AL1188">
        <f t="shared" si="608"/>
        <v>0</v>
      </c>
      <c r="AM1188">
        <f t="shared" si="609"/>
        <v>0</v>
      </c>
      <c r="AN1188">
        <f t="shared" si="610"/>
        <v>0</v>
      </c>
      <c r="AO1188" t="s">
        <v>104</v>
      </c>
      <c r="AV1188" t="str">
        <f>IF(F1188&gt;0,(COUNT($AV$1:AV1187)+1),"")</f>
        <v/>
      </c>
    </row>
    <row r="1189" spans="1:48" ht="15" customHeight="1" x14ac:dyDescent="0.25">
      <c r="A1189" s="1"/>
      <c r="B1189" s="30">
        <v>13602</v>
      </c>
      <c r="C1189" s="20">
        <v>4627094500283</v>
      </c>
      <c r="D1189" s="153" t="s">
        <v>415</v>
      </c>
      <c r="E1189" s="67">
        <v>8</v>
      </c>
      <c r="F1189" s="222"/>
      <c r="G1189" s="107">
        <v>98.5</v>
      </c>
      <c r="H1189" s="21">
        <v>102.4</v>
      </c>
      <c r="I1189" s="22">
        <v>106.3</v>
      </c>
      <c r="J1189" s="112" t="s">
        <v>407</v>
      </c>
      <c r="K1189" s="45" t="s">
        <v>105</v>
      </c>
      <c r="L1189" s="437"/>
      <c r="M1189" s="474" t="s">
        <v>1856</v>
      </c>
      <c r="N1189" s="1013" t="s">
        <v>1856</v>
      </c>
      <c r="O1189" s="212"/>
      <c r="P1189" s="66" t="s">
        <v>40</v>
      </c>
      <c r="Q1189" s="100">
        <f>IF($AO$1164=2,F1189*H1189,IF($AO$1164=1,F1189*G1189,F1189*I1189))</f>
        <v>0</v>
      </c>
      <c r="R1189" s="13" t="str">
        <f t="shared" si="607"/>
        <v>Фото &gt;&gt;</v>
      </c>
      <c r="S1189" s="14" t="s">
        <v>3529</v>
      </c>
      <c r="AK1189">
        <v>0.41</v>
      </c>
      <c r="AL1189">
        <f t="shared" si="608"/>
        <v>0</v>
      </c>
      <c r="AM1189">
        <f t="shared" si="609"/>
        <v>0</v>
      </c>
      <c r="AN1189">
        <f t="shared" si="610"/>
        <v>0</v>
      </c>
      <c r="AO1189" t="s">
        <v>3530</v>
      </c>
      <c r="AV1189" t="str">
        <f>IF(F1189&gt;0,(COUNT($AV$1:AV1188)+1),"")</f>
        <v/>
      </c>
    </row>
    <row r="1190" spans="1:48" ht="15" customHeight="1" x14ac:dyDescent="0.25">
      <c r="A1190" s="1"/>
      <c r="B1190" s="31">
        <v>13601</v>
      </c>
      <c r="C1190" s="16">
        <v>4627094500320</v>
      </c>
      <c r="D1190" s="226" t="s">
        <v>416</v>
      </c>
      <c r="E1190" s="69">
        <v>8</v>
      </c>
      <c r="F1190" s="222"/>
      <c r="G1190" s="108">
        <v>98.5</v>
      </c>
      <c r="H1190" s="17">
        <v>102.4</v>
      </c>
      <c r="I1190" s="18">
        <v>106.3</v>
      </c>
      <c r="J1190" s="113" t="s">
        <v>407</v>
      </c>
      <c r="K1190" s="44" t="s">
        <v>105</v>
      </c>
      <c r="L1190" s="442"/>
      <c r="M1190" s="480" t="s">
        <v>1856</v>
      </c>
      <c r="N1190" s="1015" t="s">
        <v>1856</v>
      </c>
      <c r="O1190" s="217"/>
      <c r="P1190" s="68" t="s">
        <v>40</v>
      </c>
      <c r="Q1190" s="100">
        <f>IF($AO$1164=2,F1190*H1190,IF($AO$1164=1,F1190*G1190,F1190*I1190))</f>
        <v>0</v>
      </c>
      <c r="R1190" s="13" t="str">
        <f t="shared" si="607"/>
        <v>Фото &gt;&gt;</v>
      </c>
      <c r="S1190" s="14" t="s">
        <v>3529</v>
      </c>
      <c r="AK1190">
        <v>0.41</v>
      </c>
      <c r="AL1190">
        <f t="shared" ref="AL1190:AL1192" si="624">F1190*G1190</f>
        <v>0</v>
      </c>
      <c r="AM1190">
        <f t="shared" ref="AM1190:AM1192" si="625">F1190*H1190</f>
        <v>0</v>
      </c>
      <c r="AN1190">
        <f t="shared" si="610"/>
        <v>0</v>
      </c>
      <c r="AO1190" t="s">
        <v>3531</v>
      </c>
      <c r="AV1190" t="str">
        <f>IF(F1190&gt;0,(COUNT($AV$1:AV1189)+1),"")</f>
        <v/>
      </c>
    </row>
    <row r="1191" spans="1:48" ht="15" customHeight="1" x14ac:dyDescent="0.25">
      <c r="A1191" s="1"/>
      <c r="B1191" s="25"/>
      <c r="C1191" s="26"/>
      <c r="D1191" s="27" t="s">
        <v>127</v>
      </c>
      <c r="E1191" s="80"/>
      <c r="F1191" s="96"/>
      <c r="G1191" s="28"/>
      <c r="H1191" s="29"/>
      <c r="I1191" s="29"/>
      <c r="J1191" s="51"/>
      <c r="K1191" s="47"/>
      <c r="L1191" s="447"/>
      <c r="M1191" s="489"/>
      <c r="N1191" s="716"/>
      <c r="O1191" s="186"/>
      <c r="P1191" s="79"/>
      <c r="Q1191" s="104"/>
      <c r="R1191" s="13"/>
      <c r="S1191" s="14"/>
      <c r="AL1191">
        <f t="shared" si="624"/>
        <v>0</v>
      </c>
      <c r="AM1191">
        <f t="shared" si="625"/>
        <v>0</v>
      </c>
      <c r="AN1191">
        <f t="shared" si="610"/>
        <v>0</v>
      </c>
      <c r="AO1191" t="s">
        <v>104</v>
      </c>
      <c r="AV1191" t="str">
        <f>IF(F1191&gt;0,(COUNT($AV$1:AV1190)+1),"")</f>
        <v/>
      </c>
    </row>
    <row r="1192" spans="1:48" ht="15" customHeight="1" x14ac:dyDescent="0.25">
      <c r="A1192" s="1"/>
      <c r="B1192" s="31">
        <v>14557</v>
      </c>
      <c r="C1192" s="16">
        <v>4627094501228</v>
      </c>
      <c r="D1192" s="226" t="s">
        <v>4541</v>
      </c>
      <c r="E1192" s="69">
        <v>8</v>
      </c>
      <c r="F1192" s="222"/>
      <c r="G1192" s="108">
        <v>119.6</v>
      </c>
      <c r="H1192" s="17">
        <v>124.5</v>
      </c>
      <c r="I1192" s="18">
        <v>129.5</v>
      </c>
      <c r="J1192" s="113" t="s">
        <v>407</v>
      </c>
      <c r="K1192" s="44" t="s">
        <v>128</v>
      </c>
      <c r="L1192" s="442"/>
      <c r="M1192" s="480" t="s">
        <v>104</v>
      </c>
      <c r="N1192" s="1015" t="s">
        <v>1856</v>
      </c>
      <c r="O1192" s="217"/>
      <c r="P1192" s="68" t="s">
        <v>72</v>
      </c>
      <c r="Q1192" s="100">
        <f>IF($AO$1164=2,F1192*H1192,IF($AO$1164=1,F1192*G1192,F1192*I1192))</f>
        <v>0</v>
      </c>
      <c r="R1192" s="13" t="str">
        <f t="shared" si="607"/>
        <v>Фото &gt;&gt;</v>
      </c>
      <c r="S1192" s="14" t="s">
        <v>3532</v>
      </c>
      <c r="AK1192">
        <v>0.23</v>
      </c>
      <c r="AL1192">
        <f t="shared" si="624"/>
        <v>0</v>
      </c>
      <c r="AM1192">
        <f t="shared" si="625"/>
        <v>0</v>
      </c>
      <c r="AN1192">
        <f t="shared" si="610"/>
        <v>0</v>
      </c>
      <c r="AO1192" t="s">
        <v>3533</v>
      </c>
      <c r="AV1192" t="str">
        <f>IF(F1192&gt;0,(COUNT($AV$1:AV1191)+1),"")</f>
        <v/>
      </c>
    </row>
    <row r="1193" spans="1:48" ht="15" customHeight="1" x14ac:dyDescent="0.25">
      <c r="A1193" s="1"/>
      <c r="B1193" s="25"/>
      <c r="C1193" s="26"/>
      <c r="D1193" s="27" t="s">
        <v>1430</v>
      </c>
      <c r="E1193" s="80"/>
      <c r="F1193" s="96"/>
      <c r="G1193" s="28"/>
      <c r="H1193" s="29"/>
      <c r="I1193" s="29"/>
      <c r="J1193" s="51"/>
      <c r="K1193" s="47"/>
      <c r="L1193" s="447"/>
      <c r="M1193" s="489" t="s">
        <v>104</v>
      </c>
      <c r="N1193" s="716"/>
      <c r="O1193" s="186"/>
      <c r="P1193" s="79"/>
      <c r="Q1193" s="104"/>
      <c r="R1193" s="13"/>
      <c r="S1193" s="14"/>
      <c r="AL1193">
        <f t="shared" ref="AL1193" si="626">F1193*G1193</f>
        <v>0</v>
      </c>
      <c r="AM1193">
        <f t="shared" ref="AM1193" si="627">F1193*H1193</f>
        <v>0</v>
      </c>
      <c r="AN1193">
        <f t="shared" ref="AN1193:AN1201" si="628">AK1193*F1193+IF(E1193&gt;1.01,F1193/E1193*0.2,0)</f>
        <v>0</v>
      </c>
      <c r="AO1193" t="s">
        <v>104</v>
      </c>
      <c r="AV1193" t="str">
        <f>IF(F1193&gt;0,(COUNT($AV$1:AV1192)+1),"")</f>
        <v/>
      </c>
    </row>
    <row r="1194" spans="1:48" ht="15" customHeight="1" x14ac:dyDescent="0.25">
      <c r="A1194" s="1"/>
      <c r="B1194" s="36">
        <v>20656</v>
      </c>
      <c r="C1194" s="12">
        <v>4650118199118</v>
      </c>
      <c r="D1194" s="1100" t="s">
        <v>4270</v>
      </c>
      <c r="E1194" s="88">
        <v>7</v>
      </c>
      <c r="F1194" s="223"/>
      <c r="G1194" s="1097">
        <v>66.2</v>
      </c>
      <c r="H1194" s="1098">
        <v>68.5</v>
      </c>
      <c r="I1194" s="1099">
        <v>73.400000000000006</v>
      </c>
      <c r="J1194" s="117" t="s">
        <v>407</v>
      </c>
      <c r="K1194" s="43" t="s">
        <v>419</v>
      </c>
      <c r="L1194" s="446"/>
      <c r="M1194" s="488" t="s">
        <v>1856</v>
      </c>
      <c r="N1194" s="1018"/>
      <c r="O1194" s="215" t="s">
        <v>2096</v>
      </c>
      <c r="P1194" s="78" t="s">
        <v>412</v>
      </c>
      <c r="Q1194" s="100">
        <f t="shared" ref="Q1194:Q1230" si="629">IF($AO$1164=2,F1194*H1194,IF($AO$1164=1,F1194*G1194,F1194*I1194))</f>
        <v>0</v>
      </c>
      <c r="R1194" s="13" t="str">
        <f t="shared" ref="R1194:R1241" si="630">IF(AO1194&gt;0,HYPERLINK(AO1194,"Фото &gt;&gt;"),"")</f>
        <v>Фото &gt;&gt;</v>
      </c>
      <c r="S1194" s="14" t="s">
        <v>4267</v>
      </c>
      <c r="AK1194">
        <v>2.5000000000000001E-2</v>
      </c>
      <c r="AL1194">
        <f t="shared" ref="AL1194:AL1200" si="631">F1194*G1194</f>
        <v>0</v>
      </c>
      <c r="AM1194">
        <f t="shared" ref="AM1194:AM1200" si="632">F1194*H1194</f>
        <v>0</v>
      </c>
      <c r="AN1194">
        <f t="shared" ref="AN1194:AN1200" si="633">AK1194*F1194+IF(E1194&gt;1.01,F1194/E1194*0.2,0)</f>
        <v>0</v>
      </c>
      <c r="AO1194" t="s">
        <v>4274</v>
      </c>
      <c r="AV1194" t="str">
        <f>IF(F1194&gt;0,(COUNT($AV$1:AV1193)+1),"")</f>
        <v/>
      </c>
    </row>
    <row r="1195" spans="1:48" ht="15" customHeight="1" x14ac:dyDescent="0.25">
      <c r="A1195" s="1"/>
      <c r="B1195" s="31">
        <v>20055</v>
      </c>
      <c r="C1195" s="16">
        <v>4650118196469</v>
      </c>
      <c r="D1195" s="226" t="s">
        <v>3210</v>
      </c>
      <c r="E1195" s="86">
        <v>7</v>
      </c>
      <c r="F1195" s="222"/>
      <c r="G1195" s="108">
        <v>62.1</v>
      </c>
      <c r="H1195" s="17">
        <v>64.5</v>
      </c>
      <c r="I1195" s="18">
        <v>69</v>
      </c>
      <c r="J1195" s="113" t="s">
        <v>407</v>
      </c>
      <c r="K1195" s="44" t="s">
        <v>96</v>
      </c>
      <c r="L1195" s="442"/>
      <c r="M1195" s="480" t="s">
        <v>1856</v>
      </c>
      <c r="N1195" s="1015" t="s">
        <v>1856</v>
      </c>
      <c r="O1195" s="217" t="s">
        <v>2096</v>
      </c>
      <c r="P1195" s="68" t="s">
        <v>72</v>
      </c>
      <c r="Q1195" s="100">
        <f t="shared" si="629"/>
        <v>0</v>
      </c>
      <c r="R1195" s="13" t="str">
        <f t="shared" si="630"/>
        <v>Фото &gt;&gt;</v>
      </c>
      <c r="S1195" s="14" t="s">
        <v>3120</v>
      </c>
      <c r="AK1195">
        <v>2.5000000000000001E-2</v>
      </c>
      <c r="AL1195">
        <f t="shared" si="631"/>
        <v>0</v>
      </c>
      <c r="AM1195">
        <f t="shared" si="632"/>
        <v>0</v>
      </c>
      <c r="AN1195">
        <f t="shared" si="633"/>
        <v>0</v>
      </c>
      <c r="AO1195" t="s">
        <v>2650</v>
      </c>
      <c r="AV1195" t="str">
        <f>IF(F1195&gt;0,(COUNT($AV$1:AV1194)+1),"")</f>
        <v/>
      </c>
    </row>
    <row r="1196" spans="1:48" ht="15" customHeight="1" x14ac:dyDescent="0.25">
      <c r="A1196" s="1"/>
      <c r="B1196" s="36">
        <v>20054</v>
      </c>
      <c r="C1196" s="12">
        <v>4650118197077</v>
      </c>
      <c r="D1196" s="1100" t="s">
        <v>3211</v>
      </c>
      <c r="E1196" s="88">
        <v>7</v>
      </c>
      <c r="F1196" s="223"/>
      <c r="G1196" s="1097">
        <v>45.7</v>
      </c>
      <c r="H1196" s="1098">
        <v>47.3</v>
      </c>
      <c r="I1196" s="1099">
        <v>50.6</v>
      </c>
      <c r="J1196" s="117" t="s">
        <v>407</v>
      </c>
      <c r="K1196" s="43" t="s">
        <v>96</v>
      </c>
      <c r="L1196" s="446"/>
      <c r="M1196" s="488" t="s">
        <v>1856</v>
      </c>
      <c r="N1196" s="1018"/>
      <c r="O1196" s="215" t="s">
        <v>2096</v>
      </c>
      <c r="P1196" s="78" t="s">
        <v>72</v>
      </c>
      <c r="Q1196" s="100">
        <f t="shared" si="629"/>
        <v>0</v>
      </c>
      <c r="R1196" s="13" t="str">
        <f t="shared" si="630"/>
        <v>Фото &gt;&gt;</v>
      </c>
      <c r="S1196" s="14" t="s">
        <v>3119</v>
      </c>
      <c r="AK1196">
        <v>2.5000000000000001E-2</v>
      </c>
      <c r="AL1196">
        <f t="shared" si="631"/>
        <v>0</v>
      </c>
      <c r="AM1196">
        <f t="shared" si="632"/>
        <v>0</v>
      </c>
      <c r="AN1196">
        <f t="shared" si="633"/>
        <v>0</v>
      </c>
      <c r="AO1196" t="s">
        <v>2651</v>
      </c>
      <c r="AV1196" t="str">
        <f>IF(F1196&gt;0,(COUNT($AV$1:AV1195)+1),"")</f>
        <v/>
      </c>
    </row>
    <row r="1197" spans="1:48" ht="15" customHeight="1" x14ac:dyDescent="0.25">
      <c r="A1197" s="1"/>
      <c r="B1197" s="31">
        <v>20945</v>
      </c>
      <c r="C1197" s="16" t="s">
        <v>104</v>
      </c>
      <c r="D1197" s="226" t="s">
        <v>6152</v>
      </c>
      <c r="E1197" s="86">
        <v>7</v>
      </c>
      <c r="F1197" s="222"/>
      <c r="G1197" s="108">
        <v>79.8</v>
      </c>
      <c r="H1197" s="17">
        <v>82.8</v>
      </c>
      <c r="I1197" s="18">
        <v>88.7</v>
      </c>
      <c r="J1197" s="113" t="s">
        <v>407</v>
      </c>
      <c r="K1197" s="44" t="s">
        <v>419</v>
      </c>
      <c r="L1197" s="442"/>
      <c r="M1197" s="480" t="s">
        <v>1856</v>
      </c>
      <c r="N1197" s="1015" t="s">
        <v>1856</v>
      </c>
      <c r="O1197" s="217" t="s">
        <v>2096</v>
      </c>
      <c r="P1197" s="68" t="s">
        <v>412</v>
      </c>
      <c r="Q1197" s="100">
        <f t="shared" si="629"/>
        <v>0</v>
      </c>
      <c r="R1197" s="13" t="str">
        <f t="shared" si="630"/>
        <v>Фото &gt;&gt;</v>
      </c>
      <c r="S1197" s="14" t="s">
        <v>5560</v>
      </c>
      <c r="AK1197">
        <v>2.5000000000000001E-2</v>
      </c>
      <c r="AL1197">
        <f t="shared" ref="AL1197" si="634">F1197*G1197</f>
        <v>0</v>
      </c>
      <c r="AM1197">
        <f t="shared" ref="AM1197" si="635">F1197*H1197</f>
        <v>0</v>
      </c>
      <c r="AN1197">
        <f t="shared" ref="AN1197" si="636">AK1197*F1197+IF(E1197&gt;1.01,F1197/E1197*0.2,0)</f>
        <v>0</v>
      </c>
      <c r="AO1197" t="s">
        <v>5559</v>
      </c>
      <c r="AV1197" t="str">
        <f>IF(F1197&gt;0,(COUNT($AV$1:AV1196)+1),"")</f>
        <v/>
      </c>
    </row>
    <row r="1198" spans="1:48" ht="15" customHeight="1" x14ac:dyDescent="0.25">
      <c r="A1198" s="1"/>
      <c r="B1198" s="36">
        <v>20657</v>
      </c>
      <c r="C1198" s="12">
        <v>4650118199071</v>
      </c>
      <c r="D1198" s="1100" t="s">
        <v>5561</v>
      </c>
      <c r="E1198" s="88">
        <v>7</v>
      </c>
      <c r="F1198" s="223"/>
      <c r="G1198" s="1097">
        <v>66.2</v>
      </c>
      <c r="H1198" s="1098">
        <v>68.5</v>
      </c>
      <c r="I1198" s="1099">
        <v>73.400000000000006</v>
      </c>
      <c r="J1198" s="117" t="s">
        <v>407</v>
      </c>
      <c r="K1198" s="43" t="s">
        <v>419</v>
      </c>
      <c r="L1198" s="446"/>
      <c r="M1198" s="488" t="s">
        <v>1856</v>
      </c>
      <c r="N1198" s="1018"/>
      <c r="O1198" s="215" t="s">
        <v>2096</v>
      </c>
      <c r="P1198" s="78" t="s">
        <v>412</v>
      </c>
      <c r="Q1198" s="100">
        <f t="shared" si="629"/>
        <v>0</v>
      </c>
      <c r="R1198" s="13" t="str">
        <f t="shared" si="630"/>
        <v>Фото &gt;&gt;</v>
      </c>
      <c r="S1198" s="14" t="s">
        <v>4266</v>
      </c>
      <c r="AK1198">
        <v>0.03</v>
      </c>
      <c r="AL1198">
        <f t="shared" si="631"/>
        <v>0</v>
      </c>
      <c r="AM1198">
        <f t="shared" si="632"/>
        <v>0</v>
      </c>
      <c r="AN1198">
        <f t="shared" si="633"/>
        <v>0</v>
      </c>
      <c r="AO1198" t="s">
        <v>4271</v>
      </c>
      <c r="AV1198" t="str">
        <f>IF(F1198&gt;0,(COUNT($AV$1:AV1197)+1),"")</f>
        <v/>
      </c>
    </row>
    <row r="1199" spans="1:48" ht="15" customHeight="1" x14ac:dyDescent="0.25">
      <c r="A1199" s="1"/>
      <c r="B1199" s="31">
        <v>20658</v>
      </c>
      <c r="C1199" s="16">
        <v>4650118199170</v>
      </c>
      <c r="D1199" s="226" t="s">
        <v>4757</v>
      </c>
      <c r="E1199" s="86">
        <v>7</v>
      </c>
      <c r="F1199" s="222"/>
      <c r="G1199" s="108">
        <v>79.8</v>
      </c>
      <c r="H1199" s="17">
        <v>82.8</v>
      </c>
      <c r="I1199" s="18">
        <v>88.7</v>
      </c>
      <c r="J1199" s="113" t="s">
        <v>407</v>
      </c>
      <c r="K1199" s="44" t="s">
        <v>419</v>
      </c>
      <c r="L1199" s="442"/>
      <c r="M1199" s="480" t="s">
        <v>1856</v>
      </c>
      <c r="N1199" s="1015" t="s">
        <v>1856</v>
      </c>
      <c r="O1199" s="217" t="s">
        <v>2096</v>
      </c>
      <c r="P1199" s="68" t="s">
        <v>412</v>
      </c>
      <c r="Q1199" s="100">
        <f t="shared" si="629"/>
        <v>0</v>
      </c>
      <c r="R1199" s="13" t="str">
        <f t="shared" si="630"/>
        <v>Фото &gt;&gt;</v>
      </c>
      <c r="S1199" s="14" t="s">
        <v>4268</v>
      </c>
      <c r="AK1199">
        <v>0.03</v>
      </c>
      <c r="AL1199">
        <f t="shared" si="631"/>
        <v>0</v>
      </c>
      <c r="AM1199">
        <f t="shared" si="632"/>
        <v>0</v>
      </c>
      <c r="AN1199">
        <f t="shared" si="633"/>
        <v>0</v>
      </c>
      <c r="AO1199" t="s">
        <v>4272</v>
      </c>
      <c r="AV1199" t="str">
        <f>IF(F1199&gt;0,(COUNT($AV$1:AV1198)+1),"")</f>
        <v/>
      </c>
    </row>
    <row r="1200" spans="1:48" ht="15" customHeight="1" x14ac:dyDescent="0.25">
      <c r="A1200" s="1"/>
      <c r="B1200" s="36">
        <v>20659</v>
      </c>
      <c r="C1200" s="12">
        <v>4650118199132</v>
      </c>
      <c r="D1200" s="1100" t="s">
        <v>4758</v>
      </c>
      <c r="E1200" s="88">
        <v>7</v>
      </c>
      <c r="F1200" s="223"/>
      <c r="G1200" s="1097">
        <v>66.2</v>
      </c>
      <c r="H1200" s="1098">
        <v>68.5</v>
      </c>
      <c r="I1200" s="1099">
        <v>73.400000000000006</v>
      </c>
      <c r="J1200" s="117" t="s">
        <v>407</v>
      </c>
      <c r="K1200" s="43" t="s">
        <v>419</v>
      </c>
      <c r="L1200" s="446"/>
      <c r="M1200" s="488" t="s">
        <v>1856</v>
      </c>
      <c r="N1200" s="1018"/>
      <c r="O1200" s="215" t="s">
        <v>2096</v>
      </c>
      <c r="P1200" s="78" t="s">
        <v>412</v>
      </c>
      <c r="Q1200" s="100">
        <f t="shared" si="629"/>
        <v>0</v>
      </c>
      <c r="R1200" s="13" t="str">
        <f t="shared" si="630"/>
        <v>Фото &gt;&gt;</v>
      </c>
      <c r="S1200" s="14" t="s">
        <v>4269</v>
      </c>
      <c r="AK1200">
        <v>0.03</v>
      </c>
      <c r="AL1200">
        <f t="shared" si="631"/>
        <v>0</v>
      </c>
      <c r="AM1200">
        <f t="shared" si="632"/>
        <v>0</v>
      </c>
      <c r="AN1200">
        <f t="shared" si="633"/>
        <v>0</v>
      </c>
      <c r="AO1200" t="s">
        <v>4273</v>
      </c>
      <c r="AV1200" t="str">
        <f>IF(F1200&gt;0,(COUNT($AV$1:AV1199)+1),"")</f>
        <v/>
      </c>
    </row>
    <row r="1201" spans="1:48" ht="15" customHeight="1" x14ac:dyDescent="0.25">
      <c r="A1201" s="1"/>
      <c r="B1201" s="31">
        <v>20416</v>
      </c>
      <c r="C1201" s="16">
        <v>4650118197558</v>
      </c>
      <c r="D1201" s="226" t="s">
        <v>3841</v>
      </c>
      <c r="E1201" s="86">
        <v>9</v>
      </c>
      <c r="F1201" s="222"/>
      <c r="G1201" s="108">
        <v>27.3</v>
      </c>
      <c r="H1201" s="17">
        <v>28.3</v>
      </c>
      <c r="I1201" s="18">
        <v>30.2</v>
      </c>
      <c r="J1201" s="113" t="s">
        <v>407</v>
      </c>
      <c r="K1201" s="44" t="s">
        <v>96</v>
      </c>
      <c r="L1201" s="442"/>
      <c r="M1201" s="480"/>
      <c r="N1201" s="1015" t="s">
        <v>1856</v>
      </c>
      <c r="O1201" s="217" t="s">
        <v>3875</v>
      </c>
      <c r="P1201" s="68" t="s">
        <v>72</v>
      </c>
      <c r="Q1201" s="100">
        <f t="shared" si="629"/>
        <v>0</v>
      </c>
      <c r="R1201" s="13" t="str">
        <f t="shared" si="630"/>
        <v>Фото &gt;&gt;</v>
      </c>
      <c r="S1201" s="14" t="s">
        <v>3843</v>
      </c>
      <c r="AK1201">
        <v>2.5000000000000001E-2</v>
      </c>
      <c r="AL1201">
        <f t="shared" ref="AL1201" si="637">F1201*G1201</f>
        <v>0</v>
      </c>
      <c r="AM1201">
        <f t="shared" ref="AM1201" si="638">F1201*H1201</f>
        <v>0</v>
      </c>
      <c r="AN1201">
        <f t="shared" si="628"/>
        <v>0</v>
      </c>
      <c r="AO1201" t="s">
        <v>3842</v>
      </c>
      <c r="AV1201" t="str">
        <f>IF(F1201&gt;0,(COUNT($AV$1:AV1200)+1),"")</f>
        <v/>
      </c>
    </row>
    <row r="1202" spans="1:48" ht="15" customHeight="1" x14ac:dyDescent="0.25">
      <c r="A1202" s="1"/>
      <c r="B1202" s="36">
        <v>20248</v>
      </c>
      <c r="C1202" s="12">
        <v>4650118197589</v>
      </c>
      <c r="D1202" s="1100" t="s">
        <v>3871</v>
      </c>
      <c r="E1202" s="88">
        <v>9</v>
      </c>
      <c r="F1202" s="223"/>
      <c r="G1202" s="1097">
        <v>27.3</v>
      </c>
      <c r="H1202" s="1098">
        <v>28.3</v>
      </c>
      <c r="I1202" s="1099">
        <v>30.2</v>
      </c>
      <c r="J1202" s="117" t="s">
        <v>407</v>
      </c>
      <c r="K1202" s="43" t="s">
        <v>96</v>
      </c>
      <c r="L1202" s="446"/>
      <c r="M1202" s="488"/>
      <c r="N1202" s="1018" t="s">
        <v>1856</v>
      </c>
      <c r="O1202" s="215" t="s">
        <v>3875</v>
      </c>
      <c r="P1202" s="78" t="s">
        <v>72</v>
      </c>
      <c r="Q1202" s="100">
        <f t="shared" si="629"/>
        <v>0</v>
      </c>
      <c r="R1202" s="13" t="str">
        <f t="shared" si="630"/>
        <v>Фото &gt;&gt;</v>
      </c>
      <c r="S1202" s="14" t="s">
        <v>2958</v>
      </c>
      <c r="AK1202">
        <v>2.5000000000000001E-2</v>
      </c>
      <c r="AL1202">
        <f t="shared" ref="AL1202:AL1211" si="639">F1202*G1202</f>
        <v>0</v>
      </c>
      <c r="AM1202">
        <f t="shared" ref="AM1202:AM1211" si="640">F1202*H1202</f>
        <v>0</v>
      </c>
      <c r="AN1202">
        <f t="shared" ref="AN1202:AN1211" si="641">AK1202*F1202+IF(E1202&gt;1.01,F1202/E1202*0.2,0)</f>
        <v>0</v>
      </c>
      <c r="AO1202" t="s">
        <v>2956</v>
      </c>
      <c r="AV1202" t="str">
        <f>IF(F1202&gt;0,(COUNT($AV$1:AV1201)+1),"")</f>
        <v/>
      </c>
    </row>
    <row r="1203" spans="1:48" ht="15" customHeight="1" x14ac:dyDescent="0.25">
      <c r="A1203" s="1"/>
      <c r="B1203" s="31">
        <v>20247</v>
      </c>
      <c r="C1203" s="16">
        <v>4650118197541</v>
      </c>
      <c r="D1203" s="226" t="s">
        <v>6853</v>
      </c>
      <c r="E1203" s="86">
        <v>9</v>
      </c>
      <c r="F1203" s="222"/>
      <c r="G1203" s="108">
        <v>27.3</v>
      </c>
      <c r="H1203" s="17">
        <v>28.3</v>
      </c>
      <c r="I1203" s="18">
        <v>30.2</v>
      </c>
      <c r="J1203" s="113" t="s">
        <v>407</v>
      </c>
      <c r="K1203" s="44" t="s">
        <v>96</v>
      </c>
      <c r="L1203" s="442"/>
      <c r="M1203" s="480"/>
      <c r="N1203" s="1015" t="s">
        <v>1856</v>
      </c>
      <c r="O1203" s="217" t="s">
        <v>3875</v>
      </c>
      <c r="P1203" s="68" t="s">
        <v>72</v>
      </c>
      <c r="Q1203" s="100">
        <f t="shared" si="629"/>
        <v>0</v>
      </c>
      <c r="R1203" s="13" t="str">
        <f t="shared" si="630"/>
        <v>Фото &gt;&gt;</v>
      </c>
      <c r="S1203" s="14" t="s">
        <v>2959</v>
      </c>
      <c r="AK1203">
        <v>2.5000000000000001E-2</v>
      </c>
      <c r="AL1203">
        <f t="shared" si="639"/>
        <v>0</v>
      </c>
      <c r="AM1203">
        <f t="shared" si="640"/>
        <v>0</v>
      </c>
      <c r="AN1203">
        <f t="shared" si="641"/>
        <v>0</v>
      </c>
      <c r="AO1203" t="s">
        <v>2957</v>
      </c>
      <c r="AV1203" t="str">
        <f>IF(F1203&gt;0,(COUNT($AV$1:AV1202)+1),"")</f>
        <v/>
      </c>
    </row>
    <row r="1204" spans="1:48" ht="15" customHeight="1" x14ac:dyDescent="0.25">
      <c r="A1204" s="1"/>
      <c r="B1204" s="669">
        <v>20682</v>
      </c>
      <c r="C1204" s="670">
        <v>4650118199279</v>
      </c>
      <c r="D1204" s="671" t="s">
        <v>7198</v>
      </c>
      <c r="E1204" s="1145">
        <v>10</v>
      </c>
      <c r="F1204" s="673"/>
      <c r="G1204" s="674">
        <v>34.1</v>
      </c>
      <c r="H1204" s="675">
        <v>35.299999999999997</v>
      </c>
      <c r="I1204" s="676">
        <v>37.9</v>
      </c>
      <c r="J1204" s="899" t="s">
        <v>407</v>
      </c>
      <c r="K1204" s="678" t="s">
        <v>419</v>
      </c>
      <c r="L1204" s="679"/>
      <c r="M1204" s="680" t="s">
        <v>1856</v>
      </c>
      <c r="N1204" s="1027" t="s">
        <v>1856</v>
      </c>
      <c r="O1204" s="1110" t="s">
        <v>2097</v>
      </c>
      <c r="P1204" s="682" t="s">
        <v>72</v>
      </c>
      <c r="Q1204" s="100">
        <f t="shared" si="629"/>
        <v>0</v>
      </c>
      <c r="R1204" s="13" t="str">
        <f t="shared" si="630"/>
        <v>Фото &gt;&gt;</v>
      </c>
      <c r="S1204" s="14" t="s">
        <v>4529</v>
      </c>
      <c r="AK1204">
        <v>2.5000000000000001E-2</v>
      </c>
      <c r="AL1204">
        <f t="shared" si="639"/>
        <v>0</v>
      </c>
      <c r="AM1204">
        <f t="shared" si="640"/>
        <v>0</v>
      </c>
      <c r="AN1204">
        <f t="shared" si="641"/>
        <v>0</v>
      </c>
      <c r="AO1204" t="s">
        <v>4530</v>
      </c>
      <c r="AV1204" t="str">
        <f>IF(F1204&gt;0,(COUNT($AV$1:AV1203)+1),"")</f>
        <v/>
      </c>
    </row>
    <row r="1205" spans="1:48" ht="15" customHeight="1" x14ac:dyDescent="0.25">
      <c r="A1205" s="1"/>
      <c r="B1205" s="31">
        <v>20683</v>
      </c>
      <c r="C1205" s="16">
        <v>4650118199255</v>
      </c>
      <c r="D1205" s="226" t="s">
        <v>7199</v>
      </c>
      <c r="E1205" s="86">
        <v>10</v>
      </c>
      <c r="F1205" s="223"/>
      <c r="G1205" s="108">
        <v>34.1</v>
      </c>
      <c r="H1205" s="17">
        <v>35.299999999999997</v>
      </c>
      <c r="I1205" s="18">
        <v>37.9</v>
      </c>
      <c r="J1205" s="113" t="s">
        <v>407</v>
      </c>
      <c r="K1205" s="44" t="s">
        <v>419</v>
      </c>
      <c r="L1205" s="442"/>
      <c r="M1205" s="480" t="s">
        <v>1856</v>
      </c>
      <c r="N1205" s="1015" t="s">
        <v>1856</v>
      </c>
      <c r="O1205" s="217" t="s">
        <v>2097</v>
      </c>
      <c r="P1205" s="68" t="s">
        <v>72</v>
      </c>
      <c r="Q1205" s="100">
        <f t="shared" si="629"/>
        <v>0</v>
      </c>
      <c r="R1205" s="13" t="str">
        <f t="shared" si="630"/>
        <v>Фото &gt;&gt;</v>
      </c>
      <c r="S1205" s="14" t="s">
        <v>4531</v>
      </c>
      <c r="AK1205">
        <v>2.5000000000000001E-2</v>
      </c>
      <c r="AL1205">
        <f t="shared" si="639"/>
        <v>0</v>
      </c>
      <c r="AM1205">
        <f t="shared" si="640"/>
        <v>0</v>
      </c>
      <c r="AN1205">
        <f t="shared" si="641"/>
        <v>0</v>
      </c>
      <c r="AO1205" t="s">
        <v>4532</v>
      </c>
      <c r="AV1205" t="str">
        <f>IF(F1205&gt;0,(COUNT($AV$1:AV1204)+1),"")</f>
        <v/>
      </c>
    </row>
    <row r="1206" spans="1:48" ht="15" customHeight="1" x14ac:dyDescent="0.25">
      <c r="A1206" s="1"/>
      <c r="B1206" s="30">
        <v>20688</v>
      </c>
      <c r="C1206" s="20">
        <v>4650118199293</v>
      </c>
      <c r="D1206" s="225" t="s">
        <v>7200</v>
      </c>
      <c r="E1206" s="85">
        <v>10</v>
      </c>
      <c r="F1206" s="222"/>
      <c r="G1206" s="107">
        <v>34.1</v>
      </c>
      <c r="H1206" s="21">
        <v>35.299999999999997</v>
      </c>
      <c r="I1206" s="22">
        <v>37.9</v>
      </c>
      <c r="J1206" s="112" t="s">
        <v>407</v>
      </c>
      <c r="K1206" s="45" t="s">
        <v>419</v>
      </c>
      <c r="L1206" s="437"/>
      <c r="M1206" s="474" t="s">
        <v>1856</v>
      </c>
      <c r="N1206" s="1013" t="s">
        <v>1856</v>
      </c>
      <c r="O1206" s="212" t="s">
        <v>2097</v>
      </c>
      <c r="P1206" s="66" t="s">
        <v>72</v>
      </c>
      <c r="Q1206" s="100">
        <f t="shared" si="629"/>
        <v>0</v>
      </c>
      <c r="R1206" s="13" t="str">
        <f t="shared" si="630"/>
        <v>Фото &gt;&gt;</v>
      </c>
      <c r="S1206" s="14" t="s">
        <v>4533</v>
      </c>
      <c r="AK1206">
        <v>2.5000000000000001E-2</v>
      </c>
      <c r="AL1206">
        <f t="shared" si="639"/>
        <v>0</v>
      </c>
      <c r="AM1206">
        <f t="shared" si="640"/>
        <v>0</v>
      </c>
      <c r="AN1206">
        <f t="shared" si="641"/>
        <v>0</v>
      </c>
      <c r="AO1206" t="s">
        <v>4534</v>
      </c>
      <c r="AV1206" t="str">
        <f>IF(F1206&gt;0,(COUNT($AV$1:AV1205)+1),"")</f>
        <v/>
      </c>
    </row>
    <row r="1207" spans="1:48" ht="15" customHeight="1" x14ac:dyDescent="0.25">
      <c r="A1207" s="1"/>
      <c r="B1207" s="31">
        <v>20684</v>
      </c>
      <c r="C1207" s="16">
        <v>4650118199330</v>
      </c>
      <c r="D1207" s="226" t="s">
        <v>7201</v>
      </c>
      <c r="E1207" s="86">
        <v>10</v>
      </c>
      <c r="F1207" s="223"/>
      <c r="G1207" s="108">
        <v>34.1</v>
      </c>
      <c r="H1207" s="17">
        <v>35.299999999999997</v>
      </c>
      <c r="I1207" s="18">
        <v>37.9</v>
      </c>
      <c r="J1207" s="113" t="s">
        <v>407</v>
      </c>
      <c r="K1207" s="44" t="s">
        <v>419</v>
      </c>
      <c r="L1207" s="442"/>
      <c r="M1207" s="480" t="s">
        <v>1856</v>
      </c>
      <c r="N1207" s="1015" t="s">
        <v>1856</v>
      </c>
      <c r="O1207" s="217" t="s">
        <v>2097</v>
      </c>
      <c r="P1207" s="68" t="s">
        <v>72</v>
      </c>
      <c r="Q1207" s="100">
        <f t="shared" si="629"/>
        <v>0</v>
      </c>
      <c r="R1207" s="13" t="str">
        <f t="shared" si="630"/>
        <v>Фото &gt;&gt;</v>
      </c>
      <c r="S1207" s="14" t="s">
        <v>7168</v>
      </c>
      <c r="AK1207">
        <v>2.5000000000000001E-2</v>
      </c>
      <c r="AL1207">
        <f t="shared" si="639"/>
        <v>0</v>
      </c>
      <c r="AM1207">
        <f t="shared" si="640"/>
        <v>0</v>
      </c>
      <c r="AN1207">
        <f t="shared" si="641"/>
        <v>0</v>
      </c>
      <c r="AO1207" t="s">
        <v>7167</v>
      </c>
      <c r="AV1207" t="str">
        <f>IF(F1207&gt;0,(COUNT($AV$1:AV1206)+1),"")</f>
        <v/>
      </c>
    </row>
    <row r="1208" spans="1:48" ht="15" customHeight="1" x14ac:dyDescent="0.25">
      <c r="A1208" s="1"/>
      <c r="B1208" s="37">
        <v>20685</v>
      </c>
      <c r="C1208" s="23">
        <v>4650118199200</v>
      </c>
      <c r="D1208" s="237" t="s">
        <v>7202</v>
      </c>
      <c r="E1208" s="89">
        <v>10</v>
      </c>
      <c r="F1208" s="223"/>
      <c r="G1208" s="111">
        <v>34.1</v>
      </c>
      <c r="H1208" s="5">
        <v>35.299999999999997</v>
      </c>
      <c r="I1208" s="24">
        <v>37.9</v>
      </c>
      <c r="J1208" s="115" t="s">
        <v>407</v>
      </c>
      <c r="K1208" s="46" t="s">
        <v>419</v>
      </c>
      <c r="L1208" s="440"/>
      <c r="M1208" s="482" t="s">
        <v>1856</v>
      </c>
      <c r="N1208" s="1002" t="s">
        <v>1856</v>
      </c>
      <c r="O1208" s="214" t="s">
        <v>2097</v>
      </c>
      <c r="P1208" s="74" t="s">
        <v>72</v>
      </c>
      <c r="Q1208" s="100">
        <f t="shared" si="629"/>
        <v>0</v>
      </c>
      <c r="R1208" s="13" t="str">
        <f t="shared" si="630"/>
        <v>Фото &gt;&gt;</v>
      </c>
      <c r="S1208" s="14" t="s">
        <v>7169</v>
      </c>
      <c r="AK1208">
        <v>2.5000000000000001E-2</v>
      </c>
      <c r="AL1208">
        <f t="shared" si="639"/>
        <v>0</v>
      </c>
      <c r="AM1208">
        <f t="shared" si="640"/>
        <v>0</v>
      </c>
      <c r="AN1208">
        <f t="shared" si="641"/>
        <v>0</v>
      </c>
      <c r="AO1208" t="s">
        <v>4535</v>
      </c>
      <c r="AV1208" t="str">
        <f>IF(F1208&gt;0,(COUNT($AV$1:AV1207)+1),"")</f>
        <v/>
      </c>
    </row>
    <row r="1209" spans="1:48" ht="15" customHeight="1" x14ac:dyDescent="0.25">
      <c r="A1209" s="1"/>
      <c r="B1209" s="1120">
        <v>17982</v>
      </c>
      <c r="C1209" s="1121">
        <v>4650118190504</v>
      </c>
      <c r="D1209" s="1122" t="s">
        <v>7203</v>
      </c>
      <c r="E1209" s="1140">
        <v>10</v>
      </c>
      <c r="F1209" s="1183"/>
      <c r="G1209" s="1124">
        <v>35.700000000000003</v>
      </c>
      <c r="H1209" s="1125">
        <v>37</v>
      </c>
      <c r="I1209" s="1126">
        <v>39.6</v>
      </c>
      <c r="J1209" s="1127" t="s">
        <v>407</v>
      </c>
      <c r="K1209" s="1128" t="s">
        <v>419</v>
      </c>
      <c r="L1209" s="1141"/>
      <c r="M1209" s="1142"/>
      <c r="N1209" s="1143" t="s">
        <v>1856</v>
      </c>
      <c r="O1209" s="1144" t="s">
        <v>2097</v>
      </c>
      <c r="P1209" s="1133" t="s">
        <v>195</v>
      </c>
      <c r="Q1209" s="100">
        <f t="shared" si="629"/>
        <v>0</v>
      </c>
      <c r="R1209" s="13" t="str">
        <f t="shared" si="630"/>
        <v>Фото &gt;&gt;</v>
      </c>
      <c r="S1209" s="14" t="s">
        <v>3534</v>
      </c>
      <c r="AK1209">
        <v>3.5000000000000003E-2</v>
      </c>
      <c r="AL1209">
        <f t="shared" si="639"/>
        <v>0</v>
      </c>
      <c r="AM1209">
        <f t="shared" si="640"/>
        <v>0</v>
      </c>
      <c r="AN1209">
        <f t="shared" si="641"/>
        <v>0</v>
      </c>
      <c r="AO1209" t="s">
        <v>5392</v>
      </c>
      <c r="AV1209" t="str">
        <f>IF(F1209&gt;0,(COUNT($AV$1:AV1208)+1),"")</f>
        <v/>
      </c>
    </row>
    <row r="1210" spans="1:48" ht="15" customHeight="1" x14ac:dyDescent="0.25">
      <c r="A1210" s="1"/>
      <c r="B1210" s="36">
        <v>16892</v>
      </c>
      <c r="C1210" s="12">
        <v>4627094502874</v>
      </c>
      <c r="D1210" s="1100" t="s">
        <v>7204</v>
      </c>
      <c r="E1210" s="88">
        <v>15</v>
      </c>
      <c r="F1210" s="223"/>
      <c r="G1210" s="1097">
        <v>24.9</v>
      </c>
      <c r="H1210" s="1098">
        <v>25.8</v>
      </c>
      <c r="I1210" s="1099">
        <v>27.6</v>
      </c>
      <c r="J1210" s="117" t="s">
        <v>407</v>
      </c>
      <c r="K1210" s="43" t="s">
        <v>419</v>
      </c>
      <c r="L1210" s="446"/>
      <c r="M1210" s="488" t="s">
        <v>1856</v>
      </c>
      <c r="N1210" s="1018" t="s">
        <v>1856</v>
      </c>
      <c r="O1210" s="215" t="s">
        <v>3827</v>
      </c>
      <c r="P1210" s="78" t="s">
        <v>195</v>
      </c>
      <c r="Q1210" s="100">
        <f t="shared" si="629"/>
        <v>0</v>
      </c>
      <c r="R1210" s="13" t="str">
        <f t="shared" si="630"/>
        <v>Фото &gt;&gt;</v>
      </c>
      <c r="S1210" s="14" t="s">
        <v>420</v>
      </c>
      <c r="AK1210">
        <v>0.02</v>
      </c>
      <c r="AL1210">
        <v>0</v>
      </c>
      <c r="AM1210">
        <v>0</v>
      </c>
      <c r="AN1210">
        <v>0</v>
      </c>
      <c r="AO1210" t="s">
        <v>6133</v>
      </c>
      <c r="AV1210" t="str">
        <f>IF(F1210&gt;0,(COUNT($AV$1:AV1209)+1),"")</f>
        <v/>
      </c>
    </row>
    <row r="1211" spans="1:48" ht="15" customHeight="1" x14ac:dyDescent="0.25">
      <c r="A1211" s="1"/>
      <c r="B1211" s="31">
        <v>17029</v>
      </c>
      <c r="C1211" s="16">
        <v>4627094502911</v>
      </c>
      <c r="D1211" s="226" t="s">
        <v>7205</v>
      </c>
      <c r="E1211" s="86">
        <v>5</v>
      </c>
      <c r="F1211" s="222"/>
      <c r="G1211" s="108">
        <v>63.6</v>
      </c>
      <c r="H1211" s="17">
        <v>66.2</v>
      </c>
      <c r="I1211" s="18">
        <v>71</v>
      </c>
      <c r="J1211" s="113" t="s">
        <v>407</v>
      </c>
      <c r="K1211" s="44" t="s">
        <v>419</v>
      </c>
      <c r="L1211" s="442"/>
      <c r="M1211" s="480"/>
      <c r="N1211" s="1015" t="s">
        <v>1856</v>
      </c>
      <c r="O1211" s="217" t="s">
        <v>7179</v>
      </c>
      <c r="P1211" s="68" t="s">
        <v>195</v>
      </c>
      <c r="Q1211" s="100">
        <f t="shared" si="629"/>
        <v>0</v>
      </c>
      <c r="R1211" s="13" t="str">
        <f t="shared" si="630"/>
        <v>Фото &gt;&gt;</v>
      </c>
      <c r="S1211" s="14" t="s">
        <v>420</v>
      </c>
      <c r="AK1211">
        <v>0.05</v>
      </c>
      <c r="AL1211">
        <f t="shared" si="639"/>
        <v>0</v>
      </c>
      <c r="AM1211">
        <f t="shared" si="640"/>
        <v>0</v>
      </c>
      <c r="AN1211">
        <f t="shared" si="641"/>
        <v>0</v>
      </c>
      <c r="AO1211" t="s">
        <v>4848</v>
      </c>
      <c r="AV1211" t="str">
        <f>IF(F1211&gt;0,(COUNT($AV$1:AV1210)+1),"")</f>
        <v/>
      </c>
    </row>
    <row r="1212" spans="1:48" ht="15" customHeight="1" x14ac:dyDescent="0.25">
      <c r="A1212" s="1"/>
      <c r="B1212" s="36">
        <v>19364</v>
      </c>
      <c r="C1212" s="12">
        <v>4650118192591</v>
      </c>
      <c r="D1212" s="1100" t="s">
        <v>7206</v>
      </c>
      <c r="E1212" s="88">
        <v>10</v>
      </c>
      <c r="F1212" s="223"/>
      <c r="G1212" s="1097">
        <v>51.9</v>
      </c>
      <c r="H1212" s="1098">
        <v>54.6</v>
      </c>
      <c r="I1212" s="1099">
        <v>57.8</v>
      </c>
      <c r="J1212" s="117" t="s">
        <v>407</v>
      </c>
      <c r="K1212" s="43" t="s">
        <v>419</v>
      </c>
      <c r="L1212" s="446"/>
      <c r="M1212" s="488" t="s">
        <v>1856</v>
      </c>
      <c r="N1212" s="1018" t="s">
        <v>1856</v>
      </c>
      <c r="O1212" s="215" t="s">
        <v>2097</v>
      </c>
      <c r="P1212" s="78" t="s">
        <v>195</v>
      </c>
      <c r="Q1212" s="100">
        <f t="shared" si="629"/>
        <v>0</v>
      </c>
      <c r="R1212" s="13" t="str">
        <f t="shared" si="630"/>
        <v>Фото &gt;&gt;</v>
      </c>
      <c r="S1212" s="14" t="s">
        <v>3535</v>
      </c>
      <c r="AK1212">
        <v>3.5000000000000003E-2</v>
      </c>
      <c r="AL1212">
        <f t="shared" ref="AL1212:AL1214" si="642">F1212*G1212</f>
        <v>0</v>
      </c>
      <c r="AM1212">
        <f t="shared" ref="AM1212:AM1214" si="643">F1212*H1212</f>
        <v>0</v>
      </c>
      <c r="AN1212">
        <f t="shared" ref="AN1212:AN1214" si="644">AK1212*F1212+IF(E1212&gt;1.01,F1212/E1212*0.2,0)</f>
        <v>0</v>
      </c>
      <c r="AO1212" t="s">
        <v>2652</v>
      </c>
      <c r="AV1212" t="str">
        <f>IF(F1212&gt;0,(COUNT($AV$1:AV1211)+1),"")</f>
        <v/>
      </c>
    </row>
    <row r="1213" spans="1:48" ht="15" customHeight="1" x14ac:dyDescent="0.25">
      <c r="A1213" s="1"/>
      <c r="B1213" s="31">
        <v>16804</v>
      </c>
      <c r="C1213" s="16">
        <v>4627094502799</v>
      </c>
      <c r="D1213" s="226" t="s">
        <v>7183</v>
      </c>
      <c r="E1213" s="86">
        <v>15</v>
      </c>
      <c r="F1213" s="222"/>
      <c r="G1213" s="108">
        <v>23.8</v>
      </c>
      <c r="H1213" s="17">
        <v>24.7</v>
      </c>
      <c r="I1213" s="18">
        <v>26.4</v>
      </c>
      <c r="J1213" s="113" t="s">
        <v>407</v>
      </c>
      <c r="K1213" s="44" t="s">
        <v>419</v>
      </c>
      <c r="L1213" s="442"/>
      <c r="M1213" s="480" t="s">
        <v>1856</v>
      </c>
      <c r="N1213" s="1015" t="s">
        <v>1856</v>
      </c>
      <c r="O1213" s="217" t="s">
        <v>3827</v>
      </c>
      <c r="P1213" s="68" t="s">
        <v>195</v>
      </c>
      <c r="Q1213" s="100">
        <f t="shared" si="629"/>
        <v>0</v>
      </c>
      <c r="R1213" s="13" t="str">
        <f t="shared" si="630"/>
        <v>Фото &gt;&gt;</v>
      </c>
      <c r="S1213" s="14" t="s">
        <v>5520</v>
      </c>
      <c r="AF1213" t="s">
        <v>104</v>
      </c>
      <c r="AK1213">
        <v>0.02</v>
      </c>
      <c r="AL1213">
        <f t="shared" si="642"/>
        <v>0</v>
      </c>
      <c r="AM1213">
        <f t="shared" si="643"/>
        <v>0</v>
      </c>
      <c r="AN1213">
        <f t="shared" si="644"/>
        <v>0</v>
      </c>
      <c r="AO1213" t="s">
        <v>4849</v>
      </c>
      <c r="AV1213" t="str">
        <f>IF(F1213&gt;0,(COUNT($AV$1:AV1212)+1),"")</f>
        <v/>
      </c>
    </row>
    <row r="1214" spans="1:48" ht="15" customHeight="1" x14ac:dyDescent="0.25">
      <c r="A1214" s="1"/>
      <c r="B1214" s="36">
        <v>17032</v>
      </c>
      <c r="C1214" s="12">
        <v>4627094502997</v>
      </c>
      <c r="D1214" s="1100" t="s">
        <v>7184</v>
      </c>
      <c r="E1214" s="88">
        <v>5</v>
      </c>
      <c r="F1214" s="223"/>
      <c r="G1214" s="1097">
        <v>63.7</v>
      </c>
      <c r="H1214" s="1098">
        <v>66.2</v>
      </c>
      <c r="I1214" s="1099">
        <v>71</v>
      </c>
      <c r="J1214" s="117" t="s">
        <v>407</v>
      </c>
      <c r="K1214" s="43" t="s">
        <v>419</v>
      </c>
      <c r="L1214" s="446"/>
      <c r="M1214" s="488" t="s">
        <v>1856</v>
      </c>
      <c r="N1214" s="1018" t="s">
        <v>1856</v>
      </c>
      <c r="O1214" s="215" t="s">
        <v>7179</v>
      </c>
      <c r="P1214" s="78" t="s">
        <v>195</v>
      </c>
      <c r="Q1214" s="100">
        <f t="shared" si="629"/>
        <v>0</v>
      </c>
      <c r="R1214" s="13" t="str">
        <f t="shared" si="630"/>
        <v>Фото &gt;&gt;</v>
      </c>
      <c r="S1214" s="14" t="s">
        <v>5520</v>
      </c>
      <c r="AK1214">
        <v>0.05</v>
      </c>
      <c r="AL1214">
        <f t="shared" si="642"/>
        <v>0</v>
      </c>
      <c r="AM1214">
        <f t="shared" si="643"/>
        <v>0</v>
      </c>
      <c r="AN1214">
        <f t="shared" si="644"/>
        <v>0</v>
      </c>
      <c r="AO1214" t="s">
        <v>4850</v>
      </c>
      <c r="AV1214" t="str">
        <f>IF(F1214&gt;0,(COUNT($AV$1:AV1213)+1),"")</f>
        <v/>
      </c>
    </row>
    <row r="1215" spans="1:48" ht="15" customHeight="1" x14ac:dyDescent="0.25">
      <c r="A1215" s="1"/>
      <c r="B1215" s="31">
        <v>18507</v>
      </c>
      <c r="C1215" s="16">
        <v>4650118191075</v>
      </c>
      <c r="D1215" s="226" t="s">
        <v>7185</v>
      </c>
      <c r="E1215" s="86">
        <v>15</v>
      </c>
      <c r="F1215" s="222"/>
      <c r="G1215" s="108">
        <v>24.9</v>
      </c>
      <c r="H1215" s="17">
        <v>25.8</v>
      </c>
      <c r="I1215" s="18">
        <v>27.6</v>
      </c>
      <c r="J1215" s="113" t="s">
        <v>407</v>
      </c>
      <c r="K1215" s="44" t="s">
        <v>419</v>
      </c>
      <c r="L1215" s="442"/>
      <c r="M1215" s="480" t="s">
        <v>1856</v>
      </c>
      <c r="N1215" s="1015" t="s">
        <v>1856</v>
      </c>
      <c r="O1215" s="217" t="s">
        <v>3827</v>
      </c>
      <c r="P1215" s="68" t="s">
        <v>195</v>
      </c>
      <c r="Q1215" s="100">
        <f t="shared" si="629"/>
        <v>0</v>
      </c>
      <c r="R1215" s="13" t="str">
        <f t="shared" si="630"/>
        <v>Фото &gt;&gt;</v>
      </c>
      <c r="S1215" s="14" t="s">
        <v>6134</v>
      </c>
      <c r="AK1215">
        <v>0.02</v>
      </c>
      <c r="AL1215">
        <v>0</v>
      </c>
      <c r="AM1215">
        <v>0</v>
      </c>
      <c r="AN1215">
        <v>0</v>
      </c>
      <c r="AO1215" t="s">
        <v>6135</v>
      </c>
      <c r="AV1215" t="str">
        <f>IF(F1215&gt;0,(COUNT($AV$1:AV1214)+1),"")</f>
        <v/>
      </c>
    </row>
    <row r="1216" spans="1:48" ht="15" customHeight="1" x14ac:dyDescent="0.25">
      <c r="A1216" s="1"/>
      <c r="B1216" s="1134">
        <v>21154</v>
      </c>
      <c r="C1216" s="972">
        <v>4650118191136</v>
      </c>
      <c r="D1216" s="1135" t="s">
        <v>7186</v>
      </c>
      <c r="E1216" s="1136">
        <v>5</v>
      </c>
      <c r="F1216" s="223"/>
      <c r="G1216" s="975">
        <v>65.5</v>
      </c>
      <c r="H1216" s="976">
        <v>67.8</v>
      </c>
      <c r="I1216" s="977">
        <v>72.599999999999994</v>
      </c>
      <c r="J1216" s="978" t="s">
        <v>407</v>
      </c>
      <c r="K1216" s="979" t="s">
        <v>419</v>
      </c>
      <c r="L1216" s="980"/>
      <c r="M1216" s="1137" t="s">
        <v>1856</v>
      </c>
      <c r="N1216" s="1138" t="s">
        <v>1856</v>
      </c>
      <c r="O1216" s="1139" t="s">
        <v>7179</v>
      </c>
      <c r="P1216" s="982" t="s">
        <v>195</v>
      </c>
      <c r="Q1216" s="100">
        <f t="shared" si="629"/>
        <v>0</v>
      </c>
      <c r="R1216" s="13" t="str">
        <f t="shared" si="630"/>
        <v>Фото &gt;&gt;</v>
      </c>
      <c r="S1216" s="14" t="s">
        <v>6108</v>
      </c>
      <c r="AK1216">
        <v>0.06</v>
      </c>
      <c r="AL1216">
        <f t="shared" ref="AL1216:AL1226" si="645">F1216*G1216</f>
        <v>0</v>
      </c>
      <c r="AM1216">
        <f t="shared" ref="AM1216:AM1226" si="646">F1216*H1216</f>
        <v>0</v>
      </c>
      <c r="AN1216">
        <f t="shared" ref="AN1216:AN1226" si="647">AK1216*F1216+IF(E1216&gt;1.01,F1216/E1216*0.2,0)</f>
        <v>0</v>
      </c>
      <c r="AO1216" t="s">
        <v>6113</v>
      </c>
      <c r="AV1216" t="str">
        <f>IF(F1216&gt;0,(COUNT($AV$1:AV1215)+1),"")</f>
        <v/>
      </c>
    </row>
    <row r="1217" spans="1:48" ht="15" customHeight="1" x14ac:dyDescent="0.25">
      <c r="A1217" s="1"/>
      <c r="B1217" s="1120">
        <v>19433</v>
      </c>
      <c r="C1217" s="1121">
        <v>4650118195035</v>
      </c>
      <c r="D1217" s="1122" t="s">
        <v>7187</v>
      </c>
      <c r="E1217" s="1140">
        <v>8</v>
      </c>
      <c r="F1217" s="673"/>
      <c r="G1217" s="1124">
        <v>84.8</v>
      </c>
      <c r="H1217" s="1125">
        <v>88.2</v>
      </c>
      <c r="I1217" s="1126">
        <v>93</v>
      </c>
      <c r="J1217" s="1127" t="s">
        <v>407</v>
      </c>
      <c r="K1217" s="1128" t="s">
        <v>419</v>
      </c>
      <c r="L1217" s="1141" t="s">
        <v>2928</v>
      </c>
      <c r="M1217" s="1142"/>
      <c r="N1217" s="1143" t="s">
        <v>1856</v>
      </c>
      <c r="O1217" s="1144" t="s">
        <v>2348</v>
      </c>
      <c r="P1217" s="1133" t="s">
        <v>100</v>
      </c>
      <c r="Q1217" s="100">
        <f t="shared" si="629"/>
        <v>0</v>
      </c>
      <c r="R1217" s="13" t="str">
        <f t="shared" si="630"/>
        <v>Фото &gt;&gt;</v>
      </c>
      <c r="S1217" s="14" t="s">
        <v>3122</v>
      </c>
      <c r="AK1217">
        <v>0.06</v>
      </c>
      <c r="AL1217">
        <f t="shared" si="645"/>
        <v>0</v>
      </c>
      <c r="AM1217">
        <f t="shared" si="646"/>
        <v>0</v>
      </c>
      <c r="AN1217">
        <f t="shared" si="647"/>
        <v>0</v>
      </c>
      <c r="AO1217" t="s">
        <v>2653</v>
      </c>
      <c r="AV1217" t="str">
        <f>IF(F1217&gt;0,(COUNT($AV$1:AV1216)+1),"")</f>
        <v/>
      </c>
    </row>
    <row r="1218" spans="1:48" ht="15" customHeight="1" x14ac:dyDescent="0.25">
      <c r="A1218" s="1"/>
      <c r="B1218" s="36">
        <v>21149</v>
      </c>
      <c r="C1218" s="12">
        <v>4650118198159</v>
      </c>
      <c r="D1218" s="1100" t="s">
        <v>7188</v>
      </c>
      <c r="E1218" s="88">
        <v>8</v>
      </c>
      <c r="F1218" s="223"/>
      <c r="G1218" s="1097">
        <v>84.8</v>
      </c>
      <c r="H1218" s="1098">
        <v>88.2</v>
      </c>
      <c r="I1218" s="1099">
        <v>93</v>
      </c>
      <c r="J1218" s="117" t="s">
        <v>407</v>
      </c>
      <c r="K1218" s="43" t="s">
        <v>419</v>
      </c>
      <c r="L1218" s="446" t="s">
        <v>2928</v>
      </c>
      <c r="M1218" s="488"/>
      <c r="N1218" s="1018" t="s">
        <v>1856</v>
      </c>
      <c r="O1218" s="215" t="s">
        <v>2348</v>
      </c>
      <c r="P1218" s="78" t="s">
        <v>100</v>
      </c>
      <c r="Q1218" s="100">
        <f t="shared" si="629"/>
        <v>0</v>
      </c>
      <c r="R1218" s="13" t="str">
        <f t="shared" si="630"/>
        <v>Фото &gt;&gt;</v>
      </c>
      <c r="S1218" s="14" t="s">
        <v>6111</v>
      </c>
      <c r="AK1218">
        <v>0.06</v>
      </c>
      <c r="AL1218">
        <f t="shared" si="645"/>
        <v>0</v>
      </c>
      <c r="AM1218">
        <f t="shared" si="646"/>
        <v>0</v>
      </c>
      <c r="AN1218">
        <f t="shared" si="647"/>
        <v>0</v>
      </c>
      <c r="AO1218" t="s">
        <v>6112</v>
      </c>
      <c r="AV1218" t="str">
        <f>IF(F1218&gt;0,(COUNT($AV$1:AV1217)+1),"")</f>
        <v/>
      </c>
    </row>
    <row r="1219" spans="1:48" ht="15" customHeight="1" x14ac:dyDescent="0.25">
      <c r="A1219" s="1"/>
      <c r="B1219" s="31">
        <v>19432</v>
      </c>
      <c r="C1219" s="16">
        <v>4650118195042</v>
      </c>
      <c r="D1219" s="226" t="s">
        <v>7189</v>
      </c>
      <c r="E1219" s="86">
        <v>8</v>
      </c>
      <c r="F1219" s="222"/>
      <c r="G1219" s="108">
        <v>84.8</v>
      </c>
      <c r="H1219" s="17">
        <v>88.2</v>
      </c>
      <c r="I1219" s="18">
        <v>93</v>
      </c>
      <c r="J1219" s="113" t="s">
        <v>407</v>
      </c>
      <c r="K1219" s="44" t="s">
        <v>419</v>
      </c>
      <c r="L1219" s="442" t="s">
        <v>2928</v>
      </c>
      <c r="M1219" s="480"/>
      <c r="N1219" s="1015" t="s">
        <v>1856</v>
      </c>
      <c r="O1219" s="217" t="s">
        <v>2348</v>
      </c>
      <c r="P1219" s="68" t="s">
        <v>100</v>
      </c>
      <c r="Q1219" s="100">
        <f t="shared" si="629"/>
        <v>0</v>
      </c>
      <c r="R1219" s="13" t="str">
        <f t="shared" si="630"/>
        <v>Фото &gt;&gt;</v>
      </c>
      <c r="S1219" s="14" t="s">
        <v>3536</v>
      </c>
      <c r="AK1219">
        <v>0.06</v>
      </c>
      <c r="AL1219">
        <f t="shared" si="645"/>
        <v>0</v>
      </c>
      <c r="AM1219">
        <f t="shared" si="646"/>
        <v>0</v>
      </c>
      <c r="AN1219">
        <f t="shared" si="647"/>
        <v>0</v>
      </c>
      <c r="AO1219" t="s">
        <v>2654</v>
      </c>
      <c r="AV1219" t="str">
        <f>IF(F1219&gt;0,(COUNT($AV$1:AV1218)+1),"")</f>
        <v/>
      </c>
    </row>
    <row r="1220" spans="1:48" ht="15" customHeight="1" x14ac:dyDescent="0.25">
      <c r="A1220" s="1"/>
      <c r="B1220" s="36">
        <v>19778</v>
      </c>
      <c r="C1220" s="12">
        <v>4650118196698</v>
      </c>
      <c r="D1220" s="1100" t="s">
        <v>7190</v>
      </c>
      <c r="E1220" s="88">
        <v>12</v>
      </c>
      <c r="F1220" s="223"/>
      <c r="G1220" s="1097">
        <v>53.7</v>
      </c>
      <c r="H1220" s="1098">
        <v>55.9</v>
      </c>
      <c r="I1220" s="1099">
        <v>58.6</v>
      </c>
      <c r="J1220" s="117" t="s">
        <v>407</v>
      </c>
      <c r="K1220" s="43" t="s">
        <v>419</v>
      </c>
      <c r="L1220" s="446" t="s">
        <v>2928</v>
      </c>
      <c r="M1220" s="488" t="s">
        <v>1856</v>
      </c>
      <c r="N1220" s="1018"/>
      <c r="O1220" s="215" t="s">
        <v>4226</v>
      </c>
      <c r="P1220" s="78" t="s">
        <v>72</v>
      </c>
      <c r="Q1220" s="100">
        <f t="shared" si="629"/>
        <v>0</v>
      </c>
      <c r="R1220" s="13" t="str">
        <f t="shared" si="630"/>
        <v>Фото &gt;&gt;</v>
      </c>
      <c r="S1220" s="14" t="s">
        <v>6109</v>
      </c>
      <c r="AK1220">
        <v>0.06</v>
      </c>
      <c r="AL1220">
        <f t="shared" si="645"/>
        <v>0</v>
      </c>
      <c r="AM1220">
        <f t="shared" si="646"/>
        <v>0</v>
      </c>
      <c r="AN1220">
        <f t="shared" si="647"/>
        <v>0</v>
      </c>
      <c r="AO1220" t="s">
        <v>6110</v>
      </c>
      <c r="AV1220" t="str">
        <f>IF(F1220&gt;0,(COUNT($AV$1:AV1219)+1),"")</f>
        <v/>
      </c>
    </row>
    <row r="1221" spans="1:48" ht="15" customHeight="1" x14ac:dyDescent="0.25">
      <c r="A1221" s="1"/>
      <c r="B1221" s="31">
        <v>19434</v>
      </c>
      <c r="C1221" s="16">
        <v>4650118195066</v>
      </c>
      <c r="D1221" s="226" t="s">
        <v>7191</v>
      </c>
      <c r="E1221" s="86">
        <v>12</v>
      </c>
      <c r="F1221" s="222"/>
      <c r="G1221" s="108">
        <v>53.7</v>
      </c>
      <c r="H1221" s="17">
        <v>55.9</v>
      </c>
      <c r="I1221" s="18">
        <v>58.6</v>
      </c>
      <c r="J1221" s="113" t="s">
        <v>407</v>
      </c>
      <c r="K1221" s="44" t="s">
        <v>419</v>
      </c>
      <c r="L1221" s="442" t="s">
        <v>2928</v>
      </c>
      <c r="M1221" s="480" t="s">
        <v>1856</v>
      </c>
      <c r="N1221" s="1015" t="s">
        <v>1856</v>
      </c>
      <c r="O1221" s="217" t="s">
        <v>4226</v>
      </c>
      <c r="P1221" s="68" t="s">
        <v>72</v>
      </c>
      <c r="Q1221" s="100">
        <f t="shared" si="629"/>
        <v>0</v>
      </c>
      <c r="R1221" s="13" t="str">
        <f t="shared" si="630"/>
        <v>Фото &gt;&gt;</v>
      </c>
      <c r="S1221" s="14" t="s">
        <v>3131</v>
      </c>
      <c r="AK1221">
        <v>3.5000000000000003E-2</v>
      </c>
      <c r="AL1221">
        <f t="shared" si="645"/>
        <v>0</v>
      </c>
      <c r="AM1221">
        <f t="shared" si="646"/>
        <v>0</v>
      </c>
      <c r="AN1221">
        <f t="shared" si="647"/>
        <v>0</v>
      </c>
      <c r="AO1221" t="s">
        <v>2655</v>
      </c>
      <c r="AV1221" t="str">
        <f>IF(F1221&gt;0,(COUNT($AV$1:AV1220)+1),"")</f>
        <v/>
      </c>
    </row>
    <row r="1222" spans="1:48" ht="15" customHeight="1" x14ac:dyDescent="0.25">
      <c r="A1222" s="1"/>
      <c r="B1222" s="31">
        <v>19921</v>
      </c>
      <c r="C1222" s="16">
        <v>4650118197220</v>
      </c>
      <c r="D1222" s="226" t="s">
        <v>7192</v>
      </c>
      <c r="E1222" s="86">
        <v>12</v>
      </c>
      <c r="F1222" s="222"/>
      <c r="G1222" s="108">
        <v>53.7</v>
      </c>
      <c r="H1222" s="17">
        <v>55.1</v>
      </c>
      <c r="I1222" s="18">
        <v>59.3</v>
      </c>
      <c r="J1222" s="113" t="s">
        <v>407</v>
      </c>
      <c r="K1222" s="44" t="s">
        <v>419</v>
      </c>
      <c r="L1222" s="442" t="s">
        <v>2928</v>
      </c>
      <c r="M1222" s="480" t="s">
        <v>1856</v>
      </c>
      <c r="N1222" s="1015"/>
      <c r="O1222" s="217" t="s">
        <v>4226</v>
      </c>
      <c r="P1222" s="68" t="s">
        <v>72</v>
      </c>
      <c r="Q1222" s="100">
        <f t="shared" si="629"/>
        <v>0</v>
      </c>
      <c r="R1222" s="13" t="str">
        <f t="shared" si="630"/>
        <v>Фото &gt;&gt;</v>
      </c>
      <c r="S1222" s="14" t="s">
        <v>6136</v>
      </c>
      <c r="AK1222">
        <v>3.5000000000000003E-2</v>
      </c>
      <c r="AL1222">
        <v>0</v>
      </c>
      <c r="AM1222">
        <v>0</v>
      </c>
      <c r="AN1222">
        <v>0</v>
      </c>
      <c r="AO1222" t="s">
        <v>6137</v>
      </c>
      <c r="AV1222" t="str">
        <f>IF(F1222&gt;0,(COUNT($AV$1:AV1221)+1),"")</f>
        <v/>
      </c>
    </row>
    <row r="1223" spans="1:48" ht="15" customHeight="1" x14ac:dyDescent="0.25">
      <c r="A1223" s="1"/>
      <c r="B1223" s="1134">
        <v>19436</v>
      </c>
      <c r="C1223" s="972">
        <v>4650118195080</v>
      </c>
      <c r="D1223" s="1135" t="s">
        <v>7193</v>
      </c>
      <c r="E1223" s="1136">
        <v>12</v>
      </c>
      <c r="F1223" s="223"/>
      <c r="G1223" s="975">
        <v>53.7</v>
      </c>
      <c r="H1223" s="976">
        <v>55.1</v>
      </c>
      <c r="I1223" s="977">
        <v>59.3</v>
      </c>
      <c r="J1223" s="978" t="s">
        <v>407</v>
      </c>
      <c r="K1223" s="979" t="s">
        <v>419</v>
      </c>
      <c r="L1223" s="980" t="s">
        <v>2928</v>
      </c>
      <c r="M1223" s="1137" t="s">
        <v>1856</v>
      </c>
      <c r="N1223" s="1138" t="s">
        <v>1856</v>
      </c>
      <c r="O1223" s="1139" t="s">
        <v>4226</v>
      </c>
      <c r="P1223" s="982" t="s">
        <v>72</v>
      </c>
      <c r="Q1223" s="100">
        <f t="shared" si="629"/>
        <v>0</v>
      </c>
      <c r="R1223" s="13" t="str">
        <f t="shared" si="630"/>
        <v>Фото &gt;&gt;</v>
      </c>
      <c r="S1223" s="14" t="s">
        <v>3130</v>
      </c>
      <c r="AK1223">
        <v>3.5000000000000003E-2</v>
      </c>
      <c r="AL1223">
        <f t="shared" si="645"/>
        <v>0</v>
      </c>
      <c r="AM1223">
        <f t="shared" si="646"/>
        <v>0</v>
      </c>
      <c r="AN1223">
        <f t="shared" si="647"/>
        <v>0</v>
      </c>
      <c r="AO1223" t="s">
        <v>2656</v>
      </c>
      <c r="AV1223" t="str">
        <f>IF(F1223&gt;0,(COUNT($AV$1:AV1222)+1),"")</f>
        <v/>
      </c>
    </row>
    <row r="1224" spans="1:48" ht="15" customHeight="1" x14ac:dyDescent="0.25">
      <c r="A1224" s="1"/>
      <c r="B1224" s="669">
        <v>19608</v>
      </c>
      <c r="C1224" s="670">
        <v>4650118196193</v>
      </c>
      <c r="D1224" s="671" t="s">
        <v>7194</v>
      </c>
      <c r="E1224" s="1145">
        <v>8</v>
      </c>
      <c r="F1224" s="673"/>
      <c r="G1224" s="674">
        <v>84.8</v>
      </c>
      <c r="H1224" s="675">
        <v>88</v>
      </c>
      <c r="I1224" s="676">
        <v>91.4</v>
      </c>
      <c r="J1224" s="899" t="s">
        <v>407</v>
      </c>
      <c r="K1224" s="678" t="s">
        <v>419</v>
      </c>
      <c r="L1224" s="679" t="s">
        <v>2928</v>
      </c>
      <c r="M1224" s="680"/>
      <c r="N1224" s="1027"/>
      <c r="O1224" s="1110" t="s">
        <v>2348</v>
      </c>
      <c r="P1224" s="682" t="s">
        <v>100</v>
      </c>
      <c r="Q1224" s="100">
        <f t="shared" si="629"/>
        <v>0</v>
      </c>
      <c r="R1224" s="13" t="str">
        <f t="shared" si="630"/>
        <v>Фото &gt;&gt;</v>
      </c>
      <c r="S1224" s="14" t="s">
        <v>3121</v>
      </c>
      <c r="AK1224">
        <v>0.06</v>
      </c>
      <c r="AL1224">
        <f t="shared" si="645"/>
        <v>0</v>
      </c>
      <c r="AM1224">
        <f t="shared" si="646"/>
        <v>0</v>
      </c>
      <c r="AN1224">
        <f t="shared" si="647"/>
        <v>0</v>
      </c>
      <c r="AO1224" t="s">
        <v>2653</v>
      </c>
      <c r="AV1224" t="str">
        <f>IF(F1224&gt;0,(COUNT($AV$1:AV1223)+1),"")</f>
        <v/>
      </c>
    </row>
    <row r="1225" spans="1:48" ht="15" customHeight="1" x14ac:dyDescent="0.25">
      <c r="A1225" s="1"/>
      <c r="B1225" s="31">
        <v>20824</v>
      </c>
      <c r="C1225" s="16">
        <v>4650118198173</v>
      </c>
      <c r="D1225" s="226" t="s">
        <v>7195</v>
      </c>
      <c r="E1225" s="86">
        <v>8</v>
      </c>
      <c r="F1225" s="223"/>
      <c r="G1225" s="108">
        <v>76.8</v>
      </c>
      <c r="H1225" s="17">
        <v>79.8</v>
      </c>
      <c r="I1225" s="18">
        <v>85</v>
      </c>
      <c r="J1225" s="113" t="s">
        <v>407</v>
      </c>
      <c r="K1225" s="44" t="s">
        <v>419</v>
      </c>
      <c r="L1225" s="442" t="s">
        <v>2928</v>
      </c>
      <c r="M1225" s="480"/>
      <c r="N1225" s="1015"/>
      <c r="O1225" s="217" t="s">
        <v>2348</v>
      </c>
      <c r="P1225" s="68" t="s">
        <v>100</v>
      </c>
      <c r="Q1225" s="100">
        <f t="shared" si="629"/>
        <v>0</v>
      </c>
      <c r="R1225" s="13" t="str">
        <f t="shared" si="630"/>
        <v>Фото &gt;&gt;</v>
      </c>
      <c r="S1225" s="14" t="s">
        <v>4557</v>
      </c>
      <c r="AK1225">
        <v>0.06</v>
      </c>
      <c r="AL1225">
        <f t="shared" si="645"/>
        <v>0</v>
      </c>
      <c r="AM1225">
        <f t="shared" si="646"/>
        <v>0</v>
      </c>
      <c r="AN1225">
        <f t="shared" si="647"/>
        <v>0</v>
      </c>
      <c r="AO1225" t="s">
        <v>4558</v>
      </c>
      <c r="AV1225" t="str">
        <f>IF(F1225&gt;0,(COUNT($AV$1:AV1224)+1),"")</f>
        <v/>
      </c>
    </row>
    <row r="1226" spans="1:48" ht="15" customHeight="1" x14ac:dyDescent="0.25">
      <c r="A1226" s="1"/>
      <c r="B1226" s="30">
        <v>19613</v>
      </c>
      <c r="C1226" s="20">
        <v>4650118196186</v>
      </c>
      <c r="D1226" s="225" t="s">
        <v>7196</v>
      </c>
      <c r="E1226" s="85">
        <v>8</v>
      </c>
      <c r="F1226" s="222"/>
      <c r="G1226" s="107">
        <v>76.8</v>
      </c>
      <c r="H1226" s="21">
        <v>79.8</v>
      </c>
      <c r="I1226" s="22">
        <v>85</v>
      </c>
      <c r="J1226" s="112" t="s">
        <v>407</v>
      </c>
      <c r="K1226" s="45" t="s">
        <v>419</v>
      </c>
      <c r="L1226" s="437" t="s">
        <v>2928</v>
      </c>
      <c r="M1226" s="474"/>
      <c r="N1226" s="1013"/>
      <c r="O1226" s="212" t="s">
        <v>2348</v>
      </c>
      <c r="P1226" s="66" t="s">
        <v>100</v>
      </c>
      <c r="Q1226" s="100">
        <f t="shared" si="629"/>
        <v>0</v>
      </c>
      <c r="R1226" s="13" t="str">
        <f t="shared" si="630"/>
        <v>Фото &gt;&gt;</v>
      </c>
      <c r="S1226" s="14" t="s">
        <v>3129</v>
      </c>
      <c r="AK1226">
        <v>0.06</v>
      </c>
      <c r="AL1226">
        <f t="shared" si="645"/>
        <v>0</v>
      </c>
      <c r="AM1226">
        <f t="shared" si="646"/>
        <v>0</v>
      </c>
      <c r="AN1226">
        <f t="shared" si="647"/>
        <v>0</v>
      </c>
      <c r="AO1226" t="s">
        <v>2654</v>
      </c>
      <c r="AV1226" t="str">
        <f>IF(F1226&gt;0,(COUNT($AV$1:AV1225)+1),"")</f>
        <v/>
      </c>
    </row>
    <row r="1227" spans="1:48" ht="15" customHeight="1" x14ac:dyDescent="0.25">
      <c r="A1227" s="1"/>
      <c r="B1227" s="31">
        <v>19609</v>
      </c>
      <c r="C1227" s="16">
        <v>4650118196216</v>
      </c>
      <c r="D1227" s="226" t="s">
        <v>7197</v>
      </c>
      <c r="E1227" s="86">
        <v>12</v>
      </c>
      <c r="F1227" s="223"/>
      <c r="G1227" s="108">
        <v>50.3</v>
      </c>
      <c r="H1227" s="17">
        <v>52.1</v>
      </c>
      <c r="I1227" s="18">
        <v>55.8</v>
      </c>
      <c r="J1227" s="113" t="s">
        <v>407</v>
      </c>
      <c r="K1227" s="44" t="s">
        <v>419</v>
      </c>
      <c r="L1227" s="442" t="s">
        <v>2928</v>
      </c>
      <c r="M1227" s="480" t="s">
        <v>1856</v>
      </c>
      <c r="N1227" s="1015"/>
      <c r="O1227" s="217" t="s">
        <v>4226</v>
      </c>
      <c r="P1227" s="68" t="s">
        <v>72</v>
      </c>
      <c r="Q1227" s="100">
        <f t="shared" si="629"/>
        <v>0</v>
      </c>
      <c r="R1227" s="13" t="str">
        <f t="shared" si="630"/>
        <v>Фото &gt;&gt;</v>
      </c>
      <c r="S1227" s="14" t="s">
        <v>3123</v>
      </c>
      <c r="AK1227">
        <v>3.5000000000000003E-2</v>
      </c>
      <c r="AL1227">
        <f t="shared" ref="AL1227:AL1230" si="648">F1227*G1227</f>
        <v>0</v>
      </c>
      <c r="AM1227">
        <f t="shared" ref="AM1227:AM1230" si="649">F1227*H1227</f>
        <v>0</v>
      </c>
      <c r="AN1227">
        <f t="shared" ref="AN1227:AN1230" si="650">AK1227*F1227+IF(E1227&gt;1.01,F1227/E1227*0.2,0)</f>
        <v>0</v>
      </c>
      <c r="AO1227" t="s">
        <v>3126</v>
      </c>
      <c r="AV1227" t="str">
        <f>IF(F1227&gt;0,(COUNT($AV$1:AV1226)+1),"")</f>
        <v/>
      </c>
    </row>
    <row r="1228" spans="1:48" ht="15" customHeight="1" x14ac:dyDescent="0.25">
      <c r="A1228" s="1"/>
      <c r="B1228" s="30">
        <v>19610</v>
      </c>
      <c r="C1228" s="20">
        <v>4650118196254</v>
      </c>
      <c r="D1228" s="225" t="s">
        <v>7182</v>
      </c>
      <c r="E1228" s="85">
        <v>12</v>
      </c>
      <c r="F1228" s="222"/>
      <c r="G1228" s="107">
        <v>50.3</v>
      </c>
      <c r="H1228" s="21">
        <v>52.1</v>
      </c>
      <c r="I1228" s="22">
        <v>55.8</v>
      </c>
      <c r="J1228" s="112" t="s">
        <v>407</v>
      </c>
      <c r="K1228" s="45" t="s">
        <v>419</v>
      </c>
      <c r="L1228" s="437" t="s">
        <v>2928</v>
      </c>
      <c r="M1228" s="474" t="s">
        <v>1856</v>
      </c>
      <c r="N1228" s="1013"/>
      <c r="O1228" s="212" t="s">
        <v>4226</v>
      </c>
      <c r="P1228" s="66" t="s">
        <v>72</v>
      </c>
      <c r="Q1228" s="100">
        <f t="shared" si="629"/>
        <v>0</v>
      </c>
      <c r="R1228" s="13" t="str">
        <f t="shared" si="630"/>
        <v>Фото &gt;&gt;</v>
      </c>
      <c r="S1228" s="14" t="s">
        <v>3125</v>
      </c>
      <c r="AK1228">
        <v>3.5000000000000003E-2</v>
      </c>
      <c r="AL1228">
        <f t="shared" si="648"/>
        <v>0</v>
      </c>
      <c r="AM1228">
        <f t="shared" si="649"/>
        <v>0</v>
      </c>
      <c r="AN1228">
        <f t="shared" si="650"/>
        <v>0</v>
      </c>
      <c r="AO1228" t="s">
        <v>3127</v>
      </c>
      <c r="AV1228" t="str">
        <f>IF(F1228&gt;0,(COUNT($AV$1:AV1227)+1),"")</f>
        <v/>
      </c>
    </row>
    <row r="1229" spans="1:48" ht="15" customHeight="1" x14ac:dyDescent="0.25">
      <c r="A1229" s="1"/>
      <c r="B1229" s="31">
        <v>19612</v>
      </c>
      <c r="C1229" s="16">
        <v>4650118196223</v>
      </c>
      <c r="D1229" s="226" t="s">
        <v>7180</v>
      </c>
      <c r="E1229" s="86">
        <v>12</v>
      </c>
      <c r="F1229" s="223"/>
      <c r="G1229" s="108">
        <v>50.3</v>
      </c>
      <c r="H1229" s="17">
        <v>52.1</v>
      </c>
      <c r="I1229" s="18">
        <v>55.8</v>
      </c>
      <c r="J1229" s="113" t="s">
        <v>407</v>
      </c>
      <c r="K1229" s="44" t="s">
        <v>419</v>
      </c>
      <c r="L1229" s="442" t="s">
        <v>2928</v>
      </c>
      <c r="M1229" s="480" t="s">
        <v>1856</v>
      </c>
      <c r="N1229" s="1015"/>
      <c r="O1229" s="217" t="s">
        <v>4226</v>
      </c>
      <c r="P1229" s="68" t="s">
        <v>72</v>
      </c>
      <c r="Q1229" s="100">
        <f t="shared" si="629"/>
        <v>0</v>
      </c>
      <c r="R1229" s="13" t="str">
        <f t="shared" si="630"/>
        <v>Фото &gt;&gt;</v>
      </c>
      <c r="S1229" s="14" t="s">
        <v>3124</v>
      </c>
      <c r="AK1229">
        <v>3.5000000000000003E-2</v>
      </c>
      <c r="AL1229">
        <f t="shared" si="648"/>
        <v>0</v>
      </c>
      <c r="AM1229">
        <f t="shared" si="649"/>
        <v>0</v>
      </c>
      <c r="AN1229">
        <f t="shared" si="650"/>
        <v>0</v>
      </c>
      <c r="AO1229" t="s">
        <v>3128</v>
      </c>
      <c r="AV1229" t="str">
        <f>IF(F1229&gt;0,(COUNT($AV$1:AV1228)+1),"")</f>
        <v/>
      </c>
    </row>
    <row r="1230" spans="1:48" ht="15" customHeight="1" x14ac:dyDescent="0.25">
      <c r="A1230" s="1"/>
      <c r="B1230" s="30">
        <v>19922</v>
      </c>
      <c r="C1230" s="20">
        <v>4650118197237</v>
      </c>
      <c r="D1230" s="225" t="s">
        <v>7181</v>
      </c>
      <c r="E1230" s="85">
        <v>12</v>
      </c>
      <c r="F1230" s="222"/>
      <c r="G1230" s="107">
        <v>50.3</v>
      </c>
      <c r="H1230" s="21">
        <v>52.1</v>
      </c>
      <c r="I1230" s="22">
        <v>55.8</v>
      </c>
      <c r="J1230" s="112" t="s">
        <v>407</v>
      </c>
      <c r="K1230" s="45" t="s">
        <v>419</v>
      </c>
      <c r="L1230" s="437" t="s">
        <v>2928</v>
      </c>
      <c r="M1230" s="474" t="s">
        <v>1856</v>
      </c>
      <c r="N1230" s="1013"/>
      <c r="O1230" s="212" t="s">
        <v>4226</v>
      </c>
      <c r="P1230" s="66" t="s">
        <v>72</v>
      </c>
      <c r="Q1230" s="100">
        <f t="shared" si="629"/>
        <v>0</v>
      </c>
      <c r="R1230" s="13" t="str">
        <f t="shared" si="630"/>
        <v>Фото &gt;&gt;</v>
      </c>
      <c r="S1230" s="14" t="s">
        <v>3537</v>
      </c>
      <c r="AK1230">
        <v>3.5000000000000003E-2</v>
      </c>
      <c r="AL1230">
        <f t="shared" si="648"/>
        <v>0</v>
      </c>
      <c r="AM1230">
        <f t="shared" si="649"/>
        <v>0</v>
      </c>
      <c r="AN1230">
        <f t="shared" si="650"/>
        <v>0</v>
      </c>
      <c r="AO1230" t="s">
        <v>3538</v>
      </c>
      <c r="AV1230" t="str">
        <f>IF(F1230&gt;0,(COUNT($AV$1:AV1229)+1),"")</f>
        <v/>
      </c>
    </row>
    <row r="1231" spans="1:48" ht="15" customHeight="1" x14ac:dyDescent="0.25">
      <c r="A1231" s="1"/>
      <c r="B1231" s="25"/>
      <c r="C1231" s="26"/>
      <c r="D1231" s="228" t="s">
        <v>116</v>
      </c>
      <c r="E1231" s="80"/>
      <c r="F1231" s="96"/>
      <c r="G1231" s="403"/>
      <c r="H1231" s="404"/>
      <c r="I1231" s="282"/>
      <c r="J1231" s="51"/>
      <c r="K1231" s="47"/>
      <c r="L1231" s="447"/>
      <c r="M1231" s="489" t="s">
        <v>104</v>
      </c>
      <c r="N1231" s="716"/>
      <c r="O1231" s="402"/>
      <c r="P1231" s="79"/>
      <c r="Q1231" s="104"/>
      <c r="R1231" s="13"/>
      <c r="S1231" s="14"/>
      <c r="AL1231">
        <f t="shared" ref="AL1231:AL1234" si="651">F1231*G1231</f>
        <v>0</v>
      </c>
      <c r="AM1231">
        <f t="shared" ref="AM1231:AM1234" si="652">F1231*H1231</f>
        <v>0</v>
      </c>
      <c r="AN1231">
        <f t="shared" ref="AN1231:AN1234" si="653">AK1231*F1231+IF(E1231&gt;1.01,F1231/E1231*0.2,0)</f>
        <v>0</v>
      </c>
      <c r="AV1231" t="str">
        <f>IF(F1231&gt;0,(COUNT($AV$1:AV1230)+1),"")</f>
        <v/>
      </c>
    </row>
    <row r="1232" spans="1:48" ht="15" customHeight="1" x14ac:dyDescent="0.25">
      <c r="A1232" s="1"/>
      <c r="B1232" s="31">
        <v>20995</v>
      </c>
      <c r="C1232" s="16">
        <v>4640240810753</v>
      </c>
      <c r="D1232" s="226" t="s">
        <v>6367</v>
      </c>
      <c r="E1232" s="69">
        <v>6</v>
      </c>
      <c r="F1232" s="222"/>
      <c r="G1232" s="108">
        <v>464.5</v>
      </c>
      <c r="H1232" s="17">
        <v>483.5</v>
      </c>
      <c r="I1232" s="18">
        <v>510.6</v>
      </c>
      <c r="J1232" s="113" t="s">
        <v>407</v>
      </c>
      <c r="K1232" s="44" t="s">
        <v>116</v>
      </c>
      <c r="L1232" s="442"/>
      <c r="M1232" s="480" t="s">
        <v>1856</v>
      </c>
      <c r="N1232" s="1015" t="s">
        <v>1856</v>
      </c>
      <c r="O1232" s="210"/>
      <c r="P1232" s="68" t="s">
        <v>50</v>
      </c>
      <c r="Q1232" s="100">
        <f t="shared" ref="Q1232:Q1248" si="654">IF($AO$1164=2,F1232*H1232,IF($AO$1164=1,F1232*G1232,F1232*I1232))</f>
        <v>0</v>
      </c>
      <c r="R1232" s="13" t="str">
        <f t="shared" si="630"/>
        <v>Фото &gt;&gt;</v>
      </c>
      <c r="S1232" s="14" t="s">
        <v>5718</v>
      </c>
      <c r="AK1232">
        <v>0.42</v>
      </c>
      <c r="AL1232">
        <f t="shared" si="651"/>
        <v>0</v>
      </c>
      <c r="AM1232">
        <f t="shared" si="652"/>
        <v>0</v>
      </c>
      <c r="AN1232">
        <f t="shared" si="653"/>
        <v>0</v>
      </c>
      <c r="AO1232" t="s">
        <v>5720</v>
      </c>
      <c r="AV1232" t="str">
        <f>IF(F1232&gt;0,(COUNT($AV$1:AV1231)+1),"")</f>
        <v/>
      </c>
    </row>
    <row r="1233" spans="1:48" ht="15" customHeight="1" x14ac:dyDescent="0.25">
      <c r="A1233" s="1"/>
      <c r="B1233" s="30">
        <v>20994</v>
      </c>
      <c r="C1233" s="20">
        <v>4640240810128</v>
      </c>
      <c r="D1233" s="225" t="s">
        <v>6368</v>
      </c>
      <c r="E1233" s="67">
        <v>6</v>
      </c>
      <c r="F1233" s="222"/>
      <c r="G1233" s="107">
        <v>464.5</v>
      </c>
      <c r="H1233" s="21">
        <v>483.5</v>
      </c>
      <c r="I1233" s="22">
        <v>510.6</v>
      </c>
      <c r="J1233" s="112" t="s">
        <v>407</v>
      </c>
      <c r="K1233" s="45" t="s">
        <v>116</v>
      </c>
      <c r="L1233" s="437"/>
      <c r="M1233" s="474" t="s">
        <v>1856</v>
      </c>
      <c r="N1233" s="1013" t="s">
        <v>1856</v>
      </c>
      <c r="O1233" s="209"/>
      <c r="P1233" s="66" t="s">
        <v>40</v>
      </c>
      <c r="Q1233" s="100">
        <f t="shared" si="654"/>
        <v>0</v>
      </c>
      <c r="R1233" s="13" t="str">
        <f t="shared" si="630"/>
        <v>Фото &gt;&gt;</v>
      </c>
      <c r="S1233" s="14" t="s">
        <v>5719</v>
      </c>
      <c r="AK1233">
        <v>0.42</v>
      </c>
      <c r="AL1233">
        <f t="shared" si="651"/>
        <v>0</v>
      </c>
      <c r="AM1233">
        <f t="shared" si="652"/>
        <v>0</v>
      </c>
      <c r="AN1233">
        <f t="shared" si="653"/>
        <v>0</v>
      </c>
      <c r="AO1233" t="s">
        <v>5721</v>
      </c>
      <c r="AV1233" t="str">
        <f>IF(F1233&gt;0,(COUNT($AV$1:AV1232)+1),"")</f>
        <v/>
      </c>
    </row>
    <row r="1234" spans="1:48" ht="15" customHeight="1" x14ac:dyDescent="0.25">
      <c r="A1234" s="1"/>
      <c r="B1234" s="31">
        <v>20552</v>
      </c>
      <c r="C1234" s="16">
        <v>4650118198647</v>
      </c>
      <c r="D1234" s="226" t="s">
        <v>4435</v>
      </c>
      <c r="E1234" s="69">
        <v>6</v>
      </c>
      <c r="F1234" s="222"/>
      <c r="G1234" s="108">
        <v>327.2</v>
      </c>
      <c r="H1234" s="17">
        <v>343.8</v>
      </c>
      <c r="I1234" s="18">
        <v>361.4</v>
      </c>
      <c r="J1234" s="113" t="s">
        <v>407</v>
      </c>
      <c r="K1234" s="44" t="s">
        <v>116</v>
      </c>
      <c r="L1234" s="442"/>
      <c r="M1234" s="480" t="s">
        <v>1856</v>
      </c>
      <c r="N1234" s="1015" t="s">
        <v>1856</v>
      </c>
      <c r="O1234" s="210"/>
      <c r="P1234" s="68" t="s">
        <v>72</v>
      </c>
      <c r="Q1234" s="100">
        <f t="shared" si="654"/>
        <v>0</v>
      </c>
      <c r="R1234" s="13" t="str">
        <f t="shared" si="630"/>
        <v>Фото &gt;&gt;</v>
      </c>
      <c r="S1234" s="14" t="s">
        <v>4058</v>
      </c>
      <c r="AK1234">
        <v>0.42</v>
      </c>
      <c r="AL1234">
        <f t="shared" si="651"/>
        <v>0</v>
      </c>
      <c r="AM1234">
        <f t="shared" si="652"/>
        <v>0</v>
      </c>
      <c r="AN1234">
        <f t="shared" si="653"/>
        <v>0</v>
      </c>
      <c r="AO1234" t="s">
        <v>4056</v>
      </c>
      <c r="AV1234" t="str">
        <f>IF(F1234&gt;0,(COUNT($AV$1:AV1233)+1),"")</f>
        <v/>
      </c>
    </row>
    <row r="1235" spans="1:48" ht="15" customHeight="1" x14ac:dyDescent="0.25">
      <c r="A1235" s="1"/>
      <c r="B1235" s="30">
        <v>20549</v>
      </c>
      <c r="C1235" s="20">
        <v>4650118198654</v>
      </c>
      <c r="D1235" s="225" t="s">
        <v>4436</v>
      </c>
      <c r="E1235" s="67">
        <v>6</v>
      </c>
      <c r="F1235" s="222"/>
      <c r="G1235" s="107">
        <v>387.6</v>
      </c>
      <c r="H1235" s="21">
        <v>407.2</v>
      </c>
      <c r="I1235" s="22">
        <v>429</v>
      </c>
      <c r="J1235" s="112" t="s">
        <v>407</v>
      </c>
      <c r="K1235" s="45" t="s">
        <v>116</v>
      </c>
      <c r="L1235" s="437"/>
      <c r="M1235" s="474" t="s">
        <v>1856</v>
      </c>
      <c r="N1235" s="1013" t="s">
        <v>1856</v>
      </c>
      <c r="O1235" s="209"/>
      <c r="P1235" s="66" t="s">
        <v>72</v>
      </c>
      <c r="Q1235" s="100">
        <f t="shared" si="654"/>
        <v>0</v>
      </c>
      <c r="R1235" s="13" t="str">
        <f t="shared" si="630"/>
        <v>Фото &gt;&gt;</v>
      </c>
      <c r="S1235" s="14" t="s">
        <v>4055</v>
      </c>
      <c r="AK1235">
        <v>0.42</v>
      </c>
      <c r="AL1235">
        <f t="shared" ref="AL1235" si="655">F1235*G1235</f>
        <v>0</v>
      </c>
      <c r="AM1235">
        <f t="shared" ref="AM1235" si="656">F1235*H1235</f>
        <v>0</v>
      </c>
      <c r="AN1235">
        <f t="shared" ref="AN1235" si="657">AK1235*F1235+IF(E1235&gt;1.01,F1235/E1235*0.2,0)</f>
        <v>0</v>
      </c>
      <c r="AO1235" t="s">
        <v>4057</v>
      </c>
      <c r="AV1235" t="str">
        <f>IF(F1235&gt;0,(COUNT($AV$1:AV1234)+1),"")</f>
        <v/>
      </c>
    </row>
    <row r="1236" spans="1:48" ht="15" customHeight="1" x14ac:dyDescent="0.25">
      <c r="A1236" s="1"/>
      <c r="B1236" s="31">
        <v>20825</v>
      </c>
      <c r="C1236" s="16">
        <v>4650118199446</v>
      </c>
      <c r="D1236" s="226" t="s">
        <v>5770</v>
      </c>
      <c r="E1236" s="69">
        <v>6</v>
      </c>
      <c r="F1236" s="222"/>
      <c r="G1236" s="108">
        <v>538.6</v>
      </c>
      <c r="H1236" s="17">
        <v>560.4</v>
      </c>
      <c r="I1236" s="18">
        <v>582</v>
      </c>
      <c r="J1236" s="113" t="s">
        <v>407</v>
      </c>
      <c r="K1236" s="44" t="s">
        <v>116</v>
      </c>
      <c r="L1236" s="442"/>
      <c r="M1236" s="480" t="s">
        <v>1856</v>
      </c>
      <c r="N1236" s="1015" t="s">
        <v>1856</v>
      </c>
      <c r="O1236" s="210"/>
      <c r="P1236" s="68" t="s">
        <v>72</v>
      </c>
      <c r="Q1236" s="100">
        <f t="shared" si="654"/>
        <v>0</v>
      </c>
      <c r="R1236" s="13" t="str">
        <f t="shared" si="630"/>
        <v>Фото &gt;&gt;</v>
      </c>
      <c r="S1236" s="14" t="s">
        <v>4559</v>
      </c>
      <c r="AK1236">
        <v>0.42</v>
      </c>
      <c r="AL1236">
        <f t="shared" ref="AL1236" si="658">F1236*G1236</f>
        <v>0</v>
      </c>
      <c r="AM1236">
        <f t="shared" ref="AM1236" si="659">F1236*H1236</f>
        <v>0</v>
      </c>
      <c r="AN1236">
        <f t="shared" ref="AN1236" si="660">AK1236*F1236+IF(E1236&gt;1.01,F1236/E1236*0.2,0)</f>
        <v>0</v>
      </c>
      <c r="AO1236" t="s">
        <v>4560</v>
      </c>
      <c r="AV1236" t="str">
        <f>IF(F1236&gt;0,(COUNT($AV$1:AV1235)+1),"")</f>
        <v/>
      </c>
    </row>
    <row r="1237" spans="1:48" ht="15" customHeight="1" x14ac:dyDescent="0.25">
      <c r="A1237" s="1"/>
      <c r="B1237" s="30">
        <v>21185</v>
      </c>
      <c r="C1237" s="20">
        <v>4640240811187</v>
      </c>
      <c r="D1237" s="225" t="s">
        <v>6995</v>
      </c>
      <c r="E1237" s="67">
        <v>6</v>
      </c>
      <c r="F1237" s="222"/>
      <c r="G1237" s="107">
        <v>325.2</v>
      </c>
      <c r="H1237" s="21">
        <v>341.8</v>
      </c>
      <c r="I1237" s="22">
        <v>378</v>
      </c>
      <c r="J1237" s="112" t="s">
        <v>407</v>
      </c>
      <c r="K1237" s="45" t="s">
        <v>116</v>
      </c>
      <c r="L1237" s="437"/>
      <c r="M1237" s="474" t="s">
        <v>1856</v>
      </c>
      <c r="N1237" s="1013" t="s">
        <v>1856</v>
      </c>
      <c r="O1237" s="209"/>
      <c r="P1237" s="66" t="s">
        <v>72</v>
      </c>
      <c r="Q1237" s="100">
        <f t="shared" si="654"/>
        <v>0</v>
      </c>
      <c r="R1237" s="13" t="str">
        <f t="shared" si="630"/>
        <v>Фото &gt;&gt;</v>
      </c>
      <c r="S1237" s="14" t="s">
        <v>6241</v>
      </c>
      <c r="AK1237">
        <v>0.42</v>
      </c>
      <c r="AL1237">
        <f t="shared" ref="AL1237" si="661">F1237*G1237</f>
        <v>0</v>
      </c>
      <c r="AM1237">
        <f t="shared" ref="AM1237" si="662">F1237*H1237</f>
        <v>0</v>
      </c>
      <c r="AN1237">
        <f t="shared" ref="AN1237" si="663">AK1237*F1237+IF(E1237&gt;1.01,F1237/E1237*0.2,0)</f>
        <v>0</v>
      </c>
      <c r="AO1237" t="s">
        <v>6242</v>
      </c>
      <c r="AV1237" t="str">
        <f>IF(F1237&gt;0,(COUNT($AV$1:AV1236)+1),"")</f>
        <v/>
      </c>
    </row>
    <row r="1238" spans="1:48" ht="15" customHeight="1" x14ac:dyDescent="0.25">
      <c r="A1238" s="1"/>
      <c r="B1238" s="31">
        <v>18408</v>
      </c>
      <c r="C1238" s="16">
        <v>4650118192485</v>
      </c>
      <c r="D1238" s="226" t="s">
        <v>2204</v>
      </c>
      <c r="E1238" s="69">
        <v>6</v>
      </c>
      <c r="F1238" s="222"/>
      <c r="G1238" s="108">
        <v>266.10000000000002</v>
      </c>
      <c r="H1238" s="17">
        <v>277</v>
      </c>
      <c r="I1238" s="18">
        <v>288</v>
      </c>
      <c r="J1238" s="113" t="s">
        <v>407</v>
      </c>
      <c r="K1238" s="44" t="s">
        <v>116</v>
      </c>
      <c r="L1238" s="442"/>
      <c r="M1238" s="480" t="s">
        <v>1856</v>
      </c>
      <c r="N1238" s="1015" t="s">
        <v>1856</v>
      </c>
      <c r="O1238" s="210"/>
      <c r="P1238" s="68" t="s">
        <v>72</v>
      </c>
      <c r="Q1238" s="100">
        <f t="shared" si="654"/>
        <v>0</v>
      </c>
      <c r="R1238" s="13" t="str">
        <f t="shared" si="630"/>
        <v>Фото &gt;&gt;</v>
      </c>
      <c r="S1238" s="14" t="s">
        <v>3134</v>
      </c>
      <c r="AK1238">
        <v>0.3</v>
      </c>
      <c r="AL1238">
        <f t="shared" ref="AL1238" si="664">F1238*G1238</f>
        <v>0</v>
      </c>
      <c r="AM1238">
        <f t="shared" ref="AM1238" si="665">F1238*H1238</f>
        <v>0</v>
      </c>
      <c r="AN1238">
        <f t="shared" ref="AN1238:AN1248" si="666">AK1238*F1238+IF(E1238&gt;1.01,F1238/E1238*0.2,0)</f>
        <v>0</v>
      </c>
      <c r="AO1238" t="s">
        <v>4026</v>
      </c>
      <c r="AV1238" t="str">
        <f>IF(F1238&gt;0,(COUNT($AV$1:AV1237)+1),"")</f>
        <v/>
      </c>
    </row>
    <row r="1239" spans="1:48" ht="15" customHeight="1" x14ac:dyDescent="0.25">
      <c r="A1239" s="1"/>
      <c r="B1239" s="30">
        <v>19811</v>
      </c>
      <c r="C1239" s="20">
        <v>4650118196735</v>
      </c>
      <c r="D1239" s="225" t="s">
        <v>2205</v>
      </c>
      <c r="E1239" s="67">
        <v>6</v>
      </c>
      <c r="F1239" s="222"/>
      <c r="G1239" s="107">
        <v>340.3</v>
      </c>
      <c r="H1239" s="21">
        <v>355</v>
      </c>
      <c r="I1239" s="22">
        <v>383.8</v>
      </c>
      <c r="J1239" s="112" t="s">
        <v>407</v>
      </c>
      <c r="K1239" s="45" t="s">
        <v>116</v>
      </c>
      <c r="L1239" s="437"/>
      <c r="M1239" s="474" t="s">
        <v>1856</v>
      </c>
      <c r="N1239" s="1013" t="s">
        <v>1856</v>
      </c>
      <c r="O1239" s="209"/>
      <c r="P1239" s="66" t="s">
        <v>72</v>
      </c>
      <c r="Q1239" s="100">
        <f t="shared" si="654"/>
        <v>0</v>
      </c>
      <c r="R1239" s="13" t="str">
        <f t="shared" si="630"/>
        <v>Фото &gt;&gt;</v>
      </c>
      <c r="S1239" s="14" t="s">
        <v>3134</v>
      </c>
      <c r="AK1239">
        <v>0.42</v>
      </c>
      <c r="AL1239">
        <f t="shared" ref="AL1239:AL1248" si="667">F1239*G1239</f>
        <v>0</v>
      </c>
      <c r="AM1239">
        <f t="shared" ref="AM1239:AM1248" si="668">F1239*H1239</f>
        <v>0</v>
      </c>
      <c r="AN1239">
        <f t="shared" si="666"/>
        <v>0</v>
      </c>
      <c r="AO1239" t="s">
        <v>2657</v>
      </c>
      <c r="AV1239" t="str">
        <f>IF(F1239&gt;0,(COUNT($AV$1:AV1238)+1),"")</f>
        <v/>
      </c>
    </row>
    <row r="1240" spans="1:48" ht="15" customHeight="1" x14ac:dyDescent="0.25">
      <c r="A1240" s="1"/>
      <c r="B1240" s="31">
        <v>18410</v>
      </c>
      <c r="C1240" s="16">
        <v>4650118192577</v>
      </c>
      <c r="D1240" s="226" t="s">
        <v>2206</v>
      </c>
      <c r="E1240" s="69">
        <v>6</v>
      </c>
      <c r="F1240" s="222"/>
      <c r="G1240" s="108">
        <v>212.8</v>
      </c>
      <c r="H1240" s="17">
        <v>225.2</v>
      </c>
      <c r="I1240" s="18">
        <v>237.6</v>
      </c>
      <c r="J1240" s="113" t="s">
        <v>407</v>
      </c>
      <c r="K1240" s="44" t="s">
        <v>116</v>
      </c>
      <c r="L1240" s="442"/>
      <c r="M1240" s="480" t="s">
        <v>1856</v>
      </c>
      <c r="N1240" s="1015" t="s">
        <v>1856</v>
      </c>
      <c r="O1240" s="210"/>
      <c r="P1240" s="68" t="s">
        <v>72</v>
      </c>
      <c r="Q1240" s="100">
        <f t="shared" si="654"/>
        <v>0</v>
      </c>
      <c r="R1240" s="13" t="str">
        <f t="shared" si="630"/>
        <v>Фото &gt;&gt;</v>
      </c>
      <c r="S1240" s="14" t="s">
        <v>3132</v>
      </c>
      <c r="AK1240">
        <v>0.2</v>
      </c>
      <c r="AL1240">
        <f t="shared" si="667"/>
        <v>0</v>
      </c>
      <c r="AM1240">
        <f t="shared" si="668"/>
        <v>0</v>
      </c>
      <c r="AN1240">
        <f t="shared" si="666"/>
        <v>0</v>
      </c>
      <c r="AO1240" t="s">
        <v>4027</v>
      </c>
      <c r="AV1240" t="str">
        <f>IF(F1240&gt;0,(COUNT($AV$1:AV1239)+1),"")</f>
        <v/>
      </c>
    </row>
    <row r="1241" spans="1:48" ht="15" customHeight="1" x14ac:dyDescent="0.25">
      <c r="A1241" s="1"/>
      <c r="B1241" s="30">
        <v>19812</v>
      </c>
      <c r="C1241" s="20">
        <v>4650118196728</v>
      </c>
      <c r="D1241" s="225" t="s">
        <v>2207</v>
      </c>
      <c r="E1241" s="67">
        <v>6</v>
      </c>
      <c r="F1241" s="222"/>
      <c r="G1241" s="107">
        <v>279</v>
      </c>
      <c r="H1241" s="21">
        <v>293.60000000000002</v>
      </c>
      <c r="I1241" s="22">
        <v>309</v>
      </c>
      <c r="J1241" s="112" t="s">
        <v>407</v>
      </c>
      <c r="K1241" s="45" t="s">
        <v>116</v>
      </c>
      <c r="L1241" s="437"/>
      <c r="M1241" s="474" t="s">
        <v>1856</v>
      </c>
      <c r="N1241" s="1013" t="s">
        <v>1856</v>
      </c>
      <c r="O1241" s="209"/>
      <c r="P1241" s="66" t="s">
        <v>72</v>
      </c>
      <c r="Q1241" s="100">
        <f t="shared" si="654"/>
        <v>0</v>
      </c>
      <c r="R1241" s="13" t="str">
        <f t="shared" si="630"/>
        <v>Фото &gt;&gt;</v>
      </c>
      <c r="S1241" s="14" t="s">
        <v>3132</v>
      </c>
      <c r="AK1241">
        <v>0.35</v>
      </c>
      <c r="AL1241">
        <f t="shared" si="667"/>
        <v>0</v>
      </c>
      <c r="AM1241">
        <f t="shared" si="668"/>
        <v>0</v>
      </c>
      <c r="AN1241">
        <f t="shared" si="666"/>
        <v>0</v>
      </c>
      <c r="AO1241" t="s">
        <v>4027</v>
      </c>
      <c r="AV1241" t="str">
        <f>IF(F1241&gt;0,(COUNT($AV$1:AV1240)+1),"")</f>
        <v/>
      </c>
    </row>
    <row r="1242" spans="1:48" ht="15" customHeight="1" x14ac:dyDescent="0.25">
      <c r="A1242" s="1"/>
      <c r="B1242" s="31">
        <v>18411</v>
      </c>
      <c r="C1242" s="16">
        <v>4650118192539</v>
      </c>
      <c r="D1242" s="226" t="s">
        <v>2208</v>
      </c>
      <c r="E1242" s="69">
        <v>6</v>
      </c>
      <c r="F1242" s="222"/>
      <c r="G1242" s="108">
        <v>177.3</v>
      </c>
      <c r="H1242" s="17">
        <v>184.8</v>
      </c>
      <c r="I1242" s="18">
        <v>191.8</v>
      </c>
      <c r="J1242" s="113" t="s">
        <v>407</v>
      </c>
      <c r="K1242" s="44" t="s">
        <v>116</v>
      </c>
      <c r="L1242" s="442"/>
      <c r="M1242" s="480" t="s">
        <v>1856</v>
      </c>
      <c r="N1242" s="1015" t="s">
        <v>1856</v>
      </c>
      <c r="O1242" s="210"/>
      <c r="P1242" s="68" t="s">
        <v>72</v>
      </c>
      <c r="Q1242" s="100">
        <f t="shared" si="654"/>
        <v>0</v>
      </c>
      <c r="R1242" s="13" t="str">
        <f t="shared" ref="R1242:R1248" si="669">IF(AO1242&gt;0,HYPERLINK(AO1242,"Фото &gt;&gt;"),"")</f>
        <v>Фото &gt;&gt;</v>
      </c>
      <c r="S1242" s="14" t="s">
        <v>3133</v>
      </c>
      <c r="AK1242">
        <v>0.2</v>
      </c>
      <c r="AL1242">
        <f t="shared" si="667"/>
        <v>0</v>
      </c>
      <c r="AM1242">
        <f t="shared" si="668"/>
        <v>0</v>
      </c>
      <c r="AN1242">
        <f t="shared" si="666"/>
        <v>0</v>
      </c>
      <c r="AO1242" t="s">
        <v>4028</v>
      </c>
      <c r="AV1242" t="str">
        <f>IF(F1242&gt;0,(COUNT($AV$1:AV1241)+1),"")</f>
        <v/>
      </c>
    </row>
    <row r="1243" spans="1:48" ht="15" customHeight="1" x14ac:dyDescent="0.25">
      <c r="A1243" s="1"/>
      <c r="B1243" s="30">
        <v>19813</v>
      </c>
      <c r="C1243" s="20">
        <v>4650118196711</v>
      </c>
      <c r="D1243" s="225" t="s">
        <v>2209</v>
      </c>
      <c r="E1243" s="67">
        <v>6</v>
      </c>
      <c r="F1243" s="222"/>
      <c r="G1243" s="107">
        <v>233.5</v>
      </c>
      <c r="H1243" s="21">
        <v>243.2</v>
      </c>
      <c r="I1243" s="22">
        <v>252.2</v>
      </c>
      <c r="J1243" s="112" t="s">
        <v>407</v>
      </c>
      <c r="K1243" s="45" t="s">
        <v>116</v>
      </c>
      <c r="L1243" s="437"/>
      <c r="M1243" s="474" t="s">
        <v>1856</v>
      </c>
      <c r="N1243" s="1013" t="s">
        <v>1856</v>
      </c>
      <c r="O1243" s="209"/>
      <c r="P1243" s="66" t="s">
        <v>72</v>
      </c>
      <c r="Q1243" s="100">
        <f t="shared" si="654"/>
        <v>0</v>
      </c>
      <c r="R1243" s="13" t="str">
        <f t="shared" ref="R1243:R1245" si="670">IF(AO1243&gt;0,HYPERLINK(AO1243,"Фото &gt;&gt;"),"")</f>
        <v>Фото &gt;&gt;</v>
      </c>
      <c r="S1243" s="14" t="s">
        <v>3133</v>
      </c>
      <c r="AK1243">
        <v>0.3</v>
      </c>
      <c r="AL1243">
        <f t="shared" ref="AL1243:AL1245" si="671">F1243*G1243</f>
        <v>0</v>
      </c>
      <c r="AM1243">
        <f t="shared" ref="AM1243:AM1245" si="672">F1243*H1243</f>
        <v>0</v>
      </c>
      <c r="AN1243">
        <f t="shared" ref="AN1243:AN1245" si="673">AK1243*F1243+IF(E1243&gt;1.01,F1243/E1243*0.2,0)</f>
        <v>0</v>
      </c>
      <c r="AO1243" t="s">
        <v>4028</v>
      </c>
      <c r="AV1243" t="str">
        <f>IF(F1243&gt;0,(COUNT($AV$1:AV1242)+1),"")</f>
        <v/>
      </c>
    </row>
    <row r="1244" spans="1:48" ht="15" customHeight="1" x14ac:dyDescent="0.25">
      <c r="A1244" s="1"/>
      <c r="B1244" s="31">
        <v>21142</v>
      </c>
      <c r="C1244" s="16">
        <v>4650118199354</v>
      </c>
      <c r="D1244" s="226" t="s">
        <v>6996</v>
      </c>
      <c r="E1244" s="69">
        <v>6</v>
      </c>
      <c r="F1244" s="222"/>
      <c r="G1244" s="108">
        <v>168.8</v>
      </c>
      <c r="H1244" s="17">
        <v>177.3</v>
      </c>
      <c r="I1244" s="18">
        <v>186.8</v>
      </c>
      <c r="J1244" s="113" t="s">
        <v>407</v>
      </c>
      <c r="K1244" s="44" t="s">
        <v>116</v>
      </c>
      <c r="L1244" s="442"/>
      <c r="M1244" s="480" t="s">
        <v>1856</v>
      </c>
      <c r="N1244" s="1015" t="s">
        <v>1856</v>
      </c>
      <c r="O1244" s="210"/>
      <c r="P1244" s="68" t="s">
        <v>72</v>
      </c>
      <c r="Q1244" s="100">
        <f t="shared" si="654"/>
        <v>0</v>
      </c>
      <c r="R1244" s="13" t="str">
        <f t="shared" ref="R1244" si="674">IF(AO1244&gt;0,HYPERLINK(AO1244,"Фото &gt;&gt;"),"")</f>
        <v>Фото &gt;&gt;</v>
      </c>
      <c r="S1244" s="14" t="s">
        <v>6117</v>
      </c>
      <c r="AK1244">
        <v>0.25</v>
      </c>
      <c r="AL1244">
        <f t="shared" si="671"/>
        <v>0</v>
      </c>
      <c r="AM1244">
        <f t="shared" si="672"/>
        <v>0</v>
      </c>
      <c r="AN1244">
        <f t="shared" si="673"/>
        <v>0</v>
      </c>
      <c r="AO1244" t="s">
        <v>6118</v>
      </c>
      <c r="AV1244" t="str">
        <f>IF(F1244&gt;0,(COUNT($AV$1:AV1243)+1),"")</f>
        <v/>
      </c>
    </row>
    <row r="1245" spans="1:48" ht="15" customHeight="1" x14ac:dyDescent="0.25">
      <c r="A1245" s="1"/>
      <c r="B1245" s="30">
        <v>21143</v>
      </c>
      <c r="C1245" s="20">
        <v>4650118199408</v>
      </c>
      <c r="D1245" s="225" t="s">
        <v>6997</v>
      </c>
      <c r="E1245" s="67">
        <v>4</v>
      </c>
      <c r="F1245" s="222"/>
      <c r="G1245" s="107">
        <v>226.5</v>
      </c>
      <c r="H1245" s="21">
        <v>238</v>
      </c>
      <c r="I1245" s="22">
        <v>250.7</v>
      </c>
      <c r="J1245" s="112" t="s">
        <v>407</v>
      </c>
      <c r="K1245" s="45" t="s">
        <v>116</v>
      </c>
      <c r="L1245" s="437"/>
      <c r="M1245" s="474" t="s">
        <v>1856</v>
      </c>
      <c r="N1245" s="1013" t="s">
        <v>1856</v>
      </c>
      <c r="O1245" s="209"/>
      <c r="P1245" s="66" t="s">
        <v>72</v>
      </c>
      <c r="Q1245" s="100">
        <f t="shared" si="654"/>
        <v>0</v>
      </c>
      <c r="R1245" s="13" t="str">
        <f t="shared" si="670"/>
        <v>Фото &gt;&gt;</v>
      </c>
      <c r="S1245" s="14" t="s">
        <v>6117</v>
      </c>
      <c r="AK1245">
        <v>0.35</v>
      </c>
      <c r="AL1245">
        <f t="shared" si="671"/>
        <v>0</v>
      </c>
      <c r="AM1245">
        <f t="shared" si="672"/>
        <v>0</v>
      </c>
      <c r="AN1245">
        <f t="shared" si="673"/>
        <v>0</v>
      </c>
      <c r="AO1245" t="s">
        <v>6119</v>
      </c>
      <c r="AV1245" t="str">
        <f>IF(F1245&gt;0,(COUNT($AV$1:AV1244)+1),"")</f>
        <v/>
      </c>
    </row>
    <row r="1246" spans="1:48" ht="15" customHeight="1" x14ac:dyDescent="0.25">
      <c r="A1246" s="1"/>
      <c r="B1246" s="31">
        <v>20996</v>
      </c>
      <c r="C1246" s="16">
        <v>4650118199651</v>
      </c>
      <c r="D1246" s="226" t="s">
        <v>6369</v>
      </c>
      <c r="E1246" s="69">
        <v>4</v>
      </c>
      <c r="F1246" s="222"/>
      <c r="G1246" s="108">
        <v>295.8</v>
      </c>
      <c r="H1246" s="17">
        <v>307.39999999999998</v>
      </c>
      <c r="I1246" s="18">
        <v>319.8</v>
      </c>
      <c r="J1246" s="113" t="s">
        <v>407</v>
      </c>
      <c r="K1246" s="44" t="s">
        <v>116</v>
      </c>
      <c r="L1246" s="442"/>
      <c r="M1246" s="480" t="s">
        <v>1856</v>
      </c>
      <c r="N1246" s="1015" t="s">
        <v>1856</v>
      </c>
      <c r="O1246" s="210"/>
      <c r="P1246" s="68" t="s">
        <v>50</v>
      </c>
      <c r="Q1246" s="100">
        <f t="shared" si="654"/>
        <v>0</v>
      </c>
      <c r="R1246" s="13" t="str">
        <f t="shared" si="669"/>
        <v>Фото &gt;&gt;</v>
      </c>
      <c r="S1246" s="14" t="s">
        <v>5725</v>
      </c>
      <c r="AK1246">
        <v>0.6</v>
      </c>
      <c r="AL1246">
        <f t="shared" ref="AL1246" si="675">F1246*G1246</f>
        <v>0</v>
      </c>
      <c r="AM1246">
        <f t="shared" ref="AM1246" si="676">F1246*H1246</f>
        <v>0</v>
      </c>
      <c r="AN1246">
        <f t="shared" ref="AN1246" si="677">AK1246*F1246+IF(E1246&gt;1.01,F1246/E1246*0.2,0)</f>
        <v>0</v>
      </c>
      <c r="AO1246" t="s">
        <v>5723</v>
      </c>
      <c r="AV1246" t="str">
        <f>IF(F1246&gt;0,(COUNT($AV$1:AV1245)+1),"")</f>
        <v/>
      </c>
    </row>
    <row r="1247" spans="1:48" ht="15" customHeight="1" x14ac:dyDescent="0.25">
      <c r="A1247" s="1"/>
      <c r="B1247" s="30">
        <v>21234</v>
      </c>
      <c r="C1247" s="20">
        <v>4650118198968</v>
      </c>
      <c r="D1247" s="225" t="s">
        <v>7280</v>
      </c>
      <c r="E1247" s="67">
        <v>4</v>
      </c>
      <c r="F1247" s="222"/>
      <c r="G1247" s="107">
        <v>353.4</v>
      </c>
      <c r="H1247" s="21">
        <v>372</v>
      </c>
      <c r="I1247" s="22">
        <v>410.2</v>
      </c>
      <c r="J1247" s="112" t="s">
        <v>407</v>
      </c>
      <c r="K1247" s="45" t="s">
        <v>116</v>
      </c>
      <c r="L1247" s="437"/>
      <c r="M1247" s="474" t="s">
        <v>1856</v>
      </c>
      <c r="N1247" s="1013" t="s">
        <v>1856</v>
      </c>
      <c r="O1247" s="209"/>
      <c r="P1247" s="66" t="s">
        <v>50</v>
      </c>
      <c r="Q1247" s="100">
        <f t="shared" si="654"/>
        <v>0</v>
      </c>
      <c r="R1247" s="13" t="str">
        <f t="shared" si="669"/>
        <v>Фото &gt;&gt;</v>
      </c>
      <c r="S1247" s="14" t="s">
        <v>5725</v>
      </c>
      <c r="AK1247">
        <v>0.6</v>
      </c>
      <c r="AL1247">
        <f t="shared" ref="AL1247" si="678">F1247*G1247</f>
        <v>0</v>
      </c>
      <c r="AM1247">
        <f t="shared" ref="AM1247" si="679">F1247*H1247</f>
        <v>0</v>
      </c>
      <c r="AN1247">
        <f t="shared" ref="AN1247" si="680">AK1247*F1247+IF(E1247&gt;1.01,F1247/E1247*0.2,0)</f>
        <v>0</v>
      </c>
      <c r="AO1247" t="s">
        <v>6324</v>
      </c>
      <c r="AV1247" t="str">
        <f>IF(F1247&gt;0,(COUNT($AV$1:AV1246)+1),"")</f>
        <v/>
      </c>
    </row>
    <row r="1248" spans="1:48" ht="15" customHeight="1" x14ac:dyDescent="0.25">
      <c r="A1248" s="1"/>
      <c r="B1248" s="31">
        <v>20993</v>
      </c>
      <c r="C1248" s="16">
        <v>4650118199873</v>
      </c>
      <c r="D1248" s="226" t="s">
        <v>6370</v>
      </c>
      <c r="E1248" s="69">
        <v>4</v>
      </c>
      <c r="F1248" s="222"/>
      <c r="G1248" s="108">
        <v>430.2</v>
      </c>
      <c r="H1248" s="17">
        <v>452</v>
      </c>
      <c r="I1248" s="18">
        <v>497.4</v>
      </c>
      <c r="J1248" s="113" t="s">
        <v>407</v>
      </c>
      <c r="K1248" s="44" t="s">
        <v>116</v>
      </c>
      <c r="L1248" s="442"/>
      <c r="M1248" s="480" t="s">
        <v>1856</v>
      </c>
      <c r="N1248" s="1015" t="s">
        <v>1856</v>
      </c>
      <c r="O1248" s="210"/>
      <c r="P1248" s="68" t="s">
        <v>50</v>
      </c>
      <c r="Q1248" s="100">
        <f t="shared" si="654"/>
        <v>0</v>
      </c>
      <c r="R1248" s="13" t="str">
        <f t="shared" si="669"/>
        <v>Фото &gt;&gt;</v>
      </c>
      <c r="S1248" s="14" t="s">
        <v>5722</v>
      </c>
      <c r="AK1248">
        <v>0.6</v>
      </c>
      <c r="AL1248">
        <f t="shared" si="667"/>
        <v>0</v>
      </c>
      <c r="AM1248">
        <f t="shared" si="668"/>
        <v>0</v>
      </c>
      <c r="AN1248">
        <f t="shared" si="666"/>
        <v>0</v>
      </c>
      <c r="AO1248" t="s">
        <v>5724</v>
      </c>
      <c r="AV1248" t="str">
        <f>IF(F1248&gt;0,(COUNT($AV$1:AV1247)+1),"")</f>
        <v/>
      </c>
    </row>
    <row r="1249" spans="1:48" ht="15" customHeight="1" x14ac:dyDescent="0.25">
      <c r="A1249" s="1"/>
      <c r="B1249" s="125"/>
      <c r="C1249" s="126"/>
      <c r="D1249" s="127"/>
      <c r="E1249" s="134"/>
      <c r="F1249" s="189"/>
      <c r="G1249" s="130"/>
      <c r="H1249" s="131"/>
      <c r="I1249" s="132"/>
      <c r="J1249" s="128"/>
      <c r="K1249" s="129"/>
      <c r="L1249" s="433"/>
      <c r="M1249" s="481" t="s">
        <v>104</v>
      </c>
      <c r="N1249" s="471"/>
      <c r="O1249" s="181"/>
      <c r="P1249" s="133"/>
      <c r="Q1249" s="135"/>
      <c r="R1249" s="13"/>
      <c r="S1249" s="14"/>
      <c r="AV1249" t="str">
        <f>IF(F1249&gt;0,(COUNT($AV$1:AV1248)+1),"")</f>
        <v/>
      </c>
    </row>
    <row r="1250" spans="1:48" ht="15" customHeight="1" thickBot="1" x14ac:dyDescent="0.3">
      <c r="A1250" s="1"/>
      <c r="B1250" s="136"/>
      <c r="C1250" s="137"/>
      <c r="D1250" s="138"/>
      <c r="E1250" s="145"/>
      <c r="F1250" s="190"/>
      <c r="G1250" s="141"/>
      <c r="H1250" s="142"/>
      <c r="I1250" s="143"/>
      <c r="J1250" s="139"/>
      <c r="K1250" s="140"/>
      <c r="L1250" s="434"/>
      <c r="M1250" s="477" t="s">
        <v>104</v>
      </c>
      <c r="N1250" s="468"/>
      <c r="O1250" s="182"/>
      <c r="P1250" s="144"/>
      <c r="Q1250" s="146"/>
      <c r="R1250" s="13"/>
      <c r="S1250" s="14"/>
      <c r="AV1250" t="str">
        <f>IF(F1250&gt;0,(COUNT($AV$1:AV1249)+1),"")</f>
        <v/>
      </c>
    </row>
    <row r="1251" spans="1:48" ht="24.95" customHeight="1" thickBot="1" x14ac:dyDescent="0.3">
      <c r="A1251" s="1"/>
      <c r="B1251" s="266"/>
      <c r="C1251" s="267"/>
      <c r="D1251" s="268" t="str">
        <f>CONCATENATE("28seeds","     |     Сумма заказа: ",AK1251," руб.")</f>
        <v>28seeds     |     Сумма заказа: 0 руб.</v>
      </c>
      <c r="E1251" s="269"/>
      <c r="F1251" s="270"/>
      <c r="G1251" s="271" t="str">
        <f>CONCATENATE("Ценовая колонка: ",AO1251,"   |   До следующей скидки: ",AJ1251," руб.")</f>
        <v>Ценовая колонка: 3   |   До следующей скидки: 5000 руб.</v>
      </c>
      <c r="H1251" s="272"/>
      <c r="I1251" s="272"/>
      <c r="J1251" s="273" t="s">
        <v>2061</v>
      </c>
      <c r="K1251" s="274"/>
      <c r="L1251" s="451"/>
      <c r="M1251" s="495" t="s">
        <v>104</v>
      </c>
      <c r="N1251" s="571"/>
      <c r="O1251" s="275"/>
      <c r="P1251" s="276"/>
      <c r="Q1251" s="277"/>
      <c r="R1251" s="265" t="s">
        <v>1558</v>
      </c>
      <c r="S1251" s="6"/>
      <c r="AJ1251">
        <f>ROUND(IF(AL1251&gt;20000,"0", IF(AND(AL1251&lt;20000,AM1251&gt;5000),20000-AL1251,5000-AM1251)),2)</f>
        <v>5000</v>
      </c>
      <c r="AK1251">
        <f>SUM(Q1253:Q1302)</f>
        <v>0</v>
      </c>
      <c r="AL1251">
        <f>SUM(AL1253:AL1302)</f>
        <v>0</v>
      </c>
      <c r="AM1251">
        <f>SUM(AM1253:AM1302)</f>
        <v>0</v>
      </c>
      <c r="AO1251">
        <f>IF(AM1251&gt;5000,IF(AL1251&gt;20000,1,2),3)</f>
        <v>3</v>
      </c>
      <c r="AV1251" t="str">
        <f>IF(F1251&gt;0,(COUNT($AV$1:AV1250)+1),"")</f>
        <v/>
      </c>
    </row>
    <row r="1252" spans="1:48" ht="15" customHeight="1" x14ac:dyDescent="0.25">
      <c r="A1252" s="1"/>
      <c r="B1252" s="25"/>
      <c r="C1252" s="26"/>
      <c r="D1252" s="27" t="s">
        <v>4612</v>
      </c>
      <c r="E1252" s="80"/>
      <c r="F1252" s="96"/>
      <c r="G1252" s="28"/>
      <c r="H1252" s="29"/>
      <c r="I1252" s="29"/>
      <c r="J1252" s="51"/>
      <c r="K1252" s="47"/>
      <c r="L1252" s="447"/>
      <c r="M1252" s="489"/>
      <c r="N1252" s="716"/>
      <c r="O1252" s="186"/>
      <c r="P1252" s="79"/>
      <c r="Q1252" s="104"/>
      <c r="R1252" s="13"/>
      <c r="S1252" s="14"/>
      <c r="AG1252" s="84"/>
      <c r="AH1252" s="84"/>
      <c r="AV1252" t="str">
        <f>IF(F1252&gt;0,(COUNT($AV$1:AV1251)+1),"")</f>
        <v/>
      </c>
    </row>
    <row r="1253" spans="1:48" ht="27.95" customHeight="1" x14ac:dyDescent="0.25">
      <c r="A1253" s="1"/>
      <c r="B1253" s="25"/>
      <c r="C1253" s="26"/>
      <c r="D1253" s="27" t="s">
        <v>4275</v>
      </c>
      <c r="E1253" s="80"/>
      <c r="F1253" s="96"/>
      <c r="G1253" s="1230" t="s">
        <v>7587</v>
      </c>
      <c r="H1253" s="1116" t="s">
        <v>16</v>
      </c>
      <c r="I1253" s="29"/>
      <c r="J1253" s="51"/>
      <c r="K1253" s="47"/>
      <c r="L1253" s="447"/>
      <c r="M1253" s="489" t="s">
        <v>104</v>
      </c>
      <c r="N1253" s="716"/>
      <c r="O1253" s="186"/>
      <c r="P1253" s="79"/>
      <c r="Q1253" s="104"/>
      <c r="R1253" s="13"/>
      <c r="S1253" s="14"/>
      <c r="AG1253" s="84"/>
      <c r="AH1253" s="84"/>
      <c r="AV1253" t="str">
        <f>IF(F1253&gt;0,(COUNT($AV$1:AV1252)+1),"")</f>
        <v/>
      </c>
    </row>
    <row r="1254" spans="1:48" ht="15" customHeight="1" x14ac:dyDescent="0.25">
      <c r="A1254" s="1"/>
      <c r="B1254" s="19">
        <v>20673</v>
      </c>
      <c r="C1254" s="20">
        <v>4610085180588</v>
      </c>
      <c r="D1254" s="565" t="s">
        <v>4759</v>
      </c>
      <c r="E1254" s="67">
        <v>12</v>
      </c>
      <c r="F1254" s="223"/>
      <c r="G1254" s="107">
        <v>170</v>
      </c>
      <c r="H1254" s="21">
        <v>176.3</v>
      </c>
      <c r="I1254" s="22">
        <v>182.6</v>
      </c>
      <c r="J1254" s="112" t="s">
        <v>2061</v>
      </c>
      <c r="K1254" s="45" t="s">
        <v>116</v>
      </c>
      <c r="L1254" s="437" t="s">
        <v>3258</v>
      </c>
      <c r="M1254" s="474" t="s">
        <v>1856</v>
      </c>
      <c r="N1254" s="1013" t="s">
        <v>1856</v>
      </c>
      <c r="O1254" s="209"/>
      <c r="P1254" s="66" t="s">
        <v>72</v>
      </c>
      <c r="Q1254" s="100">
        <f>IF(AND($AO$1251=1,MOD(F1254,E1254)=0),F1254*G1254,IF($AO$1251&lt;=2,F1254*H1254,F1254*I1254))</f>
        <v>0</v>
      </c>
      <c r="R1254" s="13" t="str">
        <f t="shared" ref="R1254:R1256" si="681">IF(AO1254&gt;0,HYPERLINK(AO1254,"Фото &gt;&gt;"),"")</f>
        <v>Фото &gt;&gt;</v>
      </c>
      <c r="S1254" s="14" t="s">
        <v>4276</v>
      </c>
      <c r="AK1254">
        <v>0.38</v>
      </c>
      <c r="AL1254">
        <f t="shared" ref="AL1254:AL1274" si="682">F1254*G1254</f>
        <v>0</v>
      </c>
      <c r="AM1254">
        <f t="shared" ref="AM1254:AM1274" si="683">F1254*H1254</f>
        <v>0</v>
      </c>
      <c r="AN1254">
        <f t="shared" ref="AN1254:AN1274" si="684">AK1254*F1254</f>
        <v>0</v>
      </c>
      <c r="AO1254" t="s">
        <v>4280</v>
      </c>
      <c r="AV1254" t="str">
        <f>IF(F1254&gt;0,(COUNT($AV$1:AV1253)+1),"")</f>
        <v/>
      </c>
    </row>
    <row r="1255" spans="1:48" ht="15" customHeight="1" x14ac:dyDescent="0.25">
      <c r="A1255" s="1"/>
      <c r="B1255" s="56">
        <v>20671</v>
      </c>
      <c r="C1255" s="33">
        <v>4610085180571</v>
      </c>
      <c r="D1255" s="566" t="s">
        <v>4760</v>
      </c>
      <c r="E1255" s="71">
        <v>12</v>
      </c>
      <c r="F1255" s="223"/>
      <c r="G1255" s="109">
        <v>170</v>
      </c>
      <c r="H1255" s="34">
        <v>176.3</v>
      </c>
      <c r="I1255" s="35">
        <v>182.6</v>
      </c>
      <c r="J1255" s="114" t="s">
        <v>2061</v>
      </c>
      <c r="K1255" s="57" t="s">
        <v>116</v>
      </c>
      <c r="L1255" s="438" t="s">
        <v>3258</v>
      </c>
      <c r="M1255" s="480" t="s">
        <v>1856</v>
      </c>
      <c r="N1255" s="1015" t="s">
        <v>1856</v>
      </c>
      <c r="O1255" s="219"/>
      <c r="P1255" s="70" t="s">
        <v>72</v>
      </c>
      <c r="Q1255" s="100">
        <f>IF(AND($AO$1251=1,MOD(F1255,E1255)=0),F1255*G1255,IF($AO$1251&lt;=2,F1255*H1255,F1255*I1255))</f>
        <v>0</v>
      </c>
      <c r="R1255" s="13" t="str">
        <f t="shared" si="681"/>
        <v>Фото &gt;&gt;</v>
      </c>
      <c r="S1255" s="14" t="s">
        <v>4277</v>
      </c>
      <c r="AK1255">
        <v>0.38</v>
      </c>
      <c r="AL1255">
        <f t="shared" si="682"/>
        <v>0</v>
      </c>
      <c r="AM1255">
        <f t="shared" si="683"/>
        <v>0</v>
      </c>
      <c r="AN1255">
        <f t="shared" si="684"/>
        <v>0</v>
      </c>
      <c r="AO1255" t="s">
        <v>4281</v>
      </c>
      <c r="AV1255" t="str">
        <f>IF(F1255&gt;0,(COUNT($AV$1:AV1254)+1),"")</f>
        <v/>
      </c>
    </row>
    <row r="1256" spans="1:48" ht="15" customHeight="1" x14ac:dyDescent="0.25">
      <c r="A1256" s="1"/>
      <c r="B1256" s="19">
        <v>20672</v>
      </c>
      <c r="C1256" s="20">
        <v>4610085180595</v>
      </c>
      <c r="D1256" s="565" t="s">
        <v>4761</v>
      </c>
      <c r="E1256" s="67">
        <v>12</v>
      </c>
      <c r="F1256" s="223"/>
      <c r="G1256" s="107">
        <v>170</v>
      </c>
      <c r="H1256" s="21">
        <v>176.3</v>
      </c>
      <c r="I1256" s="22">
        <v>182.6</v>
      </c>
      <c r="J1256" s="112" t="s">
        <v>2061</v>
      </c>
      <c r="K1256" s="45" t="s">
        <v>116</v>
      </c>
      <c r="L1256" s="437" t="s">
        <v>3258</v>
      </c>
      <c r="M1256" s="474" t="s">
        <v>1856</v>
      </c>
      <c r="N1256" s="1013" t="s">
        <v>1856</v>
      </c>
      <c r="O1256" s="209"/>
      <c r="P1256" s="66" t="s">
        <v>72</v>
      </c>
      <c r="Q1256" s="100">
        <f>IF(AND($AO$1251=1,MOD(F1256,E1256)=0),F1256*G1256,IF($AO$1251&lt;=2,F1256*H1256,F1256*I1256))</f>
        <v>0</v>
      </c>
      <c r="R1256" s="13" t="str">
        <f t="shared" si="681"/>
        <v>Фото &gt;&gt;</v>
      </c>
      <c r="S1256" s="14" t="s">
        <v>4278</v>
      </c>
      <c r="AK1256">
        <v>0.38</v>
      </c>
      <c r="AL1256">
        <f t="shared" si="682"/>
        <v>0</v>
      </c>
      <c r="AM1256">
        <f t="shared" si="683"/>
        <v>0</v>
      </c>
      <c r="AN1256">
        <f t="shared" si="684"/>
        <v>0</v>
      </c>
      <c r="AO1256" t="s">
        <v>4282</v>
      </c>
      <c r="AV1256" t="str">
        <f>IF(F1256&gt;0,(COUNT($AV$1:AV1255)+1),"")</f>
        <v/>
      </c>
    </row>
    <row r="1257" spans="1:48" ht="15" customHeight="1" x14ac:dyDescent="0.25">
      <c r="A1257" s="1"/>
      <c r="B1257" s="25"/>
      <c r="C1257" s="26"/>
      <c r="D1257" s="27" t="s">
        <v>4289</v>
      </c>
      <c r="E1257" s="80"/>
      <c r="F1257" s="96"/>
      <c r="G1257" s="28"/>
      <c r="H1257" s="29"/>
      <c r="I1257" s="29"/>
      <c r="J1257" s="51"/>
      <c r="K1257" s="47"/>
      <c r="L1257" s="447"/>
      <c r="M1257" s="489" t="s">
        <v>104</v>
      </c>
      <c r="N1257" s="716"/>
      <c r="O1257" s="186"/>
      <c r="P1257" s="79"/>
      <c r="Q1257" s="104"/>
      <c r="R1257" s="13"/>
      <c r="S1257" s="14"/>
      <c r="AG1257" s="84"/>
      <c r="AH1257" s="84"/>
      <c r="AL1257">
        <f t="shared" si="682"/>
        <v>0</v>
      </c>
      <c r="AM1257">
        <f t="shared" si="683"/>
        <v>0</v>
      </c>
      <c r="AN1257">
        <f t="shared" si="684"/>
        <v>0</v>
      </c>
      <c r="AV1257" t="str">
        <f>IF(F1257&gt;0,(COUNT($AV$1:AV1256)+1),"")</f>
        <v/>
      </c>
    </row>
    <row r="1258" spans="1:48" ht="15" customHeight="1" x14ac:dyDescent="0.25">
      <c r="A1258" s="1"/>
      <c r="B1258" s="19">
        <v>20680</v>
      </c>
      <c r="C1258" s="20">
        <v>4610085182568</v>
      </c>
      <c r="D1258" s="565" t="s">
        <v>4762</v>
      </c>
      <c r="E1258" s="67">
        <v>10</v>
      </c>
      <c r="F1258" s="223"/>
      <c r="G1258" s="107">
        <v>130.69999999999999</v>
      </c>
      <c r="H1258" s="21">
        <v>135.6</v>
      </c>
      <c r="I1258" s="22">
        <v>140.4</v>
      </c>
      <c r="J1258" s="112" t="s">
        <v>2061</v>
      </c>
      <c r="K1258" s="45" t="s">
        <v>116</v>
      </c>
      <c r="L1258" s="437" t="s">
        <v>3258</v>
      </c>
      <c r="M1258" s="474" t="s">
        <v>1856</v>
      </c>
      <c r="N1258" s="1013" t="s">
        <v>1856</v>
      </c>
      <c r="O1258" s="209"/>
      <c r="P1258" s="66" t="s">
        <v>72</v>
      </c>
      <c r="Q1258" s="100">
        <f>IF(AND($AO$1251=1,MOD(F1258,E1258)=0),F1258*G1258,IF($AO$1251&lt;=2,F1258*H1258,F1258*I1258))</f>
        <v>0</v>
      </c>
      <c r="R1258" s="13" t="str">
        <f t="shared" ref="R1258:R1260" si="685">IF(AO1258&gt;0,HYPERLINK(AO1258,"Фото &gt;&gt;"),"")</f>
        <v>Фото &gt;&gt;</v>
      </c>
      <c r="S1258" s="14" t="s">
        <v>4427</v>
      </c>
      <c r="AK1258">
        <v>0.27</v>
      </c>
      <c r="AL1258">
        <f t="shared" si="682"/>
        <v>0</v>
      </c>
      <c r="AM1258">
        <f t="shared" si="683"/>
        <v>0</v>
      </c>
      <c r="AN1258">
        <f t="shared" si="684"/>
        <v>0</v>
      </c>
      <c r="AO1258" t="s">
        <v>4428</v>
      </c>
      <c r="AV1258" t="str">
        <f>IF(F1258&gt;0,(COUNT($AV$1:AV1257)+1),"")</f>
        <v/>
      </c>
    </row>
    <row r="1259" spans="1:48" ht="15" customHeight="1" x14ac:dyDescent="0.25">
      <c r="A1259" s="1"/>
      <c r="B1259" s="56">
        <v>20681</v>
      </c>
      <c r="C1259" s="33">
        <v>4610085182339</v>
      </c>
      <c r="D1259" s="566" t="s">
        <v>4763</v>
      </c>
      <c r="E1259" s="71">
        <v>10</v>
      </c>
      <c r="F1259" s="223"/>
      <c r="G1259" s="109">
        <v>130.69999999999999</v>
      </c>
      <c r="H1259" s="34">
        <v>135.6</v>
      </c>
      <c r="I1259" s="35">
        <v>140.4</v>
      </c>
      <c r="J1259" s="114" t="s">
        <v>2061</v>
      </c>
      <c r="K1259" s="57" t="s">
        <v>116</v>
      </c>
      <c r="L1259" s="438" t="s">
        <v>3258</v>
      </c>
      <c r="M1259" s="480" t="s">
        <v>1856</v>
      </c>
      <c r="N1259" s="1015" t="s">
        <v>1856</v>
      </c>
      <c r="O1259" s="219"/>
      <c r="P1259" s="70" t="s">
        <v>72</v>
      </c>
      <c r="Q1259" s="100">
        <f>IF(AND($AO$1251=1,MOD(F1259,E1259)=0),F1259*G1259,IF($AO$1251&lt;=2,F1259*H1259,F1259*I1259))</f>
        <v>0</v>
      </c>
      <c r="R1259" s="13" t="str">
        <f t="shared" si="685"/>
        <v>Фото &gt;&gt;</v>
      </c>
      <c r="S1259" s="14"/>
      <c r="AK1259">
        <v>0.27</v>
      </c>
      <c r="AL1259">
        <f t="shared" si="682"/>
        <v>0</v>
      </c>
      <c r="AM1259">
        <f t="shared" si="683"/>
        <v>0</v>
      </c>
      <c r="AN1259">
        <f t="shared" si="684"/>
        <v>0</v>
      </c>
      <c r="AO1259" t="s">
        <v>7171</v>
      </c>
      <c r="AV1259" t="str">
        <f>IF(F1259&gt;0,(COUNT($AV$1:AV1258)+1),"")</f>
        <v/>
      </c>
    </row>
    <row r="1260" spans="1:48" ht="15" customHeight="1" x14ac:dyDescent="0.25">
      <c r="A1260" s="1"/>
      <c r="B1260" s="19">
        <v>20679</v>
      </c>
      <c r="C1260" s="20">
        <v>4610085182322</v>
      </c>
      <c r="D1260" s="565" t="s">
        <v>7173</v>
      </c>
      <c r="E1260" s="67">
        <v>10</v>
      </c>
      <c r="F1260" s="223"/>
      <c r="G1260" s="107">
        <v>130.69999999999999</v>
      </c>
      <c r="H1260" s="21">
        <v>135.6</v>
      </c>
      <c r="I1260" s="22">
        <v>140.4</v>
      </c>
      <c r="J1260" s="112" t="s">
        <v>2061</v>
      </c>
      <c r="K1260" s="45" t="s">
        <v>116</v>
      </c>
      <c r="L1260" s="437" t="s">
        <v>3258</v>
      </c>
      <c r="M1260" s="474" t="s">
        <v>1856</v>
      </c>
      <c r="N1260" s="1013" t="s">
        <v>1856</v>
      </c>
      <c r="O1260" s="209"/>
      <c r="P1260" s="66" t="s">
        <v>72</v>
      </c>
      <c r="Q1260" s="100">
        <f>IF(AND($AO$1251=1,MOD(F1260,E1260)=0),F1260*G1260,IF($AO$1251&lt;=2,F1260*H1260,F1260*I1260))</f>
        <v>0</v>
      </c>
      <c r="R1260" s="13" t="str">
        <f t="shared" si="685"/>
        <v>Фото &gt;&gt;</v>
      </c>
      <c r="S1260" s="14"/>
      <c r="AK1260">
        <v>0.27</v>
      </c>
      <c r="AL1260">
        <f t="shared" si="682"/>
        <v>0</v>
      </c>
      <c r="AM1260">
        <f t="shared" si="683"/>
        <v>0</v>
      </c>
      <c r="AN1260">
        <f t="shared" si="684"/>
        <v>0</v>
      </c>
      <c r="AO1260" t="s">
        <v>7172</v>
      </c>
      <c r="AV1260" t="str">
        <f>IF(F1260&gt;0,(COUNT($AV$1:AV1259)+1),"")</f>
        <v/>
      </c>
    </row>
    <row r="1261" spans="1:48" ht="15" customHeight="1" x14ac:dyDescent="0.25">
      <c r="A1261" s="1"/>
      <c r="B1261" s="25"/>
      <c r="C1261" s="26"/>
      <c r="D1261" s="27" t="s">
        <v>2122</v>
      </c>
      <c r="E1261" s="80"/>
      <c r="F1261" s="96"/>
      <c r="G1261" s="28"/>
      <c r="H1261" s="29"/>
      <c r="I1261" s="29"/>
      <c r="J1261" s="51"/>
      <c r="K1261" s="47"/>
      <c r="L1261" s="447"/>
      <c r="M1261" s="489" t="s">
        <v>104</v>
      </c>
      <c r="N1261" s="716"/>
      <c r="O1261" s="186"/>
      <c r="P1261" s="79"/>
      <c r="Q1261" s="104"/>
      <c r="R1261" s="13"/>
      <c r="S1261" s="14"/>
      <c r="AG1261" s="84"/>
      <c r="AH1261" s="84"/>
      <c r="AL1261">
        <f t="shared" si="682"/>
        <v>0</v>
      </c>
      <c r="AM1261">
        <f t="shared" si="683"/>
        <v>0</v>
      </c>
      <c r="AN1261">
        <f t="shared" si="684"/>
        <v>0</v>
      </c>
      <c r="AV1261" t="str">
        <f>IF(F1261&gt;0,(COUNT($AV$1:AV1260)+1),"")</f>
        <v/>
      </c>
    </row>
    <row r="1262" spans="1:48" ht="15" customHeight="1" x14ac:dyDescent="0.25">
      <c r="A1262" s="1"/>
      <c r="B1262" s="56">
        <v>19955</v>
      </c>
      <c r="C1262" s="33">
        <v>4610085181868</v>
      </c>
      <c r="D1262" s="395" t="s">
        <v>2114</v>
      </c>
      <c r="E1262" s="71">
        <v>12</v>
      </c>
      <c r="F1262" s="223"/>
      <c r="G1262" s="109">
        <v>141.69999999999999</v>
      </c>
      <c r="H1262" s="34">
        <v>146.9</v>
      </c>
      <c r="I1262" s="35">
        <v>152.19999999999999</v>
      </c>
      <c r="J1262" s="114" t="s">
        <v>2061</v>
      </c>
      <c r="K1262" s="57" t="s">
        <v>116</v>
      </c>
      <c r="L1262" s="438" t="s">
        <v>3258</v>
      </c>
      <c r="M1262" s="480"/>
      <c r="N1262" s="1015" t="s">
        <v>1856</v>
      </c>
      <c r="O1262" s="219"/>
      <c r="P1262" s="70" t="s">
        <v>72</v>
      </c>
      <c r="Q1262" s="100">
        <f t="shared" ref="Q1262:Q1273" si="686">IF(AND($AO$1251=1,MOD(F1262,E1262)=0),F1262*G1262,IF($AO$1251&lt;=2,F1262*H1262,F1262*I1262))</f>
        <v>0</v>
      </c>
      <c r="R1262" s="13" t="str">
        <f t="shared" ref="R1262:R1273" si="687">IF(AO1262&gt;0,HYPERLINK(AO1262,"Фото &gt;&gt;"),"")</f>
        <v>Фото &gt;&gt;</v>
      </c>
      <c r="S1262" s="14" t="s">
        <v>2106</v>
      </c>
      <c r="AK1262">
        <v>0.38</v>
      </c>
      <c r="AL1262">
        <f t="shared" si="682"/>
        <v>0</v>
      </c>
      <c r="AM1262">
        <f t="shared" si="683"/>
        <v>0</v>
      </c>
      <c r="AN1262">
        <f t="shared" si="684"/>
        <v>0</v>
      </c>
      <c r="AO1262" t="s">
        <v>2467</v>
      </c>
      <c r="AV1262" t="str">
        <f>IF(F1262&gt;0,(COUNT($AV$1:AV1261)+1),"")</f>
        <v/>
      </c>
    </row>
    <row r="1263" spans="1:48" ht="15" customHeight="1" x14ac:dyDescent="0.25">
      <c r="A1263" s="1"/>
      <c r="B1263" s="19">
        <v>20616</v>
      </c>
      <c r="C1263" s="20">
        <v>4610085181936</v>
      </c>
      <c r="D1263" s="565" t="s">
        <v>4764</v>
      </c>
      <c r="E1263" s="67">
        <v>12</v>
      </c>
      <c r="F1263" s="223"/>
      <c r="G1263" s="107">
        <v>141.69999999999999</v>
      </c>
      <c r="H1263" s="21">
        <v>146.9</v>
      </c>
      <c r="I1263" s="22">
        <v>152.19999999999999</v>
      </c>
      <c r="J1263" s="112" t="s">
        <v>2061</v>
      </c>
      <c r="K1263" s="45" t="s">
        <v>116</v>
      </c>
      <c r="L1263" s="437" t="s">
        <v>3258</v>
      </c>
      <c r="M1263" s="474"/>
      <c r="N1263" s="1013" t="s">
        <v>1856</v>
      </c>
      <c r="O1263" s="209"/>
      <c r="P1263" s="66" t="s">
        <v>72</v>
      </c>
      <c r="Q1263" s="100">
        <f t="shared" si="686"/>
        <v>0</v>
      </c>
      <c r="R1263" s="13" t="str">
        <f t="shared" si="687"/>
        <v>Фото &gt;&gt;</v>
      </c>
      <c r="S1263" s="14" t="s">
        <v>4168</v>
      </c>
      <c r="AK1263">
        <v>0.38</v>
      </c>
      <c r="AL1263">
        <f t="shared" si="682"/>
        <v>0</v>
      </c>
      <c r="AM1263">
        <f t="shared" si="683"/>
        <v>0</v>
      </c>
      <c r="AN1263">
        <f t="shared" si="684"/>
        <v>0</v>
      </c>
      <c r="AO1263" t="s">
        <v>4792</v>
      </c>
      <c r="AV1263" t="str">
        <f>IF(F1263&gt;0,(COUNT($AV$1:AV1262)+1),"")</f>
        <v/>
      </c>
    </row>
    <row r="1264" spans="1:48" ht="15" customHeight="1" x14ac:dyDescent="0.25">
      <c r="A1264" s="1"/>
      <c r="B1264" s="56">
        <v>19950</v>
      </c>
      <c r="C1264" s="33">
        <v>4610085181875</v>
      </c>
      <c r="D1264" s="395" t="s">
        <v>2115</v>
      </c>
      <c r="E1264" s="71">
        <v>12</v>
      </c>
      <c r="F1264" s="223"/>
      <c r="G1264" s="109">
        <v>141.69999999999999</v>
      </c>
      <c r="H1264" s="34">
        <v>146.9</v>
      </c>
      <c r="I1264" s="35">
        <v>152.19999999999999</v>
      </c>
      <c r="J1264" s="114" t="s">
        <v>2061</v>
      </c>
      <c r="K1264" s="57" t="s">
        <v>116</v>
      </c>
      <c r="L1264" s="438" t="s">
        <v>3258</v>
      </c>
      <c r="M1264" s="480"/>
      <c r="N1264" s="1015" t="s">
        <v>1856</v>
      </c>
      <c r="O1264" s="219"/>
      <c r="P1264" s="70" t="s">
        <v>72</v>
      </c>
      <c r="Q1264" s="100">
        <f t="shared" si="686"/>
        <v>0</v>
      </c>
      <c r="R1264" s="13" t="str">
        <f t="shared" si="687"/>
        <v>Фото &gt;&gt;</v>
      </c>
      <c r="S1264" s="14" t="s">
        <v>2107</v>
      </c>
      <c r="AK1264">
        <v>0.38</v>
      </c>
      <c r="AL1264">
        <f t="shared" si="682"/>
        <v>0</v>
      </c>
      <c r="AM1264">
        <f t="shared" si="683"/>
        <v>0</v>
      </c>
      <c r="AN1264">
        <f t="shared" si="684"/>
        <v>0</v>
      </c>
      <c r="AO1264" t="s">
        <v>2468</v>
      </c>
      <c r="AV1264" t="str">
        <f>IF(F1264&gt;0,(COUNT($AV$1:AV1263)+1),"")</f>
        <v/>
      </c>
    </row>
    <row r="1265" spans="1:48" ht="15" customHeight="1" x14ac:dyDescent="0.25">
      <c r="A1265" s="1"/>
      <c r="B1265" s="19">
        <v>19952</v>
      </c>
      <c r="C1265" s="20">
        <v>4610085181882</v>
      </c>
      <c r="D1265" s="394" t="s">
        <v>2116</v>
      </c>
      <c r="E1265" s="67">
        <v>12</v>
      </c>
      <c r="F1265" s="223"/>
      <c r="G1265" s="107">
        <v>141.69999999999999</v>
      </c>
      <c r="H1265" s="21">
        <v>146.9</v>
      </c>
      <c r="I1265" s="22">
        <v>152.19999999999999</v>
      </c>
      <c r="J1265" s="112" t="s">
        <v>2061</v>
      </c>
      <c r="K1265" s="45" t="s">
        <v>116</v>
      </c>
      <c r="L1265" s="437" t="s">
        <v>3258</v>
      </c>
      <c r="M1265" s="474"/>
      <c r="N1265" s="1013" t="s">
        <v>1856</v>
      </c>
      <c r="O1265" s="209"/>
      <c r="P1265" s="66" t="s">
        <v>72</v>
      </c>
      <c r="Q1265" s="100">
        <f t="shared" si="686"/>
        <v>0</v>
      </c>
      <c r="R1265" s="13" t="str">
        <f t="shared" si="687"/>
        <v>Фото &gt;&gt;</v>
      </c>
      <c r="S1265" s="14" t="s">
        <v>2108</v>
      </c>
      <c r="AK1265">
        <v>0.38</v>
      </c>
      <c r="AL1265">
        <f t="shared" si="682"/>
        <v>0</v>
      </c>
      <c r="AM1265">
        <f t="shared" si="683"/>
        <v>0</v>
      </c>
      <c r="AN1265">
        <f t="shared" si="684"/>
        <v>0</v>
      </c>
      <c r="AO1265" t="s">
        <v>2469</v>
      </c>
      <c r="AV1265" t="str">
        <f>IF(F1265&gt;0,(COUNT($AV$1:AV1264)+1),"")</f>
        <v/>
      </c>
    </row>
    <row r="1266" spans="1:48" ht="15" customHeight="1" x14ac:dyDescent="0.25">
      <c r="A1266" s="1"/>
      <c r="B1266" s="56">
        <v>19953</v>
      </c>
      <c r="C1266" s="33">
        <v>4610085181844</v>
      </c>
      <c r="D1266" s="395" t="s">
        <v>2919</v>
      </c>
      <c r="E1266" s="71">
        <v>12</v>
      </c>
      <c r="F1266" s="223"/>
      <c r="G1266" s="109">
        <v>129.1</v>
      </c>
      <c r="H1266" s="34">
        <v>133.9</v>
      </c>
      <c r="I1266" s="35">
        <v>138.6</v>
      </c>
      <c r="J1266" s="114" t="s">
        <v>2061</v>
      </c>
      <c r="K1266" s="57" t="s">
        <v>116</v>
      </c>
      <c r="L1266" s="438" t="s">
        <v>3258</v>
      </c>
      <c r="M1266" s="480"/>
      <c r="N1266" s="1015" t="s">
        <v>1856</v>
      </c>
      <c r="O1266" s="219"/>
      <c r="P1266" s="70" t="s">
        <v>72</v>
      </c>
      <c r="Q1266" s="100">
        <f t="shared" si="686"/>
        <v>0</v>
      </c>
      <c r="R1266" s="13" t="str">
        <f t="shared" si="687"/>
        <v>Фото &gt;&gt;</v>
      </c>
      <c r="S1266" s="14" t="s">
        <v>2109</v>
      </c>
      <c r="AK1266">
        <v>0.38</v>
      </c>
      <c r="AL1266">
        <f t="shared" si="682"/>
        <v>0</v>
      </c>
      <c r="AM1266">
        <f t="shared" si="683"/>
        <v>0</v>
      </c>
      <c r="AN1266">
        <f t="shared" si="684"/>
        <v>0</v>
      </c>
      <c r="AO1266" t="s">
        <v>2470</v>
      </c>
      <c r="AV1266" t="str">
        <f>IF(F1266&gt;0,(COUNT($AV$1:AV1265)+1),"")</f>
        <v/>
      </c>
    </row>
    <row r="1267" spans="1:48" ht="15" customHeight="1" x14ac:dyDescent="0.25">
      <c r="A1267" s="1"/>
      <c r="B1267" s="19">
        <v>19954</v>
      </c>
      <c r="C1267" s="20">
        <v>4610085181851</v>
      </c>
      <c r="D1267" s="394" t="s">
        <v>2117</v>
      </c>
      <c r="E1267" s="67">
        <v>12</v>
      </c>
      <c r="F1267" s="223"/>
      <c r="G1267" s="107">
        <v>129.1</v>
      </c>
      <c r="H1267" s="21">
        <v>133.9</v>
      </c>
      <c r="I1267" s="22">
        <v>138.6</v>
      </c>
      <c r="J1267" s="112" t="s">
        <v>2061</v>
      </c>
      <c r="K1267" s="45" t="s">
        <v>116</v>
      </c>
      <c r="L1267" s="437" t="s">
        <v>3258</v>
      </c>
      <c r="M1267" s="474"/>
      <c r="N1267" s="1013" t="s">
        <v>1856</v>
      </c>
      <c r="O1267" s="209"/>
      <c r="P1267" s="66" t="s">
        <v>72</v>
      </c>
      <c r="Q1267" s="100">
        <f t="shared" si="686"/>
        <v>0</v>
      </c>
      <c r="R1267" s="13" t="str">
        <f t="shared" si="687"/>
        <v>Фото &gt;&gt;</v>
      </c>
      <c r="S1267" s="14" t="s">
        <v>2110</v>
      </c>
      <c r="AK1267">
        <v>0.38</v>
      </c>
      <c r="AL1267">
        <f t="shared" si="682"/>
        <v>0</v>
      </c>
      <c r="AM1267">
        <f t="shared" si="683"/>
        <v>0</v>
      </c>
      <c r="AN1267">
        <f t="shared" si="684"/>
        <v>0</v>
      </c>
      <c r="AO1267" t="s">
        <v>2471</v>
      </c>
      <c r="AV1267" t="str">
        <f>IF(F1267&gt;0,(COUNT($AV$1:AV1266)+1),"")</f>
        <v/>
      </c>
    </row>
    <row r="1268" spans="1:48" ht="15" customHeight="1" x14ac:dyDescent="0.25">
      <c r="A1268" s="1"/>
      <c r="B1268" s="56">
        <v>20676</v>
      </c>
      <c r="C1268" s="33">
        <v>4610085181905</v>
      </c>
      <c r="D1268" s="566" t="s">
        <v>4765</v>
      </c>
      <c r="E1268" s="71">
        <v>12</v>
      </c>
      <c r="F1268" s="223"/>
      <c r="G1268" s="109">
        <v>141.69999999999999</v>
      </c>
      <c r="H1268" s="34">
        <v>146.9</v>
      </c>
      <c r="I1268" s="35">
        <v>152.19999999999999</v>
      </c>
      <c r="J1268" s="114" t="s">
        <v>2061</v>
      </c>
      <c r="K1268" s="57" t="s">
        <v>116</v>
      </c>
      <c r="L1268" s="438" t="s">
        <v>3258</v>
      </c>
      <c r="M1268" s="480"/>
      <c r="N1268" s="1015" t="s">
        <v>1856</v>
      </c>
      <c r="O1268" s="219"/>
      <c r="P1268" s="70" t="s">
        <v>72</v>
      </c>
      <c r="Q1268" s="100">
        <f t="shared" si="686"/>
        <v>0</v>
      </c>
      <c r="R1268" s="13" t="str">
        <f t="shared" si="687"/>
        <v>Фото &gt;&gt;</v>
      </c>
      <c r="S1268" s="14" t="s">
        <v>4279</v>
      </c>
      <c r="AK1268">
        <v>0.38</v>
      </c>
      <c r="AL1268">
        <f t="shared" si="682"/>
        <v>0</v>
      </c>
      <c r="AM1268">
        <f t="shared" si="683"/>
        <v>0</v>
      </c>
      <c r="AN1268">
        <f t="shared" si="684"/>
        <v>0</v>
      </c>
      <c r="AO1268" t="s">
        <v>4283</v>
      </c>
      <c r="AV1268" t="str">
        <f>IF(F1268&gt;0,(COUNT($AV$1:AV1267)+1),"")</f>
        <v/>
      </c>
    </row>
    <row r="1269" spans="1:48" ht="15" customHeight="1" x14ac:dyDescent="0.25">
      <c r="A1269" s="1"/>
      <c r="B1269" s="19">
        <v>20678</v>
      </c>
      <c r="C1269" s="20">
        <v>4610085181912</v>
      </c>
      <c r="D1269" s="565" t="s">
        <v>4766</v>
      </c>
      <c r="E1269" s="67">
        <v>12</v>
      </c>
      <c r="F1269" s="223"/>
      <c r="G1269" s="107">
        <v>141.69999999999999</v>
      </c>
      <c r="H1269" s="21">
        <v>146.9</v>
      </c>
      <c r="I1269" s="22">
        <v>152.19999999999999</v>
      </c>
      <c r="J1269" s="112" t="s">
        <v>2061</v>
      </c>
      <c r="K1269" s="45" t="s">
        <v>116</v>
      </c>
      <c r="L1269" s="437" t="s">
        <v>3258</v>
      </c>
      <c r="M1269" s="474"/>
      <c r="N1269" s="1013" t="s">
        <v>1856</v>
      </c>
      <c r="O1269" s="209"/>
      <c r="P1269" s="66" t="s">
        <v>72</v>
      </c>
      <c r="Q1269" s="100">
        <f t="shared" si="686"/>
        <v>0</v>
      </c>
      <c r="R1269" s="13" t="str">
        <f t="shared" si="687"/>
        <v>Фото &gt;&gt;</v>
      </c>
      <c r="S1269" s="14" t="s">
        <v>4287</v>
      </c>
      <c r="AK1269">
        <v>0.38</v>
      </c>
      <c r="AL1269">
        <f t="shared" si="682"/>
        <v>0</v>
      </c>
      <c r="AM1269">
        <f t="shared" si="683"/>
        <v>0</v>
      </c>
      <c r="AN1269">
        <f t="shared" si="684"/>
        <v>0</v>
      </c>
      <c r="AO1269" t="s">
        <v>4288</v>
      </c>
      <c r="AV1269" t="str">
        <f>IF(F1269&gt;0,(COUNT($AV$1:AV1268)+1),"")</f>
        <v/>
      </c>
    </row>
    <row r="1270" spans="1:48" ht="15" customHeight="1" x14ac:dyDescent="0.25">
      <c r="A1270" s="1"/>
      <c r="B1270" s="56">
        <v>20677</v>
      </c>
      <c r="C1270" s="33">
        <v>4610085181981</v>
      </c>
      <c r="D1270" s="566" t="s">
        <v>4767</v>
      </c>
      <c r="E1270" s="71">
        <v>12</v>
      </c>
      <c r="F1270" s="223"/>
      <c r="G1270" s="109">
        <v>141.69999999999999</v>
      </c>
      <c r="H1270" s="34">
        <v>146.9</v>
      </c>
      <c r="I1270" s="35">
        <v>152.19999999999999</v>
      </c>
      <c r="J1270" s="114" t="s">
        <v>2061</v>
      </c>
      <c r="K1270" s="57" t="s">
        <v>116</v>
      </c>
      <c r="L1270" s="438" t="s">
        <v>3258</v>
      </c>
      <c r="M1270" s="480"/>
      <c r="N1270" s="1015" t="s">
        <v>1856</v>
      </c>
      <c r="O1270" s="219"/>
      <c r="P1270" s="70" t="s">
        <v>72</v>
      </c>
      <c r="Q1270" s="100">
        <f t="shared" si="686"/>
        <v>0</v>
      </c>
      <c r="R1270" s="13" t="str">
        <f t="shared" si="687"/>
        <v>Фото &gt;&gt;</v>
      </c>
      <c r="S1270" s="14" t="s">
        <v>4291</v>
      </c>
      <c r="AK1270">
        <v>0.38</v>
      </c>
      <c r="AL1270">
        <f t="shared" si="682"/>
        <v>0</v>
      </c>
      <c r="AM1270">
        <f t="shared" si="683"/>
        <v>0</v>
      </c>
      <c r="AN1270">
        <f t="shared" si="684"/>
        <v>0</v>
      </c>
      <c r="AO1270" t="s">
        <v>4290</v>
      </c>
      <c r="AV1270" t="str">
        <f>IF(F1270&gt;0,(COUNT($AV$1:AV1269)+1),"")</f>
        <v/>
      </c>
    </row>
    <row r="1271" spans="1:48" ht="15" customHeight="1" x14ac:dyDescent="0.25">
      <c r="A1271" s="1"/>
      <c r="B1271" s="19">
        <v>19951</v>
      </c>
      <c r="C1271" s="20">
        <v>4610085181899</v>
      </c>
      <c r="D1271" s="394" t="s">
        <v>2118</v>
      </c>
      <c r="E1271" s="67">
        <v>12</v>
      </c>
      <c r="F1271" s="223"/>
      <c r="G1271" s="107">
        <v>141.69999999999999</v>
      </c>
      <c r="H1271" s="21">
        <v>146.9</v>
      </c>
      <c r="I1271" s="22">
        <v>152.19999999999999</v>
      </c>
      <c r="J1271" s="112" t="s">
        <v>2061</v>
      </c>
      <c r="K1271" s="45" t="s">
        <v>116</v>
      </c>
      <c r="L1271" s="437" t="s">
        <v>3258</v>
      </c>
      <c r="M1271" s="474"/>
      <c r="N1271" s="1013" t="s">
        <v>1856</v>
      </c>
      <c r="O1271" s="209"/>
      <c r="P1271" s="66" t="s">
        <v>72</v>
      </c>
      <c r="Q1271" s="100">
        <f t="shared" si="686"/>
        <v>0</v>
      </c>
      <c r="R1271" s="13" t="str">
        <f t="shared" si="687"/>
        <v>Фото &gt;&gt;</v>
      </c>
      <c r="S1271" s="14" t="s">
        <v>2111</v>
      </c>
      <c r="AK1271">
        <v>0.38</v>
      </c>
      <c r="AL1271">
        <f t="shared" si="682"/>
        <v>0</v>
      </c>
      <c r="AM1271">
        <f t="shared" si="683"/>
        <v>0</v>
      </c>
      <c r="AN1271">
        <f t="shared" si="684"/>
        <v>0</v>
      </c>
      <c r="AO1271" t="s">
        <v>2472</v>
      </c>
      <c r="AV1271" t="str">
        <f>IF(F1271&gt;0,(COUNT($AV$1:AV1270)+1),"")</f>
        <v/>
      </c>
    </row>
    <row r="1272" spans="1:48" ht="15" customHeight="1" x14ac:dyDescent="0.25">
      <c r="A1272" s="1"/>
      <c r="B1272" s="56">
        <v>19956</v>
      </c>
      <c r="C1272" s="33">
        <v>4610085181837</v>
      </c>
      <c r="D1272" s="395" t="s">
        <v>2119</v>
      </c>
      <c r="E1272" s="71">
        <v>12</v>
      </c>
      <c r="F1272" s="223"/>
      <c r="G1272" s="109">
        <v>129.1</v>
      </c>
      <c r="H1272" s="34">
        <v>133.9</v>
      </c>
      <c r="I1272" s="35">
        <v>138.6</v>
      </c>
      <c r="J1272" s="114" t="s">
        <v>2061</v>
      </c>
      <c r="K1272" s="57" t="s">
        <v>116</v>
      </c>
      <c r="L1272" s="438" t="s">
        <v>3258</v>
      </c>
      <c r="M1272" s="480"/>
      <c r="N1272" s="1015" t="s">
        <v>1856</v>
      </c>
      <c r="O1272" s="219"/>
      <c r="P1272" s="70" t="s">
        <v>72</v>
      </c>
      <c r="Q1272" s="100">
        <f t="shared" si="686"/>
        <v>0</v>
      </c>
      <c r="R1272" s="13" t="str">
        <f t="shared" si="687"/>
        <v>Фото &gt;&gt;</v>
      </c>
      <c r="S1272" s="14" t="s">
        <v>2112</v>
      </c>
      <c r="AK1272">
        <v>0.38</v>
      </c>
      <c r="AL1272">
        <f t="shared" si="682"/>
        <v>0</v>
      </c>
      <c r="AM1272">
        <f t="shared" si="683"/>
        <v>0</v>
      </c>
      <c r="AN1272">
        <f t="shared" si="684"/>
        <v>0</v>
      </c>
      <c r="AO1272" t="s">
        <v>2473</v>
      </c>
      <c r="AV1272" t="str">
        <f>IF(F1272&gt;0,(COUNT($AV$1:AV1271)+1),"")</f>
        <v/>
      </c>
    </row>
    <row r="1273" spans="1:48" ht="15" customHeight="1" x14ac:dyDescent="0.25">
      <c r="A1273" s="1"/>
      <c r="B1273" s="19">
        <v>19957</v>
      </c>
      <c r="C1273" s="20">
        <v>4610085181820</v>
      </c>
      <c r="D1273" s="394" t="s">
        <v>2120</v>
      </c>
      <c r="E1273" s="67">
        <v>12</v>
      </c>
      <c r="F1273" s="223"/>
      <c r="G1273" s="107">
        <v>129.1</v>
      </c>
      <c r="H1273" s="21">
        <v>133.9</v>
      </c>
      <c r="I1273" s="22">
        <v>138.6</v>
      </c>
      <c r="J1273" s="112" t="s">
        <v>2061</v>
      </c>
      <c r="K1273" s="45" t="s">
        <v>116</v>
      </c>
      <c r="L1273" s="437" t="s">
        <v>3258</v>
      </c>
      <c r="M1273" s="474"/>
      <c r="N1273" s="1013" t="s">
        <v>1856</v>
      </c>
      <c r="O1273" s="209"/>
      <c r="P1273" s="66" t="s">
        <v>72</v>
      </c>
      <c r="Q1273" s="100">
        <f t="shared" si="686"/>
        <v>0</v>
      </c>
      <c r="R1273" s="13" t="str">
        <f t="shared" si="687"/>
        <v>Фото &gt;&gt;</v>
      </c>
      <c r="S1273" s="14" t="s">
        <v>2113</v>
      </c>
      <c r="AK1273">
        <v>0.38</v>
      </c>
      <c r="AL1273">
        <f t="shared" si="682"/>
        <v>0</v>
      </c>
      <c r="AM1273">
        <f t="shared" si="683"/>
        <v>0</v>
      </c>
      <c r="AN1273">
        <f t="shared" si="684"/>
        <v>0</v>
      </c>
      <c r="AO1273" t="s">
        <v>2474</v>
      </c>
      <c r="AV1273" t="str">
        <f>IF(F1273&gt;0,(COUNT($AV$1:AV1272)+1),"")</f>
        <v/>
      </c>
    </row>
    <row r="1274" spans="1:48" ht="15" customHeight="1" x14ac:dyDescent="0.25">
      <c r="A1274" s="1"/>
      <c r="B1274" s="25"/>
      <c r="C1274" s="26"/>
      <c r="D1274" s="27" t="s">
        <v>4284</v>
      </c>
      <c r="E1274" s="80"/>
      <c r="F1274" s="96"/>
      <c r="G1274" s="28"/>
      <c r="H1274" s="29"/>
      <c r="I1274" s="29"/>
      <c r="J1274" s="51"/>
      <c r="K1274" s="47"/>
      <c r="L1274" s="447"/>
      <c r="M1274" s="489"/>
      <c r="N1274" s="716"/>
      <c r="O1274" s="186"/>
      <c r="P1274" s="79"/>
      <c r="Q1274" s="104"/>
      <c r="R1274" s="13"/>
      <c r="S1274" s="14"/>
      <c r="AG1274" s="84"/>
      <c r="AH1274" s="84"/>
      <c r="AL1274">
        <f t="shared" si="682"/>
        <v>0</v>
      </c>
      <c r="AM1274">
        <f t="shared" si="683"/>
        <v>0</v>
      </c>
      <c r="AN1274">
        <f t="shared" si="684"/>
        <v>0</v>
      </c>
      <c r="AV1274" t="str">
        <f>IF(F1274&gt;0,(COUNT($AV$1:AV1273)+1),"")</f>
        <v/>
      </c>
    </row>
    <row r="1275" spans="1:48" ht="15" customHeight="1" x14ac:dyDescent="0.25">
      <c r="A1275" s="1"/>
      <c r="B1275" s="19">
        <v>19896</v>
      </c>
      <c r="C1275" s="20">
        <v>4610085180717</v>
      </c>
      <c r="D1275" s="394" t="s">
        <v>2918</v>
      </c>
      <c r="E1275" s="67">
        <v>12</v>
      </c>
      <c r="F1275" s="223"/>
      <c r="G1275" s="107">
        <v>141.69999999999999</v>
      </c>
      <c r="H1275" s="21">
        <v>146.9</v>
      </c>
      <c r="I1275" s="22">
        <v>152.19999999999999</v>
      </c>
      <c r="J1275" s="112" t="s">
        <v>2061</v>
      </c>
      <c r="K1275" s="45" t="s">
        <v>116</v>
      </c>
      <c r="L1275" s="437" t="s">
        <v>3258</v>
      </c>
      <c r="M1275" s="474" t="s">
        <v>104</v>
      </c>
      <c r="N1275" s="1013" t="s">
        <v>1856</v>
      </c>
      <c r="O1275" s="209"/>
      <c r="P1275" s="66" t="s">
        <v>72</v>
      </c>
      <c r="Q1275" s="100">
        <f>IF(AND($AO$1251=1,MOD(F1275,E1275)=0),F1275*G1275,IF($AO$1251&lt;=2,F1275*H1275,F1275*I1275))</f>
        <v>0</v>
      </c>
      <c r="R1275" s="13" t="str">
        <f>IF(AO1275&gt;0,HYPERLINK(AO1275,"Фото &gt;&gt;"),"")</f>
        <v>Фото &gt;&gt;</v>
      </c>
      <c r="S1275" s="14" t="s">
        <v>2068</v>
      </c>
      <c r="AK1275">
        <v>0.38</v>
      </c>
      <c r="AL1275">
        <f>F1275*G1275</f>
        <v>0</v>
      </c>
      <c r="AM1275">
        <f>F1275*H1275</f>
        <v>0</v>
      </c>
      <c r="AN1275">
        <f>AK1275*F1275</f>
        <v>0</v>
      </c>
      <c r="AO1275" t="s">
        <v>2465</v>
      </c>
      <c r="AV1275" t="str">
        <f>IF(F1275&gt;0,(COUNT($AV$1:AV1274)+1),"")</f>
        <v/>
      </c>
    </row>
    <row r="1276" spans="1:48" ht="15" customHeight="1" x14ac:dyDescent="0.25">
      <c r="A1276" s="1"/>
      <c r="B1276" s="56">
        <v>20674</v>
      </c>
      <c r="C1276" s="33">
        <v>4610085180724</v>
      </c>
      <c r="D1276" s="566" t="s">
        <v>4768</v>
      </c>
      <c r="E1276" s="71">
        <v>12</v>
      </c>
      <c r="F1276" s="223"/>
      <c r="G1276" s="109">
        <v>141.69999999999999</v>
      </c>
      <c r="H1276" s="34">
        <v>146.9</v>
      </c>
      <c r="I1276" s="35">
        <v>152.19999999999999</v>
      </c>
      <c r="J1276" s="114" t="s">
        <v>2061</v>
      </c>
      <c r="K1276" s="57" t="s">
        <v>116</v>
      </c>
      <c r="L1276" s="438" t="s">
        <v>3258</v>
      </c>
      <c r="M1276" s="480" t="s">
        <v>104</v>
      </c>
      <c r="N1276" s="1015" t="s">
        <v>1856</v>
      </c>
      <c r="O1276" s="219"/>
      <c r="P1276" s="70" t="s">
        <v>72</v>
      </c>
      <c r="Q1276" s="100">
        <f>IF(AND($AO$1251=1,MOD(F1276,E1276)=0),F1276*G1276,IF($AO$1251&lt;=2,F1276*H1276,F1276*I1276))</f>
        <v>0</v>
      </c>
      <c r="R1276" s="13" t="str">
        <f>IF(AO1276&gt;0,HYPERLINK(AO1276,"Фото &gt;&gt;"),"")</f>
        <v>Фото &gt;&gt;</v>
      </c>
      <c r="S1276" s="14" t="s">
        <v>4285</v>
      </c>
      <c r="AK1276">
        <v>0.38</v>
      </c>
      <c r="AL1276">
        <f>F1276*G1276</f>
        <v>0</v>
      </c>
      <c r="AM1276">
        <f>F1276*H1276</f>
        <v>0</v>
      </c>
      <c r="AN1276">
        <f>AK1276*F1276</f>
        <v>0</v>
      </c>
      <c r="AO1276" t="s">
        <v>4286</v>
      </c>
      <c r="AV1276" t="str">
        <f>IF(F1276&gt;0,(COUNT($AV$1:AV1275)+1),"")</f>
        <v/>
      </c>
    </row>
    <row r="1277" spans="1:48" ht="15" customHeight="1" x14ac:dyDescent="0.25">
      <c r="A1277" s="1"/>
      <c r="B1277" s="19">
        <v>19897</v>
      </c>
      <c r="C1277" s="20">
        <v>4610085180731</v>
      </c>
      <c r="D1277" s="394" t="s">
        <v>2062</v>
      </c>
      <c r="E1277" s="67">
        <v>12</v>
      </c>
      <c r="F1277" s="223"/>
      <c r="G1277" s="107">
        <v>141.69999999999999</v>
      </c>
      <c r="H1277" s="21">
        <v>146.9</v>
      </c>
      <c r="I1277" s="22">
        <v>152.19999999999999</v>
      </c>
      <c r="J1277" s="112" t="s">
        <v>2061</v>
      </c>
      <c r="K1277" s="45" t="s">
        <v>116</v>
      </c>
      <c r="L1277" s="437" t="s">
        <v>3258</v>
      </c>
      <c r="M1277" s="474" t="s">
        <v>104</v>
      </c>
      <c r="N1277" s="1013" t="s">
        <v>1856</v>
      </c>
      <c r="O1277" s="209"/>
      <c r="P1277" s="66" t="s">
        <v>72</v>
      </c>
      <c r="Q1277" s="100">
        <f>IF(AND($AO$1251=1,MOD(F1277,E1277)=0),F1277*G1277,IF($AO$1251&lt;=2,F1277*H1277,F1277*I1277))</f>
        <v>0</v>
      </c>
      <c r="R1277" s="13" t="str">
        <f>IF(AO1277&gt;0,HYPERLINK(AO1277,"Фото &gt;&gt;"),"")</f>
        <v>Фото &gt;&gt;</v>
      </c>
      <c r="S1277" s="14" t="s">
        <v>2069</v>
      </c>
      <c r="AK1277">
        <v>0.38</v>
      </c>
      <c r="AL1277">
        <f>F1277*G1277</f>
        <v>0</v>
      </c>
      <c r="AM1277">
        <f>F1277*H1277</f>
        <v>0</v>
      </c>
      <c r="AN1277">
        <f>AK1277*F1277</f>
        <v>0</v>
      </c>
      <c r="AO1277" t="s">
        <v>2466</v>
      </c>
      <c r="AV1277" t="str">
        <f>IF(F1277&gt;0,(COUNT($AV$1:AV1276)+1),"")</f>
        <v/>
      </c>
    </row>
    <row r="1278" spans="1:48" ht="15" customHeight="1" x14ac:dyDescent="0.25">
      <c r="A1278" s="1"/>
      <c r="B1278" s="56">
        <v>20675</v>
      </c>
      <c r="C1278" s="33">
        <v>4610085180793</v>
      </c>
      <c r="D1278" s="566" t="s">
        <v>4769</v>
      </c>
      <c r="E1278" s="71">
        <v>12</v>
      </c>
      <c r="F1278" s="223"/>
      <c r="G1278" s="109">
        <v>141.69999999999999</v>
      </c>
      <c r="H1278" s="34">
        <v>146.9</v>
      </c>
      <c r="I1278" s="35">
        <v>152.19999999999999</v>
      </c>
      <c r="J1278" s="114" t="s">
        <v>2061</v>
      </c>
      <c r="K1278" s="57" t="s">
        <v>116</v>
      </c>
      <c r="L1278" s="438" t="s">
        <v>3258</v>
      </c>
      <c r="M1278" s="480" t="s">
        <v>104</v>
      </c>
      <c r="N1278" s="1015" t="s">
        <v>1856</v>
      </c>
      <c r="O1278" s="219"/>
      <c r="P1278" s="70" t="s">
        <v>72</v>
      </c>
      <c r="Q1278" s="100">
        <f>IF(AND($AO$1251=1,MOD(F1278,E1278)=0),F1278*G1278,IF($AO$1251&lt;=2,F1278*H1278,F1278*I1278))</f>
        <v>0</v>
      </c>
      <c r="R1278" s="13" t="str">
        <f>IF(AO1278&gt;0,HYPERLINK(AO1278,"Фото &gt;&gt;"),"")</f>
        <v>Фото &gt;&gt;</v>
      </c>
      <c r="S1278" s="14" t="s">
        <v>4292</v>
      </c>
      <c r="AK1278">
        <v>0.38</v>
      </c>
      <c r="AL1278">
        <f>F1278*G1278</f>
        <v>0</v>
      </c>
      <c r="AM1278">
        <f>F1278*H1278</f>
        <v>0</v>
      </c>
      <c r="AN1278">
        <f>AK1278*F1278</f>
        <v>0</v>
      </c>
      <c r="AO1278" t="s">
        <v>4293</v>
      </c>
      <c r="AV1278" t="str">
        <f>IF(F1278&gt;0,(COUNT($AV$1:AV1277)+1),"")</f>
        <v/>
      </c>
    </row>
    <row r="1279" spans="1:48" ht="15" customHeight="1" x14ac:dyDescent="0.25">
      <c r="A1279" s="1"/>
      <c r="B1279" s="25"/>
      <c r="C1279" s="26"/>
      <c r="D1279" s="27" t="s">
        <v>2121</v>
      </c>
      <c r="E1279" s="80"/>
      <c r="F1279" s="96"/>
      <c r="G1279" s="28"/>
      <c r="H1279" s="29"/>
      <c r="I1279" s="29"/>
      <c r="J1279" s="51"/>
      <c r="K1279" s="47"/>
      <c r="L1279" s="447"/>
      <c r="M1279" s="489"/>
      <c r="N1279" s="716"/>
      <c r="O1279" s="186"/>
      <c r="P1279" s="79"/>
      <c r="Q1279" s="104"/>
      <c r="R1279" s="13"/>
      <c r="S1279" s="14"/>
      <c r="AG1279" s="84"/>
      <c r="AH1279" s="84"/>
      <c r="AL1279">
        <f t="shared" ref="AL1279:AL1288" si="688">F1279*G1279</f>
        <v>0</v>
      </c>
      <c r="AM1279">
        <f t="shared" ref="AM1279:AM1288" si="689">F1279*H1279</f>
        <v>0</v>
      </c>
      <c r="AN1279">
        <f t="shared" ref="AN1279:AN1288" si="690">AK1279*F1279</f>
        <v>0</v>
      </c>
      <c r="AV1279" t="str">
        <f>IF(F1279&gt;0,(COUNT($AV$1:AV1278)+1),"")</f>
        <v/>
      </c>
    </row>
    <row r="1280" spans="1:48" ht="15" customHeight="1" x14ac:dyDescent="0.25">
      <c r="A1280" s="1"/>
      <c r="B1280" s="19">
        <v>19909</v>
      </c>
      <c r="C1280" s="20">
        <v>4607070529842</v>
      </c>
      <c r="D1280" s="394" t="s">
        <v>4078</v>
      </c>
      <c r="E1280" s="67">
        <v>10</v>
      </c>
      <c r="F1280" s="223"/>
      <c r="G1280" s="107">
        <v>176.3</v>
      </c>
      <c r="H1280" s="21">
        <v>182.8</v>
      </c>
      <c r="I1280" s="22">
        <v>189.4</v>
      </c>
      <c r="J1280" s="112" t="s">
        <v>2061</v>
      </c>
      <c r="K1280" s="45" t="s">
        <v>68</v>
      </c>
      <c r="L1280" s="437"/>
      <c r="M1280" s="474" t="s">
        <v>1856</v>
      </c>
      <c r="N1280" s="1013" t="s">
        <v>1856</v>
      </c>
      <c r="O1280" s="209"/>
      <c r="P1280" s="66" t="s">
        <v>100</v>
      </c>
      <c r="Q1280" s="100">
        <f t="shared" ref="Q1280:Q1288" si="691">IF(AND($AO$1251=1,MOD(F1280,E1280)=0),F1280*G1280,IF($AO$1251&lt;=2,F1280*H1280,F1280*I1280))</f>
        <v>0</v>
      </c>
      <c r="R1280" s="13" t="str">
        <f t="shared" ref="R1280:R1281" si="692">IF(AO1280&gt;0,HYPERLINK(AO1280,"Фото &gt;&gt;"),"")</f>
        <v>Фото &gt;&gt;</v>
      </c>
      <c r="S1280" s="14" t="s">
        <v>2063</v>
      </c>
      <c r="AK1280">
        <v>0.23</v>
      </c>
      <c r="AL1280">
        <f t="shared" si="688"/>
        <v>0</v>
      </c>
      <c r="AM1280">
        <f t="shared" si="689"/>
        <v>0</v>
      </c>
      <c r="AN1280">
        <f t="shared" si="690"/>
        <v>0</v>
      </c>
      <c r="AO1280" t="s">
        <v>2475</v>
      </c>
      <c r="AV1280" t="str">
        <f>IF(F1280&gt;0,(COUNT($AV$1:AV1279)+1),"")</f>
        <v/>
      </c>
    </row>
    <row r="1281" spans="1:48" ht="15" customHeight="1" x14ac:dyDescent="0.25">
      <c r="A1281" s="1"/>
      <c r="B1281" s="56">
        <v>19908</v>
      </c>
      <c r="C1281" s="33">
        <v>4607070529866</v>
      </c>
      <c r="D1281" s="566" t="s">
        <v>4703</v>
      </c>
      <c r="E1281" s="71">
        <v>10</v>
      </c>
      <c r="F1281" s="223"/>
      <c r="G1281" s="109">
        <v>176.3</v>
      </c>
      <c r="H1281" s="34">
        <v>182.8</v>
      </c>
      <c r="I1281" s="35">
        <v>189.4</v>
      </c>
      <c r="J1281" s="114" t="s">
        <v>2061</v>
      </c>
      <c r="K1281" s="57" t="s">
        <v>68</v>
      </c>
      <c r="L1281" s="438"/>
      <c r="M1281" s="480" t="s">
        <v>1856</v>
      </c>
      <c r="N1281" s="1015" t="s">
        <v>1856</v>
      </c>
      <c r="O1281" s="219"/>
      <c r="P1281" s="70" t="s">
        <v>100</v>
      </c>
      <c r="Q1281" s="100">
        <f t="shared" si="691"/>
        <v>0</v>
      </c>
      <c r="R1281" s="13" t="str">
        <f t="shared" si="692"/>
        <v>Фото &gt;&gt;</v>
      </c>
      <c r="S1281" s="14" t="s">
        <v>4704</v>
      </c>
      <c r="AK1281">
        <v>0.23</v>
      </c>
      <c r="AL1281">
        <f t="shared" si="688"/>
        <v>0</v>
      </c>
      <c r="AM1281">
        <f t="shared" si="689"/>
        <v>0</v>
      </c>
      <c r="AN1281">
        <f t="shared" si="690"/>
        <v>0</v>
      </c>
      <c r="AO1281" t="s">
        <v>4705</v>
      </c>
      <c r="AV1281" t="str">
        <f>IF(F1281&gt;0,(COUNT($AV$1:AV1280)+1),"")</f>
        <v/>
      </c>
    </row>
    <row r="1282" spans="1:48" ht="15" customHeight="1" x14ac:dyDescent="0.25">
      <c r="A1282" s="1"/>
      <c r="B1282" s="19">
        <v>19907</v>
      </c>
      <c r="C1282" s="20">
        <v>4607070529859</v>
      </c>
      <c r="D1282" s="394" t="s">
        <v>5854</v>
      </c>
      <c r="E1282" s="67">
        <v>10</v>
      </c>
      <c r="F1282" s="223"/>
      <c r="G1282" s="107">
        <v>176.3</v>
      </c>
      <c r="H1282" s="21">
        <v>182.8</v>
      </c>
      <c r="I1282" s="22">
        <v>189.4</v>
      </c>
      <c r="J1282" s="112" t="s">
        <v>2061</v>
      </c>
      <c r="K1282" s="45" t="s">
        <v>68</v>
      </c>
      <c r="L1282" s="437"/>
      <c r="M1282" s="474" t="s">
        <v>1856</v>
      </c>
      <c r="N1282" s="1013" t="s">
        <v>1856</v>
      </c>
      <c r="O1282" s="209"/>
      <c r="P1282" s="66" t="s">
        <v>100</v>
      </c>
      <c r="Q1282" s="100">
        <f t="shared" si="691"/>
        <v>0</v>
      </c>
      <c r="R1282" s="13" t="s">
        <v>5851</v>
      </c>
      <c r="S1282" s="14" t="s">
        <v>5852</v>
      </c>
      <c r="AK1282">
        <v>0.23</v>
      </c>
      <c r="AL1282">
        <f t="shared" si="688"/>
        <v>0</v>
      </c>
      <c r="AM1282">
        <f t="shared" si="689"/>
        <v>0</v>
      </c>
      <c r="AN1282">
        <f t="shared" si="690"/>
        <v>0</v>
      </c>
      <c r="AO1282" t="s">
        <v>5853</v>
      </c>
      <c r="AV1282" t="str">
        <f>IF(F1282&gt;0,(COUNT($AV$1:AV1281)+1),"")</f>
        <v/>
      </c>
    </row>
    <row r="1283" spans="1:48" ht="15" customHeight="1" x14ac:dyDescent="0.25">
      <c r="A1283" s="1"/>
      <c r="B1283" s="56">
        <v>19905</v>
      </c>
      <c r="C1283" s="33">
        <v>4607070529958</v>
      </c>
      <c r="D1283" s="566" t="s">
        <v>4079</v>
      </c>
      <c r="E1283" s="71">
        <v>12</v>
      </c>
      <c r="F1283" s="223"/>
      <c r="G1283" s="109">
        <v>116.1</v>
      </c>
      <c r="H1283" s="34">
        <v>120.4</v>
      </c>
      <c r="I1283" s="35">
        <v>124.7</v>
      </c>
      <c r="J1283" s="114" t="s">
        <v>2061</v>
      </c>
      <c r="K1283" s="57" t="s">
        <v>68</v>
      </c>
      <c r="L1283" s="438"/>
      <c r="M1283" s="480" t="s">
        <v>1856</v>
      </c>
      <c r="N1283" s="1015" t="s">
        <v>1856</v>
      </c>
      <c r="O1283" s="219"/>
      <c r="P1283" s="70" t="s">
        <v>100</v>
      </c>
      <c r="Q1283" s="100">
        <f t="shared" si="691"/>
        <v>0</v>
      </c>
      <c r="R1283" s="13" t="str">
        <f t="shared" ref="R1283:R1288" si="693">IF(AO1283&gt;0,HYPERLINK(AO1283,"Фото &gt;&gt;"),"")</f>
        <v>Фото &gt;&gt;</v>
      </c>
      <c r="S1283" s="14" t="s">
        <v>2065</v>
      </c>
      <c r="AK1283">
        <v>0.16</v>
      </c>
      <c r="AL1283">
        <f t="shared" si="688"/>
        <v>0</v>
      </c>
      <c r="AM1283">
        <f t="shared" si="689"/>
        <v>0</v>
      </c>
      <c r="AN1283">
        <f t="shared" si="690"/>
        <v>0</v>
      </c>
      <c r="AO1283" t="s">
        <v>2476</v>
      </c>
      <c r="AV1283" t="str">
        <f>IF(F1283&gt;0,(COUNT($AV$1:AV1282)+1),"")</f>
        <v/>
      </c>
    </row>
    <row r="1284" spans="1:48" ht="15" customHeight="1" x14ac:dyDescent="0.25">
      <c r="A1284" s="1"/>
      <c r="B1284" s="19">
        <v>19906</v>
      </c>
      <c r="C1284" s="20">
        <v>4607070529965</v>
      </c>
      <c r="D1284" s="394" t="s">
        <v>4080</v>
      </c>
      <c r="E1284" s="67">
        <v>12</v>
      </c>
      <c r="F1284" s="223"/>
      <c r="G1284" s="107">
        <v>116.1</v>
      </c>
      <c r="H1284" s="21">
        <v>120.4</v>
      </c>
      <c r="I1284" s="22">
        <v>124.7</v>
      </c>
      <c r="J1284" s="112" t="s">
        <v>2061</v>
      </c>
      <c r="K1284" s="45" t="s">
        <v>68</v>
      </c>
      <c r="L1284" s="437"/>
      <c r="M1284" s="474" t="s">
        <v>1856</v>
      </c>
      <c r="N1284" s="1013" t="s">
        <v>1856</v>
      </c>
      <c r="O1284" s="209"/>
      <c r="P1284" s="66" t="s">
        <v>100</v>
      </c>
      <c r="Q1284" s="100">
        <f t="shared" si="691"/>
        <v>0</v>
      </c>
      <c r="R1284" s="13" t="str">
        <f t="shared" si="693"/>
        <v>Фото &gt;&gt;</v>
      </c>
      <c r="S1284" s="14" t="s">
        <v>2064</v>
      </c>
      <c r="AK1284">
        <v>0.16</v>
      </c>
      <c r="AL1284">
        <f t="shared" si="688"/>
        <v>0</v>
      </c>
      <c r="AM1284">
        <f t="shared" si="689"/>
        <v>0</v>
      </c>
      <c r="AN1284">
        <f t="shared" si="690"/>
        <v>0</v>
      </c>
      <c r="AO1284" t="s">
        <v>2477</v>
      </c>
      <c r="AV1284" t="str">
        <f>IF(F1284&gt;0,(COUNT($AV$1:AV1283)+1),"")</f>
        <v/>
      </c>
    </row>
    <row r="1285" spans="1:48" ht="15" customHeight="1" x14ac:dyDescent="0.25">
      <c r="A1285" s="1"/>
      <c r="B1285" s="56">
        <v>19901</v>
      </c>
      <c r="C1285" s="33">
        <v>4607070529941</v>
      </c>
      <c r="D1285" s="566" t="s">
        <v>5782</v>
      </c>
      <c r="E1285" s="71">
        <v>10</v>
      </c>
      <c r="F1285" s="223"/>
      <c r="G1285" s="109">
        <v>116.1</v>
      </c>
      <c r="H1285" s="34">
        <v>120.4</v>
      </c>
      <c r="I1285" s="35">
        <v>124.7</v>
      </c>
      <c r="J1285" s="114" t="s">
        <v>2061</v>
      </c>
      <c r="K1285" s="57" t="s">
        <v>68</v>
      </c>
      <c r="L1285" s="438"/>
      <c r="M1285" s="480" t="s">
        <v>1856</v>
      </c>
      <c r="N1285" s="1015" t="s">
        <v>1856</v>
      </c>
      <c r="O1285" s="219"/>
      <c r="P1285" s="70" t="s">
        <v>100</v>
      </c>
      <c r="Q1285" s="100">
        <f t="shared" si="691"/>
        <v>0</v>
      </c>
      <c r="R1285" s="13" t="str">
        <f t="shared" si="693"/>
        <v>Фото &gt;&gt;</v>
      </c>
      <c r="S1285" s="14" t="s">
        <v>2075</v>
      </c>
      <c r="AK1285">
        <v>0.27</v>
      </c>
      <c r="AL1285">
        <f t="shared" si="688"/>
        <v>0</v>
      </c>
      <c r="AM1285">
        <f t="shared" si="689"/>
        <v>0</v>
      </c>
      <c r="AN1285">
        <f t="shared" si="690"/>
        <v>0</v>
      </c>
      <c r="AO1285" t="s">
        <v>2478</v>
      </c>
      <c r="AV1285" t="str">
        <f>IF(F1285&gt;0,(COUNT($AV$1:AV1284)+1),"")</f>
        <v/>
      </c>
    </row>
    <row r="1286" spans="1:48" ht="15" customHeight="1" x14ac:dyDescent="0.25">
      <c r="A1286" s="1"/>
      <c r="B1286" s="19">
        <v>19902</v>
      </c>
      <c r="C1286" s="20">
        <v>4607070529934</v>
      </c>
      <c r="D1286" s="394" t="s">
        <v>4081</v>
      </c>
      <c r="E1286" s="67">
        <v>10</v>
      </c>
      <c r="F1286" s="223"/>
      <c r="G1286" s="107">
        <v>116.1</v>
      </c>
      <c r="H1286" s="21">
        <v>120.4</v>
      </c>
      <c r="I1286" s="22">
        <v>124.7</v>
      </c>
      <c r="J1286" s="112" t="s">
        <v>2061</v>
      </c>
      <c r="K1286" s="45" t="s">
        <v>68</v>
      </c>
      <c r="L1286" s="437"/>
      <c r="M1286" s="474" t="s">
        <v>1856</v>
      </c>
      <c r="N1286" s="1013" t="s">
        <v>1856</v>
      </c>
      <c r="O1286" s="209"/>
      <c r="P1286" s="66" t="s">
        <v>100</v>
      </c>
      <c r="Q1286" s="100">
        <f t="shared" si="691"/>
        <v>0</v>
      </c>
      <c r="R1286" s="13" t="str">
        <f t="shared" si="693"/>
        <v>Фото &gt;&gt;</v>
      </c>
      <c r="S1286" s="14" t="s">
        <v>3171</v>
      </c>
      <c r="AK1286">
        <v>0.27</v>
      </c>
      <c r="AL1286">
        <f t="shared" si="688"/>
        <v>0</v>
      </c>
      <c r="AM1286">
        <f t="shared" si="689"/>
        <v>0</v>
      </c>
      <c r="AN1286">
        <f t="shared" si="690"/>
        <v>0</v>
      </c>
      <c r="AO1286" t="s">
        <v>3172</v>
      </c>
      <c r="AV1286" t="str">
        <f>IF(F1286&gt;0,(COUNT($AV$1:AV1285)+1),"")</f>
        <v/>
      </c>
    </row>
    <row r="1287" spans="1:48" ht="15" customHeight="1" x14ac:dyDescent="0.25">
      <c r="A1287" s="1"/>
      <c r="B1287" s="56">
        <v>19903</v>
      </c>
      <c r="C1287" s="33">
        <v>4607070529927</v>
      </c>
      <c r="D1287" s="566" t="s">
        <v>5783</v>
      </c>
      <c r="E1287" s="71">
        <v>10</v>
      </c>
      <c r="F1287" s="223"/>
      <c r="G1287" s="109">
        <v>116.1</v>
      </c>
      <c r="H1287" s="34">
        <v>120.4</v>
      </c>
      <c r="I1287" s="35">
        <v>124.7</v>
      </c>
      <c r="J1287" s="114" t="s">
        <v>2061</v>
      </c>
      <c r="K1287" s="57" t="s">
        <v>68</v>
      </c>
      <c r="L1287" s="438"/>
      <c r="M1287" s="480" t="s">
        <v>1856</v>
      </c>
      <c r="N1287" s="1015" t="s">
        <v>1856</v>
      </c>
      <c r="O1287" s="219"/>
      <c r="P1287" s="70" t="s">
        <v>100</v>
      </c>
      <c r="Q1287" s="100">
        <f t="shared" si="691"/>
        <v>0</v>
      </c>
      <c r="R1287" s="13" t="str">
        <f t="shared" si="693"/>
        <v>Фото &gt;&gt;</v>
      </c>
      <c r="S1287" s="14" t="s">
        <v>2067</v>
      </c>
      <c r="AK1287">
        <v>0.27</v>
      </c>
      <c r="AL1287">
        <f t="shared" si="688"/>
        <v>0</v>
      </c>
      <c r="AM1287">
        <f t="shared" si="689"/>
        <v>0</v>
      </c>
      <c r="AN1287">
        <f t="shared" si="690"/>
        <v>0</v>
      </c>
      <c r="AO1287" t="s">
        <v>2479</v>
      </c>
      <c r="AV1287" t="str">
        <f>IF(F1287&gt;0,(COUNT($AV$1:AV1286)+1),"")</f>
        <v/>
      </c>
    </row>
    <row r="1288" spans="1:48" ht="15" customHeight="1" x14ac:dyDescent="0.25">
      <c r="A1288" s="1"/>
      <c r="B1288" s="19">
        <v>19904</v>
      </c>
      <c r="C1288" s="20">
        <v>4607070529910</v>
      </c>
      <c r="D1288" s="394" t="s">
        <v>5784</v>
      </c>
      <c r="E1288" s="67">
        <v>10</v>
      </c>
      <c r="F1288" s="223"/>
      <c r="G1288" s="107">
        <v>116.1</v>
      </c>
      <c r="H1288" s="21">
        <v>120.4</v>
      </c>
      <c r="I1288" s="22">
        <v>124.7</v>
      </c>
      <c r="J1288" s="112" t="s">
        <v>2061</v>
      </c>
      <c r="K1288" s="45" t="s">
        <v>68</v>
      </c>
      <c r="L1288" s="437"/>
      <c r="M1288" s="474" t="s">
        <v>1856</v>
      </c>
      <c r="N1288" s="1013" t="s">
        <v>1856</v>
      </c>
      <c r="O1288" s="209"/>
      <c r="P1288" s="66" t="s">
        <v>100</v>
      </c>
      <c r="Q1288" s="100">
        <f t="shared" si="691"/>
        <v>0</v>
      </c>
      <c r="R1288" s="13" t="str">
        <f t="shared" si="693"/>
        <v>Фото &gt;&gt;</v>
      </c>
      <c r="S1288" s="14" t="s">
        <v>2066</v>
      </c>
      <c r="AK1288">
        <v>0.22</v>
      </c>
      <c r="AL1288">
        <f t="shared" si="688"/>
        <v>0</v>
      </c>
      <c r="AM1288">
        <f t="shared" si="689"/>
        <v>0</v>
      </c>
      <c r="AN1288">
        <f t="shared" si="690"/>
        <v>0</v>
      </c>
      <c r="AO1288" t="s">
        <v>2480</v>
      </c>
      <c r="AV1288" t="str">
        <f>IF(F1288&gt;0,(COUNT($AV$1:AV1287)+1),"")</f>
        <v/>
      </c>
    </row>
    <row r="1289" spans="1:48" ht="15" customHeight="1" x14ac:dyDescent="0.25">
      <c r="A1289" s="1"/>
      <c r="B1289" s="25"/>
      <c r="C1289" s="26"/>
      <c r="D1289" s="27" t="s">
        <v>3227</v>
      </c>
      <c r="E1289" s="80"/>
      <c r="F1289" s="96"/>
      <c r="G1289" s="28"/>
      <c r="H1289" s="29"/>
      <c r="I1289" s="29"/>
      <c r="J1289" s="51"/>
      <c r="K1289" s="47"/>
      <c r="L1289" s="447"/>
      <c r="M1289" s="489"/>
      <c r="N1289" s="716"/>
      <c r="O1289" s="186"/>
      <c r="P1289" s="79"/>
      <c r="Q1289" s="104"/>
      <c r="R1289" s="2"/>
      <c r="S1289" s="6"/>
      <c r="AV1289" t="str">
        <f>IF(F1289&gt;0,(COUNT($AV$1:AV1288)+1),"")</f>
        <v/>
      </c>
    </row>
    <row r="1290" spans="1:48" ht="15" customHeight="1" x14ac:dyDescent="0.25">
      <c r="A1290" s="1"/>
      <c r="B1290" s="19">
        <v>20299</v>
      </c>
      <c r="C1290" s="20">
        <v>4610085182520</v>
      </c>
      <c r="D1290" s="565" t="s">
        <v>4029</v>
      </c>
      <c r="E1290" s="67">
        <v>12</v>
      </c>
      <c r="F1290" s="223"/>
      <c r="G1290" s="107">
        <v>188.9</v>
      </c>
      <c r="H1290" s="21">
        <v>195.9</v>
      </c>
      <c r="I1290" s="22">
        <v>202.9</v>
      </c>
      <c r="J1290" s="112" t="s">
        <v>2061</v>
      </c>
      <c r="K1290" s="45" t="s">
        <v>201</v>
      </c>
      <c r="L1290" s="437"/>
      <c r="M1290" s="474"/>
      <c r="N1290" s="1013" t="s">
        <v>1856</v>
      </c>
      <c r="O1290" s="209"/>
      <c r="P1290" s="66" t="s">
        <v>53</v>
      </c>
      <c r="Q1290" s="100">
        <f t="shared" ref="Q1290:Q1295" si="694">IF(AND($AO$1251=1,MOD(F1290,E1290)=0),F1290*G1290,IF($AO$1251&lt;=2,F1290*H1290,F1290*I1290))</f>
        <v>0</v>
      </c>
      <c r="R1290" s="13" t="str">
        <f t="shared" ref="R1290:R1295" si="695">IF(AO1290&gt;0,HYPERLINK(AO1290,"Фото &gt;&gt;"),"")</f>
        <v>Фото &gt;&gt;</v>
      </c>
      <c r="S1290" s="14" t="s">
        <v>3178</v>
      </c>
      <c r="U1290" s="3"/>
      <c r="AK1290">
        <v>0.16</v>
      </c>
      <c r="AL1290">
        <f t="shared" ref="AL1290:AL1295" si="696">F1290*G1290</f>
        <v>0</v>
      </c>
      <c r="AM1290">
        <f t="shared" ref="AM1290:AM1295" si="697">F1290*H1290</f>
        <v>0</v>
      </c>
      <c r="AN1290">
        <f t="shared" ref="AN1290:AN1295" si="698">AK1290*F1290</f>
        <v>0</v>
      </c>
      <c r="AO1290" t="s">
        <v>3187</v>
      </c>
      <c r="AV1290" t="str">
        <f>IF(F1290&gt;0,(COUNT($AV$1:AV1289)+1),"")</f>
        <v/>
      </c>
    </row>
    <row r="1291" spans="1:48" ht="15" customHeight="1" x14ac:dyDescent="0.25">
      <c r="A1291" s="1"/>
      <c r="B1291" s="56">
        <v>20302</v>
      </c>
      <c r="C1291" s="33">
        <v>4610085182636</v>
      </c>
      <c r="D1291" s="566" t="s">
        <v>4030</v>
      </c>
      <c r="E1291" s="71">
        <v>12</v>
      </c>
      <c r="F1291" s="223"/>
      <c r="G1291" s="109">
        <v>188.9</v>
      </c>
      <c r="H1291" s="34">
        <v>195.9</v>
      </c>
      <c r="I1291" s="35">
        <v>202.9</v>
      </c>
      <c r="J1291" s="114" t="s">
        <v>2061</v>
      </c>
      <c r="K1291" s="57" t="s">
        <v>201</v>
      </c>
      <c r="L1291" s="438"/>
      <c r="M1291" s="480"/>
      <c r="N1291" s="1015" t="s">
        <v>1856</v>
      </c>
      <c r="O1291" s="219"/>
      <c r="P1291" s="70" t="s">
        <v>53</v>
      </c>
      <c r="Q1291" s="100">
        <f t="shared" si="694"/>
        <v>0</v>
      </c>
      <c r="R1291" s="13" t="str">
        <f t="shared" si="695"/>
        <v>Фото &gt;&gt;</v>
      </c>
      <c r="S1291" s="14" t="s">
        <v>3177</v>
      </c>
      <c r="U1291" s="3"/>
      <c r="AK1291">
        <v>0.16</v>
      </c>
      <c r="AL1291">
        <f t="shared" si="696"/>
        <v>0</v>
      </c>
      <c r="AM1291">
        <f t="shared" si="697"/>
        <v>0</v>
      </c>
      <c r="AN1291">
        <f t="shared" si="698"/>
        <v>0</v>
      </c>
      <c r="AO1291" t="s">
        <v>3188</v>
      </c>
      <c r="AV1291" t="str">
        <f>IF(F1291&gt;0,(COUNT($AV$1:AV1290)+1),"")</f>
        <v/>
      </c>
    </row>
    <row r="1292" spans="1:48" ht="15" customHeight="1" x14ac:dyDescent="0.25">
      <c r="A1292" s="1"/>
      <c r="B1292" s="19">
        <v>20303</v>
      </c>
      <c r="C1292" s="20">
        <v>4610085182506</v>
      </c>
      <c r="D1292" s="565" t="s">
        <v>6300</v>
      </c>
      <c r="E1292" s="67">
        <v>12</v>
      </c>
      <c r="F1292" s="223"/>
      <c r="G1292" s="107">
        <v>188.9</v>
      </c>
      <c r="H1292" s="21">
        <v>195.9</v>
      </c>
      <c r="I1292" s="22">
        <v>202.9</v>
      </c>
      <c r="J1292" s="112" t="s">
        <v>2061</v>
      </c>
      <c r="K1292" s="45" t="s">
        <v>201</v>
      </c>
      <c r="L1292" s="437"/>
      <c r="M1292" s="474" t="s">
        <v>1856</v>
      </c>
      <c r="N1292" s="1013" t="s">
        <v>1856</v>
      </c>
      <c r="O1292" s="209"/>
      <c r="P1292" s="66" t="s">
        <v>53</v>
      </c>
      <c r="Q1292" s="100">
        <f t="shared" si="694"/>
        <v>0</v>
      </c>
      <c r="R1292" s="13" t="str">
        <f t="shared" si="695"/>
        <v>Фото &gt;&gt;</v>
      </c>
      <c r="S1292" s="14" t="s">
        <v>3179</v>
      </c>
      <c r="U1292" s="3"/>
      <c r="AK1292">
        <v>0.16</v>
      </c>
      <c r="AL1292">
        <f t="shared" si="696"/>
        <v>0</v>
      </c>
      <c r="AM1292">
        <f t="shared" si="697"/>
        <v>0</v>
      </c>
      <c r="AN1292">
        <f t="shared" si="698"/>
        <v>0</v>
      </c>
      <c r="AO1292" t="s">
        <v>3189</v>
      </c>
      <c r="AV1292" t="str">
        <f>IF(F1292&gt;0,(COUNT($AV$1:AV1291)+1),"")</f>
        <v/>
      </c>
    </row>
    <row r="1293" spans="1:48" ht="15" customHeight="1" x14ac:dyDescent="0.25">
      <c r="A1293" s="1"/>
      <c r="B1293" s="56">
        <v>20300</v>
      </c>
      <c r="C1293" s="33">
        <v>4610085182544</v>
      </c>
      <c r="D1293" s="566" t="s">
        <v>4031</v>
      </c>
      <c r="E1293" s="71">
        <v>12</v>
      </c>
      <c r="F1293" s="223"/>
      <c r="G1293" s="109">
        <v>188.9</v>
      </c>
      <c r="H1293" s="34">
        <v>195.9</v>
      </c>
      <c r="I1293" s="35">
        <v>202.9</v>
      </c>
      <c r="J1293" s="114" t="s">
        <v>2061</v>
      </c>
      <c r="K1293" s="57" t="s">
        <v>201</v>
      </c>
      <c r="L1293" s="438"/>
      <c r="M1293" s="480"/>
      <c r="N1293" s="1015" t="s">
        <v>1856</v>
      </c>
      <c r="O1293" s="219"/>
      <c r="P1293" s="70" t="s">
        <v>53</v>
      </c>
      <c r="Q1293" s="100">
        <f t="shared" si="694"/>
        <v>0</v>
      </c>
      <c r="R1293" s="13" t="str">
        <f t="shared" si="695"/>
        <v>Фото &gt;&gt;</v>
      </c>
      <c r="S1293" s="14" t="s">
        <v>3184</v>
      </c>
      <c r="U1293" s="3"/>
      <c r="AK1293">
        <v>0.16</v>
      </c>
      <c r="AL1293">
        <f t="shared" si="696"/>
        <v>0</v>
      </c>
      <c r="AM1293">
        <f t="shared" si="697"/>
        <v>0</v>
      </c>
      <c r="AN1293">
        <f t="shared" si="698"/>
        <v>0</v>
      </c>
      <c r="AO1293" t="s">
        <v>3190</v>
      </c>
      <c r="AV1293" t="str">
        <f>IF(F1293&gt;0,(COUNT($AV$1:AV1292)+1),"")</f>
        <v/>
      </c>
    </row>
    <row r="1294" spans="1:48" ht="15" customHeight="1" x14ac:dyDescent="0.25">
      <c r="A1294" s="1"/>
      <c r="B1294" s="19">
        <v>20301</v>
      </c>
      <c r="C1294" s="20">
        <v>4610085182537</v>
      </c>
      <c r="D1294" s="565" t="s">
        <v>4032</v>
      </c>
      <c r="E1294" s="67">
        <v>12</v>
      </c>
      <c r="F1294" s="223"/>
      <c r="G1294" s="107">
        <v>188.9</v>
      </c>
      <c r="H1294" s="21">
        <v>195.9</v>
      </c>
      <c r="I1294" s="22">
        <v>202.9</v>
      </c>
      <c r="J1294" s="112" t="s">
        <v>2061</v>
      </c>
      <c r="K1294" s="45" t="s">
        <v>201</v>
      </c>
      <c r="L1294" s="437"/>
      <c r="M1294" s="474"/>
      <c r="N1294" s="1013" t="s">
        <v>1856</v>
      </c>
      <c r="O1294" s="209"/>
      <c r="P1294" s="66" t="s">
        <v>53</v>
      </c>
      <c r="Q1294" s="100">
        <f t="shared" si="694"/>
        <v>0</v>
      </c>
      <c r="R1294" s="13" t="str">
        <f t="shared" si="695"/>
        <v>Фото &gt;&gt;</v>
      </c>
      <c r="S1294" s="14" t="s">
        <v>3186</v>
      </c>
      <c r="U1294" s="3"/>
      <c r="AK1294">
        <v>0.16</v>
      </c>
      <c r="AL1294">
        <f t="shared" si="696"/>
        <v>0</v>
      </c>
      <c r="AM1294">
        <f t="shared" si="697"/>
        <v>0</v>
      </c>
      <c r="AN1294">
        <f t="shared" si="698"/>
        <v>0</v>
      </c>
      <c r="AO1294" t="s">
        <v>3191</v>
      </c>
      <c r="AV1294" t="str">
        <f>IF(F1294&gt;0,(COUNT($AV$1:AV1293)+1),"")</f>
        <v/>
      </c>
    </row>
    <row r="1295" spans="1:48" ht="15" customHeight="1" x14ac:dyDescent="0.25">
      <c r="A1295" s="1"/>
      <c r="B1295" s="56">
        <v>20298</v>
      </c>
      <c r="C1295" s="33">
        <v>4610085182551</v>
      </c>
      <c r="D1295" s="566" t="s">
        <v>4033</v>
      </c>
      <c r="E1295" s="71">
        <v>12</v>
      </c>
      <c r="F1295" s="223"/>
      <c r="G1295" s="109">
        <v>188.9</v>
      </c>
      <c r="H1295" s="34">
        <v>195.9</v>
      </c>
      <c r="I1295" s="35">
        <v>202.9</v>
      </c>
      <c r="J1295" s="114" t="s">
        <v>2061</v>
      </c>
      <c r="K1295" s="57" t="s">
        <v>201</v>
      </c>
      <c r="L1295" s="438"/>
      <c r="M1295" s="480"/>
      <c r="N1295" s="1015" t="s">
        <v>1856</v>
      </c>
      <c r="O1295" s="219"/>
      <c r="P1295" s="70" t="s">
        <v>53</v>
      </c>
      <c r="Q1295" s="100">
        <f t="shared" si="694"/>
        <v>0</v>
      </c>
      <c r="R1295" s="13" t="str">
        <f t="shared" si="695"/>
        <v>Фото &gt;&gt;</v>
      </c>
      <c r="S1295" s="14" t="s">
        <v>3185</v>
      </c>
      <c r="U1295" s="3"/>
      <c r="AK1295">
        <v>0.16</v>
      </c>
      <c r="AL1295">
        <f t="shared" si="696"/>
        <v>0</v>
      </c>
      <c r="AM1295">
        <f t="shared" si="697"/>
        <v>0</v>
      </c>
      <c r="AN1295">
        <f t="shared" si="698"/>
        <v>0</v>
      </c>
      <c r="AO1295" t="s">
        <v>3192</v>
      </c>
      <c r="AV1295" t="str">
        <f>IF(F1295&gt;0,(COUNT($AV$1:AV1294)+1),"")</f>
        <v/>
      </c>
    </row>
    <row r="1296" spans="1:48" ht="15" customHeight="1" x14ac:dyDescent="0.25">
      <c r="A1296" s="1"/>
      <c r="B1296" s="25"/>
      <c r="C1296" s="26"/>
      <c r="D1296" s="27" t="s">
        <v>3239</v>
      </c>
      <c r="E1296" s="80"/>
      <c r="F1296" s="96"/>
      <c r="G1296" s="28"/>
      <c r="H1296" s="29"/>
      <c r="I1296" s="29"/>
      <c r="J1296" s="51"/>
      <c r="K1296" s="47"/>
      <c r="L1296" s="447"/>
      <c r="M1296" s="489"/>
      <c r="N1296" s="716"/>
      <c r="O1296" s="186"/>
      <c r="P1296" s="79"/>
      <c r="Q1296" s="104"/>
      <c r="R1296" s="13"/>
      <c r="S1296" s="14"/>
      <c r="AV1296" t="str">
        <f>IF(F1296&gt;0,(COUNT($AV$1:AV1295)+1),"")</f>
        <v/>
      </c>
    </row>
    <row r="1297" spans="1:48" ht="15" customHeight="1" x14ac:dyDescent="0.25">
      <c r="A1297" s="1"/>
      <c r="B1297" s="19">
        <v>20341</v>
      </c>
      <c r="C1297" s="20">
        <v>4610085181677</v>
      </c>
      <c r="D1297" s="565" t="s">
        <v>3251</v>
      </c>
      <c r="E1297" s="67">
        <v>12</v>
      </c>
      <c r="F1297" s="223"/>
      <c r="G1297" s="107">
        <v>103</v>
      </c>
      <c r="H1297" s="21">
        <v>106.8</v>
      </c>
      <c r="I1297" s="22">
        <v>110.7</v>
      </c>
      <c r="J1297" s="112" t="s">
        <v>2061</v>
      </c>
      <c r="K1297" s="45" t="s">
        <v>413</v>
      </c>
      <c r="L1297" s="437" t="s">
        <v>3258</v>
      </c>
      <c r="M1297" s="474"/>
      <c r="N1297" s="1013" t="s">
        <v>1856</v>
      </c>
      <c r="O1297" s="209"/>
      <c r="P1297" s="66" t="s">
        <v>53</v>
      </c>
      <c r="Q1297" s="100">
        <f t="shared" ref="Q1297:Q1302" si="699">IF(AND($AO$1251=1,MOD(F1297,E1297)=0),F1297*G1297,IF($AO$1251&lt;=2,F1297*H1297,F1297*I1297))</f>
        <v>0</v>
      </c>
      <c r="R1297" s="13" t="str">
        <f t="shared" ref="R1297:R1302" si="700">IF(AO1297&gt;0,HYPERLINK(AO1297,"Фото &gt;&gt;"),"")</f>
        <v>Фото &gt;&gt;</v>
      </c>
      <c r="S1297" s="14" t="s">
        <v>3250</v>
      </c>
      <c r="U1297" s="3"/>
      <c r="AK1297">
        <v>0.14000000000000001</v>
      </c>
      <c r="AL1297">
        <f t="shared" ref="AL1297:AL1302" si="701">F1297*G1297</f>
        <v>0</v>
      </c>
      <c r="AM1297">
        <f t="shared" ref="AM1297:AM1302" si="702">F1297*H1297</f>
        <v>0</v>
      </c>
      <c r="AN1297">
        <f t="shared" ref="AN1297:AN1302" si="703">AK1297*F1297</f>
        <v>0</v>
      </c>
      <c r="AO1297" t="s">
        <v>3252</v>
      </c>
      <c r="AV1297" t="str">
        <f>IF(F1297&gt;0,(COUNT($AV$1:AV1296)+1),"")</f>
        <v/>
      </c>
    </row>
    <row r="1298" spans="1:48" ht="15" customHeight="1" x14ac:dyDescent="0.25">
      <c r="A1298" s="1"/>
      <c r="B1298" s="56">
        <v>20343</v>
      </c>
      <c r="C1298" s="33">
        <v>4610085181349</v>
      </c>
      <c r="D1298" s="566" t="s">
        <v>3240</v>
      </c>
      <c r="E1298" s="71">
        <v>12</v>
      </c>
      <c r="F1298" s="223"/>
      <c r="G1298" s="109">
        <v>97.3</v>
      </c>
      <c r="H1298" s="34">
        <v>100.9</v>
      </c>
      <c r="I1298" s="35">
        <v>104.5</v>
      </c>
      <c r="J1298" s="114" t="s">
        <v>2061</v>
      </c>
      <c r="K1298" s="57" t="s">
        <v>413</v>
      </c>
      <c r="L1298" s="438" t="s">
        <v>3258</v>
      </c>
      <c r="M1298" s="480"/>
      <c r="N1298" s="1015" t="s">
        <v>1856</v>
      </c>
      <c r="O1298" s="219"/>
      <c r="P1298" s="70" t="s">
        <v>53</v>
      </c>
      <c r="Q1298" s="100">
        <f t="shared" si="699"/>
        <v>0</v>
      </c>
      <c r="R1298" s="13" t="str">
        <f t="shared" si="700"/>
        <v>Фото &gt;&gt;</v>
      </c>
      <c r="S1298" s="14" t="s">
        <v>3247</v>
      </c>
      <c r="U1298" s="3"/>
      <c r="AK1298">
        <v>0.16</v>
      </c>
      <c r="AL1298">
        <f t="shared" si="701"/>
        <v>0</v>
      </c>
      <c r="AM1298">
        <f t="shared" si="702"/>
        <v>0</v>
      </c>
      <c r="AN1298">
        <f t="shared" si="703"/>
        <v>0</v>
      </c>
      <c r="AO1298" t="s">
        <v>3253</v>
      </c>
      <c r="AV1298" t="str">
        <f>IF(F1298&gt;0,(COUNT($AV$1:AV1297)+1),"")</f>
        <v/>
      </c>
    </row>
    <row r="1299" spans="1:48" ht="15" customHeight="1" x14ac:dyDescent="0.25">
      <c r="A1299" s="1"/>
      <c r="B1299" s="19">
        <v>20344</v>
      </c>
      <c r="C1299" s="20">
        <v>4610085181554</v>
      </c>
      <c r="D1299" s="565" t="s">
        <v>3241</v>
      </c>
      <c r="E1299" s="67">
        <v>12</v>
      </c>
      <c r="F1299" s="223"/>
      <c r="G1299" s="107">
        <v>108.8</v>
      </c>
      <c r="H1299" s="21">
        <v>112.8</v>
      </c>
      <c r="I1299" s="22">
        <v>116.8</v>
      </c>
      <c r="J1299" s="112" t="s">
        <v>2061</v>
      </c>
      <c r="K1299" s="45" t="s">
        <v>413</v>
      </c>
      <c r="L1299" s="437" t="s">
        <v>3258</v>
      </c>
      <c r="M1299" s="474"/>
      <c r="N1299" s="1013" t="s">
        <v>1856</v>
      </c>
      <c r="O1299" s="209"/>
      <c r="P1299" s="66" t="s">
        <v>53</v>
      </c>
      <c r="Q1299" s="100">
        <f t="shared" si="699"/>
        <v>0</v>
      </c>
      <c r="R1299" s="13" t="str">
        <f t="shared" si="700"/>
        <v>Фото &gt;&gt;</v>
      </c>
      <c r="S1299" s="14" t="s">
        <v>3242</v>
      </c>
      <c r="U1299" s="3"/>
      <c r="AK1299">
        <v>0.16</v>
      </c>
      <c r="AL1299">
        <f t="shared" si="701"/>
        <v>0</v>
      </c>
      <c r="AM1299">
        <f t="shared" si="702"/>
        <v>0</v>
      </c>
      <c r="AN1299">
        <f t="shared" si="703"/>
        <v>0</v>
      </c>
      <c r="AO1299" t="s">
        <v>3255</v>
      </c>
      <c r="AV1299" t="str">
        <f>IF(F1299&gt;0,(COUNT($AV$1:AV1298)+1),"")</f>
        <v/>
      </c>
    </row>
    <row r="1300" spans="1:48" ht="15" customHeight="1" x14ac:dyDescent="0.25">
      <c r="A1300" s="1"/>
      <c r="B1300" s="56">
        <v>20346</v>
      </c>
      <c r="C1300" s="33">
        <v>4610085181448</v>
      </c>
      <c r="D1300" s="566" t="s">
        <v>3249</v>
      </c>
      <c r="E1300" s="71">
        <v>12</v>
      </c>
      <c r="F1300" s="223"/>
      <c r="G1300" s="109">
        <v>114.5</v>
      </c>
      <c r="H1300" s="34">
        <v>118.7</v>
      </c>
      <c r="I1300" s="35">
        <v>123</v>
      </c>
      <c r="J1300" s="114" t="s">
        <v>2061</v>
      </c>
      <c r="K1300" s="57" t="s">
        <v>413</v>
      </c>
      <c r="L1300" s="438" t="s">
        <v>3258</v>
      </c>
      <c r="M1300" s="480"/>
      <c r="N1300" s="1015" t="s">
        <v>1856</v>
      </c>
      <c r="O1300" s="219"/>
      <c r="P1300" s="70" t="s">
        <v>53</v>
      </c>
      <c r="Q1300" s="100">
        <f t="shared" si="699"/>
        <v>0</v>
      </c>
      <c r="R1300" s="13" t="str">
        <f t="shared" si="700"/>
        <v>Фото &gt;&gt;</v>
      </c>
      <c r="S1300" s="14" t="s">
        <v>3243</v>
      </c>
      <c r="U1300" s="3"/>
      <c r="AK1300">
        <v>0.16</v>
      </c>
      <c r="AL1300">
        <f t="shared" si="701"/>
        <v>0</v>
      </c>
      <c r="AM1300">
        <f t="shared" si="702"/>
        <v>0</v>
      </c>
      <c r="AN1300">
        <f t="shared" si="703"/>
        <v>0</v>
      </c>
      <c r="AO1300" t="s">
        <v>3254</v>
      </c>
      <c r="AV1300" t="str">
        <f>IF(F1300&gt;0,(COUNT($AV$1:AV1299)+1),"")</f>
        <v/>
      </c>
    </row>
    <row r="1301" spans="1:48" ht="15" customHeight="1" x14ac:dyDescent="0.25">
      <c r="A1301" s="1"/>
      <c r="B1301" s="19">
        <v>20345</v>
      </c>
      <c r="C1301" s="20">
        <v>4610085181486</v>
      </c>
      <c r="D1301" s="565" t="s">
        <v>3245</v>
      </c>
      <c r="E1301" s="67">
        <v>12</v>
      </c>
      <c r="F1301" s="223"/>
      <c r="G1301" s="107">
        <v>103</v>
      </c>
      <c r="H1301" s="21">
        <v>106.8</v>
      </c>
      <c r="I1301" s="22">
        <v>110.7</v>
      </c>
      <c r="J1301" s="112" t="s">
        <v>2061</v>
      </c>
      <c r="K1301" s="45" t="s">
        <v>413</v>
      </c>
      <c r="L1301" s="437" t="s">
        <v>3258</v>
      </c>
      <c r="M1301" s="474"/>
      <c r="N1301" s="1013" t="s">
        <v>1856</v>
      </c>
      <c r="O1301" s="209"/>
      <c r="P1301" s="66" t="s">
        <v>53</v>
      </c>
      <c r="Q1301" s="100">
        <f t="shared" si="699"/>
        <v>0</v>
      </c>
      <c r="R1301" s="13" t="str">
        <f t="shared" si="700"/>
        <v>Фото &gt;&gt;</v>
      </c>
      <c r="S1301" s="14" t="s">
        <v>3244</v>
      </c>
      <c r="U1301" s="3"/>
      <c r="AK1301">
        <v>0.16</v>
      </c>
      <c r="AL1301">
        <f t="shared" si="701"/>
        <v>0</v>
      </c>
      <c r="AM1301">
        <f t="shared" si="702"/>
        <v>0</v>
      </c>
      <c r="AN1301">
        <f t="shared" si="703"/>
        <v>0</v>
      </c>
      <c r="AO1301" t="s">
        <v>3256</v>
      </c>
      <c r="AV1301" t="str">
        <f>IF(F1301&gt;0,(COUNT($AV$1:AV1300)+1),"")</f>
        <v/>
      </c>
    </row>
    <row r="1302" spans="1:48" ht="15" customHeight="1" x14ac:dyDescent="0.25">
      <c r="A1302" s="1"/>
      <c r="B1302" s="56">
        <v>20342</v>
      </c>
      <c r="C1302" s="33">
        <v>4610085181271</v>
      </c>
      <c r="D1302" s="566" t="s">
        <v>3248</v>
      </c>
      <c r="E1302" s="71">
        <v>12</v>
      </c>
      <c r="F1302" s="223"/>
      <c r="G1302" s="109">
        <v>97.3</v>
      </c>
      <c r="H1302" s="34">
        <v>100.9</v>
      </c>
      <c r="I1302" s="35">
        <v>104.5</v>
      </c>
      <c r="J1302" s="114" t="s">
        <v>2061</v>
      </c>
      <c r="K1302" s="57" t="s">
        <v>413</v>
      </c>
      <c r="L1302" s="438" t="s">
        <v>3258</v>
      </c>
      <c r="M1302" s="484"/>
      <c r="N1302" s="1008" t="s">
        <v>1856</v>
      </c>
      <c r="O1302" s="219"/>
      <c r="P1302" s="70" t="s">
        <v>53</v>
      </c>
      <c r="Q1302" s="100">
        <f t="shared" si="699"/>
        <v>0</v>
      </c>
      <c r="R1302" s="13" t="str">
        <f t="shared" si="700"/>
        <v>Фото &gt;&gt;</v>
      </c>
      <c r="S1302" s="14" t="s">
        <v>3246</v>
      </c>
      <c r="U1302" s="3"/>
      <c r="AK1302">
        <v>0.16</v>
      </c>
      <c r="AL1302">
        <f t="shared" si="701"/>
        <v>0</v>
      </c>
      <c r="AM1302">
        <f t="shared" si="702"/>
        <v>0</v>
      </c>
      <c r="AN1302">
        <f t="shared" si="703"/>
        <v>0</v>
      </c>
      <c r="AO1302" t="s">
        <v>3257</v>
      </c>
      <c r="AV1302" t="str">
        <f>IF(F1302&gt;0,(COUNT($AV$1:AV1301)+1),"")</f>
        <v/>
      </c>
    </row>
    <row r="1303" spans="1:48" ht="15" customHeight="1" x14ac:dyDescent="0.25">
      <c r="A1303" s="1"/>
      <c r="B1303" s="737"/>
      <c r="C1303" s="738"/>
      <c r="D1303" s="739"/>
      <c r="E1303" s="740"/>
      <c r="F1303" s="741"/>
      <c r="G1303" s="742"/>
      <c r="H1303" s="743"/>
      <c r="I1303" s="744"/>
      <c r="J1303" s="745"/>
      <c r="K1303" s="746"/>
      <c r="L1303" s="747"/>
      <c r="M1303" s="748"/>
      <c r="N1303" s="749"/>
      <c r="O1303" s="750"/>
      <c r="P1303" s="751"/>
      <c r="Q1303" s="752"/>
      <c r="R1303" s="13"/>
      <c r="S1303" s="207"/>
      <c r="T1303" s="208"/>
      <c r="AV1303" t="str">
        <f>IF(F1303&gt;0,(COUNT($AV$1:AV1302)+1),"")</f>
        <v/>
      </c>
    </row>
    <row r="1304" spans="1:48" ht="15" customHeight="1" thickBot="1" x14ac:dyDescent="0.3">
      <c r="A1304" s="1"/>
      <c r="B1304" s="158"/>
      <c r="C1304" s="159"/>
      <c r="D1304" s="160"/>
      <c r="E1304" s="167"/>
      <c r="F1304" s="191"/>
      <c r="G1304" s="163"/>
      <c r="H1304" s="164"/>
      <c r="I1304" s="165"/>
      <c r="J1304" s="161"/>
      <c r="K1304" s="162"/>
      <c r="L1304" s="439"/>
      <c r="M1304" s="475"/>
      <c r="N1304" s="467"/>
      <c r="O1304" s="183"/>
      <c r="P1304" s="166"/>
      <c r="Q1304" s="168"/>
      <c r="R1304" s="13"/>
      <c r="S1304" s="207"/>
      <c r="T1304" s="208"/>
      <c r="AV1304" t="str">
        <f>IF(F1304&gt;0,(COUNT($AV$1:AV1303)+1),"")</f>
        <v/>
      </c>
    </row>
    <row r="1305" spans="1:48" ht="24.95" customHeight="1" thickBot="1" x14ac:dyDescent="0.3">
      <c r="A1305" s="1"/>
      <c r="B1305" s="266"/>
      <c r="C1305" s="267"/>
      <c r="D1305" s="268" t="str">
        <f>CONCATENATE("Живые соки (Absolute nature)","     |     Сумма заказа: ",AK1305," руб.")</f>
        <v>Живые соки (Absolute nature)     |     Сумма заказа: 0 руб.</v>
      </c>
      <c r="E1305" s="269"/>
      <c r="F1305" s="270"/>
      <c r="G1305" s="271" t="str">
        <f>CONCATENATE("Ценовая колонка: ",AO1305,"   |   До следующей скидки: ",AJ1305," руб.")</f>
        <v>Ценовая колонка: 3   |   До следующей скидки: 3000 руб.</v>
      </c>
      <c r="H1305" s="272"/>
      <c r="I1305" s="272"/>
      <c r="J1305" s="273" t="s">
        <v>4607</v>
      </c>
      <c r="K1305" s="274"/>
      <c r="L1305" s="451"/>
      <c r="M1305" s="495" t="s">
        <v>104</v>
      </c>
      <c r="N1305" s="571"/>
      <c r="O1305" s="275"/>
      <c r="P1305" s="276"/>
      <c r="Q1305" s="277"/>
      <c r="R1305" s="265" t="s">
        <v>1558</v>
      </c>
      <c r="S1305" s="6"/>
      <c r="AJ1305">
        <f>ROUND(IF(AL1305&gt;10000,"0", IF(AND(AL1305&lt;10000,AM1305&gt;3000),10000-AL1305,3000-AM1305)),2)</f>
        <v>3000</v>
      </c>
      <c r="AK1305">
        <f>SUM(Q1312:Q1339)</f>
        <v>0</v>
      </c>
      <c r="AL1305">
        <f>SUM(AL1312:AL1339)</f>
        <v>0</v>
      </c>
      <c r="AM1305">
        <f>SUM(AM1312:AM1339)</f>
        <v>0</v>
      </c>
      <c r="AO1305">
        <f>IF(AM1305&gt;3000,IF(AL1305&gt;15000,1,2),3)</f>
        <v>3</v>
      </c>
      <c r="AV1305" t="str">
        <f>IF(F1305&gt;0,(COUNT($AV$1:AV1304)+1),"")</f>
        <v/>
      </c>
    </row>
    <row r="1306" spans="1:48" ht="15" customHeight="1" x14ac:dyDescent="0.25">
      <c r="A1306" s="1"/>
      <c r="B1306" s="294"/>
      <c r="C1306" s="243"/>
      <c r="D1306" s="263" t="s">
        <v>4239</v>
      </c>
      <c r="E1306" s="244"/>
      <c r="F1306" s="245"/>
      <c r="G1306" s="246"/>
      <c r="H1306" s="247"/>
      <c r="I1306" s="247"/>
      <c r="J1306" s="248"/>
      <c r="K1306" s="249"/>
      <c r="L1306" s="435"/>
      <c r="M1306" s="478" t="s">
        <v>104</v>
      </c>
      <c r="N1306" s="469"/>
      <c r="O1306" s="250"/>
      <c r="P1306" s="251"/>
      <c r="Q1306" s="252"/>
      <c r="R1306" s="13"/>
      <c r="S1306" s="14"/>
      <c r="AV1306" t="str">
        <f>IF(F1306&gt;0,(COUNT($AV$1:AV1305)+1),"")</f>
        <v/>
      </c>
    </row>
    <row r="1307" spans="1:48" ht="15" customHeight="1" x14ac:dyDescent="0.25">
      <c r="A1307" s="1"/>
      <c r="B1307" s="158"/>
      <c r="C1307" s="159"/>
      <c r="D1307" s="263" t="s">
        <v>4240</v>
      </c>
      <c r="E1307" s="238"/>
      <c r="F1307" s="203"/>
      <c r="G1307" s="239"/>
      <c r="H1307" s="240"/>
      <c r="I1307" s="240"/>
      <c r="J1307" s="241"/>
      <c r="K1307" s="201"/>
      <c r="L1307" s="428"/>
      <c r="M1307" s="475" t="s">
        <v>104</v>
      </c>
      <c r="N1307" s="467"/>
      <c r="O1307" s="166"/>
      <c r="P1307" s="242"/>
      <c r="Q1307" s="202"/>
      <c r="R1307" s="13"/>
      <c r="S1307" s="14"/>
      <c r="AV1307" t="str">
        <f>IF(F1307&gt;0,(COUNT($AV$1:AV1306)+1),"")</f>
        <v/>
      </c>
    </row>
    <row r="1308" spans="1:48" ht="15" customHeight="1" x14ac:dyDescent="0.25">
      <c r="A1308" s="1"/>
      <c r="B1308" s="158"/>
      <c r="C1308" s="159"/>
      <c r="D1308" s="263" t="s">
        <v>4241</v>
      </c>
      <c r="E1308" s="238"/>
      <c r="F1308" s="203"/>
      <c r="G1308" s="239"/>
      <c r="H1308" s="240"/>
      <c r="I1308" s="240"/>
      <c r="J1308" s="241"/>
      <c r="K1308" s="201"/>
      <c r="L1308" s="428"/>
      <c r="M1308" s="475" t="s">
        <v>104</v>
      </c>
      <c r="N1308" s="467"/>
      <c r="O1308" s="166"/>
      <c r="P1308" s="242"/>
      <c r="Q1308" s="202"/>
      <c r="R1308" s="13"/>
      <c r="S1308" s="14"/>
      <c r="AV1308" t="str">
        <f>IF(F1308&gt;0,(COUNT($AV$1:AV1307)+1),"")</f>
        <v/>
      </c>
    </row>
    <row r="1309" spans="1:48" ht="15" customHeight="1" x14ac:dyDescent="0.25">
      <c r="A1309" s="1"/>
      <c r="B1309" s="158"/>
      <c r="C1309" s="159"/>
      <c r="D1309" s="263" t="s">
        <v>4242</v>
      </c>
      <c r="E1309" s="238"/>
      <c r="F1309" s="203"/>
      <c r="G1309" s="239"/>
      <c r="H1309" s="240"/>
      <c r="I1309" s="240"/>
      <c r="J1309" s="241"/>
      <c r="K1309" s="201"/>
      <c r="L1309" s="428"/>
      <c r="M1309" s="475" t="s">
        <v>104</v>
      </c>
      <c r="N1309" s="467"/>
      <c r="O1309" s="166"/>
      <c r="P1309" s="242"/>
      <c r="Q1309" s="202"/>
      <c r="R1309" s="13"/>
      <c r="S1309" s="14"/>
      <c r="AV1309" t="str">
        <f>IF(F1309&gt;0,(COUNT($AV$1:AV1308)+1),"")</f>
        <v/>
      </c>
    </row>
    <row r="1310" spans="1:48" ht="15" customHeight="1" x14ac:dyDescent="0.25">
      <c r="A1310" s="1"/>
      <c r="B1310" s="295"/>
      <c r="C1310" s="253"/>
      <c r="D1310" s="263"/>
      <c r="E1310" s="254"/>
      <c r="F1310" s="255"/>
      <c r="G1310" s="256"/>
      <c r="H1310" s="257"/>
      <c r="I1310" s="257"/>
      <c r="J1310" s="258"/>
      <c r="K1310" s="259"/>
      <c r="L1310" s="436"/>
      <c r="M1310" s="479" t="s">
        <v>104</v>
      </c>
      <c r="N1310" s="470"/>
      <c r="O1310" s="260"/>
      <c r="P1310" s="261"/>
      <c r="Q1310" s="262"/>
      <c r="R1310" s="13"/>
      <c r="S1310" s="14"/>
      <c r="AV1310" t="str">
        <f>IF(F1310&gt;0,(COUNT($AV$1:AV1309)+1),"")</f>
        <v/>
      </c>
    </row>
    <row r="1311" spans="1:48" ht="15" customHeight="1" x14ac:dyDescent="0.25">
      <c r="A1311" s="1"/>
      <c r="B1311" s="297"/>
      <c r="C1311" s="283"/>
      <c r="D1311" s="284" t="s">
        <v>6916</v>
      </c>
      <c r="E1311" s="285"/>
      <c r="F1311" s="286"/>
      <c r="G1311" s="287" t="s">
        <v>170</v>
      </c>
      <c r="H1311" s="288" t="s">
        <v>1461</v>
      </c>
      <c r="I1311" s="288"/>
      <c r="J1311" s="289"/>
      <c r="K1311" s="290"/>
      <c r="L1311" s="452"/>
      <c r="M1311" s="496" t="s">
        <v>104</v>
      </c>
      <c r="N1311" s="572"/>
      <c r="O1311" s="291"/>
      <c r="P1311" s="292"/>
      <c r="Q1311" s="293"/>
      <c r="R1311" s="2"/>
      <c r="S1311" s="6"/>
      <c r="AV1311" t="str">
        <f>IF(F1311&gt;0,(COUNT($AV$1:AV1310)+1),"")</f>
        <v/>
      </c>
    </row>
    <row r="1312" spans="1:48" ht="15" customHeight="1" x14ac:dyDescent="0.25">
      <c r="A1312" s="1"/>
      <c r="B1312" s="59">
        <v>20742</v>
      </c>
      <c r="C1312" s="23">
        <v>4605169208814</v>
      </c>
      <c r="D1312" s="624" t="s">
        <v>7540</v>
      </c>
      <c r="E1312" s="75">
        <v>6</v>
      </c>
      <c r="F1312" s="222"/>
      <c r="G1312" s="927">
        <v>163.80000000000001</v>
      </c>
      <c r="H1312" s="928">
        <v>173.1</v>
      </c>
      <c r="I1312" s="929">
        <v>189.9</v>
      </c>
      <c r="J1312" s="115" t="s">
        <v>4607</v>
      </c>
      <c r="K1312" s="46" t="s">
        <v>116</v>
      </c>
      <c r="L1312" s="440"/>
      <c r="M1312" s="474"/>
      <c r="N1312" s="1013" t="s">
        <v>1856</v>
      </c>
      <c r="O1312" s="211" t="s">
        <v>6856</v>
      </c>
      <c r="P1312" s="74" t="s">
        <v>50</v>
      </c>
      <c r="Q1312" s="100">
        <f t="shared" ref="Q1312:Q1319" si="704">IF($AO$1305=2,F1312*H1312,IF($AO$1305=1,F1312*G1312,F1312*I1312))</f>
        <v>0</v>
      </c>
      <c r="R1312" s="13" t="str">
        <f t="shared" ref="R1312:R1325" si="705">IF(AO1312&gt;0,HYPERLINK(AO1312,"Фото &gt;&gt;"),"")</f>
        <v>Фото &gt;&gt;</v>
      </c>
      <c r="S1312" s="14" t="s">
        <v>6568</v>
      </c>
      <c r="AK1312">
        <v>1.2</v>
      </c>
      <c r="AL1312">
        <f t="shared" ref="AL1312:AL1319" si="706">F1312*G1312</f>
        <v>0</v>
      </c>
      <c r="AM1312">
        <f t="shared" ref="AM1312:AM1319" si="707">F1312*H1312</f>
        <v>0</v>
      </c>
      <c r="AN1312">
        <f t="shared" ref="AN1312:AN1319" si="708">AK1312*F1312</f>
        <v>0</v>
      </c>
      <c r="AO1312" t="s">
        <v>6569</v>
      </c>
      <c r="AV1312" t="str">
        <f>IF(F1312&gt;0,(COUNT($AV$1:AV1311)+1),"")</f>
        <v/>
      </c>
    </row>
    <row r="1313" spans="1:48" ht="15" customHeight="1" x14ac:dyDescent="0.25">
      <c r="A1313" s="1"/>
      <c r="B1313" s="56">
        <v>20743</v>
      </c>
      <c r="C1313" s="33">
        <v>4605169208821</v>
      </c>
      <c r="D1313" s="427" t="s">
        <v>7541</v>
      </c>
      <c r="E1313" s="71">
        <v>6</v>
      </c>
      <c r="F1313" s="222"/>
      <c r="G1313" s="1160">
        <v>163.80000000000001</v>
      </c>
      <c r="H1313" s="1161">
        <v>173.1</v>
      </c>
      <c r="I1313" s="1162">
        <v>189.9</v>
      </c>
      <c r="J1313" s="114" t="s">
        <v>4607</v>
      </c>
      <c r="K1313" s="57" t="s">
        <v>116</v>
      </c>
      <c r="L1313" s="438"/>
      <c r="M1313" s="480"/>
      <c r="N1313" s="1015" t="s">
        <v>1856</v>
      </c>
      <c r="O1313" s="219" t="s">
        <v>6856</v>
      </c>
      <c r="P1313" s="70" t="s">
        <v>50</v>
      </c>
      <c r="Q1313" s="100">
        <f t="shared" si="704"/>
        <v>0</v>
      </c>
      <c r="R1313" s="13" t="str">
        <f t="shared" si="705"/>
        <v>Фото &gt;&gt;</v>
      </c>
      <c r="S1313" s="14" t="s">
        <v>6570</v>
      </c>
      <c r="AK1313">
        <v>1.2</v>
      </c>
      <c r="AL1313">
        <f t="shared" si="706"/>
        <v>0</v>
      </c>
      <c r="AM1313">
        <f t="shared" si="707"/>
        <v>0</v>
      </c>
      <c r="AN1313">
        <f t="shared" si="708"/>
        <v>0</v>
      </c>
      <c r="AO1313" t="s">
        <v>6571</v>
      </c>
      <c r="AV1313" t="str">
        <f>IF(F1313&gt;0,(COUNT($AV$1:AV1312)+1),"")</f>
        <v/>
      </c>
    </row>
    <row r="1314" spans="1:48" ht="15" customHeight="1" x14ac:dyDescent="0.25">
      <c r="A1314" s="1"/>
      <c r="B1314" s="59">
        <v>20745</v>
      </c>
      <c r="C1314" s="23">
        <v>4605169208807</v>
      </c>
      <c r="D1314" s="624" t="s">
        <v>7542</v>
      </c>
      <c r="E1314" s="75">
        <v>6</v>
      </c>
      <c r="F1314" s="222"/>
      <c r="G1314" s="927">
        <v>163.80000000000001</v>
      </c>
      <c r="H1314" s="928">
        <v>173.1</v>
      </c>
      <c r="I1314" s="929">
        <v>189.9</v>
      </c>
      <c r="J1314" s="115" t="s">
        <v>4607</v>
      </c>
      <c r="K1314" s="46" t="s">
        <v>116</v>
      </c>
      <c r="L1314" s="440"/>
      <c r="M1314" s="474"/>
      <c r="N1314" s="1013" t="s">
        <v>1856</v>
      </c>
      <c r="O1314" s="211" t="s">
        <v>6856</v>
      </c>
      <c r="P1314" s="74" t="s">
        <v>50</v>
      </c>
      <c r="Q1314" s="100">
        <f t="shared" si="704"/>
        <v>0</v>
      </c>
      <c r="R1314" s="13" t="str">
        <f t="shared" si="705"/>
        <v>Фото &gt;&gt;</v>
      </c>
      <c r="S1314" s="14" t="s">
        <v>6572</v>
      </c>
      <c r="AK1314">
        <v>1.2</v>
      </c>
      <c r="AL1314">
        <f t="shared" si="706"/>
        <v>0</v>
      </c>
      <c r="AM1314">
        <f t="shared" si="707"/>
        <v>0</v>
      </c>
      <c r="AN1314">
        <f t="shared" si="708"/>
        <v>0</v>
      </c>
      <c r="AO1314" t="s">
        <v>6573</v>
      </c>
      <c r="AV1314" t="str">
        <f>IF(F1314&gt;0,(COUNT($AV$1:AV1313)+1),"")</f>
        <v/>
      </c>
    </row>
    <row r="1315" spans="1:48" ht="15" customHeight="1" x14ac:dyDescent="0.25">
      <c r="A1315" s="1"/>
      <c r="B1315" s="56">
        <v>20744</v>
      </c>
      <c r="C1315" s="33">
        <v>4605169208838</v>
      </c>
      <c r="D1315" s="427" t="s">
        <v>7543</v>
      </c>
      <c r="E1315" s="71">
        <v>6</v>
      </c>
      <c r="F1315" s="222"/>
      <c r="G1315" s="1160">
        <v>163.80000000000001</v>
      </c>
      <c r="H1315" s="1161">
        <v>173.1</v>
      </c>
      <c r="I1315" s="1162">
        <v>189.9</v>
      </c>
      <c r="J1315" s="114" t="s">
        <v>4607</v>
      </c>
      <c r="K1315" s="57" t="s">
        <v>116</v>
      </c>
      <c r="L1315" s="438"/>
      <c r="M1315" s="480"/>
      <c r="N1315" s="1015" t="s">
        <v>1856</v>
      </c>
      <c r="O1315" s="219" t="s">
        <v>6856</v>
      </c>
      <c r="P1315" s="70" t="s">
        <v>50</v>
      </c>
      <c r="Q1315" s="100">
        <f t="shared" si="704"/>
        <v>0</v>
      </c>
      <c r="R1315" s="13" t="str">
        <f t="shared" si="705"/>
        <v>Фото &gt;&gt;</v>
      </c>
      <c r="S1315" s="14" t="s">
        <v>6574</v>
      </c>
      <c r="AK1315">
        <v>1.2</v>
      </c>
      <c r="AL1315">
        <f t="shared" si="706"/>
        <v>0</v>
      </c>
      <c r="AM1315">
        <f t="shared" si="707"/>
        <v>0</v>
      </c>
      <c r="AN1315">
        <f t="shared" si="708"/>
        <v>0</v>
      </c>
      <c r="AO1315" t="s">
        <v>6575</v>
      </c>
      <c r="AV1315" t="str">
        <f>IF(F1315&gt;0,(COUNT($AV$1:AV1314)+1),"")</f>
        <v/>
      </c>
    </row>
    <row r="1316" spans="1:48" ht="15" customHeight="1" x14ac:dyDescent="0.25">
      <c r="A1316" s="1"/>
      <c r="B1316" s="59">
        <v>20738</v>
      </c>
      <c r="C1316" s="23">
        <v>4605169209866</v>
      </c>
      <c r="D1316" s="567" t="s">
        <v>6917</v>
      </c>
      <c r="E1316" s="75">
        <v>12</v>
      </c>
      <c r="F1316" s="222"/>
      <c r="G1316" s="111">
        <v>246</v>
      </c>
      <c r="H1316" s="5">
        <v>258</v>
      </c>
      <c r="I1316" s="24">
        <v>285.60000000000002</v>
      </c>
      <c r="J1316" s="115" t="s">
        <v>4607</v>
      </c>
      <c r="K1316" s="46" t="s">
        <v>116</v>
      </c>
      <c r="L1316" s="440"/>
      <c r="M1316" s="474"/>
      <c r="N1316" s="1013" t="s">
        <v>1856</v>
      </c>
      <c r="O1316" s="621"/>
      <c r="P1316" s="74" t="s">
        <v>50</v>
      </c>
      <c r="Q1316" s="100">
        <f t="shared" si="704"/>
        <v>0</v>
      </c>
      <c r="R1316" s="13" t="str">
        <f t="shared" si="705"/>
        <v>Фото &gt;&gt;</v>
      </c>
      <c r="S1316" s="14" t="s">
        <v>4442</v>
      </c>
      <c r="AK1316">
        <v>1.2</v>
      </c>
      <c r="AL1316">
        <f t="shared" si="706"/>
        <v>0</v>
      </c>
      <c r="AM1316">
        <f t="shared" si="707"/>
        <v>0</v>
      </c>
      <c r="AN1316">
        <f t="shared" si="708"/>
        <v>0</v>
      </c>
      <c r="AO1316" t="s">
        <v>4446</v>
      </c>
      <c r="AV1316" t="str">
        <f>IF(F1316&gt;0,(COUNT($AV$1:AV1315)+1),"")</f>
        <v/>
      </c>
    </row>
    <row r="1317" spans="1:48" ht="15" customHeight="1" x14ac:dyDescent="0.25">
      <c r="A1317" s="1"/>
      <c r="B1317" s="56">
        <v>20739</v>
      </c>
      <c r="C1317" s="33">
        <v>4605169207442</v>
      </c>
      <c r="D1317" s="566" t="s">
        <v>6918</v>
      </c>
      <c r="E1317" s="71">
        <v>12</v>
      </c>
      <c r="F1317" s="222"/>
      <c r="G1317" s="109">
        <v>246</v>
      </c>
      <c r="H1317" s="34">
        <v>258</v>
      </c>
      <c r="I1317" s="35">
        <v>285.60000000000002</v>
      </c>
      <c r="J1317" s="114" t="s">
        <v>4607</v>
      </c>
      <c r="K1317" s="57" t="s">
        <v>116</v>
      </c>
      <c r="L1317" s="438"/>
      <c r="M1317" s="480"/>
      <c r="N1317" s="1015" t="s">
        <v>1856</v>
      </c>
      <c r="O1317" s="622"/>
      <c r="P1317" s="70" t="s">
        <v>50</v>
      </c>
      <c r="Q1317" s="100">
        <f t="shared" si="704"/>
        <v>0</v>
      </c>
      <c r="R1317" s="13" t="str">
        <f t="shared" si="705"/>
        <v>Фото &gt;&gt;</v>
      </c>
      <c r="S1317" s="14" t="s">
        <v>4443</v>
      </c>
      <c r="AK1317">
        <v>1.2</v>
      </c>
      <c r="AL1317">
        <f t="shared" si="706"/>
        <v>0</v>
      </c>
      <c r="AM1317">
        <f t="shared" si="707"/>
        <v>0</v>
      </c>
      <c r="AN1317">
        <f t="shared" si="708"/>
        <v>0</v>
      </c>
      <c r="AO1317" t="s">
        <v>4447</v>
      </c>
      <c r="AV1317" t="str">
        <f>IF(F1317&gt;0,(COUNT($AV$1:AV1316)+1),"")</f>
        <v/>
      </c>
    </row>
    <row r="1318" spans="1:48" ht="15" customHeight="1" x14ac:dyDescent="0.25">
      <c r="A1318" s="1"/>
      <c r="B1318" s="59">
        <v>20740</v>
      </c>
      <c r="C1318" s="23">
        <v>4605169208227</v>
      </c>
      <c r="D1318" s="624" t="s">
        <v>7544</v>
      </c>
      <c r="E1318" s="75">
        <v>12</v>
      </c>
      <c r="F1318" s="222"/>
      <c r="G1318" s="927">
        <v>221.4</v>
      </c>
      <c r="H1318" s="928">
        <v>232.2</v>
      </c>
      <c r="I1318" s="929">
        <v>257</v>
      </c>
      <c r="J1318" s="115" t="s">
        <v>4607</v>
      </c>
      <c r="K1318" s="46" t="s">
        <v>116</v>
      </c>
      <c r="L1318" s="440"/>
      <c r="M1318" s="474"/>
      <c r="N1318" s="1013" t="s">
        <v>1856</v>
      </c>
      <c r="O1318" s="211" t="s">
        <v>6856</v>
      </c>
      <c r="P1318" s="74" t="s">
        <v>50</v>
      </c>
      <c r="Q1318" s="100">
        <f t="shared" si="704"/>
        <v>0</v>
      </c>
      <c r="R1318" s="13" t="str">
        <f t="shared" si="705"/>
        <v>Фото &gt;&gt;</v>
      </c>
      <c r="S1318" s="14" t="s">
        <v>4444</v>
      </c>
      <c r="AK1318">
        <v>1.2</v>
      </c>
      <c r="AL1318">
        <f t="shared" si="706"/>
        <v>0</v>
      </c>
      <c r="AM1318">
        <f t="shared" si="707"/>
        <v>0</v>
      </c>
      <c r="AN1318">
        <f t="shared" si="708"/>
        <v>0</v>
      </c>
      <c r="AO1318" t="s">
        <v>4448</v>
      </c>
      <c r="AV1318" t="str">
        <f>IF(F1318&gt;0,(COUNT($AV$1:AV1317)+1),"")</f>
        <v/>
      </c>
    </row>
    <row r="1319" spans="1:48" ht="15" customHeight="1" x14ac:dyDescent="0.25">
      <c r="A1319" s="1"/>
      <c r="B1319" s="56">
        <v>20741</v>
      </c>
      <c r="C1319" s="33">
        <v>4605169207435</v>
      </c>
      <c r="D1319" s="566" t="s">
        <v>6919</v>
      </c>
      <c r="E1319" s="71">
        <v>12</v>
      </c>
      <c r="F1319" s="222"/>
      <c r="G1319" s="109">
        <v>246</v>
      </c>
      <c r="H1319" s="34">
        <v>258</v>
      </c>
      <c r="I1319" s="35">
        <v>285.60000000000002</v>
      </c>
      <c r="J1319" s="114" t="s">
        <v>4607</v>
      </c>
      <c r="K1319" s="57" t="s">
        <v>116</v>
      </c>
      <c r="L1319" s="438"/>
      <c r="M1319" s="480"/>
      <c r="N1319" s="1015" t="s">
        <v>1856</v>
      </c>
      <c r="O1319" s="622"/>
      <c r="P1319" s="70" t="s">
        <v>50</v>
      </c>
      <c r="Q1319" s="100">
        <f t="shared" si="704"/>
        <v>0</v>
      </c>
      <c r="R1319" s="13" t="str">
        <f t="shared" si="705"/>
        <v>Фото &gt;&gt;</v>
      </c>
      <c r="S1319" s="14" t="s">
        <v>4445</v>
      </c>
      <c r="AK1319">
        <v>1.2</v>
      </c>
      <c r="AL1319">
        <f t="shared" si="706"/>
        <v>0</v>
      </c>
      <c r="AM1319">
        <f t="shared" si="707"/>
        <v>0</v>
      </c>
      <c r="AN1319">
        <f t="shared" si="708"/>
        <v>0</v>
      </c>
      <c r="AO1319" t="s">
        <v>4449</v>
      </c>
      <c r="AV1319" t="str">
        <f>IF(F1319&gt;0,(COUNT($AV$1:AV1318)+1),"")</f>
        <v/>
      </c>
    </row>
    <row r="1320" spans="1:48" ht="15" customHeight="1" x14ac:dyDescent="0.25">
      <c r="A1320" s="1"/>
      <c r="B1320" s="25"/>
      <c r="C1320" s="26"/>
      <c r="D1320" s="27" t="s">
        <v>7100</v>
      </c>
      <c r="E1320" s="80"/>
      <c r="F1320" s="96"/>
      <c r="G1320" s="28"/>
      <c r="H1320" s="29"/>
      <c r="I1320" s="29"/>
      <c r="J1320" s="51"/>
      <c r="K1320" s="47"/>
      <c r="L1320" s="447"/>
      <c r="M1320" s="489" t="s">
        <v>104</v>
      </c>
      <c r="N1320" s="716"/>
      <c r="O1320" s="186"/>
      <c r="P1320" s="79"/>
      <c r="Q1320" s="104"/>
      <c r="R1320" s="13" t="str">
        <f t="shared" si="705"/>
        <v/>
      </c>
      <c r="S1320" s="14"/>
      <c r="AV1320" t="str">
        <f>IF(F1320&gt;0,(COUNT($AV$1:AV1319)+1),"")</f>
        <v/>
      </c>
    </row>
    <row r="1321" spans="1:48" ht="15" customHeight="1" x14ac:dyDescent="0.25">
      <c r="A1321" s="1"/>
      <c r="B1321" s="59">
        <v>21527</v>
      </c>
      <c r="C1321" s="23">
        <v>4650274250272</v>
      </c>
      <c r="D1321" s="624" t="s">
        <v>7101</v>
      </c>
      <c r="E1321" s="75">
        <v>12</v>
      </c>
      <c r="F1321" s="222"/>
      <c r="G1321" s="111">
        <v>89.6</v>
      </c>
      <c r="H1321" s="5">
        <v>95</v>
      </c>
      <c r="I1321" s="24">
        <v>105</v>
      </c>
      <c r="J1321" s="115" t="s">
        <v>4607</v>
      </c>
      <c r="K1321" s="46" t="s">
        <v>116</v>
      </c>
      <c r="L1321" s="440"/>
      <c r="M1321" s="474"/>
      <c r="N1321" s="1013"/>
      <c r="O1321" s="211" t="s">
        <v>1637</v>
      </c>
      <c r="P1321" s="74" t="s">
        <v>72</v>
      </c>
      <c r="Q1321" s="100">
        <f t="shared" ref="Q1321:Q1329" si="709">IF($AO$1305=2,F1321*H1321,IF($AO$1305=1,F1321*G1321,F1321*I1321))</f>
        <v>0</v>
      </c>
      <c r="R1321" s="94" t="str">
        <f t="shared" si="705"/>
        <v>Фото &gt;&gt;</v>
      </c>
      <c r="S1321" s="14" t="s">
        <v>7105</v>
      </c>
      <c r="AK1321">
        <v>0.52</v>
      </c>
      <c r="AL1321">
        <f t="shared" ref="AL1321:AL1324" si="710">F1321*G1321</f>
        <v>0</v>
      </c>
      <c r="AM1321">
        <f t="shared" ref="AM1321:AM1324" si="711">F1321*H1321</f>
        <v>0</v>
      </c>
      <c r="AN1321">
        <f t="shared" ref="AN1321:AN1324" si="712">AK1321*F1321</f>
        <v>0</v>
      </c>
      <c r="AO1321" t="s">
        <v>7107</v>
      </c>
      <c r="AV1321" t="str">
        <f>IF(F1321&gt;0,(COUNT($AV$1:AV1320)+1),"")</f>
        <v/>
      </c>
    </row>
    <row r="1322" spans="1:48" ht="15" customHeight="1" x14ac:dyDescent="0.25">
      <c r="A1322" s="1"/>
      <c r="B1322" s="56">
        <v>21524</v>
      </c>
      <c r="C1322" s="33">
        <v>4650274250302</v>
      </c>
      <c r="D1322" s="427" t="s">
        <v>7102</v>
      </c>
      <c r="E1322" s="71">
        <v>12</v>
      </c>
      <c r="F1322" s="222"/>
      <c r="G1322" s="109">
        <v>89.6</v>
      </c>
      <c r="H1322" s="34">
        <v>95</v>
      </c>
      <c r="I1322" s="35">
        <v>105</v>
      </c>
      <c r="J1322" s="114" t="s">
        <v>4607</v>
      </c>
      <c r="K1322" s="57" t="s">
        <v>116</v>
      </c>
      <c r="L1322" s="438"/>
      <c r="M1322" s="480"/>
      <c r="N1322" s="1015"/>
      <c r="O1322" s="219" t="s">
        <v>1637</v>
      </c>
      <c r="P1322" s="70" t="s">
        <v>72</v>
      </c>
      <c r="Q1322" s="100">
        <f t="shared" si="709"/>
        <v>0</v>
      </c>
      <c r="R1322" s="94" t="str">
        <f t="shared" si="705"/>
        <v>Фото &gt;&gt;</v>
      </c>
      <c r="S1322" s="14" t="s">
        <v>7106</v>
      </c>
      <c r="AK1322">
        <v>0.52</v>
      </c>
      <c r="AL1322">
        <f t="shared" si="710"/>
        <v>0</v>
      </c>
      <c r="AM1322">
        <f t="shared" si="711"/>
        <v>0</v>
      </c>
      <c r="AN1322">
        <f t="shared" si="712"/>
        <v>0</v>
      </c>
      <c r="AO1322" t="s">
        <v>7108</v>
      </c>
      <c r="AV1322" t="str">
        <f>IF(F1322&gt;0,(COUNT($AV$1:AV1321)+1),"")</f>
        <v/>
      </c>
    </row>
    <row r="1323" spans="1:48" ht="15" customHeight="1" x14ac:dyDescent="0.25">
      <c r="A1323" s="1"/>
      <c r="B1323" s="59">
        <v>21528</v>
      </c>
      <c r="C1323" s="23">
        <v>4650274250296</v>
      </c>
      <c r="D1323" s="624" t="s">
        <v>7103</v>
      </c>
      <c r="E1323" s="75">
        <v>12</v>
      </c>
      <c r="F1323" s="222"/>
      <c r="G1323" s="111">
        <v>89.6</v>
      </c>
      <c r="H1323" s="5">
        <v>95</v>
      </c>
      <c r="I1323" s="24">
        <v>105</v>
      </c>
      <c r="J1323" s="115" t="s">
        <v>4607</v>
      </c>
      <c r="K1323" s="46" t="s">
        <v>116</v>
      </c>
      <c r="L1323" s="440"/>
      <c r="M1323" s="474"/>
      <c r="N1323" s="1013" t="s">
        <v>1856</v>
      </c>
      <c r="O1323" s="211" t="s">
        <v>1637</v>
      </c>
      <c r="P1323" s="74" t="s">
        <v>72</v>
      </c>
      <c r="Q1323" s="100">
        <f t="shared" si="709"/>
        <v>0</v>
      </c>
      <c r="R1323" s="94" t="str">
        <f t="shared" si="705"/>
        <v>Фото &gt;&gt;</v>
      </c>
      <c r="S1323" s="14" t="s">
        <v>7104</v>
      </c>
      <c r="AK1323">
        <v>0.52</v>
      </c>
      <c r="AL1323">
        <f t="shared" si="710"/>
        <v>0</v>
      </c>
      <c r="AM1323">
        <f t="shared" si="711"/>
        <v>0</v>
      </c>
      <c r="AN1323">
        <f t="shared" si="712"/>
        <v>0</v>
      </c>
      <c r="AO1323" t="s">
        <v>7109</v>
      </c>
      <c r="AV1323" t="str">
        <f>IF(F1323&gt;0,(COUNT($AV$1:AV1322)+1),"")</f>
        <v/>
      </c>
    </row>
    <row r="1324" spans="1:48" ht="15" customHeight="1" x14ac:dyDescent="0.25">
      <c r="A1324" s="1"/>
      <c r="B1324" s="56">
        <v>20651</v>
      </c>
      <c r="C1324" s="33">
        <v>4605169000807</v>
      </c>
      <c r="D1324" s="566" t="s">
        <v>4578</v>
      </c>
      <c r="E1324" s="71">
        <v>12</v>
      </c>
      <c r="F1324" s="222"/>
      <c r="G1324" s="109">
        <v>67.3</v>
      </c>
      <c r="H1324" s="34">
        <v>70.400000000000006</v>
      </c>
      <c r="I1324" s="35">
        <v>76.5</v>
      </c>
      <c r="J1324" s="114" t="s">
        <v>4607</v>
      </c>
      <c r="K1324" s="57" t="s">
        <v>116</v>
      </c>
      <c r="L1324" s="438"/>
      <c r="M1324" s="480"/>
      <c r="N1324" s="1015" t="s">
        <v>1856</v>
      </c>
      <c r="O1324" s="622"/>
      <c r="P1324" s="70" t="s">
        <v>72</v>
      </c>
      <c r="Q1324" s="100">
        <f t="shared" si="709"/>
        <v>0</v>
      </c>
      <c r="R1324" s="13" t="str">
        <f t="shared" si="705"/>
        <v>Фото &gt;&gt;</v>
      </c>
      <c r="S1324" s="14" t="s">
        <v>4229</v>
      </c>
      <c r="AK1324">
        <v>0.4</v>
      </c>
      <c r="AL1324">
        <f t="shared" si="710"/>
        <v>0</v>
      </c>
      <c r="AM1324">
        <f t="shared" si="711"/>
        <v>0</v>
      </c>
      <c r="AN1324">
        <f t="shared" si="712"/>
        <v>0</v>
      </c>
      <c r="AO1324" t="s">
        <v>4234</v>
      </c>
      <c r="AV1324" t="str">
        <f>IF(F1324&gt;0,(COUNT($AV$1:AV1323)+1),"")</f>
        <v/>
      </c>
    </row>
    <row r="1325" spans="1:48" ht="15" customHeight="1" x14ac:dyDescent="0.25">
      <c r="A1325" s="1"/>
      <c r="B1325" s="59">
        <v>20700</v>
      </c>
      <c r="C1325" s="23">
        <v>4605169213610</v>
      </c>
      <c r="D1325" s="567" t="s">
        <v>4579</v>
      </c>
      <c r="E1325" s="75">
        <v>12</v>
      </c>
      <c r="F1325" s="222"/>
      <c r="G1325" s="111">
        <v>67.3</v>
      </c>
      <c r="H1325" s="5">
        <v>70.400000000000006</v>
      </c>
      <c r="I1325" s="24">
        <v>76.5</v>
      </c>
      <c r="J1325" s="115" t="s">
        <v>4607</v>
      </c>
      <c r="K1325" s="46" t="s">
        <v>116</v>
      </c>
      <c r="L1325" s="440"/>
      <c r="M1325" s="474"/>
      <c r="N1325" s="1013" t="s">
        <v>1856</v>
      </c>
      <c r="O1325" s="621"/>
      <c r="P1325" s="74" t="s">
        <v>72</v>
      </c>
      <c r="Q1325" s="100">
        <f t="shared" si="709"/>
        <v>0</v>
      </c>
      <c r="R1325" s="13" t="str">
        <f t="shared" si="705"/>
        <v>Фото &gt;&gt;</v>
      </c>
      <c r="S1325" s="14" t="s">
        <v>4333</v>
      </c>
      <c r="AK1325">
        <v>0.4</v>
      </c>
      <c r="AL1325">
        <f>F1325*G1325</f>
        <v>0</v>
      </c>
      <c r="AM1325">
        <f>F1325*H1325</f>
        <v>0</v>
      </c>
      <c r="AN1325">
        <f>AK1325*F1325</f>
        <v>0</v>
      </c>
      <c r="AO1325" t="s">
        <v>4334</v>
      </c>
      <c r="AV1325" t="str">
        <f>IF(F1325&gt;0,(COUNT($AV$1:AV1324)+1),"")</f>
        <v/>
      </c>
    </row>
    <row r="1326" spans="1:48" ht="15" customHeight="1" x14ac:dyDescent="0.25">
      <c r="A1326" s="1"/>
      <c r="B1326" s="56">
        <v>20652</v>
      </c>
      <c r="C1326" s="33">
        <v>4605169000845</v>
      </c>
      <c r="D1326" s="566" t="s">
        <v>4580</v>
      </c>
      <c r="E1326" s="71">
        <v>12</v>
      </c>
      <c r="F1326" s="222"/>
      <c r="G1326" s="109">
        <v>67.3</v>
      </c>
      <c r="H1326" s="34">
        <v>70.400000000000006</v>
      </c>
      <c r="I1326" s="35">
        <v>76.5</v>
      </c>
      <c r="J1326" s="114" t="s">
        <v>4607</v>
      </c>
      <c r="K1326" s="57" t="s">
        <v>116</v>
      </c>
      <c r="L1326" s="438"/>
      <c r="M1326" s="480" t="s">
        <v>1856</v>
      </c>
      <c r="N1326" s="1015" t="s">
        <v>1856</v>
      </c>
      <c r="O1326" s="622"/>
      <c r="P1326" s="70" t="s">
        <v>72</v>
      </c>
      <c r="Q1326" s="100">
        <f t="shared" si="709"/>
        <v>0</v>
      </c>
      <c r="R1326" s="13" t="str">
        <f t="shared" ref="R1326:R1327" si="713">IF(AO1326&gt;0,HYPERLINK(AO1326,"Фото &gt;&gt;"),"")</f>
        <v>Фото &gt;&gt;</v>
      </c>
      <c r="S1326" s="14" t="s">
        <v>4231</v>
      </c>
      <c r="AK1326">
        <v>0.4</v>
      </c>
      <c r="AL1326">
        <f t="shared" ref="AL1326:AL1339" si="714">F1326*G1326</f>
        <v>0</v>
      </c>
      <c r="AM1326">
        <f t="shared" ref="AM1326:AM1339" si="715">F1326*H1326</f>
        <v>0</v>
      </c>
      <c r="AN1326">
        <f t="shared" ref="AN1326:AN1339" si="716">AK1326*F1326</f>
        <v>0</v>
      </c>
      <c r="AO1326" t="s">
        <v>4235</v>
      </c>
      <c r="AV1326" t="str">
        <f>IF(F1326&gt;0,(COUNT($AV$1:AV1325)+1),"")</f>
        <v/>
      </c>
    </row>
    <row r="1327" spans="1:48" ht="15" customHeight="1" x14ac:dyDescent="0.25">
      <c r="A1327" s="1"/>
      <c r="B1327" s="59">
        <v>20653</v>
      </c>
      <c r="C1327" s="23">
        <v>4605169000852</v>
      </c>
      <c r="D1327" s="567" t="s">
        <v>4581</v>
      </c>
      <c r="E1327" s="75">
        <v>12</v>
      </c>
      <c r="F1327" s="222"/>
      <c r="G1327" s="111">
        <v>67.3</v>
      </c>
      <c r="H1327" s="5">
        <v>70.400000000000006</v>
      </c>
      <c r="I1327" s="24">
        <v>76.5</v>
      </c>
      <c r="J1327" s="115" t="s">
        <v>4607</v>
      </c>
      <c r="K1327" s="46" t="s">
        <v>116</v>
      </c>
      <c r="L1327" s="440"/>
      <c r="M1327" s="474"/>
      <c r="N1327" s="1013" t="s">
        <v>1856</v>
      </c>
      <c r="O1327" s="621"/>
      <c r="P1327" s="74" t="s">
        <v>72</v>
      </c>
      <c r="Q1327" s="100">
        <f t="shared" si="709"/>
        <v>0</v>
      </c>
      <c r="R1327" s="13" t="str">
        <f t="shared" si="713"/>
        <v>Фото &gt;&gt;</v>
      </c>
      <c r="S1327" s="14" t="s">
        <v>4233</v>
      </c>
      <c r="AK1327">
        <v>0.4</v>
      </c>
      <c r="AL1327">
        <f t="shared" si="714"/>
        <v>0</v>
      </c>
      <c r="AM1327">
        <f t="shared" si="715"/>
        <v>0</v>
      </c>
      <c r="AN1327">
        <f t="shared" si="716"/>
        <v>0</v>
      </c>
      <c r="AO1327" t="s">
        <v>4236</v>
      </c>
      <c r="AV1327" t="str">
        <f>IF(F1327&gt;0,(COUNT($AV$1:AV1326)+1),"")</f>
        <v/>
      </c>
    </row>
    <row r="1328" spans="1:48" ht="15" customHeight="1" x14ac:dyDescent="0.25">
      <c r="A1328" s="1"/>
      <c r="B1328" s="56">
        <v>20654</v>
      </c>
      <c r="C1328" s="33">
        <v>4605169000869</v>
      </c>
      <c r="D1328" s="566" t="s">
        <v>4582</v>
      </c>
      <c r="E1328" s="71">
        <v>12</v>
      </c>
      <c r="F1328" s="222"/>
      <c r="G1328" s="109">
        <v>67.3</v>
      </c>
      <c r="H1328" s="34">
        <v>70.400000000000006</v>
      </c>
      <c r="I1328" s="35">
        <v>76.5</v>
      </c>
      <c r="J1328" s="114" t="s">
        <v>4607</v>
      </c>
      <c r="K1328" s="57" t="s">
        <v>116</v>
      </c>
      <c r="L1328" s="438"/>
      <c r="M1328" s="480"/>
      <c r="N1328" s="1015" t="s">
        <v>1856</v>
      </c>
      <c r="O1328" s="622"/>
      <c r="P1328" s="70" t="s">
        <v>72</v>
      </c>
      <c r="Q1328" s="100">
        <f t="shared" si="709"/>
        <v>0</v>
      </c>
      <c r="R1328" s="13" t="str">
        <f>IF(AO1328&gt;0,HYPERLINK(AO1328,"Фото &gt;&gt;"),"")</f>
        <v>Фото &gt;&gt;</v>
      </c>
      <c r="S1328" s="14" t="s">
        <v>4230</v>
      </c>
      <c r="AK1328">
        <v>0.4</v>
      </c>
      <c r="AL1328">
        <f t="shared" si="714"/>
        <v>0</v>
      </c>
      <c r="AM1328">
        <f t="shared" si="715"/>
        <v>0</v>
      </c>
      <c r="AN1328">
        <f t="shared" si="716"/>
        <v>0</v>
      </c>
      <c r="AO1328" t="s">
        <v>4237</v>
      </c>
      <c r="AV1328" t="str">
        <f>IF(F1328&gt;0,(COUNT($AV$1:AV1327)+1),"")</f>
        <v/>
      </c>
    </row>
    <row r="1329" spans="1:48" ht="15" customHeight="1" x14ac:dyDescent="0.25">
      <c r="A1329" s="1"/>
      <c r="B1329" s="59">
        <v>20655</v>
      </c>
      <c r="C1329" s="23">
        <v>4605169000876</v>
      </c>
      <c r="D1329" s="567" t="s">
        <v>4583</v>
      </c>
      <c r="E1329" s="75">
        <v>12</v>
      </c>
      <c r="F1329" s="222"/>
      <c r="G1329" s="111">
        <v>67.3</v>
      </c>
      <c r="H1329" s="5">
        <v>70.400000000000006</v>
      </c>
      <c r="I1329" s="24">
        <v>76.5</v>
      </c>
      <c r="J1329" s="115" t="s">
        <v>4607</v>
      </c>
      <c r="K1329" s="46" t="s">
        <v>116</v>
      </c>
      <c r="L1329" s="440"/>
      <c r="M1329" s="474"/>
      <c r="N1329" s="1013" t="s">
        <v>1856</v>
      </c>
      <c r="O1329" s="621"/>
      <c r="P1329" s="74" t="s">
        <v>72</v>
      </c>
      <c r="Q1329" s="100">
        <f t="shared" si="709"/>
        <v>0</v>
      </c>
      <c r="R1329" s="13" t="str">
        <f>IF(AO1329&gt;0,HYPERLINK(AO1329,"Фото &gt;&gt;"),"")</f>
        <v>Фото &gt;&gt;</v>
      </c>
      <c r="S1329" s="14" t="s">
        <v>4232</v>
      </c>
      <c r="AK1329">
        <v>0.4</v>
      </c>
      <c r="AL1329">
        <f t="shared" si="714"/>
        <v>0</v>
      </c>
      <c r="AM1329">
        <f t="shared" si="715"/>
        <v>0</v>
      </c>
      <c r="AN1329">
        <f t="shared" si="716"/>
        <v>0</v>
      </c>
      <c r="AO1329" t="s">
        <v>4238</v>
      </c>
      <c r="AV1329" t="str">
        <f>IF(F1329&gt;0,(COUNT($AV$1:AV1328)+1),"")</f>
        <v/>
      </c>
    </row>
    <row r="1330" spans="1:48" ht="15" customHeight="1" x14ac:dyDescent="0.25">
      <c r="A1330" s="1"/>
      <c r="B1330" s="25"/>
      <c r="C1330" s="26"/>
      <c r="D1330" s="27" t="s">
        <v>6261</v>
      </c>
      <c r="E1330" s="80"/>
      <c r="F1330" s="96"/>
      <c r="G1330" s="28"/>
      <c r="H1330" s="29"/>
      <c r="I1330" s="29"/>
      <c r="J1330" s="51"/>
      <c r="K1330" s="47"/>
      <c r="L1330" s="447"/>
      <c r="M1330" s="489"/>
      <c r="N1330" s="716"/>
      <c r="O1330" s="186"/>
      <c r="P1330" s="79"/>
      <c r="Q1330" s="104"/>
      <c r="R1330" s="13"/>
      <c r="S1330" s="14"/>
      <c r="AL1330">
        <f t="shared" si="714"/>
        <v>0</v>
      </c>
      <c r="AM1330">
        <f t="shared" si="715"/>
        <v>0</v>
      </c>
      <c r="AN1330">
        <f t="shared" si="716"/>
        <v>0</v>
      </c>
      <c r="AO1330" t="s">
        <v>104</v>
      </c>
      <c r="AV1330" t="str">
        <f>IF(F1330&gt;0,(COUNT($AV$1:AV1329)+1),"")</f>
        <v/>
      </c>
    </row>
    <row r="1331" spans="1:48" ht="15" customHeight="1" x14ac:dyDescent="0.25">
      <c r="A1331" s="1"/>
      <c r="B1331" s="59">
        <v>21195</v>
      </c>
      <c r="C1331" s="23">
        <v>4650274250234</v>
      </c>
      <c r="D1331" s="567" t="s">
        <v>7281</v>
      </c>
      <c r="E1331" s="1225">
        <v>20</v>
      </c>
      <c r="F1331" s="673"/>
      <c r="G1331" s="111">
        <v>34.5</v>
      </c>
      <c r="H1331" s="5">
        <v>36.5</v>
      </c>
      <c r="I1331" s="24">
        <v>40</v>
      </c>
      <c r="J1331" s="115" t="s">
        <v>4607</v>
      </c>
      <c r="K1331" s="46" t="s">
        <v>92</v>
      </c>
      <c r="L1331" s="440"/>
      <c r="M1331" s="474" t="s">
        <v>1856</v>
      </c>
      <c r="N1331" s="1013" t="s">
        <v>1856</v>
      </c>
      <c r="O1331" s="214" t="s">
        <v>2271</v>
      </c>
      <c r="P1331" s="74" t="s">
        <v>72</v>
      </c>
      <c r="Q1331" s="100">
        <f>IF($AO$1305=2,F1331*H1331,IF($AO$1305=1,F1331*G1331,F1331*I1331))</f>
        <v>0</v>
      </c>
      <c r="R1331" s="13" t="str">
        <f t="shared" ref="R1331:R1333" si="717">IF(AO1331&gt;0,HYPERLINK(AO1331,"Фото &gt;&gt;"),"")</f>
        <v>Фото &gt;&gt;</v>
      </c>
      <c r="S1331" s="14" t="s">
        <v>6263</v>
      </c>
      <c r="AK1331">
        <v>0.06</v>
      </c>
      <c r="AL1331">
        <f t="shared" si="714"/>
        <v>0</v>
      </c>
      <c r="AM1331">
        <f t="shared" si="715"/>
        <v>0</v>
      </c>
      <c r="AN1331">
        <f t="shared" si="716"/>
        <v>0</v>
      </c>
      <c r="AO1331" t="s">
        <v>6265</v>
      </c>
      <c r="AQ1331" s="520" t="str">
        <f>CONCATENATE("http://1.c8804.nichost.ru/pics/",B1331,".jpg")</f>
        <v>http://1.c8804.nichost.ru/pics/21195.jpg</v>
      </c>
      <c r="AV1331" t="str">
        <f>IF(F1331&gt;0,(COUNT($AV$1:AV1330)+1),"")</f>
        <v/>
      </c>
    </row>
    <row r="1332" spans="1:48" ht="15" customHeight="1" x14ac:dyDescent="0.25">
      <c r="A1332" s="1"/>
      <c r="B1332" s="56">
        <v>21197</v>
      </c>
      <c r="C1332" s="33">
        <v>4650274250241</v>
      </c>
      <c r="D1332" s="566" t="s">
        <v>7282</v>
      </c>
      <c r="E1332" s="623">
        <v>20</v>
      </c>
      <c r="F1332" s="673"/>
      <c r="G1332" s="109">
        <v>34.5</v>
      </c>
      <c r="H1332" s="34">
        <v>36.5</v>
      </c>
      <c r="I1332" s="35">
        <v>40</v>
      </c>
      <c r="J1332" s="114" t="s">
        <v>4607</v>
      </c>
      <c r="K1332" s="57" t="s">
        <v>92</v>
      </c>
      <c r="L1332" s="438"/>
      <c r="M1332" s="480" t="s">
        <v>1856</v>
      </c>
      <c r="N1332" s="1015" t="s">
        <v>1856</v>
      </c>
      <c r="O1332" s="218" t="s">
        <v>2271</v>
      </c>
      <c r="P1332" s="70" t="s">
        <v>72</v>
      </c>
      <c r="Q1332" s="100">
        <f>IF($AO$1305=2,F1332*H1332,IF($AO$1305=1,F1332*G1332,F1332*I1332))</f>
        <v>0</v>
      </c>
      <c r="R1332" s="13" t="str">
        <f t="shared" si="717"/>
        <v>Фото &gt;&gt;</v>
      </c>
      <c r="S1332" s="14" t="s">
        <v>6262</v>
      </c>
      <c r="AK1332">
        <v>0.06</v>
      </c>
      <c r="AL1332">
        <f t="shared" si="714"/>
        <v>0</v>
      </c>
      <c r="AM1332">
        <f t="shared" si="715"/>
        <v>0</v>
      </c>
      <c r="AN1332">
        <f t="shared" si="716"/>
        <v>0</v>
      </c>
      <c r="AO1332" t="s">
        <v>6266</v>
      </c>
      <c r="AQ1332" s="520" t="str">
        <f t="shared" ref="AQ1332:AQ1333" si="718">CONCATENATE("http://1.c8804.nichost.ru/pics/",B1332,".jpg")</f>
        <v>http://1.c8804.nichost.ru/pics/21197.jpg</v>
      </c>
      <c r="AV1332" t="str">
        <f>IF(F1332&gt;0,(COUNT($AV$1:AV1331)+1),"")</f>
        <v/>
      </c>
    </row>
    <row r="1333" spans="1:48" ht="15" customHeight="1" x14ac:dyDescent="0.25">
      <c r="A1333" s="1"/>
      <c r="B1333" s="59">
        <v>21196</v>
      </c>
      <c r="C1333" s="23">
        <v>4650274250265</v>
      </c>
      <c r="D1333" s="567" t="s">
        <v>7283</v>
      </c>
      <c r="E1333" s="1225">
        <v>20</v>
      </c>
      <c r="F1333" s="673"/>
      <c r="G1333" s="111">
        <v>34.5</v>
      </c>
      <c r="H1333" s="5">
        <v>36.5</v>
      </c>
      <c r="I1333" s="24">
        <v>40</v>
      </c>
      <c r="J1333" s="115" t="s">
        <v>4607</v>
      </c>
      <c r="K1333" s="46" t="s">
        <v>92</v>
      </c>
      <c r="L1333" s="440"/>
      <c r="M1333" s="474" t="s">
        <v>1856</v>
      </c>
      <c r="N1333" s="1013" t="s">
        <v>1856</v>
      </c>
      <c r="O1333" s="214" t="s">
        <v>2271</v>
      </c>
      <c r="P1333" s="74" t="s">
        <v>72</v>
      </c>
      <c r="Q1333" s="100">
        <f>IF($AO$1305=2,F1333*H1333,IF($AO$1305=1,F1333*G1333,F1333*I1333))</f>
        <v>0</v>
      </c>
      <c r="R1333" s="13" t="str">
        <f t="shared" si="717"/>
        <v>Фото &gt;&gt;</v>
      </c>
      <c r="S1333" s="14" t="s">
        <v>6264</v>
      </c>
      <c r="AK1333">
        <v>0.06</v>
      </c>
      <c r="AL1333">
        <f t="shared" si="714"/>
        <v>0</v>
      </c>
      <c r="AM1333">
        <f t="shared" si="715"/>
        <v>0</v>
      </c>
      <c r="AN1333">
        <f t="shared" si="716"/>
        <v>0</v>
      </c>
      <c r="AO1333" t="s">
        <v>6267</v>
      </c>
      <c r="AQ1333" s="520" t="str">
        <f t="shared" si="718"/>
        <v>http://1.c8804.nichost.ru/pics/21196.jpg</v>
      </c>
      <c r="AV1333" t="str">
        <f>IF(F1333&gt;0,(COUNT($AV$1:AV1332)+1),"")</f>
        <v/>
      </c>
    </row>
    <row r="1334" spans="1:48" ht="15" customHeight="1" x14ac:dyDescent="0.25">
      <c r="A1334" s="1"/>
      <c r="B1334" s="25"/>
      <c r="C1334" s="26"/>
      <c r="D1334" s="27" t="s">
        <v>5679</v>
      </c>
      <c r="E1334" s="1238"/>
      <c r="F1334" s="96"/>
      <c r="G1334" s="28"/>
      <c r="H1334" s="29"/>
      <c r="I1334" s="29"/>
      <c r="J1334" s="51"/>
      <c r="K1334" s="47"/>
      <c r="L1334" s="447"/>
      <c r="M1334" s="489"/>
      <c r="N1334" s="716"/>
      <c r="O1334" s="186"/>
      <c r="P1334" s="79"/>
      <c r="Q1334" s="104"/>
      <c r="R1334" s="13"/>
      <c r="S1334" s="14"/>
      <c r="AL1334">
        <f t="shared" si="714"/>
        <v>0</v>
      </c>
      <c r="AM1334">
        <f t="shared" si="715"/>
        <v>0</v>
      </c>
      <c r="AN1334">
        <f t="shared" si="716"/>
        <v>0</v>
      </c>
      <c r="AO1334" t="s">
        <v>104</v>
      </c>
      <c r="AV1334" t="str">
        <f>IF(F1334&gt;0,(COUNT($AV$1:AV1333)+1),"")</f>
        <v/>
      </c>
    </row>
    <row r="1335" spans="1:48" ht="15" customHeight="1" x14ac:dyDescent="0.25">
      <c r="A1335" s="1"/>
      <c r="B1335" s="1166">
        <v>20981</v>
      </c>
      <c r="C1335" s="1167">
        <v>4605169213832</v>
      </c>
      <c r="D1335" s="1168" t="s">
        <v>6371</v>
      </c>
      <c r="E1335" s="1239">
        <v>20</v>
      </c>
      <c r="F1335" s="673"/>
      <c r="G1335" s="1169">
        <v>29.3</v>
      </c>
      <c r="H1335" s="1170">
        <v>30.7</v>
      </c>
      <c r="I1335" s="1171">
        <v>34</v>
      </c>
      <c r="J1335" s="1172" t="s">
        <v>4607</v>
      </c>
      <c r="K1335" s="1173" t="s">
        <v>96</v>
      </c>
      <c r="L1335" s="1174" t="s">
        <v>3258</v>
      </c>
      <c r="M1335" s="680"/>
      <c r="N1335" s="1027" t="s">
        <v>1856</v>
      </c>
      <c r="O1335" s="1175" t="s">
        <v>2271</v>
      </c>
      <c r="P1335" s="1176" t="s">
        <v>72</v>
      </c>
      <c r="Q1335" s="100">
        <f>IF($AO$1305=2,F1335*H1335,IF($AO$1305=1,F1335*G1335,F1335*I1335))</f>
        <v>0</v>
      </c>
      <c r="R1335" s="13" t="str">
        <f t="shared" ref="R1335:R1339" si="719">IF(AO1335&gt;0,HYPERLINK(AO1335,"Фото &gt;&gt;"),"")</f>
        <v>Фото &gt;&gt;</v>
      </c>
      <c r="S1335" s="14" t="s">
        <v>5682</v>
      </c>
      <c r="AK1335">
        <v>0.06</v>
      </c>
      <c r="AL1335">
        <f t="shared" si="714"/>
        <v>0</v>
      </c>
      <c r="AM1335">
        <f t="shared" si="715"/>
        <v>0</v>
      </c>
      <c r="AN1335">
        <f t="shared" si="716"/>
        <v>0</v>
      </c>
      <c r="AO1335" t="s">
        <v>5685</v>
      </c>
      <c r="AV1335" t="str">
        <f>IF(F1335&gt;0,(COUNT($AV$1:AV1334)+1),"")</f>
        <v/>
      </c>
    </row>
    <row r="1336" spans="1:48" ht="15" customHeight="1" x14ac:dyDescent="0.25">
      <c r="A1336" s="1"/>
      <c r="B1336" s="56">
        <v>20984</v>
      </c>
      <c r="C1336" s="33">
        <v>4650274250197</v>
      </c>
      <c r="D1336" s="566" t="s">
        <v>6372</v>
      </c>
      <c r="E1336" s="623">
        <v>20</v>
      </c>
      <c r="F1336" s="222"/>
      <c r="G1336" s="109">
        <v>29.3</v>
      </c>
      <c r="H1336" s="34">
        <v>30.7</v>
      </c>
      <c r="I1336" s="35">
        <v>34</v>
      </c>
      <c r="J1336" s="114" t="s">
        <v>4607</v>
      </c>
      <c r="K1336" s="57" t="s">
        <v>96</v>
      </c>
      <c r="L1336" s="438" t="s">
        <v>3258</v>
      </c>
      <c r="M1336" s="480"/>
      <c r="N1336" s="1015"/>
      <c r="O1336" s="218" t="s">
        <v>2271</v>
      </c>
      <c r="P1336" s="70" t="s">
        <v>72</v>
      </c>
      <c r="Q1336" s="100">
        <f>IF($AO$1305=2,F1336*H1336,IF($AO$1305=1,F1336*G1336,F1336*I1336))</f>
        <v>0</v>
      </c>
      <c r="R1336" s="13" t="str">
        <f t="shared" si="719"/>
        <v>Фото &gt;&gt;</v>
      </c>
      <c r="S1336" s="14" t="s">
        <v>5680</v>
      </c>
      <c r="AK1336">
        <v>0.06</v>
      </c>
      <c r="AL1336">
        <f t="shared" si="714"/>
        <v>0</v>
      </c>
      <c r="AM1336">
        <f t="shared" si="715"/>
        <v>0</v>
      </c>
      <c r="AN1336">
        <f t="shared" si="716"/>
        <v>0</v>
      </c>
      <c r="AO1336" t="s">
        <v>5686</v>
      </c>
      <c r="AV1336" t="str">
        <f>IF(F1336&gt;0,(COUNT($AV$1:AV1335)+1),"")</f>
        <v/>
      </c>
    </row>
    <row r="1337" spans="1:48" ht="15" customHeight="1" x14ac:dyDescent="0.25">
      <c r="A1337" s="1"/>
      <c r="B1337" s="59">
        <v>20982</v>
      </c>
      <c r="C1337" s="23">
        <v>4605169211135</v>
      </c>
      <c r="D1337" s="567" t="s">
        <v>6373</v>
      </c>
      <c r="E1337" s="1225">
        <v>20</v>
      </c>
      <c r="F1337" s="222"/>
      <c r="G1337" s="111">
        <v>29.3</v>
      </c>
      <c r="H1337" s="5">
        <v>30.7</v>
      </c>
      <c r="I1337" s="24">
        <v>34</v>
      </c>
      <c r="J1337" s="115" t="s">
        <v>4607</v>
      </c>
      <c r="K1337" s="46" t="s">
        <v>96</v>
      </c>
      <c r="L1337" s="440" t="s">
        <v>3258</v>
      </c>
      <c r="M1337" s="474"/>
      <c r="N1337" s="1013" t="s">
        <v>1856</v>
      </c>
      <c r="O1337" s="214" t="s">
        <v>2271</v>
      </c>
      <c r="P1337" s="74" t="s">
        <v>72</v>
      </c>
      <c r="Q1337" s="100">
        <f>IF($AO$1305=2,F1337*H1337,IF($AO$1305=1,F1337*G1337,F1337*I1337))</f>
        <v>0</v>
      </c>
      <c r="R1337" s="13" t="str">
        <f t="shared" si="719"/>
        <v>Фото &gt;&gt;</v>
      </c>
      <c r="S1337" s="14" t="s">
        <v>5683</v>
      </c>
      <c r="AK1337">
        <v>0.06</v>
      </c>
      <c r="AL1337">
        <f t="shared" si="714"/>
        <v>0</v>
      </c>
      <c r="AM1337">
        <f t="shared" si="715"/>
        <v>0</v>
      </c>
      <c r="AN1337">
        <f t="shared" si="716"/>
        <v>0</v>
      </c>
      <c r="AO1337" t="s">
        <v>5687</v>
      </c>
      <c r="AQ1337" s="520" t="str">
        <f t="shared" ref="AQ1337:AQ1339" si="720">CONCATENATE("http://1.c8804.nichost.ru/pics/",B1337,".jpg")</f>
        <v>http://1.c8804.nichost.ru/pics/20982.jpg</v>
      </c>
      <c r="AV1337" t="str">
        <f>IF(F1337&gt;0,(COUNT($AV$1:AV1336)+1),"")</f>
        <v/>
      </c>
    </row>
    <row r="1338" spans="1:48" ht="15" customHeight="1" x14ac:dyDescent="0.25">
      <c r="A1338" s="1"/>
      <c r="B1338" s="56">
        <v>20985</v>
      </c>
      <c r="C1338" s="33">
        <v>4605169211159</v>
      </c>
      <c r="D1338" s="566" t="s">
        <v>6374</v>
      </c>
      <c r="E1338" s="623">
        <v>20</v>
      </c>
      <c r="F1338" s="222"/>
      <c r="G1338" s="109">
        <v>29.3</v>
      </c>
      <c r="H1338" s="34">
        <v>30.7</v>
      </c>
      <c r="I1338" s="35">
        <v>34</v>
      </c>
      <c r="J1338" s="114" t="s">
        <v>4607</v>
      </c>
      <c r="K1338" s="57" t="s">
        <v>96</v>
      </c>
      <c r="L1338" s="438" t="s">
        <v>3258</v>
      </c>
      <c r="M1338" s="480"/>
      <c r="N1338" s="1015"/>
      <c r="O1338" s="218" t="s">
        <v>2271</v>
      </c>
      <c r="P1338" s="70" t="s">
        <v>72</v>
      </c>
      <c r="Q1338" s="100">
        <f>IF($AO$1305=2,F1338*H1338,IF($AO$1305=1,F1338*G1338,F1338*I1338))</f>
        <v>0</v>
      </c>
      <c r="R1338" s="13" t="str">
        <f t="shared" si="719"/>
        <v>Фото &gt;&gt;</v>
      </c>
      <c r="S1338" s="14" t="s">
        <v>5684</v>
      </c>
      <c r="AK1338">
        <v>0.06</v>
      </c>
      <c r="AL1338">
        <f t="shared" si="714"/>
        <v>0</v>
      </c>
      <c r="AM1338">
        <f t="shared" si="715"/>
        <v>0</v>
      </c>
      <c r="AN1338">
        <f t="shared" si="716"/>
        <v>0</v>
      </c>
      <c r="AO1338" t="s">
        <v>5688</v>
      </c>
      <c r="AQ1338" s="520" t="str">
        <f t="shared" si="720"/>
        <v>http://1.c8804.nichost.ru/pics/20985.jpg</v>
      </c>
      <c r="AV1338" t="str">
        <f>IF(F1338&gt;0,(COUNT($AV$1:AV1337)+1),"")</f>
        <v/>
      </c>
    </row>
    <row r="1339" spans="1:48" ht="15" customHeight="1" x14ac:dyDescent="0.25">
      <c r="A1339" s="1"/>
      <c r="B1339" s="59">
        <v>20986</v>
      </c>
      <c r="C1339" s="23">
        <v>4605169000401</v>
      </c>
      <c r="D1339" s="567" t="s">
        <v>6375</v>
      </c>
      <c r="E1339" s="1225">
        <v>20</v>
      </c>
      <c r="F1339" s="222"/>
      <c r="G1339" s="111">
        <v>29.3</v>
      </c>
      <c r="H1339" s="5">
        <v>30.7</v>
      </c>
      <c r="I1339" s="24">
        <v>34</v>
      </c>
      <c r="J1339" s="115" t="s">
        <v>4607</v>
      </c>
      <c r="K1339" s="46" t="s">
        <v>96</v>
      </c>
      <c r="L1339" s="440" t="s">
        <v>3258</v>
      </c>
      <c r="M1339" s="474"/>
      <c r="N1339" s="1013"/>
      <c r="O1339" s="214" t="s">
        <v>2271</v>
      </c>
      <c r="P1339" s="74" t="s">
        <v>72</v>
      </c>
      <c r="Q1339" s="100">
        <f>IF($AO$1305=2,F1339*H1339,IF($AO$1305=1,F1339*G1339,F1339*I1339))</f>
        <v>0</v>
      </c>
      <c r="R1339" s="13" t="str">
        <f t="shared" si="719"/>
        <v>Фото &gt;&gt;</v>
      </c>
      <c r="S1339" s="14" t="s">
        <v>5681</v>
      </c>
      <c r="AK1339">
        <v>0.06</v>
      </c>
      <c r="AL1339">
        <f t="shared" si="714"/>
        <v>0</v>
      </c>
      <c r="AM1339">
        <f t="shared" si="715"/>
        <v>0</v>
      </c>
      <c r="AN1339">
        <f t="shared" si="716"/>
        <v>0</v>
      </c>
      <c r="AO1339" t="s">
        <v>5689</v>
      </c>
      <c r="AQ1339" s="520" t="str">
        <f t="shared" si="720"/>
        <v>http://1.c8804.nichost.ru/pics/20986.jpg</v>
      </c>
      <c r="AV1339" t="str">
        <f>IF(F1339&gt;0,(COUNT($AV$1:AV1338)+1),"")</f>
        <v/>
      </c>
    </row>
    <row r="1340" spans="1:48" ht="15" customHeight="1" x14ac:dyDescent="0.25">
      <c r="A1340" s="1"/>
      <c r="B1340" s="737"/>
      <c r="C1340" s="738"/>
      <c r="D1340" s="739"/>
      <c r="E1340" s="740"/>
      <c r="F1340" s="741"/>
      <c r="G1340" s="742"/>
      <c r="H1340" s="743"/>
      <c r="I1340" s="744"/>
      <c r="J1340" s="745"/>
      <c r="K1340" s="746"/>
      <c r="L1340" s="747"/>
      <c r="M1340" s="748"/>
      <c r="N1340" s="749"/>
      <c r="O1340" s="750"/>
      <c r="P1340" s="751"/>
      <c r="Q1340" s="752"/>
      <c r="R1340" s="13"/>
      <c r="S1340" s="207"/>
      <c r="T1340" s="208"/>
      <c r="AV1340" t="str">
        <f>IF(F1340&gt;0,(COUNT($AV$1:AV1339)+1),"")</f>
        <v/>
      </c>
    </row>
    <row r="1341" spans="1:48" ht="15" customHeight="1" thickBot="1" x14ac:dyDescent="0.3">
      <c r="A1341" s="1"/>
      <c r="B1341" s="158"/>
      <c r="C1341" s="159"/>
      <c r="D1341" s="160"/>
      <c r="E1341" s="167"/>
      <c r="F1341" s="191"/>
      <c r="G1341" s="163"/>
      <c r="H1341" s="164"/>
      <c r="I1341" s="165"/>
      <c r="J1341" s="161"/>
      <c r="K1341" s="162"/>
      <c r="L1341" s="439"/>
      <c r="M1341" s="475"/>
      <c r="N1341" s="467"/>
      <c r="O1341" s="183"/>
      <c r="P1341" s="166"/>
      <c r="Q1341" s="168"/>
      <c r="R1341" s="13"/>
      <c r="S1341" s="207"/>
      <c r="T1341" s="208"/>
      <c r="AV1341" t="str">
        <f>IF(F1341&gt;0,(COUNT($AV$1:AV1340)+1),"")</f>
        <v/>
      </c>
    </row>
    <row r="1342" spans="1:48" ht="24.95" customHeight="1" thickBot="1" x14ac:dyDescent="0.3">
      <c r="A1342" s="1"/>
      <c r="B1342" s="266"/>
      <c r="C1342" s="267"/>
      <c r="D1342" s="268" t="str">
        <f>CONCATENATE("РусКвас - Interkvass","     |     Сумма заказа: ",AK1342," руб.")</f>
        <v>РусКвас - Interkvass     |     Сумма заказа: 0 руб.</v>
      </c>
      <c r="E1342" s="269"/>
      <c r="F1342" s="270"/>
      <c r="G1342" s="271" t="str">
        <f>CONCATENATE("Ценовая колонка: ",AO1342,"   |   До следующей скидки: ",AJ1342," руб.")</f>
        <v>Ценовая колонка: 3   |   До следующей скидки: 5000 руб.</v>
      </c>
      <c r="H1342" s="272"/>
      <c r="I1342" s="272"/>
      <c r="J1342" s="273" t="s">
        <v>2322</v>
      </c>
      <c r="K1342" s="274"/>
      <c r="L1342" s="451"/>
      <c r="M1342" s="495" t="s">
        <v>104</v>
      </c>
      <c r="N1342" s="571"/>
      <c r="O1342" s="275"/>
      <c r="P1342" s="276"/>
      <c r="Q1342" s="277"/>
      <c r="R1342" s="265" t="s">
        <v>1558</v>
      </c>
      <c r="S1342" s="6"/>
      <c r="AJ1342">
        <f>ROUND(IF(AL1342&gt;15000,"0", IF(AND(AL1342&lt;15000,AM1342&gt;5000),15000-AL1342,5000-AM1342)),2)</f>
        <v>5000</v>
      </c>
      <c r="AK1342">
        <f>SUM(Q1349:Q1356)</f>
        <v>0</v>
      </c>
      <c r="AL1342">
        <f>SUM(AL1349:AL1356)</f>
        <v>0</v>
      </c>
      <c r="AM1342">
        <f>SUM(AM1349:AM1356)</f>
        <v>0</v>
      </c>
      <c r="AO1342">
        <f>IF(AM1342&gt;5000,IF(AL1342&gt;15000,1,2),3)</f>
        <v>3</v>
      </c>
      <c r="AV1342" t="str">
        <f>IF(F1342&gt;0,(COUNT($AV$1:AV1341)+1),"")</f>
        <v/>
      </c>
    </row>
    <row r="1343" spans="1:48" ht="15" customHeight="1" x14ac:dyDescent="0.25">
      <c r="A1343" s="1"/>
      <c r="B1343" s="294"/>
      <c r="C1343" s="243"/>
      <c r="D1343" s="263" t="s">
        <v>2086</v>
      </c>
      <c r="E1343" s="244"/>
      <c r="F1343" s="245"/>
      <c r="G1343" s="246"/>
      <c r="H1343" s="247"/>
      <c r="I1343" s="247"/>
      <c r="J1343" s="248"/>
      <c r="K1343" s="249"/>
      <c r="L1343" s="435"/>
      <c r="M1343" s="478" t="s">
        <v>104</v>
      </c>
      <c r="N1343" s="469"/>
      <c r="O1343" s="250"/>
      <c r="P1343" s="251"/>
      <c r="Q1343" s="252"/>
      <c r="R1343" s="13"/>
      <c r="S1343" s="14"/>
      <c r="AV1343" t="str">
        <f>IF(F1343&gt;0,(COUNT($AV$1:AV1342)+1),"")</f>
        <v/>
      </c>
    </row>
    <row r="1344" spans="1:48" ht="15" customHeight="1" x14ac:dyDescent="0.25">
      <c r="A1344" s="1"/>
      <c r="B1344" s="158"/>
      <c r="C1344" s="159"/>
      <c r="D1344" s="263" t="s">
        <v>2324</v>
      </c>
      <c r="E1344" s="238"/>
      <c r="F1344" s="203"/>
      <c r="G1344" s="239"/>
      <c r="H1344" s="240"/>
      <c r="I1344" s="240"/>
      <c r="J1344" s="241"/>
      <c r="K1344" s="201"/>
      <c r="L1344" s="428"/>
      <c r="M1344" s="475" t="s">
        <v>104</v>
      </c>
      <c r="N1344" s="467"/>
      <c r="O1344" s="166"/>
      <c r="P1344" s="242"/>
      <c r="Q1344" s="202"/>
      <c r="R1344" s="13"/>
      <c r="S1344" s="14"/>
      <c r="AV1344" t="str">
        <f>IF(F1344&gt;0,(COUNT($AV$1:AV1343)+1),"")</f>
        <v/>
      </c>
    </row>
    <row r="1345" spans="1:48" ht="15" customHeight="1" x14ac:dyDescent="0.25">
      <c r="A1345" s="1"/>
      <c r="B1345" s="158"/>
      <c r="C1345" s="159"/>
      <c r="D1345" s="263" t="s">
        <v>2085</v>
      </c>
      <c r="E1345" s="238"/>
      <c r="F1345" s="203"/>
      <c r="G1345" s="239"/>
      <c r="H1345" s="240"/>
      <c r="I1345" s="240"/>
      <c r="J1345" s="241"/>
      <c r="K1345" s="201"/>
      <c r="L1345" s="428"/>
      <c r="M1345" s="475" t="s">
        <v>104</v>
      </c>
      <c r="N1345" s="467"/>
      <c r="O1345" s="166"/>
      <c r="P1345" s="242"/>
      <c r="Q1345" s="202"/>
      <c r="R1345" s="13"/>
      <c r="S1345" s="14"/>
      <c r="AV1345" t="str">
        <f>IF(F1345&gt;0,(COUNT($AV$1:AV1344)+1),"")</f>
        <v/>
      </c>
    </row>
    <row r="1346" spans="1:48" ht="15" customHeight="1" x14ac:dyDescent="0.25">
      <c r="A1346" s="1"/>
      <c r="B1346" s="158"/>
      <c r="C1346" s="159"/>
      <c r="D1346" s="263" t="s">
        <v>2325</v>
      </c>
      <c r="E1346" s="238"/>
      <c r="F1346" s="203"/>
      <c r="G1346" s="239"/>
      <c r="H1346" s="240"/>
      <c r="I1346" s="240"/>
      <c r="J1346" s="241"/>
      <c r="K1346" s="201"/>
      <c r="L1346" s="428"/>
      <c r="M1346" s="475" t="s">
        <v>104</v>
      </c>
      <c r="N1346" s="467"/>
      <c r="O1346" s="166"/>
      <c r="P1346" s="242"/>
      <c r="Q1346" s="202"/>
      <c r="R1346" s="13"/>
      <c r="S1346" s="14"/>
      <c r="AV1346" t="str">
        <f>IF(F1346&gt;0,(COUNT($AV$1:AV1345)+1),"")</f>
        <v/>
      </c>
    </row>
    <row r="1347" spans="1:48" ht="15" customHeight="1" x14ac:dyDescent="0.25">
      <c r="A1347" s="1"/>
      <c r="B1347" s="295"/>
      <c r="C1347" s="253"/>
      <c r="D1347" s="263"/>
      <c r="E1347" s="254"/>
      <c r="F1347" s="255"/>
      <c r="G1347" s="256"/>
      <c r="H1347" s="257"/>
      <c r="I1347" s="257"/>
      <c r="J1347" s="258"/>
      <c r="K1347" s="259"/>
      <c r="L1347" s="436"/>
      <c r="M1347" s="479" t="s">
        <v>104</v>
      </c>
      <c r="N1347" s="470"/>
      <c r="O1347" s="260"/>
      <c r="P1347" s="261"/>
      <c r="Q1347" s="262"/>
      <c r="R1347" s="13"/>
      <c r="S1347" s="14"/>
      <c r="AV1347" t="str">
        <f>IF(F1347&gt;0,(COUNT($AV$1:AV1346)+1),"")</f>
        <v/>
      </c>
    </row>
    <row r="1348" spans="1:48" ht="27.95" customHeight="1" x14ac:dyDescent="0.25">
      <c r="A1348" s="1"/>
      <c r="B1348" s="297"/>
      <c r="C1348" s="283"/>
      <c r="D1348" s="284" t="s">
        <v>2323</v>
      </c>
      <c r="E1348" s="285"/>
      <c r="F1348" s="286"/>
      <c r="G1348" s="1231" t="s">
        <v>7588</v>
      </c>
      <c r="H1348" s="288" t="s">
        <v>16</v>
      </c>
      <c r="I1348" s="288"/>
      <c r="J1348" s="289"/>
      <c r="K1348" s="290"/>
      <c r="L1348" s="452"/>
      <c r="M1348" s="496" t="s">
        <v>104</v>
      </c>
      <c r="N1348" s="572"/>
      <c r="O1348" s="291"/>
      <c r="P1348" s="292"/>
      <c r="Q1348" s="293"/>
      <c r="R1348" s="2"/>
      <c r="S1348" s="6"/>
      <c r="AV1348" t="str">
        <f>IF(F1348&gt;0,(COUNT($AV$1:AV1347)+1),"")</f>
        <v/>
      </c>
    </row>
    <row r="1349" spans="1:48" ht="15" customHeight="1" x14ac:dyDescent="0.25">
      <c r="A1349" s="1"/>
      <c r="B1349" s="59">
        <v>20135</v>
      </c>
      <c r="C1349" s="23">
        <v>4680031571913</v>
      </c>
      <c r="D1349" s="567" t="s">
        <v>4070</v>
      </c>
      <c r="E1349" s="75">
        <v>12</v>
      </c>
      <c r="F1349" s="222"/>
      <c r="G1349" s="111">
        <v>91.5</v>
      </c>
      <c r="H1349" s="5">
        <v>96.1</v>
      </c>
      <c r="I1349" s="24">
        <v>105.8</v>
      </c>
      <c r="J1349" s="115" t="s">
        <v>2322</v>
      </c>
      <c r="K1349" s="46" t="s">
        <v>116</v>
      </c>
      <c r="L1349" s="440"/>
      <c r="M1349" s="474" t="s">
        <v>1856</v>
      </c>
      <c r="N1349" s="1013" t="s">
        <v>1856</v>
      </c>
      <c r="O1349" s="211"/>
      <c r="P1349" s="74" t="s">
        <v>72</v>
      </c>
      <c r="Q1349" s="100">
        <f t="shared" ref="Q1349:Q1356" si="721">IF(AND($AO$1342=1,MOD(F1349,E1349)=0),F1349*G1349,IF($AO$1342&lt;=2,F1349*H1349,F1349*I1349))</f>
        <v>0</v>
      </c>
      <c r="R1349" s="13" t="str">
        <f>IF(AO1349&gt;0,HYPERLINK(AO1349,"Фото &gt;&gt;"),"")</f>
        <v>Фото &gt;&gt;</v>
      </c>
      <c r="S1349" s="14" t="s">
        <v>2354</v>
      </c>
      <c r="AK1349">
        <v>0.48</v>
      </c>
      <c r="AL1349">
        <f t="shared" ref="AL1349:AL1356" si="722">F1349*G1349</f>
        <v>0</v>
      </c>
      <c r="AM1349">
        <f t="shared" ref="AM1349:AM1356" si="723">F1349*H1349</f>
        <v>0</v>
      </c>
      <c r="AN1349">
        <f t="shared" ref="AN1349:AN1356" si="724">AK1349*F1349</f>
        <v>0</v>
      </c>
      <c r="AO1349" t="s">
        <v>2430</v>
      </c>
      <c r="AV1349" t="str">
        <f>IF(F1349&gt;0,(COUNT($AV$1:AV1348)+1),"")</f>
        <v/>
      </c>
    </row>
    <row r="1350" spans="1:48" ht="15" customHeight="1" x14ac:dyDescent="0.25">
      <c r="A1350" s="1"/>
      <c r="B1350" s="56">
        <v>20132</v>
      </c>
      <c r="C1350" s="33">
        <v>4680031571326</v>
      </c>
      <c r="D1350" s="566" t="s">
        <v>4071</v>
      </c>
      <c r="E1350" s="71">
        <v>12</v>
      </c>
      <c r="F1350" s="222"/>
      <c r="G1350" s="109">
        <v>91.5</v>
      </c>
      <c r="H1350" s="34">
        <v>96.1</v>
      </c>
      <c r="I1350" s="35">
        <v>105.8</v>
      </c>
      <c r="J1350" s="114" t="s">
        <v>2322</v>
      </c>
      <c r="K1350" s="57" t="s">
        <v>116</v>
      </c>
      <c r="L1350" s="438"/>
      <c r="M1350" s="480" t="s">
        <v>1856</v>
      </c>
      <c r="N1350" s="1015" t="s">
        <v>1856</v>
      </c>
      <c r="O1350" s="218"/>
      <c r="P1350" s="70" t="s">
        <v>72</v>
      </c>
      <c r="Q1350" s="100">
        <f t="shared" si="721"/>
        <v>0</v>
      </c>
      <c r="R1350" s="13" t="str">
        <f t="shared" ref="R1350:R1356" si="725">IF(AO1350&gt;0,HYPERLINK(AO1350,"Фото &gt;&gt;"),"")</f>
        <v>Фото &gt;&gt;</v>
      </c>
      <c r="S1350" s="14" t="s">
        <v>2355</v>
      </c>
      <c r="AK1350">
        <v>0.48</v>
      </c>
      <c r="AL1350">
        <f t="shared" si="722"/>
        <v>0</v>
      </c>
      <c r="AM1350">
        <f t="shared" si="723"/>
        <v>0</v>
      </c>
      <c r="AN1350">
        <f t="shared" si="724"/>
        <v>0</v>
      </c>
      <c r="AO1350" t="s">
        <v>2431</v>
      </c>
      <c r="AV1350" t="str">
        <f>IF(F1350&gt;0,(COUNT($AV$1:AV1349)+1),"")</f>
        <v/>
      </c>
    </row>
    <row r="1351" spans="1:48" ht="15" customHeight="1" x14ac:dyDescent="0.25">
      <c r="A1351" s="1"/>
      <c r="B1351" s="59">
        <v>20462</v>
      </c>
      <c r="C1351" s="23">
        <v>4680031571753</v>
      </c>
      <c r="D1351" s="567" t="s">
        <v>4222</v>
      </c>
      <c r="E1351" s="75">
        <v>12</v>
      </c>
      <c r="F1351" s="222"/>
      <c r="G1351" s="111">
        <v>91.5</v>
      </c>
      <c r="H1351" s="5">
        <v>96.1</v>
      </c>
      <c r="I1351" s="24">
        <v>105.8</v>
      </c>
      <c r="J1351" s="115" t="s">
        <v>2322</v>
      </c>
      <c r="K1351" s="46" t="s">
        <v>116</v>
      </c>
      <c r="L1351" s="440"/>
      <c r="M1351" s="474" t="s">
        <v>1856</v>
      </c>
      <c r="N1351" s="1013" t="s">
        <v>1856</v>
      </c>
      <c r="O1351" s="211"/>
      <c r="P1351" s="74" t="s">
        <v>72</v>
      </c>
      <c r="Q1351" s="100">
        <f t="shared" si="721"/>
        <v>0</v>
      </c>
      <c r="R1351" s="13" t="str">
        <f t="shared" si="725"/>
        <v>Фото &gt;&gt;</v>
      </c>
      <c r="S1351" s="14" t="s">
        <v>3931</v>
      </c>
      <c r="AK1351">
        <v>0.48</v>
      </c>
      <c r="AL1351">
        <f t="shared" si="722"/>
        <v>0</v>
      </c>
      <c r="AM1351">
        <f t="shared" si="723"/>
        <v>0</v>
      </c>
      <c r="AN1351">
        <f t="shared" si="724"/>
        <v>0</v>
      </c>
      <c r="AO1351" t="s">
        <v>3930</v>
      </c>
      <c r="AV1351" t="str">
        <f>IF(F1351&gt;0,(COUNT($AV$1:AV1350)+1),"")</f>
        <v/>
      </c>
    </row>
    <row r="1352" spans="1:48" ht="15" customHeight="1" x14ac:dyDescent="0.25">
      <c r="A1352" s="1"/>
      <c r="B1352" s="56">
        <v>20139</v>
      </c>
      <c r="C1352" s="33">
        <v>4680031572699</v>
      </c>
      <c r="D1352" s="395" t="s">
        <v>2364</v>
      </c>
      <c r="E1352" s="71">
        <v>12</v>
      </c>
      <c r="F1352" s="222"/>
      <c r="G1352" s="109">
        <v>91.5</v>
      </c>
      <c r="H1352" s="34">
        <v>96.1</v>
      </c>
      <c r="I1352" s="35">
        <v>105.8</v>
      </c>
      <c r="J1352" s="114" t="s">
        <v>2322</v>
      </c>
      <c r="K1352" s="57" t="s">
        <v>116</v>
      </c>
      <c r="L1352" s="438"/>
      <c r="M1352" s="480" t="s">
        <v>1856</v>
      </c>
      <c r="N1352" s="1015" t="s">
        <v>1856</v>
      </c>
      <c r="O1352" s="219"/>
      <c r="P1352" s="70" t="s">
        <v>72</v>
      </c>
      <c r="Q1352" s="100">
        <f t="shared" si="721"/>
        <v>0</v>
      </c>
      <c r="R1352" s="13" t="str">
        <f t="shared" si="725"/>
        <v>Фото &gt;&gt;</v>
      </c>
      <c r="S1352" s="14" t="s">
        <v>2356</v>
      </c>
      <c r="AK1352">
        <v>0.48</v>
      </c>
      <c r="AL1352">
        <f t="shared" si="722"/>
        <v>0</v>
      </c>
      <c r="AM1352">
        <f t="shared" si="723"/>
        <v>0</v>
      </c>
      <c r="AN1352">
        <f t="shared" si="724"/>
        <v>0</v>
      </c>
      <c r="AO1352" t="s">
        <v>2432</v>
      </c>
      <c r="AV1352" t="str">
        <f>IF(F1352&gt;0,(COUNT($AV$1:AV1351)+1),"")</f>
        <v/>
      </c>
    </row>
    <row r="1353" spans="1:48" ht="15" customHeight="1" x14ac:dyDescent="0.25">
      <c r="A1353" s="1"/>
      <c r="B1353" s="59">
        <v>20134</v>
      </c>
      <c r="C1353" s="23">
        <v>4680031571302</v>
      </c>
      <c r="D1353" s="399" t="s">
        <v>2365</v>
      </c>
      <c r="E1353" s="75">
        <v>12</v>
      </c>
      <c r="F1353" s="222"/>
      <c r="G1353" s="111">
        <v>91.5</v>
      </c>
      <c r="H1353" s="5">
        <v>96.1</v>
      </c>
      <c r="I1353" s="24">
        <v>105.8</v>
      </c>
      <c r="J1353" s="115" t="s">
        <v>2322</v>
      </c>
      <c r="K1353" s="46" t="s">
        <v>116</v>
      </c>
      <c r="L1353" s="440"/>
      <c r="M1353" s="474" t="s">
        <v>1856</v>
      </c>
      <c r="N1353" s="1013" t="s">
        <v>1856</v>
      </c>
      <c r="O1353" s="211"/>
      <c r="P1353" s="74" t="s">
        <v>72</v>
      </c>
      <c r="Q1353" s="100">
        <f t="shared" si="721"/>
        <v>0</v>
      </c>
      <c r="R1353" s="13" t="str">
        <f t="shared" si="725"/>
        <v>Фото &gt;&gt;</v>
      </c>
      <c r="S1353" s="14" t="s">
        <v>2357</v>
      </c>
      <c r="AK1353">
        <v>0.48</v>
      </c>
      <c r="AL1353">
        <f t="shared" si="722"/>
        <v>0</v>
      </c>
      <c r="AM1353">
        <f t="shared" si="723"/>
        <v>0</v>
      </c>
      <c r="AN1353">
        <f t="shared" si="724"/>
        <v>0</v>
      </c>
      <c r="AO1353" t="s">
        <v>2433</v>
      </c>
      <c r="AV1353" t="str">
        <f>IF(F1353&gt;0,(COUNT($AV$1:AV1352)+1),"")</f>
        <v/>
      </c>
    </row>
    <row r="1354" spans="1:48" ht="15" customHeight="1" x14ac:dyDescent="0.25">
      <c r="A1354" s="1"/>
      <c r="B1354" s="56">
        <v>20133</v>
      </c>
      <c r="C1354" s="33">
        <v>4680031571340</v>
      </c>
      <c r="D1354" s="395" t="s">
        <v>2366</v>
      </c>
      <c r="E1354" s="71">
        <v>12</v>
      </c>
      <c r="F1354" s="222"/>
      <c r="G1354" s="109">
        <v>91.5</v>
      </c>
      <c r="H1354" s="34">
        <v>96.1</v>
      </c>
      <c r="I1354" s="35">
        <v>105.8</v>
      </c>
      <c r="J1354" s="114" t="s">
        <v>2322</v>
      </c>
      <c r="K1354" s="57" t="s">
        <v>116</v>
      </c>
      <c r="L1354" s="438"/>
      <c r="M1354" s="480" t="s">
        <v>1856</v>
      </c>
      <c r="N1354" s="1015" t="s">
        <v>1856</v>
      </c>
      <c r="O1354" s="218"/>
      <c r="P1354" s="70" t="s">
        <v>72</v>
      </c>
      <c r="Q1354" s="100">
        <f t="shared" si="721"/>
        <v>0</v>
      </c>
      <c r="R1354" s="13" t="str">
        <f t="shared" si="725"/>
        <v>Фото &gt;&gt;</v>
      </c>
      <c r="S1354" s="14" t="s">
        <v>3767</v>
      </c>
      <c r="AK1354">
        <v>0.48</v>
      </c>
      <c r="AL1354">
        <f t="shared" si="722"/>
        <v>0</v>
      </c>
      <c r="AM1354">
        <f t="shared" si="723"/>
        <v>0</v>
      </c>
      <c r="AN1354">
        <f t="shared" si="724"/>
        <v>0</v>
      </c>
      <c r="AO1354" t="s">
        <v>2434</v>
      </c>
      <c r="AV1354" t="str">
        <f>IF(F1354&gt;0,(COUNT($AV$1:AV1353)+1),"")</f>
        <v/>
      </c>
    </row>
    <row r="1355" spans="1:48" ht="15" customHeight="1" x14ac:dyDescent="0.25">
      <c r="A1355" s="1"/>
      <c r="B1355" s="59">
        <v>20136</v>
      </c>
      <c r="C1355" s="23">
        <v>4680031571364</v>
      </c>
      <c r="D1355" s="399" t="s">
        <v>2367</v>
      </c>
      <c r="E1355" s="75">
        <v>12</v>
      </c>
      <c r="F1355" s="222"/>
      <c r="G1355" s="111">
        <v>91.5</v>
      </c>
      <c r="H1355" s="5">
        <v>96.1</v>
      </c>
      <c r="I1355" s="24">
        <v>105.8</v>
      </c>
      <c r="J1355" s="115" t="s">
        <v>2322</v>
      </c>
      <c r="K1355" s="46" t="s">
        <v>116</v>
      </c>
      <c r="L1355" s="440"/>
      <c r="M1355" s="474" t="s">
        <v>1856</v>
      </c>
      <c r="N1355" s="1013" t="s">
        <v>1856</v>
      </c>
      <c r="O1355" s="211"/>
      <c r="P1355" s="74" t="s">
        <v>72</v>
      </c>
      <c r="Q1355" s="100">
        <f t="shared" si="721"/>
        <v>0</v>
      </c>
      <c r="R1355" s="13" t="str">
        <f t="shared" si="725"/>
        <v>Фото &gt;&gt;</v>
      </c>
      <c r="S1355" s="14" t="s">
        <v>2358</v>
      </c>
      <c r="AK1355">
        <v>0.48</v>
      </c>
      <c r="AL1355">
        <f t="shared" si="722"/>
        <v>0</v>
      </c>
      <c r="AM1355">
        <f t="shared" si="723"/>
        <v>0</v>
      </c>
      <c r="AN1355">
        <f t="shared" si="724"/>
        <v>0</v>
      </c>
      <c r="AO1355" t="s">
        <v>2435</v>
      </c>
      <c r="AV1355" t="str">
        <f>IF(F1355&gt;0,(COUNT($AV$1:AV1354)+1),"")</f>
        <v/>
      </c>
    </row>
    <row r="1356" spans="1:48" ht="15" customHeight="1" x14ac:dyDescent="0.25">
      <c r="A1356" s="1"/>
      <c r="B1356" s="56">
        <v>20138</v>
      </c>
      <c r="C1356" s="33">
        <v>4680031572743</v>
      </c>
      <c r="D1356" s="395" t="s">
        <v>2368</v>
      </c>
      <c r="E1356" s="71">
        <v>12</v>
      </c>
      <c r="F1356" s="223"/>
      <c r="G1356" s="109">
        <v>91.5</v>
      </c>
      <c r="H1356" s="34">
        <v>96.1</v>
      </c>
      <c r="I1356" s="35">
        <v>105.8</v>
      </c>
      <c r="J1356" s="114" t="s">
        <v>2322</v>
      </c>
      <c r="K1356" s="57" t="s">
        <v>116</v>
      </c>
      <c r="L1356" s="438"/>
      <c r="M1356" s="484" t="s">
        <v>1856</v>
      </c>
      <c r="N1356" s="1008" t="s">
        <v>1856</v>
      </c>
      <c r="O1356" s="219"/>
      <c r="P1356" s="70" t="s">
        <v>72</v>
      </c>
      <c r="Q1356" s="100">
        <f t="shared" si="721"/>
        <v>0</v>
      </c>
      <c r="R1356" s="13" t="str">
        <f t="shared" si="725"/>
        <v>Фото &gt;&gt;</v>
      </c>
      <c r="S1356" s="14" t="s">
        <v>3768</v>
      </c>
      <c r="AK1356">
        <v>0.48</v>
      </c>
      <c r="AL1356">
        <f t="shared" si="722"/>
        <v>0</v>
      </c>
      <c r="AM1356">
        <f t="shared" si="723"/>
        <v>0</v>
      </c>
      <c r="AN1356">
        <f t="shared" si="724"/>
        <v>0</v>
      </c>
      <c r="AO1356" t="s">
        <v>2436</v>
      </c>
      <c r="AV1356" t="str">
        <f>IF(F1356&gt;0,(COUNT($AV$1:AV1355)+1),"")</f>
        <v/>
      </c>
    </row>
    <row r="1357" spans="1:48" ht="15" customHeight="1" x14ac:dyDescent="0.25">
      <c r="A1357" s="1"/>
      <c r="B1357" s="125"/>
      <c r="C1357" s="126"/>
      <c r="D1357" s="127"/>
      <c r="E1357" s="134"/>
      <c r="F1357" s="189"/>
      <c r="G1357" s="130"/>
      <c r="H1357" s="131"/>
      <c r="I1357" s="132"/>
      <c r="J1357" s="128"/>
      <c r="K1357" s="129"/>
      <c r="L1357" s="433"/>
      <c r="M1357" s="481"/>
      <c r="N1357" s="471"/>
      <c r="O1357" s="181"/>
      <c r="P1357" s="133"/>
      <c r="Q1357" s="135"/>
      <c r="R1357" s="13"/>
      <c r="S1357" s="14"/>
      <c r="AV1357" t="str">
        <f>IF(F1357&gt;0,(COUNT($AV$1:AV1356)+1),"")</f>
        <v/>
      </c>
    </row>
    <row r="1358" spans="1:48" ht="15" customHeight="1" thickBot="1" x14ac:dyDescent="0.3">
      <c r="A1358" s="1"/>
      <c r="B1358" s="158"/>
      <c r="C1358" s="159"/>
      <c r="D1358" s="160"/>
      <c r="E1358" s="167"/>
      <c r="F1358" s="191"/>
      <c r="G1358" s="163"/>
      <c r="H1358" s="164"/>
      <c r="I1358" s="165"/>
      <c r="J1358" s="161"/>
      <c r="K1358" s="162"/>
      <c r="L1358" s="439"/>
      <c r="M1358" s="475"/>
      <c r="N1358" s="467"/>
      <c r="O1358" s="183"/>
      <c r="P1358" s="166"/>
      <c r="Q1358" s="168"/>
      <c r="R1358" s="13"/>
      <c r="S1358" s="14"/>
      <c r="AV1358" t="str">
        <f>IF(F1358&gt;0,(COUNT($AV$1:AV1357)+1),"")</f>
        <v/>
      </c>
    </row>
    <row r="1359" spans="1:48" ht="24.95" customHeight="1" thickBot="1" x14ac:dyDescent="0.3">
      <c r="A1359" s="1"/>
      <c r="B1359" s="266"/>
      <c r="C1359" s="267"/>
      <c r="D1359" s="268" t="str">
        <f>CONCATENATE("Пища богов (Theobroma)","     |     Сумма заказа: ",AK1359," руб.")</f>
        <v>Пища богов (Theobroma)     |     Сумма заказа: 0 руб.</v>
      </c>
      <c r="E1359" s="269"/>
      <c r="F1359" s="270"/>
      <c r="G1359" s="271" t="str">
        <f>CONCATENATE("Ценовая колонка: ",AO1359,"   |   До следующей скидки: ",AJ1359," руб.")</f>
        <v>Ценовая колонка: 3   |   До следующей скидки: 5000 руб.</v>
      </c>
      <c r="H1359" s="272"/>
      <c r="I1359" s="272"/>
      <c r="J1359" s="273" t="s">
        <v>4627</v>
      </c>
      <c r="K1359" s="274"/>
      <c r="L1359" s="451"/>
      <c r="M1359" s="495" t="s">
        <v>104</v>
      </c>
      <c r="N1359" s="571"/>
      <c r="O1359" s="275"/>
      <c r="P1359" s="276"/>
      <c r="Q1359" s="277"/>
      <c r="R1359" s="265" t="s">
        <v>1558</v>
      </c>
      <c r="S1359" s="6"/>
      <c r="AJ1359">
        <f>ROUND(IF(AL1359&gt;20000,"0", IF(AND(AL1359&lt;20000,AM1359&gt;5000),20000-AL1359,5000-AM1359)),2)</f>
        <v>5000</v>
      </c>
      <c r="AK1359">
        <f>SUM(Q1361:Q1391)</f>
        <v>0</v>
      </c>
      <c r="AL1359">
        <f>SUM(AL1361:AL1362)</f>
        <v>0</v>
      </c>
      <c r="AM1359">
        <f>SUM(AM1361:AM1362)</f>
        <v>0</v>
      </c>
      <c r="AO1359">
        <f>IF(AM1359&gt;5000,IF(AL1359&gt;20000,1,2),3)</f>
        <v>3</v>
      </c>
      <c r="AV1359" t="str">
        <f>IF(F1359&gt;0,(COUNT($AV$1:AV1358)+1),"")</f>
        <v/>
      </c>
    </row>
    <row r="1360" spans="1:48" ht="15" customHeight="1" x14ac:dyDescent="0.25">
      <c r="A1360" s="1"/>
      <c r="B1360" s="296"/>
      <c r="C1360" s="38"/>
      <c r="D1360" s="39" t="s">
        <v>1435</v>
      </c>
      <c r="E1360" s="82"/>
      <c r="F1360" s="97"/>
      <c r="G1360" s="40" t="s">
        <v>15</v>
      </c>
      <c r="H1360" s="41" t="s">
        <v>16</v>
      </c>
      <c r="I1360" s="41" t="s">
        <v>221</v>
      </c>
      <c r="J1360" s="52"/>
      <c r="K1360" s="48"/>
      <c r="L1360" s="448"/>
      <c r="M1360" s="491" t="s">
        <v>104</v>
      </c>
      <c r="N1360" s="715"/>
      <c r="O1360" s="187"/>
      <c r="P1360" s="81"/>
      <c r="Q1360" s="105"/>
      <c r="R1360" s="13"/>
      <c r="S1360" s="14"/>
      <c r="AV1360" t="str">
        <f>IF(F1360&gt;0,(COUNT($AV$1:AV1359)+1),"")</f>
        <v/>
      </c>
    </row>
    <row r="1361" spans="1:48" ht="15" customHeight="1" x14ac:dyDescent="0.25">
      <c r="A1361" s="1"/>
      <c r="B1361" s="31">
        <v>17979</v>
      </c>
      <c r="C1361" s="16">
        <v>4631111184257</v>
      </c>
      <c r="D1361" s="896" t="s">
        <v>547</v>
      </c>
      <c r="E1361" s="69">
        <v>12</v>
      </c>
      <c r="F1361" s="222"/>
      <c r="G1361" s="108">
        <v>217</v>
      </c>
      <c r="H1361" s="17">
        <v>227.8</v>
      </c>
      <c r="I1361" s="18">
        <v>240</v>
      </c>
      <c r="J1361" s="113" t="s">
        <v>4627</v>
      </c>
      <c r="K1361" s="44" t="s">
        <v>78</v>
      </c>
      <c r="L1361" s="442"/>
      <c r="M1361" s="480" t="s">
        <v>1856</v>
      </c>
      <c r="N1361" s="1015" t="s">
        <v>1856</v>
      </c>
      <c r="O1361" s="210"/>
      <c r="P1361" s="68" t="s">
        <v>50</v>
      </c>
      <c r="Q1361" s="100">
        <f>IF($AO$1359=2,F1361*H1361,IF($AO$1359=1,F1361*G1361,F1361*I1361))</f>
        <v>0</v>
      </c>
      <c r="R1361" s="13" t="str">
        <f t="shared" ref="R1361:R1365" si="726">IF(AO1361&gt;0,HYPERLINK(AO1361,"Фото &gt;&gt;"),"")</f>
        <v>Фото &gt;&gt;</v>
      </c>
      <c r="S1361" s="14" t="s">
        <v>546</v>
      </c>
      <c r="AK1361">
        <v>0.11</v>
      </c>
      <c r="AL1361">
        <f t="shared" ref="AL1361:AL1362" si="727">F1361*G1361</f>
        <v>0</v>
      </c>
      <c r="AM1361">
        <f t="shared" ref="AM1361:AM1362" si="728">F1361*H1361</f>
        <v>0</v>
      </c>
      <c r="AN1361">
        <f t="shared" ref="AN1361:AN1362" si="729">AK1361*F1361+IF(E1361&gt;1.01,F1361/E1361*0.2,0)</f>
        <v>0</v>
      </c>
      <c r="AO1361" t="s">
        <v>5588</v>
      </c>
      <c r="AV1361" t="str">
        <f>IF(F1361&gt;0,(COUNT($AV$1:AV1360)+1),"")</f>
        <v/>
      </c>
    </row>
    <row r="1362" spans="1:48" ht="15" customHeight="1" x14ac:dyDescent="0.25">
      <c r="A1362" s="1"/>
      <c r="B1362" s="30">
        <v>17980</v>
      </c>
      <c r="C1362" s="20">
        <v>4630016430032</v>
      </c>
      <c r="D1362" s="225" t="s">
        <v>548</v>
      </c>
      <c r="E1362" s="67">
        <v>12</v>
      </c>
      <c r="F1362" s="222"/>
      <c r="G1362" s="107">
        <v>378</v>
      </c>
      <c r="H1362" s="21">
        <v>397</v>
      </c>
      <c r="I1362" s="22">
        <v>417</v>
      </c>
      <c r="J1362" s="112" t="s">
        <v>4627</v>
      </c>
      <c r="K1362" s="45" t="s">
        <v>78</v>
      </c>
      <c r="L1362" s="437"/>
      <c r="M1362" s="474" t="s">
        <v>1856</v>
      </c>
      <c r="N1362" s="1013" t="s">
        <v>1856</v>
      </c>
      <c r="O1362" s="209"/>
      <c r="P1362" s="66" t="s">
        <v>50</v>
      </c>
      <c r="Q1362" s="100">
        <f>IF($AO$1359=2,F1362*H1362,IF($AO$1359=1,F1362*G1362,F1362*I1362))</f>
        <v>0</v>
      </c>
      <c r="R1362" s="13" t="str">
        <f t="shared" si="726"/>
        <v>Фото &gt;&gt;</v>
      </c>
      <c r="S1362" s="14" t="s">
        <v>546</v>
      </c>
      <c r="AK1362">
        <v>0.21</v>
      </c>
      <c r="AL1362">
        <f t="shared" si="727"/>
        <v>0</v>
      </c>
      <c r="AM1362">
        <f t="shared" si="728"/>
        <v>0</v>
      </c>
      <c r="AN1362">
        <f t="shared" si="729"/>
        <v>0</v>
      </c>
      <c r="AO1362" t="s">
        <v>5589</v>
      </c>
      <c r="AV1362" t="str">
        <f>IF(F1362&gt;0,(COUNT($AV$1:AV1361)+1),"")</f>
        <v/>
      </c>
    </row>
    <row r="1363" spans="1:48" ht="15" customHeight="1" x14ac:dyDescent="0.25">
      <c r="A1363" s="1"/>
      <c r="B1363" s="32">
        <v>21480</v>
      </c>
      <c r="C1363" s="33"/>
      <c r="D1363" s="934" t="s">
        <v>6897</v>
      </c>
      <c r="E1363" s="71">
        <v>12</v>
      </c>
      <c r="F1363" s="223"/>
      <c r="G1363" s="109">
        <v>357</v>
      </c>
      <c r="H1363" s="34">
        <v>375</v>
      </c>
      <c r="I1363" s="35">
        <v>394</v>
      </c>
      <c r="J1363" s="114" t="s">
        <v>4627</v>
      </c>
      <c r="K1363" s="57" t="s">
        <v>78</v>
      </c>
      <c r="L1363" s="438"/>
      <c r="M1363" s="484" t="s">
        <v>1856</v>
      </c>
      <c r="N1363" s="1008" t="s">
        <v>1856</v>
      </c>
      <c r="O1363" s="219" t="s">
        <v>1637</v>
      </c>
      <c r="P1363" s="70" t="s">
        <v>50</v>
      </c>
      <c r="Q1363" s="100">
        <f>IF($AO$1359=2,F1363*H1363,IF($AO$1359=1,F1363*G1363,F1363*I1363))</f>
        <v>0</v>
      </c>
      <c r="R1363" s="94" t="str">
        <f t="shared" si="726"/>
        <v/>
      </c>
      <c r="S1363" s="14" t="s">
        <v>6903</v>
      </c>
      <c r="AK1363">
        <v>0.11</v>
      </c>
      <c r="AL1363">
        <f t="shared" ref="AL1363:AL1365" si="730">F1363*G1363</f>
        <v>0</v>
      </c>
      <c r="AM1363">
        <f t="shared" ref="AM1363:AM1365" si="731">F1363*H1363</f>
        <v>0</v>
      </c>
      <c r="AN1363">
        <f t="shared" ref="AN1363:AN1365" si="732">AK1363*F1363+IF(E1363&gt;1.01,F1363/E1363*0.2,0)</f>
        <v>0</v>
      </c>
      <c r="AV1363" t="str">
        <f>IF(F1363&gt;0,(COUNT($AV$1:AV1362)+1),"")</f>
        <v/>
      </c>
    </row>
    <row r="1364" spans="1:48" ht="15" customHeight="1" x14ac:dyDescent="0.25">
      <c r="A1364" s="1"/>
      <c r="B1364" s="25"/>
      <c r="C1364" s="26"/>
      <c r="D1364" s="27" t="s">
        <v>7473</v>
      </c>
      <c r="E1364" s="80"/>
      <c r="F1364" s="96"/>
      <c r="G1364" s="28"/>
      <c r="H1364" s="29"/>
      <c r="I1364" s="29"/>
      <c r="J1364" s="51"/>
      <c r="K1364" s="47"/>
      <c r="L1364" s="447"/>
      <c r="M1364" s="489" t="s">
        <v>104</v>
      </c>
      <c r="N1364" s="716"/>
      <c r="O1364" s="186"/>
      <c r="P1364" s="79"/>
      <c r="Q1364" s="104"/>
      <c r="R1364" s="13"/>
      <c r="S1364" s="14"/>
      <c r="AV1364" t="str">
        <f>IF(F1364&gt;0,(COUNT($AV$1:AV1363)+1),"")</f>
        <v/>
      </c>
    </row>
    <row r="1365" spans="1:48" ht="15" customHeight="1" x14ac:dyDescent="0.25">
      <c r="A1365" s="1"/>
      <c r="B1365" s="37">
        <v>21479</v>
      </c>
      <c r="C1365" s="23">
        <v>4660622330143</v>
      </c>
      <c r="D1365" s="237" t="s">
        <v>6896</v>
      </c>
      <c r="E1365" s="75">
        <v>12</v>
      </c>
      <c r="F1365" s="223"/>
      <c r="G1365" s="111">
        <v>337</v>
      </c>
      <c r="H1365" s="5">
        <v>353.8</v>
      </c>
      <c r="I1365" s="24">
        <v>372</v>
      </c>
      <c r="J1365" s="115" t="s">
        <v>4627</v>
      </c>
      <c r="K1365" s="46" t="s">
        <v>374</v>
      </c>
      <c r="L1365" s="440"/>
      <c r="M1365" s="482" t="s">
        <v>1856</v>
      </c>
      <c r="N1365" s="1002"/>
      <c r="O1365" s="211" t="s">
        <v>1637</v>
      </c>
      <c r="P1365" s="74" t="s">
        <v>72</v>
      </c>
      <c r="Q1365" s="100">
        <f>IF($AO$1359=2,F1365*H1365,IF($AO$1359=1,F1365*G1365,F1365*I1365))</f>
        <v>0</v>
      </c>
      <c r="R1365" s="94" t="str">
        <f t="shared" si="726"/>
        <v>Фото &gt;&gt;</v>
      </c>
      <c r="S1365" s="14" t="s">
        <v>6902</v>
      </c>
      <c r="AK1365">
        <v>0.11</v>
      </c>
      <c r="AL1365">
        <f t="shared" si="730"/>
        <v>0</v>
      </c>
      <c r="AM1365">
        <f t="shared" si="731"/>
        <v>0</v>
      </c>
      <c r="AN1365">
        <f t="shared" si="732"/>
        <v>0</v>
      </c>
      <c r="AO1365" t="s">
        <v>6904</v>
      </c>
      <c r="AV1365" t="str">
        <f>IF(F1365&gt;0,(COUNT($AV$1:AV1364)+1),"")</f>
        <v/>
      </c>
    </row>
    <row r="1366" spans="1:48" ht="15" customHeight="1" x14ac:dyDescent="0.25">
      <c r="A1366" s="1"/>
      <c r="B1366" s="795">
        <v>20938</v>
      </c>
      <c r="C1366" s="796">
        <v>4603759697536</v>
      </c>
      <c r="D1366" s="1181" t="s">
        <v>6797</v>
      </c>
      <c r="E1366" s="798">
        <v>12</v>
      </c>
      <c r="F1366" s="789"/>
      <c r="G1366" s="810">
        <v>452</v>
      </c>
      <c r="H1366" s="799">
        <v>474.6</v>
      </c>
      <c r="I1366" s="800">
        <v>500</v>
      </c>
      <c r="J1366" s="801" t="s">
        <v>4627</v>
      </c>
      <c r="K1366" s="802" t="s">
        <v>374</v>
      </c>
      <c r="L1366" s="803"/>
      <c r="M1366" s="804"/>
      <c r="N1366" s="1006" t="s">
        <v>1856</v>
      </c>
      <c r="O1366" s="805"/>
      <c r="P1366" s="806" t="s">
        <v>72</v>
      </c>
      <c r="Q1366" s="100">
        <f>IF($AO$1359=2,F1366*H1366,IF($AO$1359=1,F1366*G1366,F1366*I1366))</f>
        <v>0</v>
      </c>
      <c r="R1366" s="13" t="str">
        <f t="shared" ref="R1366:R1369" si="733">IF(AO1366&gt;0,HYPERLINK(AO1366,"Фото &gt;&gt;"),"")</f>
        <v>Фото &gt;&gt;</v>
      </c>
      <c r="S1366" s="14" t="s">
        <v>5581</v>
      </c>
      <c r="AK1366">
        <v>0.11</v>
      </c>
      <c r="AL1366">
        <f t="shared" ref="AL1366:AL1369" si="734">F1366*G1366</f>
        <v>0</v>
      </c>
      <c r="AM1366">
        <f t="shared" ref="AM1366:AM1369" si="735">F1366*H1366</f>
        <v>0</v>
      </c>
      <c r="AN1366">
        <f t="shared" ref="AN1366:AN1369" si="736">AK1366*F1366+IF(E1366&gt;1.01,F1366/E1366*0.2,0)</f>
        <v>0</v>
      </c>
      <c r="AO1366" t="s">
        <v>5584</v>
      </c>
      <c r="AV1366" t="str">
        <f>IF(F1366&gt;0,(COUNT($AV$1:AV1365)+1),"")</f>
        <v/>
      </c>
    </row>
    <row r="1367" spans="1:48" ht="15" customHeight="1" x14ac:dyDescent="0.25">
      <c r="A1367" s="1"/>
      <c r="B1367" s="30">
        <v>20937</v>
      </c>
      <c r="C1367" s="20">
        <v>4603759697529</v>
      </c>
      <c r="D1367" s="225" t="s">
        <v>6798</v>
      </c>
      <c r="E1367" s="67">
        <v>12</v>
      </c>
      <c r="F1367" s="222"/>
      <c r="G1367" s="107">
        <v>460</v>
      </c>
      <c r="H1367" s="21">
        <v>483</v>
      </c>
      <c r="I1367" s="22">
        <v>510</v>
      </c>
      <c r="J1367" s="112" t="s">
        <v>4627</v>
      </c>
      <c r="K1367" s="45" t="s">
        <v>374</v>
      </c>
      <c r="L1367" s="437"/>
      <c r="M1367" s="474"/>
      <c r="N1367" s="1013" t="s">
        <v>1856</v>
      </c>
      <c r="O1367" s="209"/>
      <c r="P1367" s="66" t="s">
        <v>72</v>
      </c>
      <c r="Q1367" s="100">
        <f>IF($AO$1359=2,F1367*H1367,IF($AO$1359=1,F1367*G1367,F1367*I1367))</f>
        <v>0</v>
      </c>
      <c r="R1367" s="13" t="str">
        <f t="shared" si="733"/>
        <v>Фото &gt;&gt;</v>
      </c>
      <c r="S1367" s="14" t="s">
        <v>5582</v>
      </c>
      <c r="AK1367">
        <v>0.11</v>
      </c>
      <c r="AL1367">
        <f t="shared" si="734"/>
        <v>0</v>
      </c>
      <c r="AM1367">
        <f t="shared" si="735"/>
        <v>0</v>
      </c>
      <c r="AN1367">
        <f t="shared" si="736"/>
        <v>0</v>
      </c>
      <c r="AO1367" t="s">
        <v>5585</v>
      </c>
      <c r="AV1367" t="str">
        <f>IF(F1367&gt;0,(COUNT($AV$1:AV1366)+1),"")</f>
        <v/>
      </c>
    </row>
    <row r="1368" spans="1:48" ht="15" customHeight="1" x14ac:dyDescent="0.25">
      <c r="A1368" s="1"/>
      <c r="B1368" s="31">
        <v>20939</v>
      </c>
      <c r="C1368" s="16">
        <v>4603759697147</v>
      </c>
      <c r="D1368" s="896" t="s">
        <v>5578</v>
      </c>
      <c r="E1368" s="69">
        <v>12</v>
      </c>
      <c r="F1368" s="222"/>
      <c r="G1368" s="108">
        <v>446</v>
      </c>
      <c r="H1368" s="17">
        <v>468.3</v>
      </c>
      <c r="I1368" s="18">
        <v>492</v>
      </c>
      <c r="J1368" s="113" t="s">
        <v>4627</v>
      </c>
      <c r="K1368" s="44" t="s">
        <v>374</v>
      </c>
      <c r="L1368" s="442"/>
      <c r="M1368" s="480"/>
      <c r="N1368" s="1015" t="s">
        <v>1856</v>
      </c>
      <c r="O1368" s="210"/>
      <c r="P1368" s="68" t="s">
        <v>72</v>
      </c>
      <c r="Q1368" s="100">
        <f>IF($AO$1359=2,F1368*H1368,IF($AO$1359=1,F1368*G1368,F1368*I1368))</f>
        <v>0</v>
      </c>
      <c r="R1368" s="13" t="str">
        <f t="shared" si="733"/>
        <v>Фото &gt;&gt;</v>
      </c>
      <c r="S1368" s="14" t="s">
        <v>5580</v>
      </c>
      <c r="AK1368">
        <v>0.11</v>
      </c>
      <c r="AL1368">
        <f t="shared" si="734"/>
        <v>0</v>
      </c>
      <c r="AM1368">
        <f t="shared" si="735"/>
        <v>0</v>
      </c>
      <c r="AN1368">
        <f t="shared" si="736"/>
        <v>0</v>
      </c>
      <c r="AO1368" t="s">
        <v>5586</v>
      </c>
      <c r="AV1368" t="str">
        <f>IF(F1368&gt;0,(COUNT($AV$1:AV1367)+1),"")</f>
        <v/>
      </c>
    </row>
    <row r="1369" spans="1:48" ht="15" customHeight="1" x14ac:dyDescent="0.25">
      <c r="A1369" s="1"/>
      <c r="B1369" s="30">
        <v>20936</v>
      </c>
      <c r="C1369" s="20">
        <v>4603759697543</v>
      </c>
      <c r="D1369" s="225" t="s">
        <v>5579</v>
      </c>
      <c r="E1369" s="67">
        <v>12</v>
      </c>
      <c r="F1369" s="222"/>
      <c r="G1369" s="107">
        <v>476</v>
      </c>
      <c r="H1369" s="21">
        <v>499.8</v>
      </c>
      <c r="I1369" s="22">
        <v>525</v>
      </c>
      <c r="J1369" s="112" t="s">
        <v>4627</v>
      </c>
      <c r="K1369" s="45" t="s">
        <v>374</v>
      </c>
      <c r="L1369" s="437"/>
      <c r="M1369" s="474"/>
      <c r="N1369" s="1013" t="s">
        <v>1856</v>
      </c>
      <c r="O1369" s="209"/>
      <c r="P1369" s="66" t="s">
        <v>72</v>
      </c>
      <c r="Q1369" s="100">
        <f>IF($AO$1359=2,F1369*H1369,IF($AO$1359=1,F1369*G1369,F1369*I1369))</f>
        <v>0</v>
      </c>
      <c r="R1369" s="13" t="str">
        <f t="shared" si="733"/>
        <v>Фото &gt;&gt;</v>
      </c>
      <c r="S1369" s="14" t="s">
        <v>5583</v>
      </c>
      <c r="AK1369">
        <v>0.11</v>
      </c>
      <c r="AL1369">
        <f t="shared" si="734"/>
        <v>0</v>
      </c>
      <c r="AM1369">
        <f t="shared" si="735"/>
        <v>0</v>
      </c>
      <c r="AN1369">
        <f t="shared" si="736"/>
        <v>0</v>
      </c>
      <c r="AO1369" t="s">
        <v>5587</v>
      </c>
      <c r="AV1369" t="str">
        <f>IF(F1369&gt;0,(COUNT($AV$1:AV1368)+1),"")</f>
        <v/>
      </c>
    </row>
    <row r="1370" spans="1:48" ht="15" customHeight="1" x14ac:dyDescent="0.25">
      <c r="A1370" s="1"/>
      <c r="B1370" s="25"/>
      <c r="C1370" s="26"/>
      <c r="D1370" s="27" t="s">
        <v>7474</v>
      </c>
      <c r="E1370" s="80"/>
      <c r="F1370" s="96"/>
      <c r="G1370" s="28"/>
      <c r="H1370" s="29"/>
      <c r="I1370" s="29"/>
      <c r="J1370" s="51"/>
      <c r="K1370" s="47"/>
      <c r="L1370" s="447"/>
      <c r="M1370" s="489" t="s">
        <v>104</v>
      </c>
      <c r="N1370" s="716"/>
      <c r="O1370" s="186"/>
      <c r="P1370" s="79"/>
      <c r="Q1370" s="104"/>
      <c r="R1370" s="13"/>
      <c r="S1370" s="14"/>
      <c r="AV1370" t="str">
        <f>IF(F1370&gt;0,(COUNT($AV$1:AV1369)+1),"")</f>
        <v/>
      </c>
    </row>
    <row r="1371" spans="1:48" ht="15" customHeight="1" x14ac:dyDescent="0.25">
      <c r="A1371" s="1"/>
      <c r="B1371" s="30">
        <v>21481</v>
      </c>
      <c r="C1371" s="20">
        <v>4660622330099</v>
      </c>
      <c r="D1371" s="421" t="s">
        <v>6909</v>
      </c>
      <c r="E1371" s="67">
        <v>15</v>
      </c>
      <c r="F1371" s="222"/>
      <c r="G1371" s="107">
        <v>118.5</v>
      </c>
      <c r="H1371" s="21">
        <v>124</v>
      </c>
      <c r="I1371" s="22">
        <v>137</v>
      </c>
      <c r="J1371" s="112" t="s">
        <v>4627</v>
      </c>
      <c r="K1371" s="45" t="s">
        <v>374</v>
      </c>
      <c r="L1371" s="437"/>
      <c r="M1371" s="474" t="s">
        <v>1856</v>
      </c>
      <c r="N1371" s="1013"/>
      <c r="O1371" s="209" t="s">
        <v>1637</v>
      </c>
      <c r="P1371" s="66" t="s">
        <v>100</v>
      </c>
      <c r="Q1371" s="100">
        <f t="shared" ref="Q1371:Q1377" si="737">IF($AO$1359=2,F1371*H1371,IF($AO$1359=1,F1371*G1371,F1371*I1371))</f>
        <v>0</v>
      </c>
      <c r="R1371" s="94" t="str">
        <f t="shared" ref="R1371:R1377" si="738">IF(AO1371&gt;0,HYPERLINK(AO1371,"Фото &gt;&gt;"),"")</f>
        <v>Фото &gt;&gt;</v>
      </c>
      <c r="S1371" s="14" t="s">
        <v>6898</v>
      </c>
      <c r="AK1371">
        <v>4.4999999999999998E-2</v>
      </c>
      <c r="AL1371">
        <f t="shared" ref="AL1371:AL1373" si="739">F1371*G1371</f>
        <v>0</v>
      </c>
      <c r="AM1371">
        <f t="shared" ref="AM1371:AM1373" si="740">F1371*H1371</f>
        <v>0</v>
      </c>
      <c r="AN1371">
        <f t="shared" ref="AN1371:AN1373" si="741">AK1371*F1371+IF(E1371&gt;1.01,F1371/E1371*0.2,0)</f>
        <v>0</v>
      </c>
      <c r="AO1371" t="s">
        <v>6905</v>
      </c>
      <c r="AV1371" t="str">
        <f>IF(F1371&gt;0,(COUNT($AV$1:AV1370)+1),"")</f>
        <v/>
      </c>
    </row>
    <row r="1372" spans="1:48" ht="15" customHeight="1" x14ac:dyDescent="0.25">
      <c r="A1372" s="1"/>
      <c r="B1372" s="31">
        <v>21483</v>
      </c>
      <c r="C1372" s="16">
        <v>4660622330075</v>
      </c>
      <c r="D1372" s="1182" t="s">
        <v>6910</v>
      </c>
      <c r="E1372" s="69">
        <v>15</v>
      </c>
      <c r="F1372" s="222"/>
      <c r="G1372" s="108">
        <v>114.4</v>
      </c>
      <c r="H1372" s="17">
        <v>120</v>
      </c>
      <c r="I1372" s="18">
        <v>133</v>
      </c>
      <c r="J1372" s="113" t="s">
        <v>4627</v>
      </c>
      <c r="K1372" s="44" t="s">
        <v>374</v>
      </c>
      <c r="L1372" s="442"/>
      <c r="M1372" s="480" t="s">
        <v>1856</v>
      </c>
      <c r="N1372" s="1015"/>
      <c r="O1372" s="210" t="s">
        <v>1637</v>
      </c>
      <c r="P1372" s="68" t="s">
        <v>100</v>
      </c>
      <c r="Q1372" s="100">
        <f t="shared" si="737"/>
        <v>0</v>
      </c>
      <c r="R1372" s="94" t="str">
        <f t="shared" si="738"/>
        <v>Фото &gt;&gt;</v>
      </c>
      <c r="S1372" s="14" t="s">
        <v>6899</v>
      </c>
      <c r="AK1372">
        <v>4.4999999999999998E-2</v>
      </c>
      <c r="AL1372">
        <f t="shared" si="739"/>
        <v>0</v>
      </c>
      <c r="AM1372">
        <f t="shared" si="740"/>
        <v>0</v>
      </c>
      <c r="AN1372">
        <f t="shared" si="741"/>
        <v>0</v>
      </c>
      <c r="AO1372" t="s">
        <v>6906</v>
      </c>
      <c r="AV1372" t="str">
        <f>IF(F1372&gt;0,(COUNT($AV$1:AV1371)+1),"")</f>
        <v/>
      </c>
    </row>
    <row r="1373" spans="1:48" ht="15" customHeight="1" x14ac:dyDescent="0.25">
      <c r="A1373" s="1"/>
      <c r="B1373" s="30">
        <v>21482</v>
      </c>
      <c r="C1373" s="20">
        <v>4660622330150</v>
      </c>
      <c r="D1373" s="421" t="s">
        <v>6911</v>
      </c>
      <c r="E1373" s="67">
        <v>15</v>
      </c>
      <c r="F1373" s="222"/>
      <c r="G1373" s="107">
        <v>110.2</v>
      </c>
      <c r="H1373" s="21">
        <v>115.7</v>
      </c>
      <c r="I1373" s="22">
        <v>121.5</v>
      </c>
      <c r="J1373" s="112" t="s">
        <v>4627</v>
      </c>
      <c r="K1373" s="45" t="s">
        <v>374</v>
      </c>
      <c r="L1373" s="437"/>
      <c r="M1373" s="474" t="s">
        <v>1856</v>
      </c>
      <c r="N1373" s="1013"/>
      <c r="O1373" s="209" t="s">
        <v>1637</v>
      </c>
      <c r="P1373" s="66" t="s">
        <v>100</v>
      </c>
      <c r="Q1373" s="100">
        <f t="shared" si="737"/>
        <v>0</v>
      </c>
      <c r="R1373" s="94" t="str">
        <f t="shared" si="738"/>
        <v>Фото &gt;&gt;</v>
      </c>
      <c r="S1373" s="14" t="s">
        <v>6900</v>
      </c>
      <c r="AK1373">
        <v>4.4999999999999998E-2</v>
      </c>
      <c r="AL1373">
        <f t="shared" si="739"/>
        <v>0</v>
      </c>
      <c r="AM1373">
        <f t="shared" si="740"/>
        <v>0</v>
      </c>
      <c r="AN1373">
        <f t="shared" si="741"/>
        <v>0</v>
      </c>
      <c r="AO1373" t="s">
        <v>6907</v>
      </c>
      <c r="AV1373" t="str">
        <f>IF(F1373&gt;0,(COUNT($AV$1:AV1372)+1),"")</f>
        <v/>
      </c>
    </row>
    <row r="1374" spans="1:48" ht="15" customHeight="1" x14ac:dyDescent="0.25">
      <c r="A1374" s="1"/>
      <c r="B1374" s="32">
        <v>21583</v>
      </c>
      <c r="C1374" s="33">
        <v>4660622330082</v>
      </c>
      <c r="D1374" s="1180" t="s">
        <v>7475</v>
      </c>
      <c r="E1374" s="71">
        <v>15</v>
      </c>
      <c r="F1374" s="223"/>
      <c r="G1374" s="109">
        <v>104</v>
      </c>
      <c r="H1374" s="34">
        <v>108</v>
      </c>
      <c r="I1374" s="35">
        <v>114.4</v>
      </c>
      <c r="J1374" s="114" t="s">
        <v>4627</v>
      </c>
      <c r="K1374" s="57" t="s">
        <v>374</v>
      </c>
      <c r="L1374" s="438"/>
      <c r="M1374" s="484" t="s">
        <v>1856</v>
      </c>
      <c r="N1374" s="1008" t="s">
        <v>1856</v>
      </c>
      <c r="O1374" s="219" t="s">
        <v>1637</v>
      </c>
      <c r="P1374" s="70" t="s">
        <v>72</v>
      </c>
      <c r="Q1374" s="100">
        <f t="shared" si="737"/>
        <v>0</v>
      </c>
      <c r="R1374" s="94" t="str">
        <f t="shared" si="738"/>
        <v>Фото &gt;&gt;</v>
      </c>
      <c r="S1374" s="14" t="s">
        <v>7477</v>
      </c>
      <c r="AK1374">
        <v>4.4999999999999998E-2</v>
      </c>
      <c r="AL1374">
        <f t="shared" ref="AL1374:AL1377" si="742">F1374*G1374</f>
        <v>0</v>
      </c>
      <c r="AM1374">
        <f t="shared" ref="AM1374:AM1377" si="743">F1374*H1374</f>
        <v>0</v>
      </c>
      <c r="AN1374">
        <f t="shared" ref="AN1374:AN1377" si="744">AK1374*F1374+IF(E1374&gt;1.01,F1374/E1374*0.2,0)</f>
        <v>0</v>
      </c>
      <c r="AO1374" t="s">
        <v>7479</v>
      </c>
      <c r="AV1374" t="str">
        <f>IF(F1374&gt;0,(COUNT($AV$1:AV1373)+1),"")</f>
        <v/>
      </c>
    </row>
    <row r="1375" spans="1:48" ht="15" customHeight="1" x14ac:dyDescent="0.25">
      <c r="A1375" s="1"/>
      <c r="B1375" s="785">
        <v>21484</v>
      </c>
      <c r="C1375" s="786">
        <v>4660622330013</v>
      </c>
      <c r="D1375" s="933" t="s">
        <v>6912</v>
      </c>
      <c r="E1375" s="788">
        <v>15</v>
      </c>
      <c r="F1375" s="789"/>
      <c r="G1375" s="811">
        <v>117.5</v>
      </c>
      <c r="H1375" s="790">
        <v>123.4</v>
      </c>
      <c r="I1375" s="791">
        <v>136</v>
      </c>
      <c r="J1375" s="792" t="s">
        <v>4627</v>
      </c>
      <c r="K1375" s="793" t="s">
        <v>374</v>
      </c>
      <c r="L1375" s="781"/>
      <c r="M1375" s="782" t="s">
        <v>1856</v>
      </c>
      <c r="N1375" s="1009"/>
      <c r="O1375" s="794" t="s">
        <v>1637</v>
      </c>
      <c r="P1375" s="784" t="s">
        <v>100</v>
      </c>
      <c r="Q1375" s="100">
        <f t="shared" si="737"/>
        <v>0</v>
      </c>
      <c r="R1375" s="94" t="str">
        <f t="shared" si="738"/>
        <v>Фото &gt;&gt;</v>
      </c>
      <c r="S1375" s="14" t="s">
        <v>6901</v>
      </c>
      <c r="AK1375">
        <v>4.4999999999999998E-2</v>
      </c>
      <c r="AL1375">
        <f t="shared" si="742"/>
        <v>0</v>
      </c>
      <c r="AM1375">
        <f t="shared" si="743"/>
        <v>0</v>
      </c>
      <c r="AN1375">
        <f t="shared" si="744"/>
        <v>0</v>
      </c>
      <c r="AO1375" t="s">
        <v>6908</v>
      </c>
      <c r="AV1375" t="str">
        <f>IF(F1375&gt;0,(COUNT($AV$1:AV1374)+1),"")</f>
        <v/>
      </c>
    </row>
    <row r="1376" spans="1:48" ht="15" customHeight="1" x14ac:dyDescent="0.25">
      <c r="A1376" s="1"/>
      <c r="B1376" s="31">
        <v>21584</v>
      </c>
      <c r="C1376" s="16">
        <v>4660622330051</v>
      </c>
      <c r="D1376" s="1182" t="s">
        <v>7476</v>
      </c>
      <c r="E1376" s="69">
        <v>15</v>
      </c>
      <c r="F1376" s="222"/>
      <c r="G1376" s="108">
        <v>102.7</v>
      </c>
      <c r="H1376" s="17">
        <v>106.6</v>
      </c>
      <c r="I1376" s="18">
        <v>112.9</v>
      </c>
      <c r="J1376" s="113" t="s">
        <v>4627</v>
      </c>
      <c r="K1376" s="44" t="s">
        <v>374</v>
      </c>
      <c r="L1376" s="442"/>
      <c r="M1376" s="480" t="s">
        <v>1856</v>
      </c>
      <c r="N1376" s="1015" t="s">
        <v>1856</v>
      </c>
      <c r="O1376" s="210" t="s">
        <v>1637</v>
      </c>
      <c r="P1376" s="68" t="s">
        <v>100</v>
      </c>
      <c r="Q1376" s="100">
        <f t="shared" si="737"/>
        <v>0</v>
      </c>
      <c r="R1376" s="94" t="str">
        <f t="shared" si="738"/>
        <v>Фото &gt;&gt;</v>
      </c>
      <c r="S1376" s="14" t="s">
        <v>7478</v>
      </c>
      <c r="AK1376">
        <v>4.4999999999999998E-2</v>
      </c>
      <c r="AL1376">
        <f t="shared" si="742"/>
        <v>0</v>
      </c>
      <c r="AM1376">
        <f t="shared" si="743"/>
        <v>0</v>
      </c>
      <c r="AN1376">
        <f t="shared" si="744"/>
        <v>0</v>
      </c>
      <c r="AO1376" t="s">
        <v>7480</v>
      </c>
      <c r="AV1376" t="str">
        <f>IF(F1376&gt;0,(COUNT($AV$1:AV1375)+1),"")</f>
        <v/>
      </c>
    </row>
    <row r="1377" spans="1:48" ht="15" customHeight="1" x14ac:dyDescent="0.25">
      <c r="A1377" s="1"/>
      <c r="B1377" s="30">
        <v>21585</v>
      </c>
      <c r="C1377" s="20">
        <v>4660622330235</v>
      </c>
      <c r="D1377" s="421" t="s">
        <v>7472</v>
      </c>
      <c r="E1377" s="67">
        <v>15</v>
      </c>
      <c r="F1377" s="222"/>
      <c r="G1377" s="107">
        <v>101.4</v>
      </c>
      <c r="H1377" s="21">
        <v>105.3</v>
      </c>
      <c r="I1377" s="22">
        <v>111.5</v>
      </c>
      <c r="J1377" s="112" t="s">
        <v>4627</v>
      </c>
      <c r="K1377" s="45" t="s">
        <v>374</v>
      </c>
      <c r="L1377" s="437"/>
      <c r="M1377" s="474"/>
      <c r="N1377" s="1013"/>
      <c r="O1377" s="209" t="s">
        <v>1637</v>
      </c>
      <c r="P1377" s="66" t="s">
        <v>72</v>
      </c>
      <c r="Q1377" s="100">
        <f t="shared" si="737"/>
        <v>0</v>
      </c>
      <c r="R1377" s="94" t="str">
        <f t="shared" si="738"/>
        <v>Фото &gt;&gt;</v>
      </c>
      <c r="S1377" s="14" t="s">
        <v>5580</v>
      </c>
      <c r="AK1377">
        <v>4.4999999999999998E-2</v>
      </c>
      <c r="AL1377">
        <f t="shared" si="742"/>
        <v>0</v>
      </c>
      <c r="AM1377">
        <f t="shared" si="743"/>
        <v>0</v>
      </c>
      <c r="AN1377">
        <f t="shared" si="744"/>
        <v>0</v>
      </c>
      <c r="AO1377" t="s">
        <v>7481</v>
      </c>
      <c r="AV1377" t="str">
        <f>IF(F1377&gt;0,(COUNT($AV$1:AV1376)+1),"")</f>
        <v/>
      </c>
    </row>
    <row r="1378" spans="1:48" ht="15" customHeight="1" x14ac:dyDescent="0.25">
      <c r="A1378" s="1"/>
      <c r="B1378" s="125"/>
      <c r="C1378" s="126"/>
      <c r="D1378" s="127"/>
      <c r="E1378" s="134"/>
      <c r="F1378" s="189"/>
      <c r="G1378" s="130"/>
      <c r="H1378" s="131"/>
      <c r="I1378" s="132"/>
      <c r="J1378" s="128"/>
      <c r="K1378" s="129"/>
      <c r="L1378" s="433"/>
      <c r="M1378" s="481"/>
      <c r="N1378" s="471"/>
      <c r="O1378" s="181"/>
      <c r="P1378" s="133"/>
      <c r="Q1378" s="135"/>
      <c r="R1378" s="13"/>
      <c r="S1378" s="14"/>
      <c r="AV1378" t="str">
        <f>IF(F1378&gt;0,(COUNT($AV$1:AV1377)+1),"")</f>
        <v/>
      </c>
    </row>
    <row r="1379" spans="1:48" ht="15" customHeight="1" thickBot="1" x14ac:dyDescent="0.3">
      <c r="A1379" s="1"/>
      <c r="B1379" s="158"/>
      <c r="C1379" s="159"/>
      <c r="D1379" s="160"/>
      <c r="E1379" s="167"/>
      <c r="F1379" s="191"/>
      <c r="G1379" s="163"/>
      <c r="H1379" s="164"/>
      <c r="I1379" s="165"/>
      <c r="J1379" s="161"/>
      <c r="K1379" s="162"/>
      <c r="L1379" s="439"/>
      <c r="M1379" s="475"/>
      <c r="N1379" s="467"/>
      <c r="O1379" s="183"/>
      <c r="P1379" s="166"/>
      <c r="Q1379" s="168"/>
      <c r="R1379" s="13"/>
      <c r="S1379" s="14"/>
      <c r="AV1379" t="str">
        <f>IF(F1379&gt;0,(COUNT($AV$1:AV1378)+1),"")</f>
        <v/>
      </c>
    </row>
    <row r="1380" spans="1:48" ht="24.95" customHeight="1" thickBot="1" x14ac:dyDescent="0.3">
      <c r="A1380" s="1"/>
      <c r="B1380" s="266"/>
      <c r="C1380" s="267"/>
      <c r="D1380" s="268" t="str">
        <f>CONCATENATE("Royal Forest (Транскероб)","     |     Сумма заказа: ",AK1380," руб.")</f>
        <v>Royal Forest (Транскероб)     |     Сумма заказа: 0 руб.</v>
      </c>
      <c r="E1380" s="269"/>
      <c r="F1380" s="270"/>
      <c r="G1380" s="271" t="str">
        <f>CONCATENATE("Ценовая колонка: ",AO1380,"   |   До следующей скидки: ",AJ1380," руб.")</f>
        <v>Ценовая колонка: 3   |   До следующей скидки: 5000 руб.</v>
      </c>
      <c r="H1380" s="272"/>
      <c r="I1380" s="272"/>
      <c r="J1380" s="273" t="s">
        <v>545</v>
      </c>
      <c r="K1380" s="274"/>
      <c r="L1380" s="451"/>
      <c r="M1380" s="495" t="s">
        <v>104</v>
      </c>
      <c r="N1380" s="571"/>
      <c r="O1380" s="275"/>
      <c r="P1380" s="276"/>
      <c r="Q1380" s="277"/>
      <c r="R1380" s="265" t="s">
        <v>1558</v>
      </c>
      <c r="S1380" s="6"/>
      <c r="AJ1380">
        <f>ROUND(IF(AL1380&gt;20000,"0", IF(AND(AL1380&lt;20000,AM1380&gt;5000),20000-AL1380,5000-AM1380)),2)</f>
        <v>5000</v>
      </c>
      <c r="AK1380">
        <f>SUM(Q1382:Q1393)</f>
        <v>0</v>
      </c>
      <c r="AL1380">
        <f>SUM(AL1382:AL1393)</f>
        <v>0</v>
      </c>
      <c r="AM1380">
        <f>SUM(AM1382:AM1393)</f>
        <v>0</v>
      </c>
      <c r="AO1380">
        <f>IF(AM1380&gt;5000,IF(AL1380&gt;20000,1,2),3)</f>
        <v>3</v>
      </c>
      <c r="AV1380" t="str">
        <f>IF(F1380&gt;0,(COUNT($AV$1:AV1379)+1),"")</f>
        <v/>
      </c>
    </row>
    <row r="1381" spans="1:48" ht="15" customHeight="1" x14ac:dyDescent="0.25">
      <c r="A1381" s="1"/>
      <c r="B1381" s="296"/>
      <c r="C1381" s="38"/>
      <c r="D1381" s="39" t="s">
        <v>1435</v>
      </c>
      <c r="E1381" s="82"/>
      <c r="F1381" s="97"/>
      <c r="G1381" s="40" t="s">
        <v>15</v>
      </c>
      <c r="H1381" s="41" t="s">
        <v>16</v>
      </c>
      <c r="I1381" s="41" t="s">
        <v>221</v>
      </c>
      <c r="J1381" s="52"/>
      <c r="K1381" s="48"/>
      <c r="L1381" s="448"/>
      <c r="M1381" s="491" t="s">
        <v>104</v>
      </c>
      <c r="N1381" s="715"/>
      <c r="O1381" s="187"/>
      <c r="P1381" s="81"/>
      <c r="Q1381" s="105"/>
      <c r="R1381" s="13"/>
      <c r="S1381" s="14"/>
      <c r="AV1381" t="str">
        <f>IF(F1381&gt;0,(COUNT($AV$1:AV1380)+1),"")</f>
        <v/>
      </c>
    </row>
    <row r="1382" spans="1:48" ht="15" customHeight="1" x14ac:dyDescent="0.25">
      <c r="A1382" s="1"/>
      <c r="B1382" s="31">
        <v>14595</v>
      </c>
      <c r="C1382" s="16">
        <v>4627082940602</v>
      </c>
      <c r="D1382" s="422" t="s">
        <v>547</v>
      </c>
      <c r="E1382" s="69">
        <v>16</v>
      </c>
      <c r="F1382" s="222"/>
      <c r="G1382" s="108">
        <v>344.7</v>
      </c>
      <c r="H1382" s="17">
        <v>355.9</v>
      </c>
      <c r="I1382" s="18">
        <v>367.1</v>
      </c>
      <c r="J1382" s="113" t="s">
        <v>545</v>
      </c>
      <c r="K1382" s="44" t="s">
        <v>78</v>
      </c>
      <c r="L1382" s="442"/>
      <c r="M1382" s="480" t="s">
        <v>104</v>
      </c>
      <c r="N1382" s="1015" t="s">
        <v>1856</v>
      </c>
      <c r="O1382" s="210" t="s">
        <v>5594</v>
      </c>
      <c r="P1382" s="68" t="s">
        <v>40</v>
      </c>
      <c r="Q1382" s="100">
        <f>IF($AO$1380=2,F1382*H1382,IF($AO$1380=1,F1382*G1382,F1382*I1382))</f>
        <v>0</v>
      </c>
      <c r="R1382" s="13" t="str">
        <f t="shared" ref="R1382:R1386" si="745">IF(AO1382&gt;0,HYPERLINK(AO1382,"Фото &gt;&gt;"),"")</f>
        <v>Фото &gt;&gt;</v>
      </c>
      <c r="S1382" s="14" t="s">
        <v>7093</v>
      </c>
      <c r="AK1382">
        <v>0.11</v>
      </c>
      <c r="AL1382">
        <f t="shared" ref="AL1382:AL1384" si="746">F1382*G1382</f>
        <v>0</v>
      </c>
      <c r="AM1382">
        <f t="shared" ref="AM1382:AM1384" si="747">F1382*H1382</f>
        <v>0</v>
      </c>
      <c r="AN1382">
        <f t="shared" ref="AN1382:AN1391" si="748">AK1382*F1382+IF(E1382&gt;1.01,F1382/E1382*0.2,0)</f>
        <v>0</v>
      </c>
      <c r="AO1382" t="s">
        <v>7094</v>
      </c>
      <c r="AQ1382" s="520" t="str">
        <f>CONCATENATE("http://1.c8804.nichost.ru/pics/",B1382,".jpg")</f>
        <v>http://1.c8804.nichost.ru/pics/14595.jpg</v>
      </c>
      <c r="AV1382" t="str">
        <f>IF(F1382&gt;0,(COUNT($AV$1:AV1381)+1),"")</f>
        <v/>
      </c>
    </row>
    <row r="1383" spans="1:48" ht="15" customHeight="1" x14ac:dyDescent="0.25">
      <c r="A1383" s="1"/>
      <c r="B1383" s="30">
        <v>14217</v>
      </c>
      <c r="C1383" s="20">
        <v>4627082940596</v>
      </c>
      <c r="D1383" s="153" t="s">
        <v>549</v>
      </c>
      <c r="E1383" s="67">
        <v>16</v>
      </c>
      <c r="F1383" s="222"/>
      <c r="G1383" s="107">
        <v>152.19999999999999</v>
      </c>
      <c r="H1383" s="21">
        <v>157.6</v>
      </c>
      <c r="I1383" s="22">
        <v>162.69999999999999</v>
      </c>
      <c r="J1383" s="112" t="s">
        <v>545</v>
      </c>
      <c r="K1383" s="45" t="s">
        <v>49</v>
      </c>
      <c r="L1383" s="437"/>
      <c r="M1383" s="474" t="s">
        <v>104</v>
      </c>
      <c r="N1383" s="1013" t="s">
        <v>1856</v>
      </c>
      <c r="O1383" s="325"/>
      <c r="P1383" s="66" t="s">
        <v>40</v>
      </c>
      <c r="Q1383" s="100">
        <f>IF($AO$1380=2,F1383*H1383,IF($AO$1380=1,F1383*G1383,F1383*I1383))</f>
        <v>0</v>
      </c>
      <c r="R1383" s="13" t="str">
        <f t="shared" ref="R1383" si="749">IF(AO1383&gt;0,HYPERLINK(AO1383,"Фото &gt;&gt;"),"")</f>
        <v>Фото &gt;&gt;</v>
      </c>
      <c r="S1383" s="14" t="s">
        <v>550</v>
      </c>
      <c r="AK1383">
        <v>0.11</v>
      </c>
      <c r="AL1383">
        <f t="shared" ref="AL1383" si="750">F1383*G1383</f>
        <v>0</v>
      </c>
      <c r="AM1383">
        <f t="shared" ref="AM1383" si="751">F1383*H1383</f>
        <v>0</v>
      </c>
      <c r="AN1383">
        <f t="shared" ref="AN1383" si="752">AK1383*F1383+IF(E1383&gt;1.01,F1383/E1383*0.2,0)</f>
        <v>0</v>
      </c>
      <c r="AO1383" t="s">
        <v>4884</v>
      </c>
      <c r="AV1383" t="str">
        <f>IF(F1383&gt;0,(COUNT($AV$1:AV1382)+1),"")</f>
        <v/>
      </c>
    </row>
    <row r="1384" spans="1:48" ht="15" customHeight="1" x14ac:dyDescent="0.25">
      <c r="A1384" s="1"/>
      <c r="B1384" s="31">
        <v>14216</v>
      </c>
      <c r="C1384" s="16">
        <v>4627082940145</v>
      </c>
      <c r="D1384" s="154" t="s">
        <v>551</v>
      </c>
      <c r="E1384" s="69">
        <v>14</v>
      </c>
      <c r="F1384" s="222"/>
      <c r="G1384" s="108">
        <v>202.9</v>
      </c>
      <c r="H1384" s="17">
        <v>209.5</v>
      </c>
      <c r="I1384" s="18">
        <v>218.6</v>
      </c>
      <c r="J1384" s="113" t="s">
        <v>545</v>
      </c>
      <c r="K1384" s="44" t="s">
        <v>49</v>
      </c>
      <c r="L1384" s="442"/>
      <c r="M1384" s="480" t="s">
        <v>104</v>
      </c>
      <c r="N1384" s="1015" t="s">
        <v>1856</v>
      </c>
      <c r="O1384" s="326"/>
      <c r="P1384" s="68" t="s">
        <v>40</v>
      </c>
      <c r="Q1384" s="100">
        <f>IF($AO$1380=2,F1384*H1384,IF($AO$1380=1,F1384*G1384,F1384*I1384))</f>
        <v>0</v>
      </c>
      <c r="R1384" s="13" t="str">
        <f t="shared" si="745"/>
        <v>Фото &gt;&gt;</v>
      </c>
      <c r="S1384" s="14" t="s">
        <v>552</v>
      </c>
      <c r="AK1384">
        <v>0.2</v>
      </c>
      <c r="AL1384">
        <f t="shared" si="746"/>
        <v>0</v>
      </c>
      <c r="AM1384">
        <f t="shared" si="747"/>
        <v>0</v>
      </c>
      <c r="AN1384">
        <f t="shared" si="748"/>
        <v>0</v>
      </c>
      <c r="AO1384" t="s">
        <v>4885</v>
      </c>
      <c r="AV1384" t="str">
        <f>IF(F1384&gt;0,(COUNT($AV$1:AV1383)+1),"")</f>
        <v/>
      </c>
    </row>
    <row r="1385" spans="1:48" ht="15" customHeight="1" x14ac:dyDescent="0.25">
      <c r="A1385" s="1"/>
      <c r="B1385" s="30">
        <v>14218</v>
      </c>
      <c r="C1385" s="20">
        <v>4627082940589</v>
      </c>
      <c r="D1385" s="153" t="s">
        <v>553</v>
      </c>
      <c r="E1385" s="67">
        <v>16</v>
      </c>
      <c r="F1385" s="222"/>
      <c r="G1385" s="107">
        <v>166.8</v>
      </c>
      <c r="H1385" s="21">
        <v>172.3</v>
      </c>
      <c r="I1385" s="22">
        <v>178</v>
      </c>
      <c r="J1385" s="112" t="s">
        <v>545</v>
      </c>
      <c r="K1385" s="45" t="s">
        <v>49</v>
      </c>
      <c r="L1385" s="437"/>
      <c r="M1385" s="474" t="s">
        <v>104</v>
      </c>
      <c r="N1385" s="1013" t="s">
        <v>1856</v>
      </c>
      <c r="O1385" s="325"/>
      <c r="P1385" s="66" t="s">
        <v>50</v>
      </c>
      <c r="Q1385" s="100">
        <f>IF($AO$1380=2,F1385*H1385,IF($AO$1380=1,F1385*G1385,F1385*I1385))</f>
        <v>0</v>
      </c>
      <c r="R1385" s="13" t="str">
        <f t="shared" si="745"/>
        <v>Фото &gt;&gt;</v>
      </c>
      <c r="S1385" s="14" t="s">
        <v>554</v>
      </c>
      <c r="AK1385">
        <v>0.11</v>
      </c>
      <c r="AL1385">
        <f t="shared" ref="AL1385:AL1387" si="753">F1385*G1385</f>
        <v>0</v>
      </c>
      <c r="AM1385">
        <f t="shared" ref="AM1385:AM1387" si="754">F1385*H1385</f>
        <v>0</v>
      </c>
      <c r="AN1385">
        <f t="shared" si="748"/>
        <v>0</v>
      </c>
      <c r="AO1385" t="s">
        <v>4886</v>
      </c>
      <c r="AV1385" t="str">
        <f>IF(F1385&gt;0,(COUNT($AV$1:AV1384)+1),"")</f>
        <v/>
      </c>
    </row>
    <row r="1386" spans="1:48" ht="15" customHeight="1" x14ac:dyDescent="0.25">
      <c r="A1386" s="1"/>
      <c r="B1386" s="31">
        <v>14219</v>
      </c>
      <c r="C1386" s="16">
        <v>4627082940138</v>
      </c>
      <c r="D1386" s="154" t="s">
        <v>555</v>
      </c>
      <c r="E1386" s="69">
        <v>14</v>
      </c>
      <c r="F1386" s="222"/>
      <c r="G1386" s="108">
        <v>229.8</v>
      </c>
      <c r="H1386" s="17">
        <v>238</v>
      </c>
      <c r="I1386" s="18">
        <v>245.1</v>
      </c>
      <c r="J1386" s="113" t="s">
        <v>545</v>
      </c>
      <c r="K1386" s="44" t="s">
        <v>49</v>
      </c>
      <c r="L1386" s="442"/>
      <c r="M1386" s="480" t="s">
        <v>104</v>
      </c>
      <c r="N1386" s="1015" t="s">
        <v>1856</v>
      </c>
      <c r="O1386" s="326"/>
      <c r="P1386" s="68" t="s">
        <v>50</v>
      </c>
      <c r="Q1386" s="100">
        <f>IF($AO$1380=2,F1386*H1386,IF($AO$1380=1,F1386*G1386,F1386*I1386))</f>
        <v>0</v>
      </c>
      <c r="R1386" s="13" t="str">
        <f t="shared" si="745"/>
        <v>Фото &gt;&gt;</v>
      </c>
      <c r="S1386" s="14" t="s">
        <v>554</v>
      </c>
      <c r="AK1386">
        <v>0.2</v>
      </c>
      <c r="AL1386">
        <f t="shared" si="753"/>
        <v>0</v>
      </c>
      <c r="AM1386">
        <f t="shared" si="754"/>
        <v>0</v>
      </c>
      <c r="AN1386">
        <f t="shared" si="748"/>
        <v>0</v>
      </c>
      <c r="AO1386" t="s">
        <v>4886</v>
      </c>
      <c r="AV1386" t="str">
        <f>IF(F1386&gt;0,(COUNT($AV$1:AV1385)+1),"")</f>
        <v/>
      </c>
    </row>
    <row r="1387" spans="1:48" ht="15" customHeight="1" x14ac:dyDescent="0.25">
      <c r="A1387" s="1"/>
      <c r="B1387" s="25"/>
      <c r="C1387" s="26"/>
      <c r="D1387" s="27" t="s">
        <v>1436</v>
      </c>
      <c r="E1387" s="80"/>
      <c r="F1387" s="96"/>
      <c r="G1387" s="28"/>
      <c r="H1387" s="29"/>
      <c r="I1387" s="29"/>
      <c r="J1387" s="51"/>
      <c r="K1387" s="47"/>
      <c r="L1387" s="447"/>
      <c r="M1387" s="489" t="s">
        <v>104</v>
      </c>
      <c r="N1387" s="716"/>
      <c r="O1387" s="186"/>
      <c r="P1387" s="79"/>
      <c r="Q1387" s="104"/>
      <c r="R1387" s="13"/>
      <c r="S1387" s="14"/>
      <c r="AL1387">
        <f t="shared" si="753"/>
        <v>0</v>
      </c>
      <c r="AM1387">
        <f t="shared" si="754"/>
        <v>0</v>
      </c>
      <c r="AN1387">
        <f t="shared" si="748"/>
        <v>0</v>
      </c>
      <c r="AO1387" t="s">
        <v>104</v>
      </c>
      <c r="AV1387" t="str">
        <f>IF(F1387&gt;0,(COUNT($AV$1:AV1386)+1),"")</f>
        <v/>
      </c>
    </row>
    <row r="1388" spans="1:48" ht="15" customHeight="1" x14ac:dyDescent="0.25">
      <c r="A1388" s="1"/>
      <c r="B1388" s="30">
        <v>15311</v>
      </c>
      <c r="C1388" s="20">
        <v>4627082941777</v>
      </c>
      <c r="D1388" s="153" t="s">
        <v>557</v>
      </c>
      <c r="E1388" s="67">
        <v>16</v>
      </c>
      <c r="F1388" s="222"/>
      <c r="G1388" s="107">
        <v>330.4</v>
      </c>
      <c r="H1388" s="21">
        <v>341.4</v>
      </c>
      <c r="I1388" s="22">
        <v>351.8</v>
      </c>
      <c r="J1388" s="112" t="s">
        <v>545</v>
      </c>
      <c r="K1388" s="45" t="s">
        <v>374</v>
      </c>
      <c r="L1388" s="437"/>
      <c r="M1388" s="474" t="s">
        <v>1856</v>
      </c>
      <c r="N1388" s="1013"/>
      <c r="O1388" s="325"/>
      <c r="P1388" s="66" t="s">
        <v>72</v>
      </c>
      <c r="Q1388" s="100">
        <f t="shared" ref="Q1388:Q1393" si="755">IF($AO$1380=2,F1388*H1388,IF($AO$1380=1,F1388*G1388,F1388*I1388))</f>
        <v>0</v>
      </c>
      <c r="R1388" s="13" t="str">
        <f t="shared" ref="R1388:R1393" si="756">IF(AO1388&gt;0,HYPERLINK(AO1388,"Фото &gt;&gt;"),"")</f>
        <v>Фото &gt;&gt;</v>
      </c>
      <c r="S1388" s="14" t="s">
        <v>558</v>
      </c>
      <c r="AK1388">
        <v>0.09</v>
      </c>
      <c r="AL1388">
        <f t="shared" ref="AL1388:AL1391" si="757">F1388*G1388</f>
        <v>0</v>
      </c>
      <c r="AM1388">
        <f t="shared" ref="AM1388:AM1391" si="758">F1388*H1388</f>
        <v>0</v>
      </c>
      <c r="AN1388">
        <f t="shared" si="748"/>
        <v>0</v>
      </c>
      <c r="AO1388" t="s">
        <v>4887</v>
      </c>
      <c r="AV1388" t="str">
        <f>IF(F1388&gt;0,(COUNT($AV$1:AV1387)+1),"")</f>
        <v/>
      </c>
    </row>
    <row r="1389" spans="1:48" ht="15" customHeight="1" x14ac:dyDescent="0.25">
      <c r="A1389" s="1"/>
      <c r="B1389" s="31">
        <v>16122</v>
      </c>
      <c r="C1389" s="16">
        <v>4627082943542</v>
      </c>
      <c r="D1389" s="154" t="s">
        <v>559</v>
      </c>
      <c r="E1389" s="69">
        <v>16</v>
      </c>
      <c r="F1389" s="222"/>
      <c r="G1389" s="108">
        <v>318.8</v>
      </c>
      <c r="H1389" s="17">
        <v>329.5</v>
      </c>
      <c r="I1389" s="18">
        <v>339.6</v>
      </c>
      <c r="J1389" s="113" t="s">
        <v>545</v>
      </c>
      <c r="K1389" s="44" t="s">
        <v>374</v>
      </c>
      <c r="L1389" s="442"/>
      <c r="M1389" s="480" t="s">
        <v>1856</v>
      </c>
      <c r="N1389" s="1015"/>
      <c r="O1389" s="326"/>
      <c r="P1389" s="68" t="s">
        <v>72</v>
      </c>
      <c r="Q1389" s="100">
        <f t="shared" si="755"/>
        <v>0</v>
      </c>
      <c r="R1389" s="13" t="str">
        <f t="shared" si="756"/>
        <v>Фото &gt;&gt;</v>
      </c>
      <c r="S1389" s="14" t="s">
        <v>560</v>
      </c>
      <c r="AK1389">
        <v>0.09</v>
      </c>
      <c r="AL1389">
        <f t="shared" si="757"/>
        <v>0</v>
      </c>
      <c r="AM1389">
        <f t="shared" si="758"/>
        <v>0</v>
      </c>
      <c r="AN1389">
        <f t="shared" si="748"/>
        <v>0</v>
      </c>
      <c r="AO1389" t="s">
        <v>4888</v>
      </c>
      <c r="AV1389" t="str">
        <f>IF(F1389&gt;0,(COUNT($AV$1:AV1388)+1),"")</f>
        <v/>
      </c>
    </row>
    <row r="1390" spans="1:48" ht="15" customHeight="1" x14ac:dyDescent="0.25">
      <c r="A1390" s="1"/>
      <c r="B1390" s="30">
        <v>1012</v>
      </c>
      <c r="C1390" s="20">
        <v>4627082940473</v>
      </c>
      <c r="D1390" s="153" t="s">
        <v>561</v>
      </c>
      <c r="E1390" s="67">
        <v>16</v>
      </c>
      <c r="F1390" s="222"/>
      <c r="G1390" s="107">
        <v>318.8</v>
      </c>
      <c r="H1390" s="21">
        <v>329.5</v>
      </c>
      <c r="I1390" s="22">
        <v>339.6</v>
      </c>
      <c r="J1390" s="112" t="s">
        <v>545</v>
      </c>
      <c r="K1390" s="45" t="s">
        <v>374</v>
      </c>
      <c r="L1390" s="437"/>
      <c r="M1390" s="474" t="s">
        <v>1856</v>
      </c>
      <c r="N1390" s="1013"/>
      <c r="O1390" s="325"/>
      <c r="P1390" s="66" t="s">
        <v>72</v>
      </c>
      <c r="Q1390" s="100">
        <f t="shared" si="755"/>
        <v>0</v>
      </c>
      <c r="R1390" s="13" t="str">
        <f t="shared" si="756"/>
        <v>Фото &gt;&gt;</v>
      </c>
      <c r="S1390" s="14" t="s">
        <v>562</v>
      </c>
      <c r="AK1390">
        <v>0.09</v>
      </c>
      <c r="AL1390">
        <f t="shared" si="757"/>
        <v>0</v>
      </c>
      <c r="AM1390">
        <f t="shared" si="758"/>
        <v>0</v>
      </c>
      <c r="AN1390">
        <f t="shared" si="748"/>
        <v>0</v>
      </c>
      <c r="AO1390" t="s">
        <v>4889</v>
      </c>
      <c r="AV1390" t="str">
        <f>IF(F1390&gt;0,(COUNT($AV$1:AV1389)+1),"")</f>
        <v/>
      </c>
    </row>
    <row r="1391" spans="1:48" ht="15" customHeight="1" x14ac:dyDescent="0.25">
      <c r="A1391" s="1"/>
      <c r="B1391" s="31">
        <v>1011</v>
      </c>
      <c r="C1391" s="16">
        <v>4627082940466</v>
      </c>
      <c r="D1391" s="154" t="s">
        <v>563</v>
      </c>
      <c r="E1391" s="69">
        <v>16</v>
      </c>
      <c r="F1391" s="222"/>
      <c r="G1391" s="108">
        <v>307.10000000000002</v>
      </c>
      <c r="H1391" s="17">
        <v>317.3</v>
      </c>
      <c r="I1391" s="18">
        <v>327.39999999999998</v>
      </c>
      <c r="J1391" s="113" t="s">
        <v>545</v>
      </c>
      <c r="K1391" s="44" t="s">
        <v>374</v>
      </c>
      <c r="L1391" s="442"/>
      <c r="M1391" s="480" t="s">
        <v>1856</v>
      </c>
      <c r="N1391" s="1015"/>
      <c r="O1391" s="326"/>
      <c r="P1391" s="68" t="s">
        <v>72</v>
      </c>
      <c r="Q1391" s="100">
        <f t="shared" si="755"/>
        <v>0</v>
      </c>
      <c r="R1391" s="13" t="str">
        <f t="shared" si="756"/>
        <v>Фото &gt;&gt;</v>
      </c>
      <c r="S1391" s="14" t="s">
        <v>564</v>
      </c>
      <c r="AK1391">
        <v>0.09</v>
      </c>
      <c r="AL1391">
        <f t="shared" si="757"/>
        <v>0</v>
      </c>
      <c r="AM1391">
        <f t="shared" si="758"/>
        <v>0</v>
      </c>
      <c r="AN1391">
        <f t="shared" si="748"/>
        <v>0</v>
      </c>
      <c r="AO1391" t="s">
        <v>4890</v>
      </c>
      <c r="AV1391" t="str">
        <f>IF(F1391&gt;0,(COUNT($AV$1:AV1390)+1),"")</f>
        <v/>
      </c>
    </row>
    <row r="1392" spans="1:48" ht="15" customHeight="1" x14ac:dyDescent="0.25">
      <c r="A1392" s="1"/>
      <c r="B1392" s="30">
        <v>1010</v>
      </c>
      <c r="C1392" s="20">
        <v>4627082940459</v>
      </c>
      <c r="D1392" s="153" t="s">
        <v>565</v>
      </c>
      <c r="E1392" s="67">
        <v>16</v>
      </c>
      <c r="F1392" s="222"/>
      <c r="G1392" s="107">
        <v>311.2</v>
      </c>
      <c r="H1392" s="21">
        <v>322.3</v>
      </c>
      <c r="I1392" s="22">
        <v>332.5</v>
      </c>
      <c r="J1392" s="112" t="s">
        <v>545</v>
      </c>
      <c r="K1392" s="45" t="s">
        <v>374</v>
      </c>
      <c r="L1392" s="437"/>
      <c r="M1392" s="474" t="s">
        <v>1856</v>
      </c>
      <c r="N1392" s="1013"/>
      <c r="O1392" s="325"/>
      <c r="P1392" s="66" t="s">
        <v>72</v>
      </c>
      <c r="Q1392" s="100">
        <f t="shared" si="755"/>
        <v>0</v>
      </c>
      <c r="R1392" s="13" t="str">
        <f t="shared" si="756"/>
        <v>Фото &gt;&gt;</v>
      </c>
      <c r="S1392" s="14" t="s">
        <v>566</v>
      </c>
      <c r="AK1392">
        <v>0.09</v>
      </c>
      <c r="AL1392">
        <f t="shared" ref="AL1392:AL1393" si="759">F1392*G1392</f>
        <v>0</v>
      </c>
      <c r="AM1392">
        <f t="shared" ref="AM1392:AM1393" si="760">F1392*H1392</f>
        <v>0</v>
      </c>
      <c r="AN1392">
        <f t="shared" ref="AN1392:AN1393" si="761">AK1392*F1392+IF(E1392&gt;1.01,F1392/E1392*0.2,0)</f>
        <v>0</v>
      </c>
      <c r="AO1392" t="s">
        <v>4891</v>
      </c>
      <c r="AV1392" t="str">
        <f>IF(F1392&gt;0,(COUNT($AV$1:AV1391)+1),"")</f>
        <v/>
      </c>
    </row>
    <row r="1393" spans="1:48" ht="15" customHeight="1" x14ac:dyDescent="0.25">
      <c r="A1393" s="1"/>
      <c r="B1393" s="31">
        <v>16121</v>
      </c>
      <c r="C1393" s="16">
        <v>4627082943535</v>
      </c>
      <c r="D1393" s="154" t="s">
        <v>6979</v>
      </c>
      <c r="E1393" s="69">
        <v>16</v>
      </c>
      <c r="F1393" s="222"/>
      <c r="G1393" s="108">
        <v>318.8</v>
      </c>
      <c r="H1393" s="17">
        <v>329.5</v>
      </c>
      <c r="I1393" s="18">
        <v>339.6</v>
      </c>
      <c r="J1393" s="113" t="s">
        <v>545</v>
      </c>
      <c r="K1393" s="44" t="s">
        <v>374</v>
      </c>
      <c r="L1393" s="442"/>
      <c r="M1393" s="480" t="s">
        <v>1856</v>
      </c>
      <c r="N1393" s="1015" t="s">
        <v>1856</v>
      </c>
      <c r="O1393" s="326"/>
      <c r="P1393" s="68" t="s">
        <v>72</v>
      </c>
      <c r="Q1393" s="100">
        <f t="shared" si="755"/>
        <v>0</v>
      </c>
      <c r="R1393" s="13" t="str">
        <f t="shared" si="756"/>
        <v>Фото &gt;&gt;</v>
      </c>
      <c r="S1393" s="14" t="s">
        <v>6977</v>
      </c>
      <c r="AK1393">
        <v>0.09</v>
      </c>
      <c r="AL1393">
        <f t="shared" si="759"/>
        <v>0</v>
      </c>
      <c r="AM1393">
        <f t="shared" si="760"/>
        <v>0</v>
      </c>
      <c r="AN1393">
        <f t="shared" si="761"/>
        <v>0</v>
      </c>
      <c r="AO1393" t="s">
        <v>6978</v>
      </c>
      <c r="AV1393" t="str">
        <f>IF(F1393&gt;0,(COUNT($AV$1:AV1392)+1),"")</f>
        <v/>
      </c>
    </row>
    <row r="1394" spans="1:48" ht="15" customHeight="1" x14ac:dyDescent="0.25">
      <c r="A1394" s="1"/>
      <c r="B1394" s="125"/>
      <c r="C1394" s="126"/>
      <c r="D1394" s="127"/>
      <c r="E1394" s="134"/>
      <c r="F1394" s="189"/>
      <c r="G1394" s="130"/>
      <c r="H1394" s="131"/>
      <c r="I1394" s="132"/>
      <c r="J1394" s="128"/>
      <c r="K1394" s="129"/>
      <c r="L1394" s="433"/>
      <c r="M1394" s="481" t="s">
        <v>104</v>
      </c>
      <c r="N1394" s="471"/>
      <c r="O1394" s="181"/>
      <c r="P1394" s="133"/>
      <c r="Q1394" s="135"/>
      <c r="R1394" s="13"/>
      <c r="S1394" s="14"/>
      <c r="AV1394" t="str">
        <f>IF(F1394&gt;0,(COUNT($AV$1:AV1393)+1),"")</f>
        <v/>
      </c>
    </row>
    <row r="1395" spans="1:48" ht="15" customHeight="1" thickBot="1" x14ac:dyDescent="0.3">
      <c r="A1395" s="1"/>
      <c r="B1395" s="136"/>
      <c r="C1395" s="137"/>
      <c r="D1395" s="138"/>
      <c r="E1395" s="145"/>
      <c r="F1395" s="190"/>
      <c r="G1395" s="141"/>
      <c r="H1395" s="142"/>
      <c r="I1395" s="143"/>
      <c r="J1395" s="139"/>
      <c r="K1395" s="140"/>
      <c r="L1395" s="434"/>
      <c r="M1395" s="477" t="s">
        <v>104</v>
      </c>
      <c r="N1395" s="468"/>
      <c r="O1395" s="182"/>
      <c r="P1395" s="144"/>
      <c r="Q1395" s="146"/>
      <c r="R1395" s="13"/>
      <c r="S1395" s="14"/>
      <c r="AV1395" t="str">
        <f>IF(F1395&gt;0,(COUNT($AV$1:AV1394)+1),"")</f>
        <v/>
      </c>
    </row>
    <row r="1396" spans="1:48" ht="24.95" customHeight="1" thickBot="1" x14ac:dyDescent="0.3">
      <c r="A1396" s="1"/>
      <c r="B1396" s="266"/>
      <c r="C1396" s="267"/>
      <c r="D1396" s="268" t="str">
        <f>CONCATENATE("KICK батончики","     |     Сумма заказа: ",AK1396," руб.")</f>
        <v>KICK батончики     |     Сумма заказа: 0 руб.</v>
      </c>
      <c r="E1396" s="269"/>
      <c r="F1396" s="270"/>
      <c r="G1396" s="271" t="str">
        <f>CONCATENATE("Ценовая колонка: ",AO1396,"   |   До следующей скидки: ",AJ1396," руб.")</f>
        <v>Ценовая колонка: 3   |   До следующей скидки: 3000 руб.</v>
      </c>
      <c r="H1396" s="272"/>
      <c r="I1396" s="272"/>
      <c r="J1396" s="273" t="s">
        <v>2087</v>
      </c>
      <c r="K1396" s="274"/>
      <c r="L1396" s="451"/>
      <c r="M1396" s="495" t="s">
        <v>104</v>
      </c>
      <c r="N1396" s="571"/>
      <c r="O1396" s="275"/>
      <c r="P1396" s="276"/>
      <c r="Q1396" s="277"/>
      <c r="R1396" s="265" t="s">
        <v>1558</v>
      </c>
      <c r="S1396" s="6"/>
      <c r="AJ1396">
        <f>ROUND(IF(AL1396&gt;100000,"0", IF(AND(AL1396&lt;100000,AM1396&gt;3000),100000-AL1396,3000-AM1396)),2)</f>
        <v>3000</v>
      </c>
      <c r="AK1396">
        <f>SUM(Q1397:Q1432)</f>
        <v>0</v>
      </c>
      <c r="AL1396">
        <f>SUM(AL1397:AL1432)</f>
        <v>0</v>
      </c>
      <c r="AM1396">
        <f>SUM(AM1397:AM1432)</f>
        <v>0</v>
      </c>
      <c r="AO1396">
        <f>IF(AM1396&gt;3000,IF(AL1396&gt;100000,1,2),3)</f>
        <v>3</v>
      </c>
      <c r="AV1396" t="str">
        <f>IF(F1396&gt;0,(COUNT($AV$1:AV1395)+1),"")</f>
        <v/>
      </c>
    </row>
    <row r="1397" spans="1:48" ht="15" customHeight="1" x14ac:dyDescent="0.25">
      <c r="A1397" s="1"/>
      <c r="B1397" s="25"/>
      <c r="C1397" s="26"/>
      <c r="D1397" s="27" t="s">
        <v>4093</v>
      </c>
      <c r="E1397" s="80"/>
      <c r="F1397" s="96"/>
      <c r="G1397" s="28"/>
      <c r="H1397" s="29"/>
      <c r="I1397" s="29"/>
      <c r="J1397" s="51"/>
      <c r="K1397" s="47"/>
      <c r="L1397" s="447"/>
      <c r="M1397" s="489"/>
      <c r="N1397" s="716"/>
      <c r="O1397" s="186"/>
      <c r="P1397" s="79"/>
      <c r="Q1397" s="104"/>
      <c r="R1397" s="13"/>
      <c r="S1397" s="14"/>
      <c r="AG1397" s="84"/>
      <c r="AH1397" s="84"/>
      <c r="AL1397">
        <f t="shared" ref="AL1397:AL1406" si="762">F1397*G1397</f>
        <v>0</v>
      </c>
      <c r="AM1397">
        <f t="shared" ref="AM1397:AM1406" si="763">F1397*H1397</f>
        <v>0</v>
      </c>
      <c r="AN1397">
        <f t="shared" ref="AN1397:AN1406" si="764">AK1397*F1397</f>
        <v>0</v>
      </c>
      <c r="AV1397" t="str">
        <f>IF(F1397&gt;0,(COUNT($AV$1:AV1396)+1),"")</f>
        <v/>
      </c>
    </row>
    <row r="1398" spans="1:48" ht="15" customHeight="1" x14ac:dyDescent="0.25">
      <c r="A1398" s="1"/>
      <c r="B1398" s="15">
        <v>20728</v>
      </c>
      <c r="C1398" s="16">
        <v>4623721735660</v>
      </c>
      <c r="D1398" s="226" t="s">
        <v>4780</v>
      </c>
      <c r="E1398" s="69">
        <v>8</v>
      </c>
      <c r="F1398" s="222"/>
      <c r="G1398" s="108">
        <v>160.1</v>
      </c>
      <c r="H1398" s="17">
        <v>168.3</v>
      </c>
      <c r="I1398" s="18">
        <v>178.5</v>
      </c>
      <c r="J1398" s="113" t="s">
        <v>2088</v>
      </c>
      <c r="K1398" s="44" t="s">
        <v>367</v>
      </c>
      <c r="L1398" s="442"/>
      <c r="M1398" s="480"/>
      <c r="N1398" s="1015" t="s">
        <v>1856</v>
      </c>
      <c r="O1398" s="210"/>
      <c r="P1398" s="68" t="s">
        <v>53</v>
      </c>
      <c r="Q1398" s="100">
        <f t="shared" ref="Q1398:Q1432" si="765">IF($AO$1396=2,F1398*H1398,IF($AO$1396=1,F1398*G1398,F1398*I1398))</f>
        <v>0</v>
      </c>
      <c r="R1398" s="13" t="str">
        <f t="shared" ref="R1398:R1432" si="766">IF(AO1398&gt;0,HYPERLINK(AO1398,"Фото &gt;&gt;"),"")</f>
        <v>Фото &gt;&gt;</v>
      </c>
      <c r="S1398" s="14" t="s">
        <v>4384</v>
      </c>
      <c r="U1398" s="568"/>
      <c r="Y1398" s="4"/>
      <c r="AK1398">
        <v>0.11</v>
      </c>
      <c r="AL1398">
        <f t="shared" si="762"/>
        <v>0</v>
      </c>
      <c r="AM1398">
        <f t="shared" si="763"/>
        <v>0</v>
      </c>
      <c r="AN1398">
        <f t="shared" si="764"/>
        <v>0</v>
      </c>
      <c r="AO1398" t="s">
        <v>4388</v>
      </c>
      <c r="AV1398" t="str">
        <f>IF(F1398&gt;0,(COUNT($AV$1:AV1397)+1),"")</f>
        <v/>
      </c>
    </row>
    <row r="1399" spans="1:48" ht="15" customHeight="1" x14ac:dyDescent="0.25">
      <c r="A1399" s="1"/>
      <c r="B1399" s="19">
        <v>20730</v>
      </c>
      <c r="C1399" s="20">
        <v>4623722203663</v>
      </c>
      <c r="D1399" s="225" t="s">
        <v>4781</v>
      </c>
      <c r="E1399" s="67">
        <v>8</v>
      </c>
      <c r="F1399" s="222"/>
      <c r="G1399" s="107">
        <v>160.1</v>
      </c>
      <c r="H1399" s="21">
        <v>168.3</v>
      </c>
      <c r="I1399" s="22">
        <v>178.5</v>
      </c>
      <c r="J1399" s="112" t="s">
        <v>2088</v>
      </c>
      <c r="K1399" s="45" t="s">
        <v>367</v>
      </c>
      <c r="L1399" s="437"/>
      <c r="M1399" s="474"/>
      <c r="N1399" s="1013" t="s">
        <v>1856</v>
      </c>
      <c r="O1399" s="209"/>
      <c r="P1399" s="66" t="s">
        <v>53</v>
      </c>
      <c r="Q1399" s="100">
        <f t="shared" si="765"/>
        <v>0</v>
      </c>
      <c r="R1399" s="13" t="str">
        <f t="shared" si="766"/>
        <v>Фото &gt;&gt;</v>
      </c>
      <c r="S1399" s="14" t="s">
        <v>4385</v>
      </c>
      <c r="U1399" s="568"/>
      <c r="Y1399" s="4"/>
      <c r="AK1399">
        <v>0.11</v>
      </c>
      <c r="AL1399">
        <f t="shared" si="762"/>
        <v>0</v>
      </c>
      <c r="AM1399">
        <f t="shared" si="763"/>
        <v>0</v>
      </c>
      <c r="AN1399">
        <f t="shared" si="764"/>
        <v>0</v>
      </c>
      <c r="AO1399" t="s">
        <v>4389</v>
      </c>
      <c r="AV1399" t="str">
        <f>IF(F1399&gt;0,(COUNT($AV$1:AV1398)+1),"")</f>
        <v/>
      </c>
    </row>
    <row r="1400" spans="1:48" ht="15" customHeight="1" x14ac:dyDescent="0.25">
      <c r="A1400" s="1"/>
      <c r="B1400" s="15">
        <v>20727</v>
      </c>
      <c r="C1400" s="16">
        <v>4623721735646</v>
      </c>
      <c r="D1400" s="226" t="s">
        <v>4782</v>
      </c>
      <c r="E1400" s="69">
        <v>8</v>
      </c>
      <c r="F1400" s="222"/>
      <c r="G1400" s="108">
        <v>160.1</v>
      </c>
      <c r="H1400" s="17">
        <v>168.3</v>
      </c>
      <c r="I1400" s="18">
        <v>178.5</v>
      </c>
      <c r="J1400" s="113" t="s">
        <v>2088</v>
      </c>
      <c r="K1400" s="44" t="s">
        <v>367</v>
      </c>
      <c r="L1400" s="442"/>
      <c r="M1400" s="480" t="s">
        <v>1856</v>
      </c>
      <c r="N1400" s="1015" t="s">
        <v>1856</v>
      </c>
      <c r="O1400" s="210"/>
      <c r="P1400" s="68" t="s">
        <v>53</v>
      </c>
      <c r="Q1400" s="100">
        <f t="shared" si="765"/>
        <v>0</v>
      </c>
      <c r="R1400" s="13" t="str">
        <f t="shared" si="766"/>
        <v>Фото &gt;&gt;</v>
      </c>
      <c r="S1400" s="14" t="s">
        <v>4386</v>
      </c>
      <c r="U1400" s="568"/>
      <c r="Y1400" s="4"/>
      <c r="AK1400">
        <v>0.11</v>
      </c>
      <c r="AL1400">
        <f t="shared" si="762"/>
        <v>0</v>
      </c>
      <c r="AM1400">
        <f t="shared" si="763"/>
        <v>0</v>
      </c>
      <c r="AN1400">
        <f t="shared" si="764"/>
        <v>0</v>
      </c>
      <c r="AO1400" t="s">
        <v>4390</v>
      </c>
      <c r="AV1400" t="str">
        <f>IF(F1400&gt;0,(COUNT($AV$1:AV1399)+1),"")</f>
        <v/>
      </c>
    </row>
    <row r="1401" spans="1:48" ht="15" customHeight="1" x14ac:dyDescent="0.25">
      <c r="A1401" s="1"/>
      <c r="B1401" s="59">
        <v>20729</v>
      </c>
      <c r="C1401" s="23">
        <v>4623721735653</v>
      </c>
      <c r="D1401" s="237" t="s">
        <v>4783</v>
      </c>
      <c r="E1401" s="75">
        <v>8</v>
      </c>
      <c r="F1401" s="223"/>
      <c r="G1401" s="111">
        <v>160.1</v>
      </c>
      <c r="H1401" s="5">
        <v>168.3</v>
      </c>
      <c r="I1401" s="24">
        <v>178.5</v>
      </c>
      <c r="J1401" s="115" t="s">
        <v>2088</v>
      </c>
      <c r="K1401" s="46" t="s">
        <v>367</v>
      </c>
      <c r="L1401" s="440"/>
      <c r="M1401" s="482" t="s">
        <v>1856</v>
      </c>
      <c r="N1401" s="1002" t="s">
        <v>1856</v>
      </c>
      <c r="O1401" s="211"/>
      <c r="P1401" s="74" t="s">
        <v>53</v>
      </c>
      <c r="Q1401" s="100">
        <f t="shared" si="765"/>
        <v>0</v>
      </c>
      <c r="R1401" s="13" t="str">
        <f t="shared" si="766"/>
        <v>Фото &gt;&gt;</v>
      </c>
      <c r="S1401" s="14" t="s">
        <v>4387</v>
      </c>
      <c r="U1401" s="568"/>
      <c r="Y1401" s="4"/>
      <c r="AK1401">
        <v>0.11</v>
      </c>
      <c r="AL1401">
        <f t="shared" si="762"/>
        <v>0</v>
      </c>
      <c r="AM1401">
        <f t="shared" si="763"/>
        <v>0</v>
      </c>
      <c r="AN1401">
        <f t="shared" si="764"/>
        <v>0</v>
      </c>
      <c r="AO1401" t="s">
        <v>4391</v>
      </c>
      <c r="AV1401" t="str">
        <f>IF(F1401&gt;0,(COUNT($AV$1:AV1400)+1),"")</f>
        <v/>
      </c>
    </row>
    <row r="1402" spans="1:48" ht="15" customHeight="1" x14ac:dyDescent="0.25">
      <c r="A1402" s="1"/>
      <c r="B1402" s="193">
        <v>20726</v>
      </c>
      <c r="C1402" s="352">
        <v>4670142590200</v>
      </c>
      <c r="D1402" s="353" t="s">
        <v>6035</v>
      </c>
      <c r="E1402" s="570">
        <v>10</v>
      </c>
      <c r="F1402" s="350"/>
      <c r="G1402" s="359">
        <v>106.1</v>
      </c>
      <c r="H1402" s="361">
        <v>111.2</v>
      </c>
      <c r="I1402" s="360">
        <v>117.3</v>
      </c>
      <c r="J1402" s="354" t="s">
        <v>2088</v>
      </c>
      <c r="K1402" s="355" t="s">
        <v>96</v>
      </c>
      <c r="L1402" s="443"/>
      <c r="M1402" s="483" t="s">
        <v>1856</v>
      </c>
      <c r="N1402" s="1019" t="s">
        <v>1856</v>
      </c>
      <c r="O1402" s="356" t="s">
        <v>2097</v>
      </c>
      <c r="P1402" s="357" t="s">
        <v>72</v>
      </c>
      <c r="Q1402" s="100">
        <f t="shared" si="765"/>
        <v>0</v>
      </c>
      <c r="R1402" s="13" t="str">
        <f t="shared" si="766"/>
        <v>Фото &gt;&gt;</v>
      </c>
      <c r="S1402" s="14" t="s">
        <v>4596</v>
      </c>
      <c r="U1402" s="568"/>
      <c r="Y1402" s="4"/>
      <c r="AK1402">
        <v>0.05</v>
      </c>
      <c r="AL1402">
        <f t="shared" si="762"/>
        <v>0</v>
      </c>
      <c r="AM1402">
        <f t="shared" si="763"/>
        <v>0</v>
      </c>
      <c r="AN1402">
        <f t="shared" si="764"/>
        <v>0</v>
      </c>
      <c r="AO1402" t="s">
        <v>4597</v>
      </c>
      <c r="AV1402" t="str">
        <f>IF(F1402&gt;0,(COUNT($AV$1:AV1401)+1),"")</f>
        <v/>
      </c>
    </row>
    <row r="1403" spans="1:48" ht="15" customHeight="1" x14ac:dyDescent="0.25">
      <c r="A1403" s="1"/>
      <c r="B1403" s="19">
        <v>20725</v>
      </c>
      <c r="C1403" s="20">
        <v>4670142590194</v>
      </c>
      <c r="D1403" s="225" t="s">
        <v>6036</v>
      </c>
      <c r="E1403" s="324">
        <v>10</v>
      </c>
      <c r="F1403" s="222"/>
      <c r="G1403" s="107">
        <v>106.1</v>
      </c>
      <c r="H1403" s="21">
        <v>111.2</v>
      </c>
      <c r="I1403" s="22">
        <v>117.3</v>
      </c>
      <c r="J1403" s="112" t="s">
        <v>2088</v>
      </c>
      <c r="K1403" s="45" t="s">
        <v>96</v>
      </c>
      <c r="L1403" s="437"/>
      <c r="M1403" s="474" t="s">
        <v>1856</v>
      </c>
      <c r="N1403" s="1013" t="s">
        <v>1856</v>
      </c>
      <c r="O1403" s="212" t="s">
        <v>2097</v>
      </c>
      <c r="P1403" s="66" t="s">
        <v>72</v>
      </c>
      <c r="Q1403" s="100">
        <f t="shared" si="765"/>
        <v>0</v>
      </c>
      <c r="R1403" s="13" t="str">
        <f t="shared" si="766"/>
        <v>Фото &gt;&gt;</v>
      </c>
      <c r="S1403" s="14" t="s">
        <v>4595</v>
      </c>
      <c r="U1403" s="568"/>
      <c r="Y1403" s="4"/>
      <c r="AK1403">
        <v>0.05</v>
      </c>
      <c r="AL1403">
        <f t="shared" si="762"/>
        <v>0</v>
      </c>
      <c r="AM1403">
        <f t="shared" si="763"/>
        <v>0</v>
      </c>
      <c r="AN1403">
        <f t="shared" si="764"/>
        <v>0</v>
      </c>
      <c r="AO1403" t="s">
        <v>4598</v>
      </c>
      <c r="AV1403" t="str">
        <f>IF(F1403&gt;0,(COUNT($AV$1:AV1402)+1),"")</f>
        <v/>
      </c>
    </row>
    <row r="1404" spans="1:48" ht="15" customHeight="1" x14ac:dyDescent="0.25">
      <c r="A1404" s="1"/>
      <c r="B1404" s="15">
        <v>20722</v>
      </c>
      <c r="C1404" s="16">
        <v>4670142590163</v>
      </c>
      <c r="D1404" s="226" t="s">
        <v>6037</v>
      </c>
      <c r="E1404" s="323">
        <v>10</v>
      </c>
      <c r="F1404" s="222"/>
      <c r="G1404" s="108">
        <v>106.1</v>
      </c>
      <c r="H1404" s="17">
        <v>111.2</v>
      </c>
      <c r="I1404" s="18">
        <v>117.3</v>
      </c>
      <c r="J1404" s="113" t="s">
        <v>2088</v>
      </c>
      <c r="K1404" s="44" t="s">
        <v>96</v>
      </c>
      <c r="L1404" s="442"/>
      <c r="M1404" s="480" t="s">
        <v>1856</v>
      </c>
      <c r="N1404" s="1015" t="s">
        <v>1856</v>
      </c>
      <c r="O1404" s="217" t="s">
        <v>2097</v>
      </c>
      <c r="P1404" s="68" t="s">
        <v>72</v>
      </c>
      <c r="Q1404" s="100">
        <f t="shared" si="765"/>
        <v>0</v>
      </c>
      <c r="R1404" s="13" t="str">
        <f t="shared" si="766"/>
        <v>Фото &gt;&gt;</v>
      </c>
      <c r="S1404" s="14" t="s">
        <v>4601</v>
      </c>
      <c r="U1404" s="568"/>
      <c r="Y1404" s="4"/>
      <c r="AK1404">
        <v>0.05</v>
      </c>
      <c r="AL1404">
        <f t="shared" si="762"/>
        <v>0</v>
      </c>
      <c r="AM1404">
        <f t="shared" si="763"/>
        <v>0</v>
      </c>
      <c r="AN1404">
        <f t="shared" si="764"/>
        <v>0</v>
      </c>
      <c r="AO1404" t="s">
        <v>4599</v>
      </c>
      <c r="AV1404" t="str">
        <f>IF(F1404&gt;0,(COUNT($AV$1:AV1403)+1),"")</f>
        <v/>
      </c>
    </row>
    <row r="1405" spans="1:48" ht="15" customHeight="1" x14ac:dyDescent="0.25">
      <c r="A1405" s="1"/>
      <c r="B1405" s="19">
        <v>20724</v>
      </c>
      <c r="C1405" s="20">
        <v>4670142590187</v>
      </c>
      <c r="D1405" s="225" t="s">
        <v>4784</v>
      </c>
      <c r="E1405" s="324">
        <v>10</v>
      </c>
      <c r="F1405" s="222"/>
      <c r="G1405" s="107">
        <v>92.8</v>
      </c>
      <c r="H1405" s="21">
        <v>97.9</v>
      </c>
      <c r="I1405" s="22">
        <v>107.1</v>
      </c>
      <c r="J1405" s="112" t="s">
        <v>2088</v>
      </c>
      <c r="K1405" s="45" t="s">
        <v>96</v>
      </c>
      <c r="L1405" s="437"/>
      <c r="M1405" s="474" t="s">
        <v>1856</v>
      </c>
      <c r="N1405" s="1013" t="s">
        <v>1856</v>
      </c>
      <c r="O1405" s="212" t="s">
        <v>2097</v>
      </c>
      <c r="P1405" s="66" t="s">
        <v>72</v>
      </c>
      <c r="Q1405" s="100">
        <f t="shared" si="765"/>
        <v>0</v>
      </c>
      <c r="R1405" s="13" t="str">
        <f t="shared" si="766"/>
        <v>Фото &gt;&gt;</v>
      </c>
      <c r="S1405" s="14" t="s">
        <v>4600</v>
      </c>
      <c r="U1405" s="568"/>
      <c r="Y1405" s="4"/>
      <c r="AK1405">
        <v>0.05</v>
      </c>
      <c r="AL1405">
        <f t="shared" si="762"/>
        <v>0</v>
      </c>
      <c r="AM1405">
        <f t="shared" si="763"/>
        <v>0</v>
      </c>
      <c r="AN1405">
        <f t="shared" si="764"/>
        <v>0</v>
      </c>
      <c r="AO1405" t="s">
        <v>4603</v>
      </c>
      <c r="AV1405" t="str">
        <f>IF(F1405&gt;0,(COUNT($AV$1:AV1404)+1),"")</f>
        <v/>
      </c>
    </row>
    <row r="1406" spans="1:48" ht="15" customHeight="1" x14ac:dyDescent="0.25">
      <c r="A1406" s="1"/>
      <c r="B1406" s="56">
        <v>20723</v>
      </c>
      <c r="C1406" s="33">
        <v>4670142590170</v>
      </c>
      <c r="D1406" s="227" t="s">
        <v>4785</v>
      </c>
      <c r="E1406" s="623">
        <v>10</v>
      </c>
      <c r="F1406" s="223"/>
      <c r="G1406" s="109">
        <v>92.8</v>
      </c>
      <c r="H1406" s="34">
        <v>97.9</v>
      </c>
      <c r="I1406" s="35">
        <v>107.1</v>
      </c>
      <c r="J1406" s="114" t="s">
        <v>2088</v>
      </c>
      <c r="K1406" s="57" t="s">
        <v>96</v>
      </c>
      <c r="L1406" s="438"/>
      <c r="M1406" s="484" t="s">
        <v>1856</v>
      </c>
      <c r="N1406" s="1008" t="s">
        <v>1856</v>
      </c>
      <c r="O1406" s="218" t="s">
        <v>2097</v>
      </c>
      <c r="P1406" s="70" t="s">
        <v>72</v>
      </c>
      <c r="Q1406" s="100">
        <f t="shared" si="765"/>
        <v>0</v>
      </c>
      <c r="R1406" s="13" t="str">
        <f t="shared" si="766"/>
        <v>Фото &gt;&gt;</v>
      </c>
      <c r="S1406" s="14" t="s">
        <v>4602</v>
      </c>
      <c r="U1406" s="568"/>
      <c r="Y1406" s="4"/>
      <c r="AK1406">
        <v>0.05</v>
      </c>
      <c r="AL1406">
        <f t="shared" si="762"/>
        <v>0</v>
      </c>
      <c r="AM1406">
        <f t="shared" si="763"/>
        <v>0</v>
      </c>
      <c r="AN1406">
        <f t="shared" si="764"/>
        <v>0</v>
      </c>
      <c r="AO1406" t="s">
        <v>4604</v>
      </c>
      <c r="AV1406" t="str">
        <f>IF(F1406&gt;0,(COUNT($AV$1:AV1405)+1),"")</f>
        <v/>
      </c>
    </row>
    <row r="1407" spans="1:48" ht="15" customHeight="1" x14ac:dyDescent="0.25">
      <c r="A1407" s="1"/>
      <c r="B1407" s="764">
        <v>21128</v>
      </c>
      <c r="C1407" s="457" t="s">
        <v>104</v>
      </c>
      <c r="D1407" s="720" t="s">
        <v>6998</v>
      </c>
      <c r="E1407" s="765">
        <v>10</v>
      </c>
      <c r="F1407" s="458"/>
      <c r="G1407" s="459">
        <v>119.9</v>
      </c>
      <c r="H1407" s="460">
        <v>125.8</v>
      </c>
      <c r="I1407" s="461">
        <v>132.6</v>
      </c>
      <c r="J1407" s="462" t="s">
        <v>2088</v>
      </c>
      <c r="K1407" s="463" t="s">
        <v>96</v>
      </c>
      <c r="L1407" s="464"/>
      <c r="M1407" s="497" t="s">
        <v>1856</v>
      </c>
      <c r="N1407" s="1014"/>
      <c r="O1407" s="465" t="s">
        <v>2097</v>
      </c>
      <c r="P1407" s="466" t="s">
        <v>72</v>
      </c>
      <c r="Q1407" s="100">
        <f t="shared" si="765"/>
        <v>0</v>
      </c>
      <c r="R1407" s="13" t="str">
        <f t="shared" si="766"/>
        <v>Фото &gt;&gt;</v>
      </c>
      <c r="S1407" s="14" t="s">
        <v>6225</v>
      </c>
      <c r="U1407" s="568"/>
      <c r="Y1407" s="4"/>
      <c r="AK1407">
        <v>0.05</v>
      </c>
      <c r="AL1407">
        <f t="shared" ref="AL1407:AL1421" si="767">F1407*G1407</f>
        <v>0</v>
      </c>
      <c r="AM1407">
        <f t="shared" ref="AM1407:AM1421" si="768">F1407*H1407</f>
        <v>0</v>
      </c>
      <c r="AN1407">
        <f t="shared" ref="AN1407:AN1421" si="769">AK1407*F1407</f>
        <v>0</v>
      </c>
      <c r="AO1407" t="s">
        <v>6227</v>
      </c>
      <c r="AV1407" t="str">
        <f>IF(F1407&gt;0,(COUNT($AV$1:AV1406)+1),"")</f>
        <v/>
      </c>
    </row>
    <row r="1408" spans="1:48" ht="15" customHeight="1" x14ac:dyDescent="0.25">
      <c r="A1408" s="1"/>
      <c r="B1408" s="15">
        <v>19925</v>
      </c>
      <c r="C1408" s="16">
        <v>4623722729507</v>
      </c>
      <c r="D1408" s="226" t="s">
        <v>5932</v>
      </c>
      <c r="E1408" s="323">
        <v>10</v>
      </c>
      <c r="F1408" s="222"/>
      <c r="G1408" s="108">
        <v>117</v>
      </c>
      <c r="H1408" s="17">
        <v>122.9</v>
      </c>
      <c r="I1408" s="18">
        <v>129.5</v>
      </c>
      <c r="J1408" s="113" t="s">
        <v>2088</v>
      </c>
      <c r="K1408" s="44" t="s">
        <v>96</v>
      </c>
      <c r="L1408" s="442" t="s">
        <v>2927</v>
      </c>
      <c r="M1408" s="480" t="s">
        <v>1856</v>
      </c>
      <c r="N1408" s="1015" t="s">
        <v>1856</v>
      </c>
      <c r="O1408" s="217" t="s">
        <v>2097</v>
      </c>
      <c r="P1408" s="68" t="s">
        <v>72</v>
      </c>
      <c r="Q1408" s="100">
        <f t="shared" si="765"/>
        <v>0</v>
      </c>
      <c r="R1408" s="13" t="str">
        <f t="shared" si="766"/>
        <v>Фото &gt;&gt;</v>
      </c>
      <c r="S1408" s="14" t="s">
        <v>2072</v>
      </c>
      <c r="U1408" s="568"/>
      <c r="Y1408" s="4"/>
      <c r="AK1408">
        <v>0.06</v>
      </c>
      <c r="AL1408">
        <f t="shared" si="767"/>
        <v>0</v>
      </c>
      <c r="AM1408">
        <f t="shared" si="768"/>
        <v>0</v>
      </c>
      <c r="AN1408">
        <f t="shared" si="769"/>
        <v>0</v>
      </c>
      <c r="AO1408" t="s">
        <v>2481</v>
      </c>
      <c r="AV1408" t="str">
        <f>IF(F1408&gt;0,(COUNT($AV$1:AV1407)+1),"")</f>
        <v/>
      </c>
    </row>
    <row r="1409" spans="1:48" ht="15" customHeight="1" x14ac:dyDescent="0.25">
      <c r="A1409" s="1"/>
      <c r="B1409" s="19">
        <v>19926</v>
      </c>
      <c r="C1409" s="20">
        <v>4623722729514</v>
      </c>
      <c r="D1409" s="225" t="s">
        <v>5933</v>
      </c>
      <c r="E1409" s="324">
        <v>10</v>
      </c>
      <c r="F1409" s="222"/>
      <c r="G1409" s="107">
        <v>117</v>
      </c>
      <c r="H1409" s="21">
        <v>122.9</v>
      </c>
      <c r="I1409" s="22">
        <v>129.5</v>
      </c>
      <c r="J1409" s="112" t="s">
        <v>2088</v>
      </c>
      <c r="K1409" s="45" t="s">
        <v>96</v>
      </c>
      <c r="L1409" s="437" t="s">
        <v>2927</v>
      </c>
      <c r="M1409" s="474" t="s">
        <v>1856</v>
      </c>
      <c r="N1409" s="1013" t="s">
        <v>1856</v>
      </c>
      <c r="O1409" s="212" t="s">
        <v>2097</v>
      </c>
      <c r="P1409" s="66" t="s">
        <v>72</v>
      </c>
      <c r="Q1409" s="100">
        <f t="shared" si="765"/>
        <v>0</v>
      </c>
      <c r="R1409" s="13" t="str">
        <f t="shared" si="766"/>
        <v>Фото &gt;&gt;</v>
      </c>
      <c r="S1409" s="14" t="s">
        <v>2073</v>
      </c>
      <c r="U1409" s="568"/>
      <c r="Y1409" s="4"/>
      <c r="AK1409">
        <v>0.06</v>
      </c>
      <c r="AL1409">
        <f t="shared" si="767"/>
        <v>0</v>
      </c>
      <c r="AM1409">
        <f t="shared" si="768"/>
        <v>0</v>
      </c>
      <c r="AN1409">
        <f t="shared" si="769"/>
        <v>0</v>
      </c>
      <c r="AO1409" t="s">
        <v>2484</v>
      </c>
      <c r="AV1409" t="str">
        <f>IF(F1409&gt;0,(COUNT($AV$1:AV1408)+1),"")</f>
        <v/>
      </c>
    </row>
    <row r="1410" spans="1:48" ht="15" customHeight="1" x14ac:dyDescent="0.25">
      <c r="A1410" s="1"/>
      <c r="B1410" s="15">
        <v>20853</v>
      </c>
      <c r="C1410" s="16">
        <v>4670142590156</v>
      </c>
      <c r="D1410" s="226" t="s">
        <v>7741</v>
      </c>
      <c r="E1410" s="323">
        <v>10</v>
      </c>
      <c r="F1410" s="222"/>
      <c r="G1410" s="108">
        <v>106.1</v>
      </c>
      <c r="H1410" s="17">
        <v>111.2</v>
      </c>
      <c r="I1410" s="18">
        <v>117.3</v>
      </c>
      <c r="J1410" s="113" t="s">
        <v>2088</v>
      </c>
      <c r="K1410" s="44" t="s">
        <v>96</v>
      </c>
      <c r="L1410" s="442" t="s">
        <v>2927</v>
      </c>
      <c r="M1410" s="480"/>
      <c r="N1410" s="1015" t="s">
        <v>1856</v>
      </c>
      <c r="O1410" s="217" t="s">
        <v>2097</v>
      </c>
      <c r="P1410" s="68" t="s">
        <v>72</v>
      </c>
      <c r="Q1410" s="100">
        <f t="shared" si="765"/>
        <v>0</v>
      </c>
      <c r="R1410" s="13" t="str">
        <f t="shared" ref="R1410:R1419" si="770">IF(AO1410&gt;0,HYPERLINK(AO1410,"Фото &gt;&gt;"),"")</f>
        <v>Фото &gt;&gt;</v>
      </c>
      <c r="S1410" s="14" t="s">
        <v>4584</v>
      </c>
      <c r="U1410" s="568"/>
      <c r="Y1410" s="4"/>
      <c r="AK1410">
        <v>0.06</v>
      </c>
      <c r="AL1410">
        <f t="shared" si="767"/>
        <v>0</v>
      </c>
      <c r="AM1410">
        <f t="shared" si="768"/>
        <v>0</v>
      </c>
      <c r="AN1410">
        <f t="shared" si="769"/>
        <v>0</v>
      </c>
      <c r="AO1410" t="s">
        <v>4586</v>
      </c>
      <c r="AV1410" t="str">
        <f>IF(F1410&gt;0,(COUNT($AV$1:AV1409)+1),"")</f>
        <v/>
      </c>
    </row>
    <row r="1411" spans="1:48" ht="15" customHeight="1" x14ac:dyDescent="0.25">
      <c r="A1411" s="1"/>
      <c r="B1411" s="19">
        <v>19927</v>
      </c>
      <c r="C1411" s="20">
        <v>4623723518049</v>
      </c>
      <c r="D1411" s="225" t="s">
        <v>5748</v>
      </c>
      <c r="E1411" s="324">
        <v>10</v>
      </c>
      <c r="F1411" s="222"/>
      <c r="G1411" s="107">
        <v>117</v>
      </c>
      <c r="H1411" s="21">
        <v>122.9</v>
      </c>
      <c r="I1411" s="22">
        <v>129.5</v>
      </c>
      <c r="J1411" s="112" t="s">
        <v>2088</v>
      </c>
      <c r="K1411" s="45" t="s">
        <v>96</v>
      </c>
      <c r="L1411" s="437" t="s">
        <v>2927</v>
      </c>
      <c r="M1411" s="474" t="s">
        <v>1856</v>
      </c>
      <c r="N1411" s="1013" t="s">
        <v>1856</v>
      </c>
      <c r="O1411" s="212" t="s">
        <v>2097</v>
      </c>
      <c r="P1411" s="66" t="s">
        <v>72</v>
      </c>
      <c r="Q1411" s="100">
        <f t="shared" si="765"/>
        <v>0</v>
      </c>
      <c r="R1411" s="13" t="str">
        <f t="shared" si="770"/>
        <v>Фото &gt;&gt;</v>
      </c>
      <c r="S1411" s="14" t="s">
        <v>2076</v>
      </c>
      <c r="U1411" s="568"/>
      <c r="Y1411" s="4"/>
      <c r="AK1411">
        <v>0.06</v>
      </c>
      <c r="AL1411">
        <f t="shared" si="767"/>
        <v>0</v>
      </c>
      <c r="AM1411">
        <f t="shared" si="768"/>
        <v>0</v>
      </c>
      <c r="AN1411">
        <f t="shared" si="769"/>
        <v>0</v>
      </c>
      <c r="AO1411" t="s">
        <v>2482</v>
      </c>
      <c r="AV1411" t="str">
        <f>IF(F1411&gt;0,(COUNT($AV$1:AV1410)+1),"")</f>
        <v/>
      </c>
    </row>
    <row r="1412" spans="1:48" ht="15" customHeight="1" x14ac:dyDescent="0.25">
      <c r="A1412" s="1"/>
      <c r="B1412" s="56">
        <v>19928</v>
      </c>
      <c r="C1412" s="33">
        <v>4623723518056</v>
      </c>
      <c r="D1412" s="227" t="s">
        <v>5934</v>
      </c>
      <c r="E1412" s="623">
        <v>10</v>
      </c>
      <c r="F1412" s="223"/>
      <c r="G1412" s="109">
        <v>117</v>
      </c>
      <c r="H1412" s="34">
        <v>122.9</v>
      </c>
      <c r="I1412" s="35">
        <v>129.5</v>
      </c>
      <c r="J1412" s="114" t="s">
        <v>2088</v>
      </c>
      <c r="K1412" s="57" t="s">
        <v>96</v>
      </c>
      <c r="L1412" s="438" t="s">
        <v>2927</v>
      </c>
      <c r="M1412" s="484" t="s">
        <v>1856</v>
      </c>
      <c r="N1412" s="1008" t="s">
        <v>1856</v>
      </c>
      <c r="O1412" s="218" t="s">
        <v>2097</v>
      </c>
      <c r="P1412" s="70" t="s">
        <v>72</v>
      </c>
      <c r="Q1412" s="100">
        <f t="shared" si="765"/>
        <v>0</v>
      </c>
      <c r="R1412" s="13" t="str">
        <f t="shared" si="770"/>
        <v>Фото &gt;&gt;</v>
      </c>
      <c r="S1412" s="14" t="s">
        <v>2072</v>
      </c>
      <c r="U1412" s="568"/>
      <c r="Y1412" s="4"/>
      <c r="AK1412">
        <v>0.06</v>
      </c>
      <c r="AL1412">
        <f t="shared" si="767"/>
        <v>0</v>
      </c>
      <c r="AM1412">
        <f t="shared" si="768"/>
        <v>0</v>
      </c>
      <c r="AN1412">
        <f t="shared" si="769"/>
        <v>0</v>
      </c>
      <c r="AO1412" t="s">
        <v>2483</v>
      </c>
      <c r="AV1412" t="str">
        <f>IF(F1412&gt;0,(COUNT($AV$1:AV1411)+1),"")</f>
        <v/>
      </c>
    </row>
    <row r="1413" spans="1:48" ht="15" customHeight="1" x14ac:dyDescent="0.25">
      <c r="A1413" s="1"/>
      <c r="B1413" s="764">
        <v>20122</v>
      </c>
      <c r="C1413" s="457">
        <v>4623723659858</v>
      </c>
      <c r="D1413" s="720" t="s">
        <v>6007</v>
      </c>
      <c r="E1413" s="765">
        <v>10</v>
      </c>
      <c r="F1413" s="458"/>
      <c r="G1413" s="459">
        <v>117</v>
      </c>
      <c r="H1413" s="460">
        <v>122.9</v>
      </c>
      <c r="I1413" s="461">
        <v>129.5</v>
      </c>
      <c r="J1413" s="462" t="s">
        <v>2088</v>
      </c>
      <c r="K1413" s="463" t="s">
        <v>96</v>
      </c>
      <c r="L1413" s="464" t="s">
        <v>2927</v>
      </c>
      <c r="M1413" s="497"/>
      <c r="N1413" s="1014" t="s">
        <v>1856</v>
      </c>
      <c r="O1413" s="465" t="s">
        <v>2097</v>
      </c>
      <c r="P1413" s="466" t="s">
        <v>53</v>
      </c>
      <c r="Q1413" s="100">
        <f t="shared" si="765"/>
        <v>0</v>
      </c>
      <c r="R1413" s="13" t="str">
        <f t="shared" si="770"/>
        <v>Фото &gt;&gt;</v>
      </c>
      <c r="S1413" s="14" t="s">
        <v>2319</v>
      </c>
      <c r="U1413" s="568"/>
      <c r="Y1413" s="4"/>
      <c r="AK1413">
        <v>0.05</v>
      </c>
      <c r="AL1413">
        <f t="shared" si="767"/>
        <v>0</v>
      </c>
      <c r="AM1413">
        <f t="shared" si="768"/>
        <v>0</v>
      </c>
      <c r="AN1413">
        <f t="shared" si="769"/>
        <v>0</v>
      </c>
      <c r="AO1413" t="s">
        <v>2487</v>
      </c>
      <c r="AV1413" t="str">
        <f>IF(F1413&gt;0,(COUNT($AV$1:AV1412)+1),"")</f>
        <v/>
      </c>
    </row>
    <row r="1414" spans="1:48" ht="15" customHeight="1" x14ac:dyDescent="0.25">
      <c r="A1414" s="1"/>
      <c r="B1414" s="15">
        <v>20125</v>
      </c>
      <c r="C1414" s="16">
        <v>4623723738943</v>
      </c>
      <c r="D1414" s="226" t="s">
        <v>6038</v>
      </c>
      <c r="E1414" s="323">
        <v>10</v>
      </c>
      <c r="F1414" s="222"/>
      <c r="G1414" s="108">
        <v>117</v>
      </c>
      <c r="H1414" s="17">
        <v>122.9</v>
      </c>
      <c r="I1414" s="18">
        <v>129.5</v>
      </c>
      <c r="J1414" s="113" t="s">
        <v>2088</v>
      </c>
      <c r="K1414" s="44" t="s">
        <v>96</v>
      </c>
      <c r="L1414" s="442" t="s">
        <v>2927</v>
      </c>
      <c r="M1414" s="480" t="s">
        <v>104</v>
      </c>
      <c r="N1414" s="1015" t="s">
        <v>1856</v>
      </c>
      <c r="O1414" s="217" t="s">
        <v>2097</v>
      </c>
      <c r="P1414" s="68" t="s">
        <v>53</v>
      </c>
      <c r="Q1414" s="100">
        <f t="shared" si="765"/>
        <v>0</v>
      </c>
      <c r="R1414" s="13" t="str">
        <f t="shared" si="770"/>
        <v>Фото &gt;&gt;</v>
      </c>
      <c r="S1414" s="14" t="s">
        <v>2320</v>
      </c>
      <c r="U1414" s="568"/>
      <c r="Y1414" s="4"/>
      <c r="AK1414">
        <v>0.06</v>
      </c>
      <c r="AL1414">
        <f t="shared" si="767"/>
        <v>0</v>
      </c>
      <c r="AM1414">
        <f t="shared" si="768"/>
        <v>0</v>
      </c>
      <c r="AN1414">
        <f t="shared" si="769"/>
        <v>0</v>
      </c>
      <c r="AO1414" t="s">
        <v>2488</v>
      </c>
      <c r="AV1414" t="str">
        <f>IF(F1414&gt;0,(COUNT($AV$1:AV1413)+1),"")</f>
        <v/>
      </c>
    </row>
    <row r="1415" spans="1:48" ht="15" customHeight="1" x14ac:dyDescent="0.25">
      <c r="A1415" s="1"/>
      <c r="B1415" s="19">
        <v>20852</v>
      </c>
      <c r="C1415" s="20">
        <v>4670142590149</v>
      </c>
      <c r="D1415" s="225" t="s">
        <v>7742</v>
      </c>
      <c r="E1415" s="324">
        <v>10</v>
      </c>
      <c r="F1415" s="222"/>
      <c r="G1415" s="107">
        <v>106.1</v>
      </c>
      <c r="H1415" s="21">
        <v>111.2</v>
      </c>
      <c r="I1415" s="22">
        <v>117.3</v>
      </c>
      <c r="J1415" s="112" t="s">
        <v>2088</v>
      </c>
      <c r="K1415" s="45" t="s">
        <v>96</v>
      </c>
      <c r="L1415" s="437" t="s">
        <v>2927</v>
      </c>
      <c r="M1415" s="474"/>
      <c r="N1415" s="1013" t="s">
        <v>1856</v>
      </c>
      <c r="O1415" s="212" t="s">
        <v>2097</v>
      </c>
      <c r="P1415" s="66" t="s">
        <v>72</v>
      </c>
      <c r="Q1415" s="100">
        <f t="shared" si="765"/>
        <v>0</v>
      </c>
      <c r="R1415" s="13" t="str">
        <f t="shared" si="770"/>
        <v>Фото &gt;&gt;</v>
      </c>
      <c r="S1415" s="14" t="s">
        <v>4585</v>
      </c>
      <c r="U1415" s="568"/>
      <c r="Y1415" s="4"/>
      <c r="AK1415">
        <v>0.06</v>
      </c>
      <c r="AL1415">
        <f t="shared" si="767"/>
        <v>0</v>
      </c>
      <c r="AM1415">
        <f t="shared" si="768"/>
        <v>0</v>
      </c>
      <c r="AN1415">
        <f t="shared" si="769"/>
        <v>0</v>
      </c>
      <c r="AO1415" t="s">
        <v>4589</v>
      </c>
      <c r="AV1415" t="str">
        <f>IF(F1415&gt;0,(COUNT($AV$1:AV1414)+1),"")</f>
        <v/>
      </c>
    </row>
    <row r="1416" spans="1:48" ht="15" customHeight="1" x14ac:dyDescent="0.25">
      <c r="A1416" s="1"/>
      <c r="B1416" s="15">
        <v>20854</v>
      </c>
      <c r="C1416" s="16">
        <v>4670142590071</v>
      </c>
      <c r="D1416" s="226" t="s">
        <v>6008</v>
      </c>
      <c r="E1416" s="323">
        <v>10</v>
      </c>
      <c r="F1416" s="222"/>
      <c r="G1416" s="108">
        <v>106.1</v>
      </c>
      <c r="H1416" s="17">
        <v>111.2</v>
      </c>
      <c r="I1416" s="18">
        <v>117.3</v>
      </c>
      <c r="J1416" s="113" t="s">
        <v>2088</v>
      </c>
      <c r="K1416" s="44" t="s">
        <v>96</v>
      </c>
      <c r="L1416" s="442" t="s">
        <v>2927</v>
      </c>
      <c r="M1416" s="480"/>
      <c r="N1416" s="1015" t="s">
        <v>1856</v>
      </c>
      <c r="O1416" s="217" t="s">
        <v>2097</v>
      </c>
      <c r="P1416" s="68" t="s">
        <v>72</v>
      </c>
      <c r="Q1416" s="100">
        <f t="shared" si="765"/>
        <v>0</v>
      </c>
      <c r="R1416" s="13" t="str">
        <f t="shared" si="770"/>
        <v>Фото &gt;&gt;</v>
      </c>
      <c r="S1416" s="14" t="s">
        <v>4587</v>
      </c>
      <c r="U1416" s="568"/>
      <c r="Y1416" s="4"/>
      <c r="AK1416">
        <v>0.06</v>
      </c>
      <c r="AL1416">
        <f t="shared" si="767"/>
        <v>0</v>
      </c>
      <c r="AM1416">
        <f t="shared" si="768"/>
        <v>0</v>
      </c>
      <c r="AN1416">
        <f t="shared" si="769"/>
        <v>0</v>
      </c>
      <c r="AO1416" t="s">
        <v>4590</v>
      </c>
      <c r="AV1416" t="str">
        <f>IF(F1416&gt;0,(COUNT($AV$1:AV1415)+1),"")</f>
        <v/>
      </c>
    </row>
    <row r="1417" spans="1:48" ht="15" customHeight="1" x14ac:dyDescent="0.25">
      <c r="A1417" s="1"/>
      <c r="B1417" s="19">
        <v>20123</v>
      </c>
      <c r="C1417" s="20">
        <v>4623723131064</v>
      </c>
      <c r="D1417" s="225" t="s">
        <v>6039</v>
      </c>
      <c r="E1417" s="324">
        <v>10</v>
      </c>
      <c r="F1417" s="222"/>
      <c r="G1417" s="107">
        <v>117</v>
      </c>
      <c r="H1417" s="21">
        <v>122.9</v>
      </c>
      <c r="I1417" s="22">
        <v>129.5</v>
      </c>
      <c r="J1417" s="112" t="s">
        <v>2088</v>
      </c>
      <c r="K1417" s="45" t="s">
        <v>96</v>
      </c>
      <c r="L1417" s="437" t="s">
        <v>2927</v>
      </c>
      <c r="M1417" s="474"/>
      <c r="N1417" s="1013" t="s">
        <v>1856</v>
      </c>
      <c r="O1417" s="212" t="s">
        <v>2097</v>
      </c>
      <c r="P1417" s="66" t="s">
        <v>53</v>
      </c>
      <c r="Q1417" s="100">
        <f t="shared" si="765"/>
        <v>0</v>
      </c>
      <c r="R1417" s="13" t="str">
        <f t="shared" si="770"/>
        <v>Фото &gt;&gt;</v>
      </c>
      <c r="S1417" s="14" t="s">
        <v>2321</v>
      </c>
      <c r="U1417" s="568"/>
      <c r="Y1417" s="4"/>
      <c r="AK1417">
        <v>0.06</v>
      </c>
      <c r="AL1417">
        <f t="shared" si="767"/>
        <v>0</v>
      </c>
      <c r="AM1417">
        <f t="shared" si="768"/>
        <v>0</v>
      </c>
      <c r="AN1417">
        <f t="shared" si="769"/>
        <v>0</v>
      </c>
      <c r="AO1417" t="s">
        <v>2489</v>
      </c>
      <c r="AV1417" t="str">
        <f>IF(F1417&gt;0,(COUNT($AV$1:AV1416)+1),"")</f>
        <v/>
      </c>
    </row>
    <row r="1418" spans="1:48" ht="15" customHeight="1" x14ac:dyDescent="0.25">
      <c r="A1418" s="1"/>
      <c r="B1418" s="15">
        <v>21131</v>
      </c>
      <c r="C1418" s="16" t="s">
        <v>104</v>
      </c>
      <c r="D1418" s="226" t="s">
        <v>6999</v>
      </c>
      <c r="E1418" s="323">
        <v>10</v>
      </c>
      <c r="F1418" s="222"/>
      <c r="G1418" s="108">
        <v>119.9</v>
      </c>
      <c r="H1418" s="17">
        <v>125.8</v>
      </c>
      <c r="I1418" s="18">
        <v>132.6</v>
      </c>
      <c r="J1418" s="113" t="s">
        <v>2088</v>
      </c>
      <c r="K1418" s="44" t="s">
        <v>96</v>
      </c>
      <c r="L1418" s="442" t="s">
        <v>2927</v>
      </c>
      <c r="M1418" s="480"/>
      <c r="N1418" s="1015" t="s">
        <v>1856</v>
      </c>
      <c r="O1418" s="217" t="s">
        <v>2097</v>
      </c>
      <c r="P1418" s="68" t="s">
        <v>53</v>
      </c>
      <c r="Q1418" s="100">
        <f t="shared" si="765"/>
        <v>0</v>
      </c>
      <c r="R1418" s="13" t="str">
        <f t="shared" si="770"/>
        <v>Фото &gt;&gt;</v>
      </c>
      <c r="S1418" s="14" t="s">
        <v>6226</v>
      </c>
      <c r="U1418" s="568"/>
      <c r="Y1418" s="4"/>
      <c r="AK1418">
        <v>0.05</v>
      </c>
      <c r="AL1418">
        <f t="shared" si="767"/>
        <v>0</v>
      </c>
      <c r="AM1418">
        <f t="shared" si="768"/>
        <v>0</v>
      </c>
      <c r="AN1418">
        <f t="shared" si="769"/>
        <v>0</v>
      </c>
      <c r="AO1418" t="s">
        <v>6228</v>
      </c>
      <c r="AV1418" t="str">
        <f>IF(F1418&gt;0,(COUNT($AV$1:AV1417)+1),"")</f>
        <v/>
      </c>
    </row>
    <row r="1419" spans="1:48" ht="15" customHeight="1" x14ac:dyDescent="0.25">
      <c r="A1419" s="1"/>
      <c r="B1419" s="19">
        <v>20855</v>
      </c>
      <c r="C1419" s="20">
        <v>4670142590088</v>
      </c>
      <c r="D1419" s="225" t="s">
        <v>7743</v>
      </c>
      <c r="E1419" s="324">
        <v>10</v>
      </c>
      <c r="F1419" s="222"/>
      <c r="G1419" s="107">
        <v>106.1</v>
      </c>
      <c r="H1419" s="21">
        <v>111.2</v>
      </c>
      <c r="I1419" s="22">
        <v>117.3</v>
      </c>
      <c r="J1419" s="112" t="s">
        <v>2088</v>
      </c>
      <c r="K1419" s="45" t="s">
        <v>96</v>
      </c>
      <c r="L1419" s="437" t="s">
        <v>2927</v>
      </c>
      <c r="M1419" s="474"/>
      <c r="N1419" s="1013" t="s">
        <v>1856</v>
      </c>
      <c r="O1419" s="212" t="s">
        <v>2097</v>
      </c>
      <c r="P1419" s="66" t="s">
        <v>72</v>
      </c>
      <c r="Q1419" s="100">
        <f t="shared" si="765"/>
        <v>0</v>
      </c>
      <c r="R1419" s="13" t="str">
        <f t="shared" si="770"/>
        <v>Фото &gt;&gt;</v>
      </c>
      <c r="S1419" s="14" t="s">
        <v>4588</v>
      </c>
      <c r="U1419" s="568"/>
      <c r="Y1419" s="4"/>
      <c r="AK1419">
        <v>0.06</v>
      </c>
      <c r="AL1419">
        <f t="shared" si="767"/>
        <v>0</v>
      </c>
      <c r="AM1419">
        <f t="shared" si="768"/>
        <v>0</v>
      </c>
      <c r="AN1419">
        <f t="shared" si="769"/>
        <v>0</v>
      </c>
      <c r="AO1419" t="s">
        <v>4591</v>
      </c>
      <c r="AV1419" t="str">
        <f>IF(F1419&gt;0,(COUNT($AV$1:AV1418)+1),"")</f>
        <v/>
      </c>
    </row>
    <row r="1420" spans="1:48" ht="15" customHeight="1" x14ac:dyDescent="0.25">
      <c r="A1420" s="1"/>
      <c r="B1420" s="193">
        <v>19934</v>
      </c>
      <c r="C1420" s="352">
        <v>4623722729569</v>
      </c>
      <c r="D1420" s="353" t="s">
        <v>7744</v>
      </c>
      <c r="E1420" s="401">
        <v>10</v>
      </c>
      <c r="F1420" s="350"/>
      <c r="G1420" s="359">
        <v>117</v>
      </c>
      <c r="H1420" s="361">
        <v>122.9</v>
      </c>
      <c r="I1420" s="360">
        <v>129.5</v>
      </c>
      <c r="J1420" s="354" t="s">
        <v>2088</v>
      </c>
      <c r="K1420" s="355" t="s">
        <v>96</v>
      </c>
      <c r="L1420" s="443" t="s">
        <v>2927</v>
      </c>
      <c r="M1420" s="483" t="s">
        <v>1856</v>
      </c>
      <c r="N1420" s="1019" t="s">
        <v>1856</v>
      </c>
      <c r="O1420" s="356" t="s">
        <v>2097</v>
      </c>
      <c r="P1420" s="357" t="s">
        <v>72</v>
      </c>
      <c r="Q1420" s="100">
        <f t="shared" si="765"/>
        <v>0</v>
      </c>
      <c r="R1420" s="13" t="str">
        <f t="shared" si="766"/>
        <v>Фото &gt;&gt;</v>
      </c>
      <c r="S1420" s="14" t="s">
        <v>2084</v>
      </c>
      <c r="U1420" s="568"/>
      <c r="Y1420" s="4"/>
      <c r="AK1420">
        <v>0.06</v>
      </c>
      <c r="AL1420">
        <f t="shared" si="767"/>
        <v>0</v>
      </c>
      <c r="AM1420">
        <f t="shared" si="768"/>
        <v>0</v>
      </c>
      <c r="AN1420">
        <f t="shared" si="769"/>
        <v>0</v>
      </c>
      <c r="AO1420" t="s">
        <v>2490</v>
      </c>
      <c r="AV1420" t="str">
        <f>IF(F1420&gt;0,(COUNT($AV$1:AV1419)+1),"")</f>
        <v/>
      </c>
    </row>
    <row r="1421" spans="1:48" ht="15" customHeight="1" x14ac:dyDescent="0.25">
      <c r="A1421" s="1"/>
      <c r="B1421" s="19">
        <v>19936</v>
      </c>
      <c r="C1421" s="20">
        <v>4623722845955</v>
      </c>
      <c r="D1421" s="225" t="s">
        <v>6040</v>
      </c>
      <c r="E1421" s="85">
        <v>10</v>
      </c>
      <c r="F1421" s="222"/>
      <c r="G1421" s="107">
        <v>117</v>
      </c>
      <c r="H1421" s="21">
        <v>122.9</v>
      </c>
      <c r="I1421" s="22">
        <v>129.5</v>
      </c>
      <c r="J1421" s="112" t="s">
        <v>2088</v>
      </c>
      <c r="K1421" s="45" t="s">
        <v>96</v>
      </c>
      <c r="L1421" s="437" t="s">
        <v>2927</v>
      </c>
      <c r="M1421" s="474" t="s">
        <v>1856</v>
      </c>
      <c r="N1421" s="1013" t="s">
        <v>1856</v>
      </c>
      <c r="O1421" s="212" t="s">
        <v>2097</v>
      </c>
      <c r="P1421" s="66" t="s">
        <v>72</v>
      </c>
      <c r="Q1421" s="100">
        <f t="shared" si="765"/>
        <v>0</v>
      </c>
      <c r="R1421" s="13" t="str">
        <f t="shared" si="766"/>
        <v>Фото &gt;&gt;</v>
      </c>
      <c r="S1421" s="14" t="s">
        <v>2082</v>
      </c>
      <c r="U1421" s="568"/>
      <c r="Y1421" s="4"/>
      <c r="AK1421">
        <v>0.06</v>
      </c>
      <c r="AL1421">
        <f t="shared" si="767"/>
        <v>0</v>
      </c>
      <c r="AM1421">
        <f t="shared" si="768"/>
        <v>0</v>
      </c>
      <c r="AN1421">
        <f t="shared" si="769"/>
        <v>0</v>
      </c>
      <c r="AO1421" t="s">
        <v>2491</v>
      </c>
      <c r="AV1421" t="str">
        <f>IF(F1421&gt;0,(COUNT($AV$1:AV1420)+1),"")</f>
        <v/>
      </c>
    </row>
    <row r="1422" spans="1:48" ht="15" customHeight="1" x14ac:dyDescent="0.25">
      <c r="A1422" s="1"/>
      <c r="B1422" s="15">
        <v>19935</v>
      </c>
      <c r="C1422" s="16">
        <v>4623723747098</v>
      </c>
      <c r="D1422" s="226" t="s">
        <v>6041</v>
      </c>
      <c r="E1422" s="86">
        <v>10</v>
      </c>
      <c r="F1422" s="222"/>
      <c r="G1422" s="108">
        <v>117</v>
      </c>
      <c r="H1422" s="17">
        <v>122.9</v>
      </c>
      <c r="I1422" s="18">
        <v>129.5</v>
      </c>
      <c r="J1422" s="113" t="s">
        <v>2088</v>
      </c>
      <c r="K1422" s="44" t="s">
        <v>96</v>
      </c>
      <c r="L1422" s="442" t="s">
        <v>2927</v>
      </c>
      <c r="M1422" s="480" t="s">
        <v>1856</v>
      </c>
      <c r="N1422" s="1015" t="s">
        <v>1856</v>
      </c>
      <c r="O1422" s="217" t="s">
        <v>2097</v>
      </c>
      <c r="P1422" s="68" t="s">
        <v>72</v>
      </c>
      <c r="Q1422" s="100">
        <f t="shared" si="765"/>
        <v>0</v>
      </c>
      <c r="R1422" s="13" t="str">
        <f t="shared" si="766"/>
        <v>Фото &gt;&gt;</v>
      </c>
      <c r="S1422" s="14" t="s">
        <v>2083</v>
      </c>
      <c r="U1422" s="568"/>
      <c r="Y1422" s="4"/>
      <c r="AK1422">
        <v>0.06</v>
      </c>
      <c r="AL1422">
        <f t="shared" ref="AL1422:AL1432" si="771">F1422*G1422</f>
        <v>0</v>
      </c>
      <c r="AM1422">
        <f t="shared" ref="AM1422:AM1432" si="772">F1422*H1422</f>
        <v>0</v>
      </c>
      <c r="AN1422">
        <f t="shared" ref="AN1422:AN1432" si="773">AK1422*F1422</f>
        <v>0</v>
      </c>
      <c r="AO1422" t="s">
        <v>2492</v>
      </c>
      <c r="AV1422" t="str">
        <f>IF(F1422&gt;0,(COUNT($AV$1:AV1421)+1),"")</f>
        <v/>
      </c>
    </row>
    <row r="1423" spans="1:48" ht="15" customHeight="1" x14ac:dyDescent="0.25">
      <c r="A1423" s="1"/>
      <c r="B1423" s="59">
        <v>19937</v>
      </c>
      <c r="C1423" s="23">
        <v>4623723747074</v>
      </c>
      <c r="D1423" s="237" t="s">
        <v>6042</v>
      </c>
      <c r="E1423" s="89">
        <v>10</v>
      </c>
      <c r="F1423" s="223"/>
      <c r="G1423" s="111">
        <v>117</v>
      </c>
      <c r="H1423" s="5">
        <v>122.9</v>
      </c>
      <c r="I1423" s="24">
        <v>129.5</v>
      </c>
      <c r="J1423" s="115" t="s">
        <v>2088</v>
      </c>
      <c r="K1423" s="46" t="s">
        <v>96</v>
      </c>
      <c r="L1423" s="440" t="s">
        <v>2927</v>
      </c>
      <c r="M1423" s="482" t="s">
        <v>1856</v>
      </c>
      <c r="N1423" s="1002" t="s">
        <v>1856</v>
      </c>
      <c r="O1423" s="214" t="s">
        <v>2097</v>
      </c>
      <c r="P1423" s="74" t="s">
        <v>72</v>
      </c>
      <c r="Q1423" s="100">
        <f t="shared" si="765"/>
        <v>0</v>
      </c>
      <c r="R1423" s="13" t="str">
        <f t="shared" si="766"/>
        <v>Фото &gt;&gt;</v>
      </c>
      <c r="S1423" s="14" t="s">
        <v>2081</v>
      </c>
      <c r="U1423" s="568"/>
      <c r="Y1423" s="4"/>
      <c r="AK1423">
        <v>0.06</v>
      </c>
      <c r="AL1423">
        <f t="shared" si="771"/>
        <v>0</v>
      </c>
      <c r="AM1423">
        <f t="shared" si="772"/>
        <v>0</v>
      </c>
      <c r="AN1423">
        <f t="shared" si="773"/>
        <v>0</v>
      </c>
      <c r="AO1423" t="s">
        <v>2493</v>
      </c>
      <c r="AV1423" t="str">
        <f>IF(F1423&gt;0,(COUNT($AV$1:AV1422)+1),"")</f>
        <v/>
      </c>
    </row>
    <row r="1424" spans="1:48" ht="15" customHeight="1" x14ac:dyDescent="0.25">
      <c r="A1424" s="1"/>
      <c r="B1424" s="193">
        <v>20145</v>
      </c>
      <c r="C1424" s="352">
        <v>4623721381126</v>
      </c>
      <c r="D1424" s="353" t="s">
        <v>6009</v>
      </c>
      <c r="E1424" s="401">
        <v>10</v>
      </c>
      <c r="F1424" s="350"/>
      <c r="G1424" s="359">
        <v>119.9</v>
      </c>
      <c r="H1424" s="361">
        <v>125.8</v>
      </c>
      <c r="I1424" s="360">
        <v>132.6</v>
      </c>
      <c r="J1424" s="354" t="s">
        <v>2088</v>
      </c>
      <c r="K1424" s="355" t="s">
        <v>96</v>
      </c>
      <c r="L1424" s="443" t="s">
        <v>2927</v>
      </c>
      <c r="M1424" s="483"/>
      <c r="N1424" s="1019" t="s">
        <v>1856</v>
      </c>
      <c r="O1424" s="356" t="s">
        <v>2097</v>
      </c>
      <c r="P1424" s="357" t="s">
        <v>53</v>
      </c>
      <c r="Q1424" s="100">
        <f t="shared" si="765"/>
        <v>0</v>
      </c>
      <c r="R1424" s="13" t="str">
        <f t="shared" si="766"/>
        <v>Фото &gt;&gt;</v>
      </c>
      <c r="S1424" s="14" t="s">
        <v>2351</v>
      </c>
      <c r="U1424" s="568"/>
      <c r="Y1424" s="4"/>
      <c r="AK1424">
        <v>0.05</v>
      </c>
      <c r="AL1424">
        <f t="shared" si="771"/>
        <v>0</v>
      </c>
      <c r="AM1424">
        <f t="shared" si="772"/>
        <v>0</v>
      </c>
      <c r="AN1424">
        <f t="shared" si="773"/>
        <v>0</v>
      </c>
      <c r="AO1424" t="s">
        <v>2494</v>
      </c>
      <c r="AV1424" t="str">
        <f>IF(F1424&gt;0,(COUNT($AV$1:AV1423)+1),"")</f>
        <v/>
      </c>
    </row>
    <row r="1425" spans="1:48" ht="15" customHeight="1" x14ac:dyDescent="0.25">
      <c r="A1425" s="1"/>
      <c r="B1425" s="19">
        <v>20143</v>
      </c>
      <c r="C1425" s="20">
        <v>4623721381102</v>
      </c>
      <c r="D1425" s="225" t="s">
        <v>6010</v>
      </c>
      <c r="E1425" s="85">
        <v>10</v>
      </c>
      <c r="F1425" s="222"/>
      <c r="G1425" s="107">
        <v>119.9</v>
      </c>
      <c r="H1425" s="21">
        <v>125.8</v>
      </c>
      <c r="I1425" s="22">
        <v>132.6</v>
      </c>
      <c r="J1425" s="112" t="s">
        <v>2088</v>
      </c>
      <c r="K1425" s="45" t="s">
        <v>96</v>
      </c>
      <c r="L1425" s="437" t="s">
        <v>2927</v>
      </c>
      <c r="M1425" s="474"/>
      <c r="N1425" s="1013" t="s">
        <v>1856</v>
      </c>
      <c r="O1425" s="212" t="s">
        <v>2097</v>
      </c>
      <c r="P1425" s="66" t="s">
        <v>53</v>
      </c>
      <c r="Q1425" s="100">
        <f t="shared" si="765"/>
        <v>0</v>
      </c>
      <c r="R1425" s="13" t="str">
        <f t="shared" si="766"/>
        <v>Фото &gt;&gt;</v>
      </c>
      <c r="S1425" s="14" t="s">
        <v>2352</v>
      </c>
      <c r="U1425" s="568"/>
      <c r="Y1425" s="4"/>
      <c r="AK1425">
        <v>0.05</v>
      </c>
      <c r="AL1425">
        <f t="shared" si="771"/>
        <v>0</v>
      </c>
      <c r="AM1425">
        <f t="shared" si="772"/>
        <v>0</v>
      </c>
      <c r="AN1425">
        <f t="shared" si="773"/>
        <v>0</v>
      </c>
      <c r="AO1425" t="s">
        <v>2495</v>
      </c>
      <c r="AV1425" t="str">
        <f>IF(F1425&gt;0,(COUNT($AV$1:AV1424)+1),"")</f>
        <v/>
      </c>
    </row>
    <row r="1426" spans="1:48" ht="15" customHeight="1" x14ac:dyDescent="0.25">
      <c r="A1426" s="1"/>
      <c r="B1426" s="15">
        <v>20144</v>
      </c>
      <c r="C1426" s="16">
        <v>4623721381140</v>
      </c>
      <c r="D1426" s="226" t="s">
        <v>7745</v>
      </c>
      <c r="E1426" s="86">
        <v>10</v>
      </c>
      <c r="F1426" s="222"/>
      <c r="G1426" s="108">
        <v>119.9</v>
      </c>
      <c r="H1426" s="17">
        <v>125.8</v>
      </c>
      <c r="I1426" s="18">
        <v>132.6</v>
      </c>
      <c r="J1426" s="113" t="s">
        <v>2088</v>
      </c>
      <c r="K1426" s="44" t="s">
        <v>96</v>
      </c>
      <c r="L1426" s="442" t="s">
        <v>2927</v>
      </c>
      <c r="M1426" s="480"/>
      <c r="N1426" s="1015" t="s">
        <v>1856</v>
      </c>
      <c r="O1426" s="217" t="s">
        <v>2097</v>
      </c>
      <c r="P1426" s="68" t="s">
        <v>53</v>
      </c>
      <c r="Q1426" s="100">
        <f t="shared" si="765"/>
        <v>0</v>
      </c>
      <c r="R1426" s="13" t="str">
        <f t="shared" si="766"/>
        <v>Фото &gt;&gt;</v>
      </c>
      <c r="S1426" s="14" t="s">
        <v>2353</v>
      </c>
      <c r="U1426" s="568"/>
      <c r="Y1426" s="4"/>
      <c r="AK1426">
        <v>0.05</v>
      </c>
      <c r="AL1426">
        <f t="shared" si="771"/>
        <v>0</v>
      </c>
      <c r="AM1426">
        <f t="shared" si="772"/>
        <v>0</v>
      </c>
      <c r="AN1426">
        <f t="shared" si="773"/>
        <v>0</v>
      </c>
      <c r="AO1426" t="s">
        <v>2496</v>
      </c>
      <c r="AV1426" t="str">
        <f>IF(F1426&gt;0,(COUNT($AV$1:AV1425)+1),"")</f>
        <v/>
      </c>
    </row>
    <row r="1427" spans="1:48" ht="15" customHeight="1" x14ac:dyDescent="0.25">
      <c r="A1427" s="1"/>
      <c r="B1427" s="19">
        <v>19930</v>
      </c>
      <c r="C1427" s="20">
        <v>4623723131095</v>
      </c>
      <c r="D1427" s="225" t="s">
        <v>4412</v>
      </c>
      <c r="E1427" s="85">
        <v>10</v>
      </c>
      <c r="F1427" s="222"/>
      <c r="G1427" s="107">
        <v>117</v>
      </c>
      <c r="H1427" s="21">
        <v>122.9</v>
      </c>
      <c r="I1427" s="22">
        <v>129.5</v>
      </c>
      <c r="J1427" s="112" t="s">
        <v>2088</v>
      </c>
      <c r="K1427" s="45" t="s">
        <v>96</v>
      </c>
      <c r="L1427" s="437" t="s">
        <v>2927</v>
      </c>
      <c r="M1427" s="474" t="s">
        <v>1856</v>
      </c>
      <c r="N1427" s="1013" t="s">
        <v>1856</v>
      </c>
      <c r="O1427" s="212" t="s">
        <v>2097</v>
      </c>
      <c r="P1427" s="66" t="s">
        <v>53</v>
      </c>
      <c r="Q1427" s="100">
        <f t="shared" si="765"/>
        <v>0</v>
      </c>
      <c r="R1427" s="13" t="str">
        <f t="shared" si="766"/>
        <v>Фото &gt;&gt;</v>
      </c>
      <c r="S1427" s="14" t="s">
        <v>2078</v>
      </c>
      <c r="U1427" s="568"/>
      <c r="Y1427" s="4"/>
      <c r="AK1427">
        <v>0.06</v>
      </c>
      <c r="AL1427">
        <f t="shared" si="771"/>
        <v>0</v>
      </c>
      <c r="AM1427">
        <f t="shared" si="772"/>
        <v>0</v>
      </c>
      <c r="AN1427">
        <f t="shared" si="773"/>
        <v>0</v>
      </c>
      <c r="AO1427" t="s">
        <v>2497</v>
      </c>
      <c r="AV1427" t="str">
        <f>IF(F1427&gt;0,(COUNT($AV$1:AV1426)+1),"")</f>
        <v/>
      </c>
    </row>
    <row r="1428" spans="1:48" ht="15" customHeight="1" x14ac:dyDescent="0.25">
      <c r="A1428" s="1"/>
      <c r="B1428" s="15">
        <v>19931</v>
      </c>
      <c r="C1428" s="16">
        <v>4623723131088</v>
      </c>
      <c r="D1428" s="226" t="s">
        <v>4413</v>
      </c>
      <c r="E1428" s="86">
        <v>10</v>
      </c>
      <c r="F1428" s="222"/>
      <c r="G1428" s="108">
        <v>117</v>
      </c>
      <c r="H1428" s="17">
        <v>122.9</v>
      </c>
      <c r="I1428" s="18">
        <v>129.5</v>
      </c>
      <c r="J1428" s="113" t="s">
        <v>2088</v>
      </c>
      <c r="K1428" s="44" t="s">
        <v>96</v>
      </c>
      <c r="L1428" s="442" t="s">
        <v>2927</v>
      </c>
      <c r="M1428" s="480" t="s">
        <v>1856</v>
      </c>
      <c r="N1428" s="1015" t="s">
        <v>1856</v>
      </c>
      <c r="O1428" s="217" t="s">
        <v>2097</v>
      </c>
      <c r="P1428" s="68" t="s">
        <v>53</v>
      </c>
      <c r="Q1428" s="100">
        <f t="shared" si="765"/>
        <v>0</v>
      </c>
      <c r="R1428" s="13" t="str">
        <f t="shared" si="766"/>
        <v>Фото &gt;&gt;</v>
      </c>
      <c r="S1428" s="14" t="s">
        <v>2079</v>
      </c>
      <c r="U1428" s="568"/>
      <c r="Y1428" s="4"/>
      <c r="AK1428">
        <v>0.06</v>
      </c>
      <c r="AL1428">
        <f t="shared" si="771"/>
        <v>0</v>
      </c>
      <c r="AM1428">
        <f t="shared" si="772"/>
        <v>0</v>
      </c>
      <c r="AN1428">
        <f t="shared" si="773"/>
        <v>0</v>
      </c>
      <c r="AO1428" t="s">
        <v>2498</v>
      </c>
      <c r="AV1428" t="str">
        <f>IF(F1428&gt;0,(COUNT($AV$1:AV1427)+1),"")</f>
        <v/>
      </c>
    </row>
    <row r="1429" spans="1:48" ht="15" customHeight="1" x14ac:dyDescent="0.25">
      <c r="A1429" s="1"/>
      <c r="B1429" s="19">
        <v>19932</v>
      </c>
      <c r="C1429" s="20">
        <v>4623722908490</v>
      </c>
      <c r="D1429" s="225" t="s">
        <v>4414</v>
      </c>
      <c r="E1429" s="85">
        <v>10</v>
      </c>
      <c r="F1429" s="222"/>
      <c r="G1429" s="107">
        <v>117</v>
      </c>
      <c r="H1429" s="21">
        <v>122.9</v>
      </c>
      <c r="I1429" s="22">
        <v>129.5</v>
      </c>
      <c r="J1429" s="112" t="s">
        <v>2088</v>
      </c>
      <c r="K1429" s="45" t="s">
        <v>96</v>
      </c>
      <c r="L1429" s="437" t="s">
        <v>2927</v>
      </c>
      <c r="M1429" s="474" t="s">
        <v>1856</v>
      </c>
      <c r="N1429" s="1013" t="s">
        <v>1856</v>
      </c>
      <c r="O1429" s="212" t="s">
        <v>2097</v>
      </c>
      <c r="P1429" s="66" t="s">
        <v>53</v>
      </c>
      <c r="Q1429" s="100">
        <f t="shared" si="765"/>
        <v>0</v>
      </c>
      <c r="R1429" s="13" t="str">
        <f t="shared" ref="R1429:R1431" si="774">IF(AO1429&gt;0,HYPERLINK(AO1429,"Фото &gt;&gt;"),"")</f>
        <v>Фото &gt;&gt;</v>
      </c>
      <c r="S1429" s="14" t="s">
        <v>2080</v>
      </c>
      <c r="U1429" s="568"/>
      <c r="Y1429" s="4"/>
      <c r="AK1429">
        <v>0.06</v>
      </c>
      <c r="AL1429">
        <f t="shared" ref="AL1429:AL1431" si="775">F1429*G1429</f>
        <v>0</v>
      </c>
      <c r="AM1429">
        <f t="shared" ref="AM1429:AM1431" si="776">F1429*H1429</f>
        <v>0</v>
      </c>
      <c r="AN1429">
        <f t="shared" ref="AN1429:AN1431" si="777">AK1429*F1429</f>
        <v>0</v>
      </c>
      <c r="AO1429" t="s">
        <v>2499</v>
      </c>
      <c r="AV1429" t="str">
        <f>IF(F1429&gt;0,(COUNT($AV$1:AV1428)+1),"")</f>
        <v/>
      </c>
    </row>
    <row r="1430" spans="1:48" ht="15" customHeight="1" x14ac:dyDescent="0.25">
      <c r="A1430" s="1"/>
      <c r="B1430" s="193">
        <v>19929</v>
      </c>
      <c r="C1430" s="352">
        <v>4623723738881</v>
      </c>
      <c r="D1430" s="353" t="s">
        <v>2349</v>
      </c>
      <c r="E1430" s="401">
        <v>10</v>
      </c>
      <c r="F1430" s="350"/>
      <c r="G1430" s="359">
        <v>117</v>
      </c>
      <c r="H1430" s="361">
        <v>122.9</v>
      </c>
      <c r="I1430" s="360">
        <v>129.5</v>
      </c>
      <c r="J1430" s="354" t="s">
        <v>2088</v>
      </c>
      <c r="K1430" s="355" t="s">
        <v>96</v>
      </c>
      <c r="L1430" s="443" t="s">
        <v>2927</v>
      </c>
      <c r="M1430" s="483" t="s">
        <v>1856</v>
      </c>
      <c r="N1430" s="1019" t="s">
        <v>1856</v>
      </c>
      <c r="O1430" s="356" t="s">
        <v>2097</v>
      </c>
      <c r="P1430" s="357" t="s">
        <v>72</v>
      </c>
      <c r="Q1430" s="100">
        <f t="shared" si="765"/>
        <v>0</v>
      </c>
      <c r="R1430" s="13" t="str">
        <f t="shared" si="774"/>
        <v>Фото &gt;&gt;</v>
      </c>
      <c r="S1430" s="14" t="s">
        <v>2077</v>
      </c>
      <c r="U1430" s="568"/>
      <c r="Y1430" s="4"/>
      <c r="AK1430">
        <v>0.06</v>
      </c>
      <c r="AL1430">
        <f t="shared" si="775"/>
        <v>0</v>
      </c>
      <c r="AM1430">
        <f t="shared" si="776"/>
        <v>0</v>
      </c>
      <c r="AN1430">
        <f t="shared" si="777"/>
        <v>0</v>
      </c>
      <c r="AO1430" t="s">
        <v>2485</v>
      </c>
      <c r="AV1430" t="str">
        <f>IF(F1430&gt;0,(COUNT($AV$1:AV1429)+1),"")</f>
        <v/>
      </c>
    </row>
    <row r="1431" spans="1:48" ht="15" customHeight="1" x14ac:dyDescent="0.25">
      <c r="A1431" s="1"/>
      <c r="B1431" s="19">
        <v>19933</v>
      </c>
      <c r="C1431" s="20">
        <v>4623723738942</v>
      </c>
      <c r="D1431" s="225" t="s">
        <v>2350</v>
      </c>
      <c r="E1431" s="85">
        <v>10</v>
      </c>
      <c r="F1431" s="222"/>
      <c r="G1431" s="107">
        <v>92.3</v>
      </c>
      <c r="H1431" s="21">
        <v>96.9</v>
      </c>
      <c r="I1431" s="22">
        <v>102</v>
      </c>
      <c r="J1431" s="112" t="s">
        <v>2088</v>
      </c>
      <c r="K1431" s="45" t="s">
        <v>96</v>
      </c>
      <c r="L1431" s="437" t="s">
        <v>2927</v>
      </c>
      <c r="M1431" s="474" t="s">
        <v>104</v>
      </c>
      <c r="N1431" s="1013" t="s">
        <v>1856</v>
      </c>
      <c r="O1431" s="212" t="s">
        <v>2097</v>
      </c>
      <c r="P1431" s="66" t="s">
        <v>72</v>
      </c>
      <c r="Q1431" s="100">
        <f t="shared" si="765"/>
        <v>0</v>
      </c>
      <c r="R1431" s="13" t="str">
        <f t="shared" si="774"/>
        <v>Фото &gt;&gt;</v>
      </c>
      <c r="S1431" s="14" t="s">
        <v>2074</v>
      </c>
      <c r="U1431" s="568"/>
      <c r="Y1431" s="4"/>
      <c r="AK1431">
        <v>0.06</v>
      </c>
      <c r="AL1431">
        <f t="shared" si="775"/>
        <v>0</v>
      </c>
      <c r="AM1431">
        <f t="shared" si="776"/>
        <v>0</v>
      </c>
      <c r="AN1431">
        <f t="shared" si="777"/>
        <v>0</v>
      </c>
      <c r="AO1431" t="s">
        <v>2486</v>
      </c>
      <c r="AV1431" t="str">
        <f>IF(F1431&gt;0,(COUNT($AV$1:AV1430)+1),"")</f>
        <v/>
      </c>
    </row>
    <row r="1432" spans="1:48" ht="15" customHeight="1" x14ac:dyDescent="0.25">
      <c r="A1432" s="1"/>
      <c r="B1432" s="19">
        <v>20856</v>
      </c>
      <c r="C1432" s="20">
        <v>4623721617614</v>
      </c>
      <c r="D1432" s="225" t="s">
        <v>4592</v>
      </c>
      <c r="E1432" s="85">
        <v>10</v>
      </c>
      <c r="F1432" s="222"/>
      <c r="G1432" s="107">
        <v>62.2</v>
      </c>
      <c r="H1432" s="21">
        <v>65.3</v>
      </c>
      <c r="I1432" s="22">
        <v>69.400000000000006</v>
      </c>
      <c r="J1432" s="112" t="s">
        <v>2088</v>
      </c>
      <c r="K1432" s="45" t="s">
        <v>96</v>
      </c>
      <c r="L1432" s="437" t="s">
        <v>2927</v>
      </c>
      <c r="M1432" s="474"/>
      <c r="N1432" s="1013" t="s">
        <v>1856</v>
      </c>
      <c r="O1432" s="212" t="s">
        <v>2097</v>
      </c>
      <c r="P1432" s="66" t="s">
        <v>53</v>
      </c>
      <c r="Q1432" s="100">
        <f t="shared" si="765"/>
        <v>0</v>
      </c>
      <c r="R1432" s="13" t="str">
        <f t="shared" si="766"/>
        <v>Фото &gt;&gt;</v>
      </c>
      <c r="S1432" s="14" t="s">
        <v>4593</v>
      </c>
      <c r="U1432" s="568"/>
      <c r="Y1432" s="4"/>
      <c r="AK1432">
        <v>0.06</v>
      </c>
      <c r="AL1432">
        <f t="shared" si="771"/>
        <v>0</v>
      </c>
      <c r="AM1432">
        <f t="shared" si="772"/>
        <v>0</v>
      </c>
      <c r="AN1432">
        <f t="shared" si="773"/>
        <v>0</v>
      </c>
      <c r="AO1432" t="s">
        <v>4594</v>
      </c>
      <c r="AV1432" t="str">
        <f>IF(F1432&gt;0,(COUNT($AV$1:AV1431)+1),"")</f>
        <v/>
      </c>
    </row>
    <row r="1433" spans="1:48" ht="15" customHeight="1" x14ac:dyDescent="0.25">
      <c r="A1433" s="1"/>
      <c r="B1433" s="125"/>
      <c r="C1433" s="126"/>
      <c r="D1433" s="127"/>
      <c r="E1433" s="134"/>
      <c r="F1433" s="189"/>
      <c r="G1433" s="130"/>
      <c r="H1433" s="131"/>
      <c r="I1433" s="132"/>
      <c r="J1433" s="128"/>
      <c r="K1433" s="129"/>
      <c r="L1433" s="433"/>
      <c r="M1433" s="481"/>
      <c r="N1433" s="471"/>
      <c r="O1433" s="181"/>
      <c r="P1433" s="133"/>
      <c r="Q1433" s="135"/>
      <c r="R1433" s="13"/>
      <c r="S1433" s="14"/>
      <c r="AV1433" t="str">
        <f>IF(F1433&gt;0,(COUNT($AV$1:AV1432)+1),"")</f>
        <v/>
      </c>
    </row>
    <row r="1434" spans="1:48" ht="15" customHeight="1" thickBot="1" x14ac:dyDescent="0.3">
      <c r="A1434" s="1"/>
      <c r="B1434" s="158"/>
      <c r="C1434" s="159"/>
      <c r="D1434" s="160"/>
      <c r="E1434" s="167"/>
      <c r="F1434" s="191"/>
      <c r="G1434" s="163"/>
      <c r="H1434" s="164"/>
      <c r="I1434" s="165"/>
      <c r="J1434" s="161"/>
      <c r="K1434" s="162"/>
      <c r="L1434" s="439"/>
      <c r="M1434" s="475"/>
      <c r="N1434" s="467"/>
      <c r="O1434" s="183"/>
      <c r="P1434" s="166"/>
      <c r="Q1434" s="168"/>
      <c r="R1434" s="13"/>
      <c r="S1434" s="14"/>
      <c r="AV1434" t="str">
        <f>IF(F1434&gt;0,(COUNT($AV$1:AV1433)+1),"")</f>
        <v/>
      </c>
    </row>
    <row r="1435" spans="1:48" ht="24.95" customHeight="1" thickBot="1" x14ac:dyDescent="0.3">
      <c r="A1435" s="1"/>
      <c r="B1435" s="266"/>
      <c r="C1435" s="267"/>
      <c r="D1435" s="268" t="str">
        <f>CONCATENATE("Vitlen - Золотой Лён","     |     Сумма заказа: ",AK1435," руб.")</f>
        <v>Vitlen - Золотой Лён     |     Сумма заказа: 0 руб.</v>
      </c>
      <c r="E1435" s="269"/>
      <c r="F1435" s="270"/>
      <c r="G1435" s="271" t="str">
        <f>CONCATENATE("Ценовая колонка: ",AO1435,"   |   До следующей скидки: ",AJ1435," руб.")</f>
        <v>Ценовая колонка: 3   |   До следующей скидки: 3000 руб.</v>
      </c>
      <c r="H1435" s="272"/>
      <c r="I1435" s="272"/>
      <c r="J1435" s="273" t="s">
        <v>2281</v>
      </c>
      <c r="K1435" s="274"/>
      <c r="L1435" s="451"/>
      <c r="M1435" s="495" t="s">
        <v>104</v>
      </c>
      <c r="N1435" s="571"/>
      <c r="O1435" s="275"/>
      <c r="P1435" s="276"/>
      <c r="Q1435" s="277"/>
      <c r="R1435" s="265" t="s">
        <v>1558</v>
      </c>
      <c r="S1435" s="6"/>
      <c r="AJ1435">
        <f>ROUND(IF(AL1435&gt;10000,"0", IF(AND(AL1435&lt;10000,AM1435&gt;3000),10000-AL1435,3000-AM1435)),2)</f>
        <v>3000</v>
      </c>
      <c r="AK1435">
        <f>SUM(Q1437:Q1456)</f>
        <v>0</v>
      </c>
      <c r="AL1435">
        <f>SUM(AL1437:AL1456)</f>
        <v>0</v>
      </c>
      <c r="AM1435">
        <f>SUM(AM1437:AM1456)</f>
        <v>0</v>
      </c>
      <c r="AO1435">
        <f>IF(AM1435&gt;3000,IF(AL1435&gt;10000,1,2),3)</f>
        <v>3</v>
      </c>
      <c r="AV1435" t="str">
        <f>IF(F1435&gt;0,(COUNT($AV$1:AV1434)+1),"")</f>
        <v/>
      </c>
    </row>
    <row r="1436" spans="1:48" ht="15" customHeight="1" x14ac:dyDescent="0.25">
      <c r="A1436" s="1"/>
      <c r="B1436" s="297"/>
      <c r="C1436" s="283"/>
      <c r="D1436" s="284" t="s">
        <v>7090</v>
      </c>
      <c r="E1436" s="285"/>
      <c r="F1436" s="286"/>
      <c r="G1436" s="287" t="s">
        <v>1451</v>
      </c>
      <c r="H1436" s="288" t="s">
        <v>1461</v>
      </c>
      <c r="I1436" s="288" t="s">
        <v>221</v>
      </c>
      <c r="J1436" s="289"/>
      <c r="K1436" s="290"/>
      <c r="L1436" s="452"/>
      <c r="M1436" s="496" t="s">
        <v>104</v>
      </c>
      <c r="N1436" s="572"/>
      <c r="O1436" s="291"/>
      <c r="P1436" s="292"/>
      <c r="Q1436" s="293"/>
      <c r="R1436" s="425"/>
      <c r="S1436" s="6"/>
      <c r="AV1436" t="str">
        <f>IF(F1436&gt;0,(COUNT($AV$1:AV1435)+1),"")</f>
        <v/>
      </c>
    </row>
    <row r="1437" spans="1:48" ht="15" customHeight="1" x14ac:dyDescent="0.25">
      <c r="A1437" s="1"/>
      <c r="B1437" s="59">
        <v>20583</v>
      </c>
      <c r="C1437" s="23">
        <v>4607035432132</v>
      </c>
      <c r="D1437" s="567" t="s">
        <v>4439</v>
      </c>
      <c r="E1437" s="75">
        <v>12</v>
      </c>
      <c r="F1437" s="222"/>
      <c r="G1437" s="111">
        <v>127.8</v>
      </c>
      <c r="H1437" s="5">
        <v>132.69999999999999</v>
      </c>
      <c r="I1437" s="24">
        <v>145</v>
      </c>
      <c r="J1437" s="115" t="s">
        <v>2281</v>
      </c>
      <c r="K1437" s="46" t="s">
        <v>326</v>
      </c>
      <c r="L1437" s="440"/>
      <c r="M1437" s="474" t="s">
        <v>1856</v>
      </c>
      <c r="N1437" s="1013" t="s">
        <v>1856</v>
      </c>
      <c r="O1437" s="211"/>
      <c r="P1437" s="74" t="s">
        <v>53</v>
      </c>
      <c r="Q1437" s="100">
        <f t="shared" ref="Q1437:Q1449" si="778">IF($AO$1435=2,F1437*H1437,IF($AO$1435=1,F1437*G1437,F1437*I1437))</f>
        <v>0</v>
      </c>
      <c r="R1437" s="13" t="str">
        <f t="shared" ref="R1437:R1442" si="779">IF(AO1437&gt;0,HYPERLINK(AO1437,"Фото &gt;&gt;"),"")</f>
        <v>Фото &gt;&gt;</v>
      </c>
      <c r="S1437" s="14" t="s">
        <v>4117</v>
      </c>
      <c r="AK1437">
        <v>0.22</v>
      </c>
      <c r="AL1437">
        <f t="shared" ref="AL1437:AL1453" si="780">F1437*G1437</f>
        <v>0</v>
      </c>
      <c r="AM1437">
        <f t="shared" ref="AM1437:AM1453" si="781">F1437*H1437</f>
        <v>0</v>
      </c>
      <c r="AN1437">
        <f t="shared" ref="AN1437:AN1453" si="782">AK1437*F1437+IF(E1437&gt;1.01,F1437/E1437*0.2,0)</f>
        <v>0</v>
      </c>
      <c r="AO1437" t="s">
        <v>4115</v>
      </c>
      <c r="AV1437" t="str">
        <f>IF(F1437&gt;0,(COUNT($AV$1:AV1436)+1),"")</f>
        <v/>
      </c>
    </row>
    <row r="1438" spans="1:48" ht="15" customHeight="1" x14ac:dyDescent="0.25">
      <c r="A1438" s="1"/>
      <c r="B1438" s="56">
        <v>20582</v>
      </c>
      <c r="C1438" s="33">
        <v>4607035432149</v>
      </c>
      <c r="D1438" s="566" t="s">
        <v>4440</v>
      </c>
      <c r="E1438" s="71">
        <v>12</v>
      </c>
      <c r="F1438" s="223"/>
      <c r="G1438" s="109">
        <v>127.8</v>
      </c>
      <c r="H1438" s="34">
        <v>132.69999999999999</v>
      </c>
      <c r="I1438" s="35">
        <v>145</v>
      </c>
      <c r="J1438" s="114" t="s">
        <v>2281</v>
      </c>
      <c r="K1438" s="57" t="s">
        <v>326</v>
      </c>
      <c r="L1438" s="438"/>
      <c r="M1438" s="484" t="s">
        <v>1856</v>
      </c>
      <c r="N1438" s="1008" t="s">
        <v>1856</v>
      </c>
      <c r="O1438" s="219"/>
      <c r="P1438" s="70" t="s">
        <v>53</v>
      </c>
      <c r="Q1438" s="100">
        <f t="shared" si="778"/>
        <v>0</v>
      </c>
      <c r="R1438" s="13" t="str">
        <f t="shared" si="779"/>
        <v>Фото &gt;&gt;</v>
      </c>
      <c r="S1438" s="14" t="s">
        <v>4116</v>
      </c>
      <c r="AK1438">
        <v>0.22</v>
      </c>
      <c r="AL1438">
        <f t="shared" si="780"/>
        <v>0</v>
      </c>
      <c r="AM1438">
        <f t="shared" si="781"/>
        <v>0</v>
      </c>
      <c r="AN1438">
        <f t="shared" si="782"/>
        <v>0</v>
      </c>
      <c r="AO1438" t="s">
        <v>4112</v>
      </c>
      <c r="AV1438" t="str">
        <f>IF(F1438&gt;0,(COUNT($AV$1:AV1437)+1),"")</f>
        <v/>
      </c>
    </row>
    <row r="1439" spans="1:48" ht="15" customHeight="1" x14ac:dyDescent="0.25">
      <c r="A1439" s="1"/>
      <c r="B1439" s="59">
        <v>20598</v>
      </c>
      <c r="C1439" s="23">
        <v>4607035431968</v>
      </c>
      <c r="D1439" s="567" t="s">
        <v>4441</v>
      </c>
      <c r="E1439" s="75">
        <v>12</v>
      </c>
      <c r="F1439" s="222"/>
      <c r="G1439" s="111">
        <v>127.8</v>
      </c>
      <c r="H1439" s="5">
        <v>132.69999999999999</v>
      </c>
      <c r="I1439" s="24">
        <v>145</v>
      </c>
      <c r="J1439" s="115" t="s">
        <v>2281</v>
      </c>
      <c r="K1439" s="46" t="s">
        <v>326</v>
      </c>
      <c r="L1439" s="440"/>
      <c r="M1439" s="474" t="s">
        <v>1856</v>
      </c>
      <c r="N1439" s="1013" t="s">
        <v>1856</v>
      </c>
      <c r="O1439" s="211"/>
      <c r="P1439" s="74" t="s">
        <v>53</v>
      </c>
      <c r="Q1439" s="100">
        <f t="shared" si="778"/>
        <v>0</v>
      </c>
      <c r="R1439" s="13" t="str">
        <f t="shared" si="779"/>
        <v>Фото &gt;&gt;</v>
      </c>
      <c r="S1439" s="14" t="s">
        <v>4110</v>
      </c>
      <c r="AK1439">
        <v>0.22</v>
      </c>
      <c r="AL1439">
        <f t="shared" si="780"/>
        <v>0</v>
      </c>
      <c r="AM1439">
        <f t="shared" si="781"/>
        <v>0</v>
      </c>
      <c r="AN1439">
        <f t="shared" si="782"/>
        <v>0</v>
      </c>
      <c r="AO1439" t="s">
        <v>4113</v>
      </c>
      <c r="AV1439" t="str">
        <f>IF(F1439&gt;0,(COUNT($AV$1:AV1438)+1),"")</f>
        <v/>
      </c>
    </row>
    <row r="1440" spans="1:48" ht="15" customHeight="1" x14ac:dyDescent="0.25">
      <c r="A1440" s="1"/>
      <c r="B1440" s="56">
        <v>20097</v>
      </c>
      <c r="C1440" s="33">
        <v>4607035431883</v>
      </c>
      <c r="D1440" s="395" t="s">
        <v>2283</v>
      </c>
      <c r="E1440" s="71">
        <v>12</v>
      </c>
      <c r="F1440" s="223"/>
      <c r="G1440" s="109">
        <v>127.8</v>
      </c>
      <c r="H1440" s="34">
        <v>132.69999999999999</v>
      </c>
      <c r="I1440" s="35">
        <v>145</v>
      </c>
      <c r="J1440" s="114" t="s">
        <v>2281</v>
      </c>
      <c r="K1440" s="57" t="s">
        <v>326</v>
      </c>
      <c r="L1440" s="438"/>
      <c r="M1440" s="484"/>
      <c r="N1440" s="1008" t="s">
        <v>1856</v>
      </c>
      <c r="O1440" s="219"/>
      <c r="P1440" s="70" t="s">
        <v>53</v>
      </c>
      <c r="Q1440" s="100">
        <f t="shared" si="778"/>
        <v>0</v>
      </c>
      <c r="R1440" s="13" t="str">
        <f t="shared" si="779"/>
        <v>Фото &gt;&gt;</v>
      </c>
      <c r="S1440" s="14" t="s">
        <v>3879</v>
      </c>
      <c r="AK1440">
        <v>0.22</v>
      </c>
      <c r="AL1440">
        <f t="shared" si="780"/>
        <v>0</v>
      </c>
      <c r="AM1440">
        <f t="shared" si="781"/>
        <v>0</v>
      </c>
      <c r="AN1440">
        <f t="shared" si="782"/>
        <v>0</v>
      </c>
      <c r="AO1440" t="s">
        <v>2437</v>
      </c>
      <c r="AV1440" t="str">
        <f>IF(F1440&gt;0,(COUNT($AV$1:AV1439)+1),"")</f>
        <v/>
      </c>
    </row>
    <row r="1441" spans="1:48" ht="15" customHeight="1" x14ac:dyDescent="0.25">
      <c r="A1441" s="1"/>
      <c r="B1441" s="59">
        <v>20096</v>
      </c>
      <c r="C1441" s="23">
        <v>4607035431869</v>
      </c>
      <c r="D1441" s="399" t="s">
        <v>2284</v>
      </c>
      <c r="E1441" s="75">
        <v>12</v>
      </c>
      <c r="F1441" s="222"/>
      <c r="G1441" s="111">
        <v>127.8</v>
      </c>
      <c r="H1441" s="5">
        <v>132.69999999999999</v>
      </c>
      <c r="I1441" s="24">
        <v>145</v>
      </c>
      <c r="J1441" s="115" t="s">
        <v>2281</v>
      </c>
      <c r="K1441" s="46" t="s">
        <v>326</v>
      </c>
      <c r="L1441" s="440"/>
      <c r="M1441" s="474"/>
      <c r="N1441" s="1013" t="s">
        <v>1856</v>
      </c>
      <c r="O1441" s="211"/>
      <c r="P1441" s="74" t="s">
        <v>53</v>
      </c>
      <c r="Q1441" s="100">
        <f t="shared" si="778"/>
        <v>0</v>
      </c>
      <c r="R1441" s="13" t="str">
        <f t="shared" si="779"/>
        <v>Фото &gt;&gt;</v>
      </c>
      <c r="S1441" s="14" t="s">
        <v>3880</v>
      </c>
      <c r="AK1441">
        <v>0.22</v>
      </c>
      <c r="AL1441">
        <f t="shared" si="780"/>
        <v>0</v>
      </c>
      <c r="AM1441">
        <f t="shared" si="781"/>
        <v>0</v>
      </c>
      <c r="AN1441">
        <f t="shared" si="782"/>
        <v>0</v>
      </c>
      <c r="AO1441" t="s">
        <v>2438</v>
      </c>
      <c r="AV1441" t="str">
        <f>IF(F1441&gt;0,(COUNT($AV$1:AV1440)+1),"")</f>
        <v/>
      </c>
    </row>
    <row r="1442" spans="1:48" ht="15" customHeight="1" x14ac:dyDescent="0.25">
      <c r="A1442" s="1"/>
      <c r="B1442" s="56">
        <v>20101</v>
      </c>
      <c r="C1442" s="33">
        <v>4607035431876</v>
      </c>
      <c r="D1442" s="395" t="s">
        <v>2285</v>
      </c>
      <c r="E1442" s="71">
        <v>12</v>
      </c>
      <c r="F1442" s="223"/>
      <c r="G1442" s="109">
        <v>127.8</v>
      </c>
      <c r="H1442" s="34">
        <v>132.69999999999999</v>
      </c>
      <c r="I1442" s="35">
        <v>145</v>
      </c>
      <c r="J1442" s="114" t="s">
        <v>2281</v>
      </c>
      <c r="K1442" s="57" t="s">
        <v>326</v>
      </c>
      <c r="L1442" s="438"/>
      <c r="M1442" s="484"/>
      <c r="N1442" s="1008" t="s">
        <v>1856</v>
      </c>
      <c r="O1442" s="219"/>
      <c r="P1442" s="70" t="s">
        <v>53</v>
      </c>
      <c r="Q1442" s="100">
        <f t="shared" si="778"/>
        <v>0</v>
      </c>
      <c r="R1442" s="13" t="str">
        <f t="shared" si="779"/>
        <v>Фото &gt;&gt;</v>
      </c>
      <c r="S1442" s="14" t="s">
        <v>2280</v>
      </c>
      <c r="AK1442">
        <v>0.22</v>
      </c>
      <c r="AL1442">
        <f t="shared" si="780"/>
        <v>0</v>
      </c>
      <c r="AM1442">
        <f t="shared" si="781"/>
        <v>0</v>
      </c>
      <c r="AN1442">
        <f t="shared" si="782"/>
        <v>0</v>
      </c>
      <c r="AO1442" t="s">
        <v>2439</v>
      </c>
      <c r="AV1442" t="str">
        <f>IF(F1442&gt;0,(COUNT($AV$1:AV1441)+1),"")</f>
        <v/>
      </c>
    </row>
    <row r="1443" spans="1:48" ht="15" customHeight="1" x14ac:dyDescent="0.25">
      <c r="A1443" s="1"/>
      <c r="B1443" s="59">
        <v>20098</v>
      </c>
      <c r="C1443" s="23">
        <v>4607035432057</v>
      </c>
      <c r="D1443" s="399" t="s">
        <v>2282</v>
      </c>
      <c r="E1443" s="75">
        <v>12</v>
      </c>
      <c r="F1443" s="222"/>
      <c r="G1443" s="111">
        <v>127.8</v>
      </c>
      <c r="H1443" s="5">
        <v>132.69999999999999</v>
      </c>
      <c r="I1443" s="24">
        <v>145</v>
      </c>
      <c r="J1443" s="115" t="s">
        <v>2281</v>
      </c>
      <c r="K1443" s="46" t="s">
        <v>326</v>
      </c>
      <c r="L1443" s="440"/>
      <c r="M1443" s="474"/>
      <c r="N1443" s="1013" t="s">
        <v>1856</v>
      </c>
      <c r="O1443" s="211"/>
      <c r="P1443" s="74" t="s">
        <v>53</v>
      </c>
      <c r="Q1443" s="100">
        <f t="shared" si="778"/>
        <v>0</v>
      </c>
      <c r="R1443" s="13" t="str">
        <f t="shared" ref="R1443:R1456" si="783">IF(AO1443&gt;0,HYPERLINK(AO1443,"Фото &gt;&gt;"),"")</f>
        <v>Фото &gt;&gt;</v>
      </c>
      <c r="S1443" s="14" t="s">
        <v>2279</v>
      </c>
      <c r="AK1443">
        <v>0.22</v>
      </c>
      <c r="AL1443">
        <f t="shared" si="780"/>
        <v>0</v>
      </c>
      <c r="AM1443">
        <f t="shared" si="781"/>
        <v>0</v>
      </c>
      <c r="AN1443">
        <f t="shared" si="782"/>
        <v>0</v>
      </c>
      <c r="AO1443" t="s">
        <v>2440</v>
      </c>
      <c r="AV1443" t="str">
        <f>IF(F1443&gt;0,(COUNT($AV$1:AV1442)+1),"")</f>
        <v/>
      </c>
    </row>
    <row r="1444" spans="1:48" ht="15" customHeight="1" x14ac:dyDescent="0.25">
      <c r="A1444" s="1"/>
      <c r="B1444" s="56">
        <v>20099</v>
      </c>
      <c r="C1444" s="33">
        <v>4607035432101</v>
      </c>
      <c r="D1444" s="395" t="s">
        <v>2286</v>
      </c>
      <c r="E1444" s="71">
        <v>12</v>
      </c>
      <c r="F1444" s="223"/>
      <c r="G1444" s="109">
        <v>127.8</v>
      </c>
      <c r="H1444" s="34">
        <v>132.69999999999999</v>
      </c>
      <c r="I1444" s="35">
        <v>145</v>
      </c>
      <c r="J1444" s="114" t="s">
        <v>2281</v>
      </c>
      <c r="K1444" s="57" t="s">
        <v>326</v>
      </c>
      <c r="L1444" s="438"/>
      <c r="M1444" s="484"/>
      <c r="N1444" s="1008" t="s">
        <v>1856</v>
      </c>
      <c r="O1444" s="219"/>
      <c r="P1444" s="70" t="s">
        <v>53</v>
      </c>
      <c r="Q1444" s="100">
        <f t="shared" si="778"/>
        <v>0</v>
      </c>
      <c r="R1444" s="13" t="str">
        <f t="shared" si="783"/>
        <v>Фото &gt;&gt;</v>
      </c>
      <c r="S1444" s="14" t="s">
        <v>3881</v>
      </c>
      <c r="AK1444">
        <v>0.22</v>
      </c>
      <c r="AL1444">
        <f t="shared" si="780"/>
        <v>0</v>
      </c>
      <c r="AM1444">
        <f t="shared" si="781"/>
        <v>0</v>
      </c>
      <c r="AN1444">
        <f t="shared" si="782"/>
        <v>0</v>
      </c>
      <c r="AO1444" t="s">
        <v>2441</v>
      </c>
      <c r="AV1444" t="str">
        <f>IF(F1444&gt;0,(COUNT($AV$1:AV1443)+1),"")</f>
        <v/>
      </c>
    </row>
    <row r="1445" spans="1:48" ht="15" customHeight="1" x14ac:dyDescent="0.25">
      <c r="A1445" s="1"/>
      <c r="B1445" s="59">
        <v>20102</v>
      </c>
      <c r="C1445" s="23">
        <v>4607035432118</v>
      </c>
      <c r="D1445" s="399" t="s">
        <v>2287</v>
      </c>
      <c r="E1445" s="75">
        <v>12</v>
      </c>
      <c r="F1445" s="222"/>
      <c r="G1445" s="111">
        <v>127.8</v>
      </c>
      <c r="H1445" s="5">
        <v>132.69999999999999</v>
      </c>
      <c r="I1445" s="24">
        <v>145</v>
      </c>
      <c r="J1445" s="115" t="s">
        <v>2281</v>
      </c>
      <c r="K1445" s="46" t="s">
        <v>326</v>
      </c>
      <c r="L1445" s="440"/>
      <c r="M1445" s="474" t="s">
        <v>1856</v>
      </c>
      <c r="N1445" s="1013" t="s">
        <v>1856</v>
      </c>
      <c r="O1445" s="211"/>
      <c r="P1445" s="74" t="s">
        <v>53</v>
      </c>
      <c r="Q1445" s="100">
        <f t="shared" si="778"/>
        <v>0</v>
      </c>
      <c r="R1445" s="13" t="str">
        <f t="shared" si="783"/>
        <v>Фото &gt;&gt;</v>
      </c>
      <c r="S1445" s="14" t="s">
        <v>3882</v>
      </c>
      <c r="AK1445">
        <v>0.22</v>
      </c>
      <c r="AL1445">
        <f t="shared" si="780"/>
        <v>0</v>
      </c>
      <c r="AM1445">
        <f t="shared" si="781"/>
        <v>0</v>
      </c>
      <c r="AN1445">
        <f t="shared" si="782"/>
        <v>0</v>
      </c>
      <c r="AO1445" t="s">
        <v>2442</v>
      </c>
      <c r="AV1445" t="str">
        <f>IF(F1445&gt;0,(COUNT($AV$1:AV1444)+1),"")</f>
        <v/>
      </c>
    </row>
    <row r="1446" spans="1:48" ht="15" customHeight="1" x14ac:dyDescent="0.25">
      <c r="A1446" s="1"/>
      <c r="B1446" s="56">
        <v>20322</v>
      </c>
      <c r="C1446" s="33">
        <v>4607035432125</v>
      </c>
      <c r="D1446" s="395" t="s">
        <v>3271</v>
      </c>
      <c r="E1446" s="71">
        <v>12</v>
      </c>
      <c r="F1446" s="223"/>
      <c r="G1446" s="109">
        <v>116.7</v>
      </c>
      <c r="H1446" s="34">
        <v>121.2</v>
      </c>
      <c r="I1446" s="35">
        <v>130</v>
      </c>
      <c r="J1446" s="114" t="s">
        <v>2281</v>
      </c>
      <c r="K1446" s="57" t="s">
        <v>326</v>
      </c>
      <c r="L1446" s="438"/>
      <c r="M1446" s="484" t="s">
        <v>1856</v>
      </c>
      <c r="N1446" s="1008" t="s">
        <v>1856</v>
      </c>
      <c r="O1446" s="219"/>
      <c r="P1446" s="70" t="s">
        <v>53</v>
      </c>
      <c r="Q1446" s="100">
        <f t="shared" si="778"/>
        <v>0</v>
      </c>
      <c r="R1446" s="13" t="str">
        <f t="shared" si="783"/>
        <v>Фото &gt;&gt;</v>
      </c>
      <c r="S1446" s="14" t="s">
        <v>3270</v>
      </c>
      <c r="AK1446">
        <v>0.22</v>
      </c>
      <c r="AL1446">
        <f t="shared" si="780"/>
        <v>0</v>
      </c>
      <c r="AM1446">
        <f t="shared" si="781"/>
        <v>0</v>
      </c>
      <c r="AN1446">
        <f t="shared" si="782"/>
        <v>0</v>
      </c>
      <c r="AO1446" t="s">
        <v>3272</v>
      </c>
      <c r="AV1446" t="str">
        <f>IF(F1446&gt;0,(COUNT($AV$1:AV1445)+1),"")</f>
        <v/>
      </c>
    </row>
    <row r="1447" spans="1:48" ht="15" customHeight="1" x14ac:dyDescent="0.25">
      <c r="A1447" s="1"/>
      <c r="B1447" s="59">
        <v>21518</v>
      </c>
      <c r="C1447" s="23"/>
      <c r="D1447" s="624" t="s">
        <v>7085</v>
      </c>
      <c r="E1447" s="75">
        <v>16</v>
      </c>
      <c r="F1447" s="222"/>
      <c r="G1447" s="111">
        <v>111.2</v>
      </c>
      <c r="H1447" s="5">
        <v>116.7</v>
      </c>
      <c r="I1447" s="24">
        <v>128</v>
      </c>
      <c r="J1447" s="115" t="s">
        <v>2281</v>
      </c>
      <c r="K1447" s="46" t="s">
        <v>326</v>
      </c>
      <c r="L1447" s="440"/>
      <c r="M1447" s="474" t="s">
        <v>1856</v>
      </c>
      <c r="N1447" s="1013" t="s">
        <v>1856</v>
      </c>
      <c r="O1447" s="211" t="s">
        <v>1637</v>
      </c>
      <c r="P1447" s="74" t="s">
        <v>53</v>
      </c>
      <c r="Q1447" s="100">
        <f t="shared" si="778"/>
        <v>0</v>
      </c>
      <c r="R1447" s="94" t="str">
        <f t="shared" si="783"/>
        <v>Фото &gt;&gt;</v>
      </c>
      <c r="S1447" s="14"/>
      <c r="AK1447">
        <v>0.22</v>
      </c>
      <c r="AL1447">
        <f t="shared" ref="AL1447:AL1449" si="784">F1447*G1447</f>
        <v>0</v>
      </c>
      <c r="AM1447">
        <f t="shared" ref="AM1447:AM1449" si="785">F1447*H1447</f>
        <v>0</v>
      </c>
      <c r="AN1447">
        <f t="shared" ref="AN1447:AN1449" si="786">AK1447*F1447+IF(E1447&gt;1.01,F1447/E1447*0.2,0)</f>
        <v>0</v>
      </c>
      <c r="AO1447" t="s">
        <v>7123</v>
      </c>
      <c r="AV1447" t="str">
        <f>IF(F1447&gt;0,(COUNT($AV$1:AV1446)+1),"")</f>
        <v/>
      </c>
    </row>
    <row r="1448" spans="1:48" ht="15" customHeight="1" x14ac:dyDescent="0.25">
      <c r="A1448" s="1"/>
      <c r="B1448" s="56">
        <v>21520</v>
      </c>
      <c r="C1448" s="33"/>
      <c r="D1448" s="427" t="s">
        <v>7086</v>
      </c>
      <c r="E1448" s="71">
        <v>16</v>
      </c>
      <c r="F1448" s="223"/>
      <c r="G1448" s="109">
        <v>111.2</v>
      </c>
      <c r="H1448" s="34">
        <v>116.7</v>
      </c>
      <c r="I1448" s="35">
        <v>128</v>
      </c>
      <c r="J1448" s="114" t="s">
        <v>2281</v>
      </c>
      <c r="K1448" s="57" t="s">
        <v>326</v>
      </c>
      <c r="L1448" s="438"/>
      <c r="M1448" s="484" t="s">
        <v>1856</v>
      </c>
      <c r="N1448" s="1008" t="s">
        <v>1856</v>
      </c>
      <c r="O1448" s="219" t="s">
        <v>1637</v>
      </c>
      <c r="P1448" s="70" t="s">
        <v>53</v>
      </c>
      <c r="Q1448" s="100">
        <f t="shared" si="778"/>
        <v>0</v>
      </c>
      <c r="R1448" s="94" t="str">
        <f t="shared" si="783"/>
        <v>Фото &gt;&gt;</v>
      </c>
      <c r="S1448" s="14"/>
      <c r="AK1448">
        <v>0.22</v>
      </c>
      <c r="AL1448">
        <f t="shared" si="784"/>
        <v>0</v>
      </c>
      <c r="AM1448">
        <f t="shared" si="785"/>
        <v>0</v>
      </c>
      <c r="AN1448">
        <f t="shared" si="786"/>
        <v>0</v>
      </c>
      <c r="AO1448" t="s">
        <v>7124</v>
      </c>
      <c r="AV1448" t="str">
        <f>IF(F1448&gt;0,(COUNT($AV$1:AV1447)+1),"")</f>
        <v/>
      </c>
    </row>
    <row r="1449" spans="1:48" ht="15" customHeight="1" x14ac:dyDescent="0.25">
      <c r="A1449" s="1"/>
      <c r="B1449" s="59">
        <v>21519</v>
      </c>
      <c r="C1449" s="23"/>
      <c r="D1449" s="624" t="s">
        <v>7087</v>
      </c>
      <c r="E1449" s="75">
        <v>16</v>
      </c>
      <c r="F1449" s="222"/>
      <c r="G1449" s="111">
        <v>111.2</v>
      </c>
      <c r="H1449" s="5">
        <v>116.7</v>
      </c>
      <c r="I1449" s="24">
        <v>128</v>
      </c>
      <c r="J1449" s="115" t="s">
        <v>2281</v>
      </c>
      <c r="K1449" s="46" t="s">
        <v>326</v>
      </c>
      <c r="L1449" s="440"/>
      <c r="M1449" s="474" t="s">
        <v>1856</v>
      </c>
      <c r="N1449" s="1013" t="s">
        <v>1856</v>
      </c>
      <c r="O1449" s="211" t="s">
        <v>1637</v>
      </c>
      <c r="P1449" s="74" t="s">
        <v>53</v>
      </c>
      <c r="Q1449" s="100">
        <f t="shared" si="778"/>
        <v>0</v>
      </c>
      <c r="R1449" s="94" t="str">
        <f t="shared" si="783"/>
        <v>Фото &gt;&gt;</v>
      </c>
      <c r="S1449" s="14"/>
      <c r="AK1449">
        <v>0.22</v>
      </c>
      <c r="AL1449">
        <f t="shared" si="784"/>
        <v>0</v>
      </c>
      <c r="AM1449">
        <f t="shared" si="785"/>
        <v>0</v>
      </c>
      <c r="AN1449">
        <f t="shared" si="786"/>
        <v>0</v>
      </c>
      <c r="AO1449" t="s">
        <v>7125</v>
      </c>
      <c r="AV1449" t="str">
        <f>IF(F1449&gt;0,(COUNT($AV$1:AV1448)+1),"")</f>
        <v/>
      </c>
    </row>
    <row r="1450" spans="1:48" ht="15" customHeight="1" x14ac:dyDescent="0.25">
      <c r="A1450" s="1"/>
      <c r="B1450" s="25"/>
      <c r="C1450" s="26"/>
      <c r="D1450" s="27" t="s">
        <v>7091</v>
      </c>
      <c r="E1450" s="80"/>
      <c r="F1450" s="96"/>
      <c r="G1450" s="28"/>
      <c r="H1450" s="29"/>
      <c r="I1450" s="29"/>
      <c r="J1450" s="51"/>
      <c r="K1450" s="47"/>
      <c r="L1450" s="447"/>
      <c r="M1450" s="489"/>
      <c r="N1450" s="716"/>
      <c r="O1450" s="186"/>
      <c r="P1450" s="79"/>
      <c r="Q1450" s="104"/>
      <c r="R1450" s="13"/>
      <c r="S1450" s="14"/>
      <c r="AV1450" t="str">
        <f>IF(F1450&gt;0,(COUNT($AV$1:AV1449)+1),"")</f>
        <v/>
      </c>
    </row>
    <row r="1451" spans="1:48" ht="15" customHeight="1" x14ac:dyDescent="0.25">
      <c r="A1451" s="1"/>
      <c r="B1451" s="983">
        <v>20599</v>
      </c>
      <c r="C1451" s="984">
        <v>4607035431852</v>
      </c>
      <c r="D1451" s="985" t="s">
        <v>4118</v>
      </c>
      <c r="E1451" s="986">
        <v>12</v>
      </c>
      <c r="F1451" s="987"/>
      <c r="G1451" s="988">
        <v>127.8</v>
      </c>
      <c r="H1451" s="989">
        <v>132.69999999999999</v>
      </c>
      <c r="I1451" s="990">
        <v>145</v>
      </c>
      <c r="J1451" s="991" t="s">
        <v>2281</v>
      </c>
      <c r="K1451" s="992" t="s">
        <v>326</v>
      </c>
      <c r="L1451" s="993"/>
      <c r="M1451" s="994" t="s">
        <v>1856</v>
      </c>
      <c r="N1451" s="1024" t="s">
        <v>1856</v>
      </c>
      <c r="O1451" s="995"/>
      <c r="P1451" s="996" t="s">
        <v>53</v>
      </c>
      <c r="Q1451" s="100">
        <f t="shared" ref="Q1451:Q1456" si="787">IF($AO$1435=2,F1451*H1451,IF($AO$1435=1,F1451*G1451,F1451*I1451))</f>
        <v>0</v>
      </c>
      <c r="R1451" s="13" t="str">
        <f t="shared" si="783"/>
        <v>Фото &gt;&gt;</v>
      </c>
      <c r="S1451" s="14" t="s">
        <v>4111</v>
      </c>
      <c r="AK1451">
        <v>0.22</v>
      </c>
      <c r="AL1451">
        <f t="shared" si="780"/>
        <v>0</v>
      </c>
      <c r="AM1451">
        <f t="shared" si="781"/>
        <v>0</v>
      </c>
      <c r="AN1451">
        <f t="shared" si="782"/>
        <v>0</v>
      </c>
      <c r="AO1451" t="s">
        <v>4114</v>
      </c>
      <c r="AV1451" t="str">
        <f>IF(F1451&gt;0,(COUNT($AV$1:AV1450)+1),"")</f>
        <v/>
      </c>
    </row>
    <row r="1452" spans="1:48" ht="15" customHeight="1" x14ac:dyDescent="0.25">
      <c r="A1452" s="1"/>
      <c r="B1452" s="971">
        <v>20095</v>
      </c>
      <c r="C1452" s="972">
        <v>4607035431821</v>
      </c>
      <c r="D1452" s="973" t="s">
        <v>2276</v>
      </c>
      <c r="E1452" s="974">
        <v>12</v>
      </c>
      <c r="F1452" s="954"/>
      <c r="G1452" s="975">
        <v>127.8</v>
      </c>
      <c r="H1452" s="976">
        <v>132.69999999999999</v>
      </c>
      <c r="I1452" s="977">
        <v>145</v>
      </c>
      <c r="J1452" s="978" t="s">
        <v>2281</v>
      </c>
      <c r="K1452" s="979" t="s">
        <v>326</v>
      </c>
      <c r="L1452" s="980"/>
      <c r="M1452" s="488"/>
      <c r="N1452" s="1018" t="s">
        <v>1856</v>
      </c>
      <c r="O1452" s="981"/>
      <c r="P1452" s="982" t="s">
        <v>53</v>
      </c>
      <c r="Q1452" s="100">
        <f t="shared" si="787"/>
        <v>0</v>
      </c>
      <c r="R1452" s="13" t="str">
        <f t="shared" si="783"/>
        <v>Фото &gt;&gt;</v>
      </c>
      <c r="S1452" s="14" t="s">
        <v>3883</v>
      </c>
      <c r="AK1452">
        <v>0.22</v>
      </c>
      <c r="AL1452">
        <f t="shared" si="780"/>
        <v>0</v>
      </c>
      <c r="AM1452">
        <f t="shared" si="781"/>
        <v>0</v>
      </c>
      <c r="AN1452">
        <f t="shared" si="782"/>
        <v>0</v>
      </c>
      <c r="AO1452" t="s">
        <v>2443</v>
      </c>
      <c r="AV1452" t="str">
        <f>IF(F1452&gt;0,(COUNT($AV$1:AV1451)+1),"")</f>
        <v/>
      </c>
    </row>
    <row r="1453" spans="1:48" ht="15" customHeight="1" x14ac:dyDescent="0.25">
      <c r="A1453" s="1"/>
      <c r="B1453" s="56">
        <v>20094</v>
      </c>
      <c r="C1453" s="33">
        <v>4607035431814</v>
      </c>
      <c r="D1453" s="395" t="s">
        <v>2277</v>
      </c>
      <c r="E1453" s="71">
        <v>12</v>
      </c>
      <c r="F1453" s="223"/>
      <c r="G1453" s="109">
        <v>127.8</v>
      </c>
      <c r="H1453" s="34">
        <v>132.69999999999999</v>
      </c>
      <c r="I1453" s="35">
        <v>145</v>
      </c>
      <c r="J1453" s="114" t="s">
        <v>2281</v>
      </c>
      <c r="K1453" s="57" t="s">
        <v>326</v>
      </c>
      <c r="L1453" s="438"/>
      <c r="M1453" s="484"/>
      <c r="N1453" s="1008"/>
      <c r="O1453" s="219"/>
      <c r="P1453" s="70" t="s">
        <v>53</v>
      </c>
      <c r="Q1453" s="100">
        <f t="shared" si="787"/>
        <v>0</v>
      </c>
      <c r="R1453" s="13" t="str">
        <f t="shared" si="783"/>
        <v>Фото &gt;&gt;</v>
      </c>
      <c r="S1453" s="14" t="s">
        <v>3884</v>
      </c>
      <c r="AK1453">
        <v>0.22</v>
      </c>
      <c r="AL1453">
        <f t="shared" si="780"/>
        <v>0</v>
      </c>
      <c r="AM1453">
        <f t="shared" si="781"/>
        <v>0</v>
      </c>
      <c r="AN1453">
        <f t="shared" si="782"/>
        <v>0</v>
      </c>
      <c r="AO1453" t="s">
        <v>2444</v>
      </c>
      <c r="AV1453" t="str">
        <f>IF(F1453&gt;0,(COUNT($AV$1:AV1452)+1),"")</f>
        <v/>
      </c>
    </row>
    <row r="1454" spans="1:48" ht="15" customHeight="1" x14ac:dyDescent="0.25">
      <c r="A1454" s="1"/>
      <c r="B1454" s="59">
        <v>20597</v>
      </c>
      <c r="C1454" s="23">
        <v>4607035431739</v>
      </c>
      <c r="D1454" s="399" t="s">
        <v>7089</v>
      </c>
      <c r="E1454" s="75">
        <v>12</v>
      </c>
      <c r="F1454" s="222"/>
      <c r="G1454" s="111">
        <v>127.8</v>
      </c>
      <c r="H1454" s="5">
        <v>132.69999999999999</v>
      </c>
      <c r="I1454" s="24">
        <v>145</v>
      </c>
      <c r="J1454" s="115" t="s">
        <v>2281</v>
      </c>
      <c r="K1454" s="46" t="s">
        <v>326</v>
      </c>
      <c r="L1454" s="440"/>
      <c r="M1454" s="474" t="s">
        <v>1856</v>
      </c>
      <c r="N1454" s="1013" t="s">
        <v>1856</v>
      </c>
      <c r="O1454" s="211"/>
      <c r="P1454" s="74" t="s">
        <v>53</v>
      </c>
      <c r="Q1454" s="100">
        <f t="shared" si="787"/>
        <v>0</v>
      </c>
      <c r="R1454" s="13" t="str">
        <f t="shared" ref="R1454" si="788">IF(AO1454&gt;0,HYPERLINK(AO1454,"Фото &gt;&gt;"),"")</f>
        <v>Фото &gt;&gt;</v>
      </c>
      <c r="S1454" s="14" t="s">
        <v>4109</v>
      </c>
      <c r="AK1454">
        <v>0.22</v>
      </c>
      <c r="AL1454">
        <f t="shared" ref="AL1454" si="789">F1454*G1454</f>
        <v>0</v>
      </c>
      <c r="AM1454">
        <f t="shared" ref="AM1454" si="790">F1454*H1454</f>
        <v>0</v>
      </c>
      <c r="AN1454">
        <f t="shared" ref="AN1454" si="791">AK1454*F1454+IF(E1454&gt;1.01,F1454/E1454*0.2,0)</f>
        <v>0</v>
      </c>
      <c r="AO1454" t="s">
        <v>7088</v>
      </c>
      <c r="AV1454" t="str">
        <f>IF(F1454&gt;0,(COUNT($AV$1:AV1453)+1),"")</f>
        <v/>
      </c>
    </row>
    <row r="1455" spans="1:48" ht="15" customHeight="1" x14ac:dyDescent="0.25">
      <c r="A1455" s="1"/>
      <c r="B1455" s="56">
        <v>21405</v>
      </c>
      <c r="C1455" s="33">
        <v>4607035431982</v>
      </c>
      <c r="D1455" s="427" t="s">
        <v>6779</v>
      </c>
      <c r="E1455" s="71">
        <v>15</v>
      </c>
      <c r="F1455" s="223"/>
      <c r="G1455" s="109">
        <v>91.3</v>
      </c>
      <c r="H1455" s="34">
        <v>95.8</v>
      </c>
      <c r="I1455" s="35">
        <v>105</v>
      </c>
      <c r="J1455" s="114" t="s">
        <v>2281</v>
      </c>
      <c r="K1455" s="57" t="s">
        <v>326</v>
      </c>
      <c r="L1455" s="438"/>
      <c r="M1455" s="484"/>
      <c r="N1455" s="1008" t="s">
        <v>1856</v>
      </c>
      <c r="O1455" s="219" t="s">
        <v>1637</v>
      </c>
      <c r="P1455" s="70" t="s">
        <v>53</v>
      </c>
      <c r="Q1455" s="100">
        <f t="shared" si="787"/>
        <v>0</v>
      </c>
      <c r="R1455" s="94" t="str">
        <f t="shared" si="783"/>
        <v>Фото &gt;&gt;</v>
      </c>
      <c r="S1455" s="14" t="s">
        <v>6775</v>
      </c>
      <c r="AK1455">
        <v>0.17</v>
      </c>
      <c r="AL1455">
        <f t="shared" ref="AL1455" si="792">F1455*G1455</f>
        <v>0</v>
      </c>
      <c r="AM1455">
        <f t="shared" ref="AM1455" si="793">F1455*H1455</f>
        <v>0</v>
      </c>
      <c r="AN1455">
        <f t="shared" ref="AN1455" si="794">AK1455*F1455+IF(E1455&gt;1.01,F1455/E1455*0.2,0)</f>
        <v>0</v>
      </c>
      <c r="AO1455" t="s">
        <v>6774</v>
      </c>
      <c r="AQ1455" s="520" t="str">
        <f>CONCATENATE("http://1.c8804.nichost.ru/pics/",B1455,".jpg")</f>
        <v>http://1.c8804.nichost.ru/pics/21405.jpg</v>
      </c>
      <c r="AV1455" t="str">
        <f>IF(F1455&gt;0,(COUNT($AV$1:AV1454)+1),"")</f>
        <v/>
      </c>
    </row>
    <row r="1456" spans="1:48" ht="15" customHeight="1" x14ac:dyDescent="0.25">
      <c r="A1456" s="1"/>
      <c r="B1456" s="59">
        <v>21132</v>
      </c>
      <c r="C1456" s="23">
        <v>4607035431999</v>
      </c>
      <c r="D1456" s="399" t="s">
        <v>6337</v>
      </c>
      <c r="E1456" s="75">
        <v>15</v>
      </c>
      <c r="F1456" s="222"/>
      <c r="G1456" s="111">
        <v>91.3</v>
      </c>
      <c r="H1456" s="5">
        <v>95.8</v>
      </c>
      <c r="I1456" s="24">
        <v>105</v>
      </c>
      <c r="J1456" s="115" t="s">
        <v>2281</v>
      </c>
      <c r="K1456" s="46" t="s">
        <v>326</v>
      </c>
      <c r="L1456" s="440"/>
      <c r="M1456" s="474"/>
      <c r="N1456" s="1013" t="s">
        <v>1856</v>
      </c>
      <c r="O1456" s="211"/>
      <c r="P1456" s="74" t="s">
        <v>53</v>
      </c>
      <c r="Q1456" s="100">
        <f t="shared" si="787"/>
        <v>0</v>
      </c>
      <c r="R1456" s="13" t="str">
        <f t="shared" si="783"/>
        <v>Фото &gt;&gt;</v>
      </c>
      <c r="S1456" s="14" t="s">
        <v>2278</v>
      </c>
      <c r="AK1456">
        <v>0.17</v>
      </c>
      <c r="AL1456">
        <f t="shared" ref="AL1456" si="795">F1456*G1456</f>
        <v>0</v>
      </c>
      <c r="AM1456">
        <f t="shared" ref="AM1456" si="796">F1456*H1456</f>
        <v>0</v>
      </c>
      <c r="AN1456">
        <f t="shared" ref="AN1456" si="797">AK1456*F1456+IF(E1456&gt;1.01,F1456/E1456*0.2,0)</f>
        <v>0</v>
      </c>
      <c r="AO1456" t="s">
        <v>6338</v>
      </c>
      <c r="AV1456" t="str">
        <f>IF(F1456&gt;0,(COUNT($AV$1:AV1455)+1),"")</f>
        <v/>
      </c>
    </row>
    <row r="1457" spans="1:48" ht="15" customHeight="1" x14ac:dyDescent="0.25">
      <c r="A1457" s="1"/>
      <c r="B1457" s="125"/>
      <c r="C1457" s="126"/>
      <c r="D1457" s="127"/>
      <c r="E1457" s="134"/>
      <c r="F1457" s="189"/>
      <c r="G1457" s="130"/>
      <c r="H1457" s="131"/>
      <c r="I1457" s="132"/>
      <c r="J1457" s="128"/>
      <c r="K1457" s="129"/>
      <c r="L1457" s="433"/>
      <c r="M1457" s="481" t="s">
        <v>104</v>
      </c>
      <c r="N1457" s="471"/>
      <c r="O1457" s="181"/>
      <c r="P1457" s="133"/>
      <c r="Q1457" s="135"/>
      <c r="R1457" s="13"/>
      <c r="S1457" s="14"/>
      <c r="AV1457" t="str">
        <f>IF(F1457&gt;0,(COUNT($AV$1:AV1456)+1),"")</f>
        <v/>
      </c>
    </row>
    <row r="1458" spans="1:48" ht="15" customHeight="1" thickBot="1" x14ac:dyDescent="0.3">
      <c r="A1458" s="1"/>
      <c r="B1458" s="158"/>
      <c r="C1458" s="159"/>
      <c r="D1458" s="160"/>
      <c r="E1458" s="167"/>
      <c r="F1458" s="191"/>
      <c r="G1458" s="163"/>
      <c r="H1458" s="164"/>
      <c r="I1458" s="165"/>
      <c r="J1458" s="161"/>
      <c r="K1458" s="162"/>
      <c r="L1458" s="439"/>
      <c r="M1458" s="475"/>
      <c r="N1458" s="467"/>
      <c r="O1458" s="183"/>
      <c r="P1458" s="166"/>
      <c r="Q1458" s="168"/>
      <c r="R1458" s="13"/>
      <c r="S1458" s="14"/>
      <c r="AV1458" t="str">
        <f>IF(F1458&gt;0,(COUNT($AV$1:AV1457)+1),"")</f>
        <v/>
      </c>
    </row>
    <row r="1459" spans="1:48" ht="24.95" customHeight="1" thickBot="1" x14ac:dyDescent="0.3">
      <c r="A1459" s="1"/>
      <c r="B1459" s="169"/>
      <c r="C1459" s="170"/>
      <c r="D1459" s="171" t="str">
        <f>CONCATENATE("Образ жизни","     |     Сумма заказа: ",AK1459," руб.")</f>
        <v>Образ жизни     |     Сумма заказа: 0 руб.</v>
      </c>
      <c r="E1459" s="176"/>
      <c r="F1459" s="177"/>
      <c r="G1459" s="180" t="str">
        <f>CONCATENATE("Ценовая колонка: ",AO1459,"   |   До следующей скидки: ",AJ1459," руб.")</f>
        <v>Ценовая колонка: 3   |   До следующей скидки: 5000 руб.</v>
      </c>
      <c r="H1459" s="174"/>
      <c r="I1459" s="174"/>
      <c r="J1459" s="172" t="s">
        <v>567</v>
      </c>
      <c r="K1459" s="173"/>
      <c r="L1459" s="444"/>
      <c r="M1459" s="486" t="s">
        <v>104</v>
      </c>
      <c r="N1459" s="717"/>
      <c r="O1459" s="184"/>
      <c r="P1459" s="175"/>
      <c r="Q1459" s="178"/>
      <c r="R1459" s="179" t="s">
        <v>1558</v>
      </c>
      <c r="S1459" s="14"/>
      <c r="AJ1459">
        <f>ROUND(IF(AL1459&gt;20000,"0", IF(AND(AL1459&lt;20000,AM1459&gt;5000),20000-AL1459,5000-AM1459)),2)</f>
        <v>5000</v>
      </c>
      <c r="AK1459">
        <f>SUM(Q1461:AI1505)</f>
        <v>0</v>
      </c>
      <c r="AL1459">
        <f>SUM(AL1461:AL1505)</f>
        <v>0</v>
      </c>
      <c r="AM1459">
        <f>SUM(AM1461:AM1505)</f>
        <v>0</v>
      </c>
      <c r="AO1459">
        <f>IF(AM1459&gt;5000,IF(AL1459&gt;20000,1,2),3)</f>
        <v>3</v>
      </c>
      <c r="AV1459" t="str">
        <f>IF(F1459&gt;0,(COUNT($AV$1:AV1458)+1),"")</f>
        <v/>
      </c>
    </row>
    <row r="1460" spans="1:48" ht="15" customHeight="1" x14ac:dyDescent="0.25">
      <c r="A1460" s="1"/>
      <c r="B1460" s="296"/>
      <c r="C1460" s="38"/>
      <c r="D1460" s="39" t="s">
        <v>77</v>
      </c>
      <c r="E1460" s="82"/>
      <c r="F1460" s="97"/>
      <c r="G1460" s="40" t="s">
        <v>15</v>
      </c>
      <c r="H1460" s="41" t="s">
        <v>16</v>
      </c>
      <c r="I1460" s="41" t="s">
        <v>221</v>
      </c>
      <c r="J1460" s="52"/>
      <c r="K1460" s="48"/>
      <c r="L1460" s="448"/>
      <c r="M1460" s="491" t="s">
        <v>104</v>
      </c>
      <c r="N1460" s="715"/>
      <c r="O1460" s="187"/>
      <c r="P1460" s="81"/>
      <c r="Q1460" s="105"/>
      <c r="R1460" s="13"/>
      <c r="S1460" s="14"/>
      <c r="AV1460" t="str">
        <f>IF(F1460&gt;0,(COUNT($AV$1:AV1459)+1),"")</f>
        <v/>
      </c>
    </row>
    <row r="1461" spans="1:48" ht="15" customHeight="1" x14ac:dyDescent="0.25">
      <c r="A1461" s="1"/>
      <c r="B1461" s="30">
        <v>13275</v>
      </c>
      <c r="C1461" s="20">
        <v>4640010052307</v>
      </c>
      <c r="D1461" s="153" t="s">
        <v>569</v>
      </c>
      <c r="E1461" s="67">
        <v>12</v>
      </c>
      <c r="F1461" s="222"/>
      <c r="G1461" s="107">
        <v>136.69999999999999</v>
      </c>
      <c r="H1461" s="21">
        <v>142.19999999999999</v>
      </c>
      <c r="I1461" s="22">
        <v>153.1</v>
      </c>
      <c r="J1461" s="112" t="s">
        <v>567</v>
      </c>
      <c r="K1461" s="45" t="s">
        <v>78</v>
      </c>
      <c r="L1461" s="437"/>
      <c r="M1461" s="474" t="s">
        <v>1856</v>
      </c>
      <c r="N1461" s="1013" t="s">
        <v>1856</v>
      </c>
      <c r="O1461" s="212"/>
      <c r="P1461" s="66" t="s">
        <v>20</v>
      </c>
      <c r="Q1461" s="100">
        <f t="shared" ref="Q1461:Q1469" si="798">IF($AO$1459=2,F1461*H1461,IF($AO$1459=1,F1461*G1461,F1461*I1461))</f>
        <v>0</v>
      </c>
      <c r="R1461" s="13" t="str">
        <f t="shared" ref="R1461:R1483" si="799">IF(AO1461&gt;0,HYPERLINK(AO1461,"Фото &gt;&gt;"),"")</f>
        <v>Фото &gt;&gt;</v>
      </c>
      <c r="S1461" s="14" t="s">
        <v>570</v>
      </c>
      <c r="AK1461">
        <v>0.52</v>
      </c>
      <c r="AL1461">
        <f t="shared" ref="AL1461:AL1473" si="800">F1461*G1461</f>
        <v>0</v>
      </c>
      <c r="AM1461">
        <f t="shared" ref="AM1461:AM1473" si="801">F1461*H1461</f>
        <v>0</v>
      </c>
      <c r="AN1461">
        <f t="shared" ref="AN1461:AN1484" si="802">AK1461*F1461+IF(E1461&gt;1.01,F1461/E1461*0.2,0)</f>
        <v>0</v>
      </c>
      <c r="AO1461" t="s">
        <v>4892</v>
      </c>
      <c r="AV1461" t="str">
        <f>IF(F1461&gt;0,(COUNT($AV$1:AV1460)+1),"")</f>
        <v/>
      </c>
    </row>
    <row r="1462" spans="1:48" ht="15" customHeight="1" x14ac:dyDescent="0.25">
      <c r="A1462" s="1"/>
      <c r="B1462" s="31">
        <v>14221</v>
      </c>
      <c r="C1462" s="16">
        <v>4640010053472</v>
      </c>
      <c r="D1462" s="154" t="s">
        <v>572</v>
      </c>
      <c r="E1462" s="69">
        <v>12</v>
      </c>
      <c r="F1462" s="222"/>
      <c r="G1462" s="108">
        <v>101.6</v>
      </c>
      <c r="H1462" s="17">
        <v>105.6</v>
      </c>
      <c r="I1462" s="18">
        <v>113.8</v>
      </c>
      <c r="J1462" s="113" t="s">
        <v>567</v>
      </c>
      <c r="K1462" s="44" t="s">
        <v>78</v>
      </c>
      <c r="L1462" s="442"/>
      <c r="M1462" s="480" t="s">
        <v>1856</v>
      </c>
      <c r="N1462" s="1015" t="s">
        <v>1856</v>
      </c>
      <c r="O1462" s="217"/>
      <c r="P1462" s="68" t="s">
        <v>20</v>
      </c>
      <c r="Q1462" s="100">
        <f t="shared" si="798"/>
        <v>0</v>
      </c>
      <c r="R1462" s="13" t="str">
        <f t="shared" si="799"/>
        <v>Фото &gt;&gt;</v>
      </c>
      <c r="S1462" s="14" t="s">
        <v>298</v>
      </c>
      <c r="AK1462">
        <v>0.52</v>
      </c>
      <c r="AL1462">
        <f t="shared" si="800"/>
        <v>0</v>
      </c>
      <c r="AM1462">
        <f t="shared" si="801"/>
        <v>0</v>
      </c>
      <c r="AN1462">
        <f t="shared" si="802"/>
        <v>0</v>
      </c>
      <c r="AO1462" t="s">
        <v>4893</v>
      </c>
      <c r="AV1462" t="str">
        <f>IF(F1462&gt;0,(COUNT($AV$1:AV1461)+1),"")</f>
        <v/>
      </c>
    </row>
    <row r="1463" spans="1:48" ht="15" customHeight="1" x14ac:dyDescent="0.25">
      <c r="A1463" s="1"/>
      <c r="B1463" s="30">
        <v>14948</v>
      </c>
      <c r="C1463" s="20">
        <v>4640010052321</v>
      </c>
      <c r="D1463" s="153" t="s">
        <v>573</v>
      </c>
      <c r="E1463" s="67">
        <v>12</v>
      </c>
      <c r="F1463" s="222"/>
      <c r="G1463" s="107">
        <v>130.6</v>
      </c>
      <c r="H1463" s="21">
        <v>135.9</v>
      </c>
      <c r="I1463" s="22">
        <v>147.4</v>
      </c>
      <c r="J1463" s="112" t="s">
        <v>567</v>
      </c>
      <c r="K1463" s="45" t="s">
        <v>78</v>
      </c>
      <c r="L1463" s="437"/>
      <c r="M1463" s="474" t="s">
        <v>1856</v>
      </c>
      <c r="N1463" s="1013" t="s">
        <v>1856</v>
      </c>
      <c r="O1463" s="212"/>
      <c r="P1463" s="66" t="s">
        <v>20</v>
      </c>
      <c r="Q1463" s="100">
        <f t="shared" si="798"/>
        <v>0</v>
      </c>
      <c r="R1463" s="13" t="str">
        <f t="shared" si="799"/>
        <v>Фото &gt;&gt;</v>
      </c>
      <c r="S1463" s="14" t="s">
        <v>80</v>
      </c>
      <c r="AK1463">
        <v>0.52</v>
      </c>
      <c r="AL1463">
        <f t="shared" si="800"/>
        <v>0</v>
      </c>
      <c r="AM1463">
        <f t="shared" si="801"/>
        <v>0</v>
      </c>
      <c r="AN1463">
        <f t="shared" si="802"/>
        <v>0</v>
      </c>
      <c r="AO1463" t="s">
        <v>4894</v>
      </c>
      <c r="AV1463" t="str">
        <f>IF(F1463&gt;0,(COUNT($AV$1:AV1462)+1),"")</f>
        <v/>
      </c>
    </row>
    <row r="1464" spans="1:48" ht="15" customHeight="1" x14ac:dyDescent="0.25">
      <c r="A1464" s="1"/>
      <c r="B1464" s="31">
        <v>13276</v>
      </c>
      <c r="C1464" s="16">
        <v>4640010052505</v>
      </c>
      <c r="D1464" s="154" t="s">
        <v>574</v>
      </c>
      <c r="E1464" s="69">
        <v>12</v>
      </c>
      <c r="F1464" s="222"/>
      <c r="G1464" s="108">
        <v>103.9</v>
      </c>
      <c r="H1464" s="17">
        <v>108</v>
      </c>
      <c r="I1464" s="18">
        <v>116.4</v>
      </c>
      <c r="J1464" s="113" t="s">
        <v>567</v>
      </c>
      <c r="K1464" s="44" t="s">
        <v>78</v>
      </c>
      <c r="L1464" s="442"/>
      <c r="M1464" s="480" t="s">
        <v>1856</v>
      </c>
      <c r="N1464" s="1015" t="s">
        <v>1856</v>
      </c>
      <c r="O1464" s="217"/>
      <c r="P1464" s="68" t="s">
        <v>20</v>
      </c>
      <c r="Q1464" s="100">
        <f t="shared" si="798"/>
        <v>0</v>
      </c>
      <c r="R1464" s="13" t="str">
        <f t="shared" si="799"/>
        <v>Фото &gt;&gt;</v>
      </c>
      <c r="S1464" s="14" t="s">
        <v>299</v>
      </c>
      <c r="AK1464">
        <v>0.52</v>
      </c>
      <c r="AL1464">
        <f t="shared" si="800"/>
        <v>0</v>
      </c>
      <c r="AM1464">
        <f t="shared" si="801"/>
        <v>0</v>
      </c>
      <c r="AN1464">
        <f t="shared" si="802"/>
        <v>0</v>
      </c>
      <c r="AO1464" t="s">
        <v>4895</v>
      </c>
      <c r="AV1464" t="str">
        <f>IF(F1464&gt;0,(COUNT($AV$1:AV1463)+1),"")</f>
        <v/>
      </c>
    </row>
    <row r="1465" spans="1:48" ht="15" customHeight="1" x14ac:dyDescent="0.25">
      <c r="A1465" s="1"/>
      <c r="B1465" s="30">
        <v>13834</v>
      </c>
      <c r="C1465" s="20">
        <v>4640010053076</v>
      </c>
      <c r="D1465" s="153" t="s">
        <v>575</v>
      </c>
      <c r="E1465" s="67">
        <v>12</v>
      </c>
      <c r="F1465" s="222"/>
      <c r="G1465" s="107">
        <v>137.4</v>
      </c>
      <c r="H1465" s="21">
        <v>142.9</v>
      </c>
      <c r="I1465" s="22">
        <v>153.9</v>
      </c>
      <c r="J1465" s="112" t="s">
        <v>567</v>
      </c>
      <c r="K1465" s="45" t="s">
        <v>78</v>
      </c>
      <c r="L1465" s="437"/>
      <c r="M1465" s="474" t="s">
        <v>1856</v>
      </c>
      <c r="N1465" s="1013" t="s">
        <v>1856</v>
      </c>
      <c r="O1465" s="212"/>
      <c r="P1465" s="66" t="s">
        <v>20</v>
      </c>
      <c r="Q1465" s="100">
        <f t="shared" si="798"/>
        <v>0</v>
      </c>
      <c r="R1465" s="13" t="str">
        <f t="shared" si="799"/>
        <v>Фото &gt;&gt;</v>
      </c>
      <c r="S1465" s="14" t="s">
        <v>576</v>
      </c>
      <c r="AK1465">
        <v>0.52</v>
      </c>
      <c r="AL1465">
        <f t="shared" si="800"/>
        <v>0</v>
      </c>
      <c r="AM1465">
        <f t="shared" si="801"/>
        <v>0</v>
      </c>
      <c r="AN1465">
        <f t="shared" si="802"/>
        <v>0</v>
      </c>
      <c r="AO1465" t="s">
        <v>4896</v>
      </c>
      <c r="AV1465" t="str">
        <f>IF(F1465&gt;0,(COUNT($AV$1:AV1464)+1),"")</f>
        <v/>
      </c>
    </row>
    <row r="1466" spans="1:48" ht="15" customHeight="1" x14ac:dyDescent="0.25">
      <c r="A1466" s="1"/>
      <c r="B1466" s="31">
        <v>15463</v>
      </c>
      <c r="C1466" s="16">
        <v>4640010052468</v>
      </c>
      <c r="D1466" s="154" t="s">
        <v>2428</v>
      </c>
      <c r="E1466" s="69">
        <v>12</v>
      </c>
      <c r="F1466" s="222"/>
      <c r="G1466" s="108">
        <v>83.3</v>
      </c>
      <c r="H1466" s="17">
        <v>86.6</v>
      </c>
      <c r="I1466" s="18">
        <v>93.2</v>
      </c>
      <c r="J1466" s="113" t="s">
        <v>567</v>
      </c>
      <c r="K1466" s="44" t="s">
        <v>78</v>
      </c>
      <c r="L1466" s="442"/>
      <c r="M1466" s="480" t="s">
        <v>1856</v>
      </c>
      <c r="N1466" s="1015" t="s">
        <v>1856</v>
      </c>
      <c r="O1466" s="217"/>
      <c r="P1466" s="68" t="s">
        <v>20</v>
      </c>
      <c r="Q1466" s="100">
        <f t="shared" si="798"/>
        <v>0</v>
      </c>
      <c r="R1466" s="13" t="str">
        <f t="shared" si="799"/>
        <v>Фото &gt;&gt;</v>
      </c>
      <c r="S1466" s="14" t="s">
        <v>2429</v>
      </c>
      <c r="AK1466">
        <v>0.52</v>
      </c>
      <c r="AL1466">
        <f t="shared" si="800"/>
        <v>0</v>
      </c>
      <c r="AM1466">
        <f t="shared" si="801"/>
        <v>0</v>
      </c>
      <c r="AN1466">
        <f t="shared" si="802"/>
        <v>0</v>
      </c>
      <c r="AO1466" t="s">
        <v>4897</v>
      </c>
      <c r="AV1466" t="str">
        <f>IF(F1466&gt;0,(COUNT($AV$1:AV1465)+1),"")</f>
        <v/>
      </c>
    </row>
    <row r="1467" spans="1:48" ht="15" customHeight="1" x14ac:dyDescent="0.25">
      <c r="A1467" s="1"/>
      <c r="B1467" s="30">
        <v>13378</v>
      </c>
      <c r="C1467" s="20">
        <v>4640010052482</v>
      </c>
      <c r="D1467" s="153" t="s">
        <v>2950</v>
      </c>
      <c r="E1467" s="67">
        <v>12</v>
      </c>
      <c r="F1467" s="222"/>
      <c r="G1467" s="107">
        <v>94.2</v>
      </c>
      <c r="H1467" s="21">
        <v>101.4</v>
      </c>
      <c r="I1467" s="22">
        <v>112.9</v>
      </c>
      <c r="J1467" s="112" t="s">
        <v>567</v>
      </c>
      <c r="K1467" s="45" t="s">
        <v>78</v>
      </c>
      <c r="L1467" s="437"/>
      <c r="M1467" s="474" t="s">
        <v>1856</v>
      </c>
      <c r="N1467" s="1013" t="s">
        <v>1856</v>
      </c>
      <c r="O1467" s="212"/>
      <c r="P1467" s="66" t="s">
        <v>20</v>
      </c>
      <c r="Q1467" s="100">
        <f t="shared" si="798"/>
        <v>0</v>
      </c>
      <c r="R1467" s="13" t="str">
        <f t="shared" si="799"/>
        <v>Фото &gt;&gt;</v>
      </c>
      <c r="S1467" s="14" t="s">
        <v>2951</v>
      </c>
      <c r="AK1467">
        <v>0.52</v>
      </c>
      <c r="AL1467">
        <f t="shared" si="800"/>
        <v>0</v>
      </c>
      <c r="AM1467">
        <f t="shared" si="801"/>
        <v>0</v>
      </c>
      <c r="AN1467">
        <f t="shared" si="802"/>
        <v>0</v>
      </c>
      <c r="AO1467" t="s">
        <v>4898</v>
      </c>
      <c r="AV1467" t="str">
        <f>IF(F1467&gt;0,(COUNT($AV$1:AV1466)+1),"")</f>
        <v/>
      </c>
    </row>
    <row r="1468" spans="1:48" ht="15" customHeight="1" x14ac:dyDescent="0.25">
      <c r="A1468" s="1"/>
      <c r="B1468" s="31">
        <v>15791</v>
      </c>
      <c r="C1468" s="16">
        <v>4640010055469</v>
      </c>
      <c r="D1468" s="154" t="s">
        <v>577</v>
      </c>
      <c r="E1468" s="69">
        <v>12</v>
      </c>
      <c r="F1468" s="222"/>
      <c r="G1468" s="108">
        <v>144.5</v>
      </c>
      <c r="H1468" s="17">
        <v>150.30000000000001</v>
      </c>
      <c r="I1468" s="18">
        <v>163</v>
      </c>
      <c r="J1468" s="113" t="s">
        <v>567</v>
      </c>
      <c r="K1468" s="44" t="s">
        <v>78</v>
      </c>
      <c r="L1468" s="442"/>
      <c r="M1468" s="480" t="s">
        <v>1856</v>
      </c>
      <c r="N1468" s="1015" t="s">
        <v>1856</v>
      </c>
      <c r="O1468" s="217"/>
      <c r="P1468" s="68" t="s">
        <v>20</v>
      </c>
      <c r="Q1468" s="100">
        <f t="shared" si="798"/>
        <v>0</v>
      </c>
      <c r="R1468" s="13" t="str">
        <f t="shared" si="799"/>
        <v>Фото &gt;&gt;</v>
      </c>
      <c r="S1468" s="14" t="s">
        <v>578</v>
      </c>
      <c r="AK1468">
        <v>0.52</v>
      </c>
      <c r="AL1468">
        <f t="shared" si="800"/>
        <v>0</v>
      </c>
      <c r="AM1468">
        <f t="shared" si="801"/>
        <v>0</v>
      </c>
      <c r="AN1468">
        <f t="shared" si="802"/>
        <v>0</v>
      </c>
      <c r="AO1468" t="s">
        <v>4899</v>
      </c>
      <c r="AV1468" t="str">
        <f>IF(F1468&gt;0,(COUNT($AV$1:AV1467)+1),"")</f>
        <v/>
      </c>
    </row>
    <row r="1469" spans="1:48" ht="15" customHeight="1" x14ac:dyDescent="0.25">
      <c r="A1469" s="1"/>
      <c r="B1469" s="30">
        <v>14220</v>
      </c>
      <c r="C1469" s="20">
        <v>4640010053489</v>
      </c>
      <c r="D1469" s="153" t="s">
        <v>3550</v>
      </c>
      <c r="E1469" s="67">
        <v>12</v>
      </c>
      <c r="F1469" s="222"/>
      <c r="G1469" s="107">
        <v>228.3</v>
      </c>
      <c r="H1469" s="21">
        <v>237.4</v>
      </c>
      <c r="I1469" s="22">
        <v>255.7</v>
      </c>
      <c r="J1469" s="112" t="s">
        <v>567</v>
      </c>
      <c r="K1469" s="45" t="s">
        <v>78</v>
      </c>
      <c r="L1469" s="437"/>
      <c r="M1469" s="474" t="s">
        <v>1856</v>
      </c>
      <c r="N1469" s="1013" t="s">
        <v>1856</v>
      </c>
      <c r="O1469" s="212"/>
      <c r="P1469" s="66" t="s">
        <v>20</v>
      </c>
      <c r="Q1469" s="100">
        <f t="shared" si="798"/>
        <v>0</v>
      </c>
      <c r="R1469" s="13" t="str">
        <f t="shared" si="799"/>
        <v>Фото &gt;&gt;</v>
      </c>
      <c r="S1469" s="14" t="s">
        <v>197</v>
      </c>
      <c r="AK1469">
        <v>0.52</v>
      </c>
      <c r="AL1469">
        <f t="shared" si="800"/>
        <v>0</v>
      </c>
      <c r="AM1469">
        <f t="shared" si="801"/>
        <v>0</v>
      </c>
      <c r="AN1469">
        <f t="shared" si="802"/>
        <v>0</v>
      </c>
      <c r="AO1469" t="s">
        <v>4900</v>
      </c>
      <c r="AV1469" t="str">
        <f>IF(F1469&gt;0,(COUNT($AV$1:AV1468)+1),"")</f>
        <v/>
      </c>
    </row>
    <row r="1470" spans="1:48" ht="15" customHeight="1" x14ac:dyDescent="0.25">
      <c r="A1470" s="1"/>
      <c r="B1470" s="25"/>
      <c r="C1470" s="26"/>
      <c r="D1470" s="27" t="s">
        <v>49</v>
      </c>
      <c r="E1470" s="80"/>
      <c r="F1470" s="96"/>
      <c r="G1470" s="28"/>
      <c r="H1470" s="29"/>
      <c r="I1470" s="29"/>
      <c r="J1470" s="51"/>
      <c r="K1470" s="47"/>
      <c r="L1470" s="447"/>
      <c r="M1470" s="489" t="s">
        <v>104</v>
      </c>
      <c r="N1470" s="716"/>
      <c r="O1470" s="186"/>
      <c r="P1470" s="79"/>
      <c r="Q1470" s="104"/>
      <c r="R1470" s="13"/>
      <c r="S1470" s="14"/>
      <c r="AL1470">
        <f t="shared" si="800"/>
        <v>0</v>
      </c>
      <c r="AM1470">
        <f t="shared" si="801"/>
        <v>0</v>
      </c>
      <c r="AN1470">
        <f t="shared" si="802"/>
        <v>0</v>
      </c>
      <c r="AO1470" t="s">
        <v>104</v>
      </c>
      <c r="AV1470" t="str">
        <f>IF(F1470&gt;0,(COUNT($AV$1:AV1469)+1),"")</f>
        <v/>
      </c>
    </row>
    <row r="1471" spans="1:48" ht="15" customHeight="1" x14ac:dyDescent="0.25">
      <c r="A1471" s="1"/>
      <c r="B1471" s="31">
        <v>13094</v>
      </c>
      <c r="C1471" s="16">
        <v>4640010052222</v>
      </c>
      <c r="D1471" s="154" t="s">
        <v>579</v>
      </c>
      <c r="E1471" s="69">
        <v>12</v>
      </c>
      <c r="F1471" s="222"/>
      <c r="G1471" s="108">
        <v>157.1</v>
      </c>
      <c r="H1471" s="17">
        <v>167.9</v>
      </c>
      <c r="I1471" s="18">
        <v>181.1</v>
      </c>
      <c r="J1471" s="113" t="s">
        <v>567</v>
      </c>
      <c r="K1471" s="44" t="s">
        <v>49</v>
      </c>
      <c r="L1471" s="442"/>
      <c r="M1471" s="480" t="s">
        <v>1856</v>
      </c>
      <c r="N1471" s="1015" t="s">
        <v>1856</v>
      </c>
      <c r="O1471" s="217"/>
      <c r="P1471" s="68" t="s">
        <v>309</v>
      </c>
      <c r="Q1471" s="100">
        <f t="shared" ref="Q1471:Q1479" si="803">IF($AO$1459=2,F1471*H1471,IF($AO$1459=1,F1471*G1471,F1471*I1471))</f>
        <v>0</v>
      </c>
      <c r="R1471" s="13" t="str">
        <f t="shared" si="799"/>
        <v>Фото &gt;&gt;</v>
      </c>
      <c r="S1471" s="14" t="s">
        <v>580</v>
      </c>
      <c r="AK1471">
        <v>0.52</v>
      </c>
      <c r="AL1471">
        <f t="shared" si="800"/>
        <v>0</v>
      </c>
      <c r="AM1471">
        <f t="shared" si="801"/>
        <v>0</v>
      </c>
      <c r="AN1471">
        <f t="shared" si="802"/>
        <v>0</v>
      </c>
      <c r="AO1471" t="s">
        <v>4901</v>
      </c>
      <c r="AV1471" t="str">
        <f>IF(F1471&gt;0,(COUNT($AV$1:AV1470)+1),"")</f>
        <v/>
      </c>
    </row>
    <row r="1472" spans="1:48" ht="15" customHeight="1" x14ac:dyDescent="0.25">
      <c r="A1472" s="1"/>
      <c r="B1472" s="30">
        <v>13097</v>
      </c>
      <c r="C1472" s="20">
        <v>4640010052369</v>
      </c>
      <c r="D1472" s="153" t="s">
        <v>581</v>
      </c>
      <c r="E1472" s="67">
        <v>12</v>
      </c>
      <c r="F1472" s="222"/>
      <c r="G1472" s="107">
        <v>177.2</v>
      </c>
      <c r="H1472" s="21">
        <v>184.3</v>
      </c>
      <c r="I1472" s="22">
        <v>199.9</v>
      </c>
      <c r="J1472" s="112" t="s">
        <v>567</v>
      </c>
      <c r="K1472" s="45" t="s">
        <v>49</v>
      </c>
      <c r="L1472" s="437"/>
      <c r="M1472" s="474" t="s">
        <v>1856</v>
      </c>
      <c r="N1472" s="1013" t="s">
        <v>1856</v>
      </c>
      <c r="O1472" s="212"/>
      <c r="P1472" s="66" t="s">
        <v>72</v>
      </c>
      <c r="Q1472" s="100">
        <f t="shared" si="803"/>
        <v>0</v>
      </c>
      <c r="R1472" s="13" t="str">
        <f t="shared" si="799"/>
        <v>Фото &gt;&gt;</v>
      </c>
      <c r="S1472" s="14" t="s">
        <v>82</v>
      </c>
      <c r="AK1472">
        <v>0.52</v>
      </c>
      <c r="AL1472">
        <f t="shared" si="800"/>
        <v>0</v>
      </c>
      <c r="AM1472">
        <f t="shared" si="801"/>
        <v>0</v>
      </c>
      <c r="AN1472">
        <f t="shared" si="802"/>
        <v>0</v>
      </c>
      <c r="AO1472" t="s">
        <v>4902</v>
      </c>
      <c r="AV1472" t="str">
        <f>IF(F1472&gt;0,(COUNT($AV$1:AV1471)+1),"")</f>
        <v/>
      </c>
    </row>
    <row r="1473" spans="1:48" ht="15" customHeight="1" x14ac:dyDescent="0.25">
      <c r="A1473" s="1"/>
      <c r="B1473" s="31">
        <v>13376</v>
      </c>
      <c r="C1473" s="16">
        <v>4640010052581</v>
      </c>
      <c r="D1473" s="154" t="s">
        <v>582</v>
      </c>
      <c r="E1473" s="69">
        <v>12</v>
      </c>
      <c r="F1473" s="222"/>
      <c r="G1473" s="108">
        <v>69.400000000000006</v>
      </c>
      <c r="H1473" s="17">
        <v>73.599999999999994</v>
      </c>
      <c r="I1473" s="18">
        <v>82</v>
      </c>
      <c r="J1473" s="113" t="s">
        <v>567</v>
      </c>
      <c r="K1473" s="44" t="s">
        <v>49</v>
      </c>
      <c r="L1473" s="442"/>
      <c r="M1473" s="480" t="s">
        <v>1856</v>
      </c>
      <c r="N1473" s="1015" t="s">
        <v>1856</v>
      </c>
      <c r="O1473" s="217"/>
      <c r="P1473" s="68" t="s">
        <v>72</v>
      </c>
      <c r="Q1473" s="100">
        <f t="shared" si="803"/>
        <v>0</v>
      </c>
      <c r="R1473" s="13" t="str">
        <f t="shared" si="799"/>
        <v>Фото &gt;&gt;</v>
      </c>
      <c r="S1473" s="14" t="s">
        <v>314</v>
      </c>
      <c r="AK1473">
        <v>0.41</v>
      </c>
      <c r="AL1473">
        <f t="shared" si="800"/>
        <v>0</v>
      </c>
      <c r="AM1473">
        <f t="shared" si="801"/>
        <v>0</v>
      </c>
      <c r="AN1473">
        <f t="shared" si="802"/>
        <v>0</v>
      </c>
      <c r="AO1473" t="s">
        <v>4903</v>
      </c>
      <c r="AV1473" t="str">
        <f>IF(F1473&gt;0,(COUNT($AV$1:AV1472)+1),"")</f>
        <v/>
      </c>
    </row>
    <row r="1474" spans="1:48" ht="15" customHeight="1" x14ac:dyDescent="0.25">
      <c r="A1474" s="1"/>
      <c r="B1474" s="30">
        <v>14866</v>
      </c>
      <c r="C1474" s="20">
        <v>4640010054332</v>
      </c>
      <c r="D1474" s="153" t="s">
        <v>583</v>
      </c>
      <c r="E1474" s="67">
        <v>10</v>
      </c>
      <c r="F1474" s="222"/>
      <c r="G1474" s="107">
        <v>116.8</v>
      </c>
      <c r="H1474" s="21">
        <v>122.2</v>
      </c>
      <c r="I1474" s="22">
        <v>132.9</v>
      </c>
      <c r="J1474" s="112" t="s">
        <v>567</v>
      </c>
      <c r="K1474" s="45" t="s">
        <v>49</v>
      </c>
      <c r="L1474" s="437"/>
      <c r="M1474" s="474" t="s">
        <v>1856</v>
      </c>
      <c r="N1474" s="1013" t="s">
        <v>1856</v>
      </c>
      <c r="O1474" s="212"/>
      <c r="P1474" s="66" t="s">
        <v>20</v>
      </c>
      <c r="Q1474" s="100">
        <f t="shared" si="803"/>
        <v>0</v>
      </c>
      <c r="R1474" s="13" t="str">
        <f t="shared" si="799"/>
        <v>Фото &gt;&gt;</v>
      </c>
      <c r="S1474" s="14" t="s">
        <v>314</v>
      </c>
      <c r="AK1474">
        <v>0.52</v>
      </c>
      <c r="AL1474">
        <f t="shared" ref="AL1474:AL1479" si="804">F1474*G1474</f>
        <v>0</v>
      </c>
      <c r="AM1474">
        <f t="shared" ref="AM1474:AM1479" si="805">F1474*H1474</f>
        <v>0</v>
      </c>
      <c r="AN1474">
        <f t="shared" ref="AN1474:AN1479" si="806">AK1474*F1474+IF(E1474&gt;1.01,F1474/E1474*0.2,0)</f>
        <v>0</v>
      </c>
      <c r="AO1474" t="s">
        <v>4904</v>
      </c>
      <c r="AV1474" t="str">
        <f>IF(F1474&gt;0,(COUNT($AV$1:AV1473)+1),"")</f>
        <v/>
      </c>
    </row>
    <row r="1475" spans="1:48" ht="15" customHeight="1" x14ac:dyDescent="0.25">
      <c r="A1475" s="1"/>
      <c r="B1475" s="587">
        <v>13099</v>
      </c>
      <c r="C1475" s="588">
        <v>4640010052444</v>
      </c>
      <c r="D1475" s="596" t="s">
        <v>5626</v>
      </c>
      <c r="E1475" s="589">
        <v>12</v>
      </c>
      <c r="F1475" s="581"/>
      <c r="G1475" s="590">
        <v>202.4</v>
      </c>
      <c r="H1475" s="591">
        <v>212.1</v>
      </c>
      <c r="I1475" s="592">
        <v>234.8</v>
      </c>
      <c r="J1475" s="593" t="s">
        <v>567</v>
      </c>
      <c r="K1475" s="594" t="s">
        <v>49</v>
      </c>
      <c r="L1475" s="442"/>
      <c r="M1475" s="480" t="s">
        <v>1856</v>
      </c>
      <c r="N1475" s="1015" t="s">
        <v>1856</v>
      </c>
      <c r="O1475" s="217" t="s">
        <v>1690</v>
      </c>
      <c r="P1475" s="68" t="s">
        <v>72</v>
      </c>
      <c r="Q1475" s="100">
        <f t="shared" si="803"/>
        <v>0</v>
      </c>
      <c r="R1475" s="13" t="str">
        <f t="shared" si="799"/>
        <v>Фото &gt;&gt;</v>
      </c>
      <c r="S1475" s="14" t="s">
        <v>5624</v>
      </c>
      <c r="AK1475">
        <v>0.52</v>
      </c>
      <c r="AL1475">
        <f t="shared" si="804"/>
        <v>0</v>
      </c>
      <c r="AM1475">
        <f t="shared" si="805"/>
        <v>0</v>
      </c>
      <c r="AN1475">
        <f t="shared" si="806"/>
        <v>0</v>
      </c>
      <c r="AO1475" t="s">
        <v>5625</v>
      </c>
      <c r="AV1475" t="str">
        <f>IF(F1475&gt;0,(COUNT($AV$1:AV1474)+1),"")</f>
        <v/>
      </c>
    </row>
    <row r="1476" spans="1:48" ht="15" customHeight="1" x14ac:dyDescent="0.25">
      <c r="A1476" s="1"/>
      <c r="B1476" s="30">
        <v>13833</v>
      </c>
      <c r="C1476" s="20">
        <v>4640010052949</v>
      </c>
      <c r="D1476" s="153" t="s">
        <v>584</v>
      </c>
      <c r="E1476" s="67">
        <v>12</v>
      </c>
      <c r="F1476" s="222"/>
      <c r="G1476" s="107">
        <v>125.9</v>
      </c>
      <c r="H1476" s="21">
        <v>136.69999999999999</v>
      </c>
      <c r="I1476" s="22">
        <v>149.4</v>
      </c>
      <c r="J1476" s="112" t="s">
        <v>567</v>
      </c>
      <c r="K1476" s="45" t="s">
        <v>49</v>
      </c>
      <c r="L1476" s="437"/>
      <c r="M1476" s="474" t="s">
        <v>1856</v>
      </c>
      <c r="N1476" s="1013" t="s">
        <v>1856</v>
      </c>
      <c r="O1476" s="212"/>
      <c r="P1476" s="66" t="s">
        <v>72</v>
      </c>
      <c r="Q1476" s="100">
        <f t="shared" si="803"/>
        <v>0</v>
      </c>
      <c r="R1476" s="13" t="str">
        <f t="shared" si="799"/>
        <v>Фото &gt;&gt;</v>
      </c>
      <c r="S1476" s="14" t="s">
        <v>585</v>
      </c>
      <c r="AK1476">
        <v>0.52</v>
      </c>
      <c r="AL1476">
        <f t="shared" si="804"/>
        <v>0</v>
      </c>
      <c r="AM1476">
        <f t="shared" si="805"/>
        <v>0</v>
      </c>
      <c r="AN1476">
        <f t="shared" si="806"/>
        <v>0</v>
      </c>
      <c r="AO1476" t="s">
        <v>4905</v>
      </c>
      <c r="AV1476" t="str">
        <f>IF(F1476&gt;0,(COUNT($AV$1:AV1475)+1),"")</f>
        <v/>
      </c>
    </row>
    <row r="1477" spans="1:48" ht="15" customHeight="1" x14ac:dyDescent="0.25">
      <c r="A1477" s="1"/>
      <c r="B1477" s="31">
        <v>14867</v>
      </c>
      <c r="C1477" s="16">
        <v>4640010054325</v>
      </c>
      <c r="D1477" s="154" t="s">
        <v>586</v>
      </c>
      <c r="E1477" s="69">
        <v>10</v>
      </c>
      <c r="F1477" s="222"/>
      <c r="G1477" s="108">
        <v>137.69999999999999</v>
      </c>
      <c r="H1477" s="17">
        <v>145.4</v>
      </c>
      <c r="I1477" s="18">
        <v>159.69999999999999</v>
      </c>
      <c r="J1477" s="113" t="s">
        <v>567</v>
      </c>
      <c r="K1477" s="44" t="s">
        <v>49</v>
      </c>
      <c r="L1477" s="442"/>
      <c r="M1477" s="480" t="s">
        <v>1856</v>
      </c>
      <c r="N1477" s="1015" t="s">
        <v>1856</v>
      </c>
      <c r="O1477" s="217"/>
      <c r="P1477" s="68" t="s">
        <v>20</v>
      </c>
      <c r="Q1477" s="100">
        <f t="shared" si="803"/>
        <v>0</v>
      </c>
      <c r="R1477" s="13" t="str">
        <f t="shared" si="799"/>
        <v>Фото &gt;&gt;</v>
      </c>
      <c r="S1477" s="14" t="s">
        <v>587</v>
      </c>
      <c r="AK1477">
        <v>0.52</v>
      </c>
      <c r="AL1477">
        <f t="shared" si="804"/>
        <v>0</v>
      </c>
      <c r="AM1477">
        <f t="shared" si="805"/>
        <v>0</v>
      </c>
      <c r="AN1477">
        <f t="shared" si="806"/>
        <v>0</v>
      </c>
      <c r="AO1477" t="s">
        <v>4906</v>
      </c>
      <c r="AV1477" t="str">
        <f>IF(F1477&gt;0,(COUNT($AV$1:AV1476)+1),"")</f>
        <v/>
      </c>
    </row>
    <row r="1478" spans="1:48" ht="15" customHeight="1" x14ac:dyDescent="0.25">
      <c r="A1478" s="1"/>
      <c r="B1478" s="30">
        <v>13100</v>
      </c>
      <c r="C1478" s="20">
        <v>4640010052246</v>
      </c>
      <c r="D1478" s="153" t="s">
        <v>5602</v>
      </c>
      <c r="E1478" s="67">
        <v>12</v>
      </c>
      <c r="F1478" s="222"/>
      <c r="G1478" s="107">
        <v>79.5</v>
      </c>
      <c r="H1478" s="21">
        <v>84.8</v>
      </c>
      <c r="I1478" s="22">
        <v>92.6</v>
      </c>
      <c r="J1478" s="112" t="s">
        <v>567</v>
      </c>
      <c r="K1478" s="45" t="s">
        <v>49</v>
      </c>
      <c r="L1478" s="437"/>
      <c r="M1478" s="474" t="s">
        <v>1856</v>
      </c>
      <c r="N1478" s="1013" t="s">
        <v>1856</v>
      </c>
      <c r="O1478" s="212"/>
      <c r="P1478" s="66" t="s">
        <v>72</v>
      </c>
      <c r="Q1478" s="100">
        <f t="shared" si="803"/>
        <v>0</v>
      </c>
      <c r="R1478" s="13" t="str">
        <f t="shared" si="799"/>
        <v>Фото &gt;&gt;</v>
      </c>
      <c r="S1478" s="14" t="s">
        <v>5603</v>
      </c>
      <c r="AK1478">
        <v>0.52</v>
      </c>
      <c r="AL1478">
        <f t="shared" si="804"/>
        <v>0</v>
      </c>
      <c r="AM1478">
        <f t="shared" si="805"/>
        <v>0</v>
      </c>
      <c r="AN1478">
        <f t="shared" si="806"/>
        <v>0</v>
      </c>
      <c r="AO1478" t="s">
        <v>5604</v>
      </c>
      <c r="AV1478" t="str">
        <f>IF(F1478&gt;0,(COUNT($AV$1:AV1477)+1),"")</f>
        <v/>
      </c>
    </row>
    <row r="1479" spans="1:48" ht="15" customHeight="1" x14ac:dyDescent="0.25">
      <c r="A1479" s="1"/>
      <c r="B1479" s="31">
        <v>13098</v>
      </c>
      <c r="C1479" s="16">
        <v>4640010052406</v>
      </c>
      <c r="D1479" s="154" t="s">
        <v>588</v>
      </c>
      <c r="E1479" s="69">
        <v>12</v>
      </c>
      <c r="F1479" s="222"/>
      <c r="G1479" s="108">
        <v>163.5</v>
      </c>
      <c r="H1479" s="17">
        <v>170</v>
      </c>
      <c r="I1479" s="18">
        <v>184.4</v>
      </c>
      <c r="J1479" s="113" t="s">
        <v>567</v>
      </c>
      <c r="K1479" s="44" t="s">
        <v>49</v>
      </c>
      <c r="L1479" s="442"/>
      <c r="M1479" s="480" t="s">
        <v>1856</v>
      </c>
      <c r="N1479" s="1015" t="s">
        <v>1856</v>
      </c>
      <c r="O1479" s="217"/>
      <c r="P1479" s="68" t="s">
        <v>72</v>
      </c>
      <c r="Q1479" s="100">
        <f t="shared" si="803"/>
        <v>0</v>
      </c>
      <c r="R1479" s="13" t="str">
        <f t="shared" si="799"/>
        <v>Фото &gt;&gt;</v>
      </c>
      <c r="S1479" s="14" t="s">
        <v>589</v>
      </c>
      <c r="AK1479">
        <v>0.52</v>
      </c>
      <c r="AL1479">
        <f t="shared" si="804"/>
        <v>0</v>
      </c>
      <c r="AM1479">
        <f t="shared" si="805"/>
        <v>0</v>
      </c>
      <c r="AN1479">
        <f t="shared" si="806"/>
        <v>0</v>
      </c>
      <c r="AO1479" t="s">
        <v>4907</v>
      </c>
      <c r="AV1479" t="str">
        <f>IF(F1479&gt;0,(COUNT($AV$1:AV1478)+1),"")</f>
        <v/>
      </c>
    </row>
    <row r="1480" spans="1:48" ht="15" customHeight="1" x14ac:dyDescent="0.25">
      <c r="A1480" s="1"/>
      <c r="B1480" s="25"/>
      <c r="C1480" s="26"/>
      <c r="D1480" s="27" t="s">
        <v>1437</v>
      </c>
      <c r="E1480" s="80"/>
      <c r="F1480" s="96"/>
      <c r="G1480" s="28"/>
      <c r="H1480" s="29"/>
      <c r="I1480" s="29"/>
      <c r="J1480" s="51"/>
      <c r="K1480" s="47"/>
      <c r="L1480" s="447"/>
      <c r="M1480" s="489"/>
      <c r="N1480" s="716"/>
      <c r="O1480" s="186"/>
      <c r="P1480" s="79"/>
      <c r="Q1480" s="104"/>
      <c r="R1480" s="13"/>
      <c r="S1480" s="14"/>
      <c r="AL1480">
        <f t="shared" ref="AL1480:AL1505" si="807">F1480*G1480</f>
        <v>0</v>
      </c>
      <c r="AM1480">
        <f t="shared" ref="AM1480:AM1505" si="808">F1480*H1480</f>
        <v>0</v>
      </c>
      <c r="AN1480">
        <f t="shared" si="802"/>
        <v>0</v>
      </c>
      <c r="AO1480" t="s">
        <v>104</v>
      </c>
      <c r="AV1480" t="str">
        <f>IF(F1480&gt;0,(COUNT($AV$1:AV1479)+1),"")</f>
        <v/>
      </c>
    </row>
    <row r="1481" spans="1:48" ht="15" customHeight="1" x14ac:dyDescent="0.25">
      <c r="A1481" s="1"/>
      <c r="B1481" s="31">
        <v>16223</v>
      </c>
      <c r="C1481" s="16">
        <v>4640010055612</v>
      </c>
      <c r="D1481" s="226" t="s">
        <v>1933</v>
      </c>
      <c r="E1481" s="69">
        <v>16</v>
      </c>
      <c r="F1481" s="222"/>
      <c r="G1481" s="108">
        <v>94.5</v>
      </c>
      <c r="H1481" s="17">
        <v>98.3</v>
      </c>
      <c r="I1481" s="18">
        <v>105.9</v>
      </c>
      <c r="J1481" s="113" t="s">
        <v>567</v>
      </c>
      <c r="K1481" s="44" t="s">
        <v>199</v>
      </c>
      <c r="L1481" s="442"/>
      <c r="M1481" s="480" t="s">
        <v>1856</v>
      </c>
      <c r="N1481" s="1015" t="s">
        <v>1856</v>
      </c>
      <c r="O1481" s="210"/>
      <c r="P1481" s="68" t="s">
        <v>72</v>
      </c>
      <c r="Q1481" s="100">
        <f t="shared" ref="Q1481:Q1487" si="809">IF($AO$1459=2,F1481*H1481,IF($AO$1459=1,F1481*G1481,F1481*I1481))</f>
        <v>0</v>
      </c>
      <c r="R1481" s="13" t="str">
        <f t="shared" si="799"/>
        <v>Фото &gt;&gt;</v>
      </c>
      <c r="S1481" s="14" t="s">
        <v>590</v>
      </c>
      <c r="AK1481">
        <v>0.4</v>
      </c>
      <c r="AL1481">
        <f t="shared" si="807"/>
        <v>0</v>
      </c>
      <c r="AM1481">
        <f t="shared" si="808"/>
        <v>0</v>
      </c>
      <c r="AN1481">
        <f t="shared" si="802"/>
        <v>0</v>
      </c>
      <c r="AO1481" t="s">
        <v>4908</v>
      </c>
      <c r="AV1481" t="str">
        <f>IF(F1481&gt;0,(COUNT($AV$1:AV1480)+1),"")</f>
        <v/>
      </c>
    </row>
    <row r="1482" spans="1:48" ht="15" customHeight="1" x14ac:dyDescent="0.25">
      <c r="A1482" s="1"/>
      <c r="B1482" s="30">
        <v>16219</v>
      </c>
      <c r="C1482" s="20">
        <v>4640043076073</v>
      </c>
      <c r="D1482" s="225" t="s">
        <v>1892</v>
      </c>
      <c r="E1482" s="67">
        <v>16</v>
      </c>
      <c r="F1482" s="222"/>
      <c r="G1482" s="107">
        <v>189.3</v>
      </c>
      <c r="H1482" s="21">
        <v>196.9</v>
      </c>
      <c r="I1482" s="22">
        <v>212.1</v>
      </c>
      <c r="J1482" s="112" t="s">
        <v>567</v>
      </c>
      <c r="K1482" s="45" t="s">
        <v>199</v>
      </c>
      <c r="L1482" s="437"/>
      <c r="M1482" s="474" t="s">
        <v>1856</v>
      </c>
      <c r="N1482" s="1013" t="s">
        <v>1856</v>
      </c>
      <c r="O1482" s="209"/>
      <c r="P1482" s="66" t="s">
        <v>72</v>
      </c>
      <c r="Q1482" s="100">
        <f t="shared" si="809"/>
        <v>0</v>
      </c>
      <c r="R1482" s="13" t="str">
        <f t="shared" si="799"/>
        <v>Фото &gt;&gt;</v>
      </c>
      <c r="S1482" s="14" t="s">
        <v>591</v>
      </c>
      <c r="AK1482">
        <v>0.4</v>
      </c>
      <c r="AL1482">
        <f t="shared" si="807"/>
        <v>0</v>
      </c>
      <c r="AM1482">
        <f t="shared" si="808"/>
        <v>0</v>
      </c>
      <c r="AN1482">
        <f t="shared" si="802"/>
        <v>0</v>
      </c>
      <c r="AO1482" t="s">
        <v>4909</v>
      </c>
      <c r="AV1482" t="str">
        <f>IF(F1482&gt;0,(COUNT($AV$1:AV1481)+1),"")</f>
        <v/>
      </c>
    </row>
    <row r="1483" spans="1:48" ht="15" customHeight="1" x14ac:dyDescent="0.25">
      <c r="A1483" s="1"/>
      <c r="B1483" s="31">
        <v>16221</v>
      </c>
      <c r="C1483" s="16">
        <v>4640010055582</v>
      </c>
      <c r="D1483" s="226" t="s">
        <v>1934</v>
      </c>
      <c r="E1483" s="69">
        <v>16</v>
      </c>
      <c r="F1483" s="222"/>
      <c r="G1483" s="108">
        <v>178.2</v>
      </c>
      <c r="H1483" s="17">
        <v>185.3</v>
      </c>
      <c r="I1483" s="18">
        <v>199.6</v>
      </c>
      <c r="J1483" s="113" t="s">
        <v>567</v>
      </c>
      <c r="K1483" s="44" t="s">
        <v>199</v>
      </c>
      <c r="L1483" s="442"/>
      <c r="M1483" s="480" t="s">
        <v>1856</v>
      </c>
      <c r="N1483" s="1015" t="s">
        <v>1856</v>
      </c>
      <c r="O1483" s="210"/>
      <c r="P1483" s="68" t="s">
        <v>72</v>
      </c>
      <c r="Q1483" s="100">
        <f t="shared" si="809"/>
        <v>0</v>
      </c>
      <c r="R1483" s="13" t="str">
        <f t="shared" si="799"/>
        <v>Фото &gt;&gt;</v>
      </c>
      <c r="S1483" s="14" t="s">
        <v>592</v>
      </c>
      <c r="AK1483">
        <v>0.4</v>
      </c>
      <c r="AL1483">
        <f t="shared" si="807"/>
        <v>0</v>
      </c>
      <c r="AM1483">
        <f t="shared" si="808"/>
        <v>0</v>
      </c>
      <c r="AN1483">
        <f t="shared" si="802"/>
        <v>0</v>
      </c>
      <c r="AO1483" t="s">
        <v>4910</v>
      </c>
      <c r="AV1483" t="str">
        <f>IF(F1483&gt;0,(COUNT($AV$1:AV1482)+1),"")</f>
        <v/>
      </c>
    </row>
    <row r="1484" spans="1:48" ht="15" customHeight="1" x14ac:dyDescent="0.25">
      <c r="A1484" s="1"/>
      <c r="B1484" s="37">
        <v>16220</v>
      </c>
      <c r="C1484" s="23">
        <v>4640010055599</v>
      </c>
      <c r="D1484" s="237" t="s">
        <v>1935</v>
      </c>
      <c r="E1484" s="75">
        <v>16</v>
      </c>
      <c r="F1484" s="223"/>
      <c r="G1484" s="111">
        <v>186.6</v>
      </c>
      <c r="H1484" s="5">
        <v>194.1</v>
      </c>
      <c r="I1484" s="24">
        <v>209</v>
      </c>
      <c r="J1484" s="115" t="s">
        <v>567</v>
      </c>
      <c r="K1484" s="46" t="s">
        <v>199</v>
      </c>
      <c r="L1484" s="440"/>
      <c r="M1484" s="482" t="s">
        <v>1856</v>
      </c>
      <c r="N1484" s="1002" t="s">
        <v>1856</v>
      </c>
      <c r="O1484" s="211"/>
      <c r="P1484" s="74" t="s">
        <v>72</v>
      </c>
      <c r="Q1484" s="100">
        <f t="shared" si="809"/>
        <v>0</v>
      </c>
      <c r="R1484" s="13" t="str">
        <f t="shared" ref="R1484:R1505" si="810">IF(AO1484&gt;0,HYPERLINK(AO1484,"Фото &gt;&gt;"),"")</f>
        <v>Фото &gt;&gt;</v>
      </c>
      <c r="S1484" s="14" t="s">
        <v>593</v>
      </c>
      <c r="AK1484">
        <v>0.4</v>
      </c>
      <c r="AL1484">
        <f t="shared" si="807"/>
        <v>0</v>
      </c>
      <c r="AM1484">
        <f t="shared" si="808"/>
        <v>0</v>
      </c>
      <c r="AN1484">
        <f t="shared" si="802"/>
        <v>0</v>
      </c>
      <c r="AO1484" t="s">
        <v>4911</v>
      </c>
      <c r="AV1484" t="str">
        <f>IF(F1484&gt;0,(COUNT($AV$1:AV1483)+1),"")</f>
        <v/>
      </c>
    </row>
    <row r="1485" spans="1:48" ht="15" customHeight="1" x14ac:dyDescent="0.25">
      <c r="A1485" s="1"/>
      <c r="B1485" s="1120">
        <v>15837</v>
      </c>
      <c r="C1485" s="1121">
        <v>4640010055674</v>
      </c>
      <c r="D1485" s="1122" t="s">
        <v>1878</v>
      </c>
      <c r="E1485" s="1123">
        <v>16</v>
      </c>
      <c r="F1485" s="673"/>
      <c r="G1485" s="1124">
        <v>156.19999999999999</v>
      </c>
      <c r="H1485" s="1125">
        <v>162.5</v>
      </c>
      <c r="I1485" s="1126">
        <v>175</v>
      </c>
      <c r="J1485" s="1127" t="s">
        <v>567</v>
      </c>
      <c r="K1485" s="1128" t="s">
        <v>78</v>
      </c>
      <c r="L1485" s="1141"/>
      <c r="M1485" s="1130" t="s">
        <v>1856</v>
      </c>
      <c r="N1485" s="1131" t="s">
        <v>1856</v>
      </c>
      <c r="O1485" s="1144"/>
      <c r="P1485" s="1133" t="s">
        <v>309</v>
      </c>
      <c r="Q1485" s="100">
        <f t="shared" si="809"/>
        <v>0</v>
      </c>
      <c r="R1485" s="13" t="str">
        <f t="shared" si="810"/>
        <v>Фото &gt;&gt;</v>
      </c>
      <c r="S1485" s="14" t="s">
        <v>580</v>
      </c>
      <c r="AK1485">
        <v>0.38</v>
      </c>
      <c r="AL1485">
        <f t="shared" si="807"/>
        <v>0</v>
      </c>
      <c r="AM1485">
        <f t="shared" si="808"/>
        <v>0</v>
      </c>
      <c r="AN1485">
        <f t="shared" ref="AN1485:AN1505" si="811">AK1485*F1485+IF(E1485&gt;1.01,F1485/E1485*0.2,0)</f>
        <v>0</v>
      </c>
      <c r="AO1485" t="s">
        <v>4912</v>
      </c>
      <c r="AV1485" t="str">
        <f>IF(F1485&gt;0,(COUNT($AV$1:AV1484)+1),"")</f>
        <v/>
      </c>
    </row>
    <row r="1486" spans="1:48" ht="15" customHeight="1" x14ac:dyDescent="0.25">
      <c r="A1486" s="1"/>
      <c r="B1486" s="30">
        <v>15838</v>
      </c>
      <c r="C1486" s="20">
        <v>4640010055490</v>
      </c>
      <c r="D1486" s="225" t="s">
        <v>1879</v>
      </c>
      <c r="E1486" s="67">
        <v>16</v>
      </c>
      <c r="F1486" s="222"/>
      <c r="G1486" s="107">
        <v>102.6</v>
      </c>
      <c r="H1486" s="21">
        <v>106.7</v>
      </c>
      <c r="I1486" s="22">
        <v>115.8</v>
      </c>
      <c r="J1486" s="112" t="s">
        <v>567</v>
      </c>
      <c r="K1486" s="45" t="s">
        <v>78</v>
      </c>
      <c r="L1486" s="437"/>
      <c r="M1486" s="474" t="s">
        <v>1856</v>
      </c>
      <c r="N1486" s="1013" t="s">
        <v>1856</v>
      </c>
      <c r="O1486" s="212"/>
      <c r="P1486" s="66" t="s">
        <v>72</v>
      </c>
      <c r="Q1486" s="100">
        <f t="shared" si="809"/>
        <v>0</v>
      </c>
      <c r="R1486" s="13" t="str">
        <f t="shared" si="810"/>
        <v>Фото &gt;&gt;</v>
      </c>
      <c r="S1486" s="14" t="s">
        <v>594</v>
      </c>
      <c r="AK1486">
        <v>0.38</v>
      </c>
      <c r="AL1486">
        <f t="shared" si="807"/>
        <v>0</v>
      </c>
      <c r="AM1486">
        <f t="shared" si="808"/>
        <v>0</v>
      </c>
      <c r="AN1486">
        <f t="shared" si="811"/>
        <v>0</v>
      </c>
      <c r="AO1486" t="s">
        <v>4913</v>
      </c>
      <c r="AV1486" t="str">
        <f>IF(F1486&gt;0,(COUNT($AV$1:AV1485)+1),"")</f>
        <v/>
      </c>
    </row>
    <row r="1487" spans="1:48" ht="15" customHeight="1" x14ac:dyDescent="0.25">
      <c r="A1487" s="1"/>
      <c r="B1487" s="31">
        <v>15839</v>
      </c>
      <c r="C1487" s="16">
        <v>4640010055476</v>
      </c>
      <c r="D1487" s="226" t="s">
        <v>1936</v>
      </c>
      <c r="E1487" s="69">
        <v>16</v>
      </c>
      <c r="F1487" s="222"/>
      <c r="G1487" s="108">
        <v>126</v>
      </c>
      <c r="H1487" s="17">
        <v>131</v>
      </c>
      <c r="I1487" s="18">
        <v>142.1</v>
      </c>
      <c r="J1487" s="113" t="s">
        <v>567</v>
      </c>
      <c r="K1487" s="44" t="s">
        <v>78</v>
      </c>
      <c r="L1487" s="442"/>
      <c r="M1487" s="480" t="s">
        <v>1856</v>
      </c>
      <c r="N1487" s="1015" t="s">
        <v>1856</v>
      </c>
      <c r="O1487" s="210"/>
      <c r="P1487" s="68" t="s">
        <v>72</v>
      </c>
      <c r="Q1487" s="100">
        <f t="shared" si="809"/>
        <v>0</v>
      </c>
      <c r="R1487" s="13" t="str">
        <f t="shared" si="810"/>
        <v>Фото &gt;&gt;</v>
      </c>
      <c r="S1487" s="14" t="s">
        <v>595</v>
      </c>
      <c r="AK1487">
        <v>0.38</v>
      </c>
      <c r="AL1487">
        <f t="shared" si="807"/>
        <v>0</v>
      </c>
      <c r="AM1487">
        <f t="shared" si="808"/>
        <v>0</v>
      </c>
      <c r="AN1487">
        <f t="shared" si="811"/>
        <v>0</v>
      </c>
      <c r="AO1487" t="s">
        <v>4914</v>
      </c>
      <c r="AV1487" t="str">
        <f>IF(F1487&gt;0,(COUNT($AV$1:AV1486)+1),"")</f>
        <v/>
      </c>
    </row>
    <row r="1488" spans="1:48" ht="15" customHeight="1" x14ac:dyDescent="0.25">
      <c r="A1488" s="1"/>
      <c r="B1488" s="25"/>
      <c r="C1488" s="26"/>
      <c r="D1488" s="27" t="s">
        <v>1881</v>
      </c>
      <c r="E1488" s="80"/>
      <c r="F1488" s="96"/>
      <c r="G1488" s="28"/>
      <c r="H1488" s="29"/>
      <c r="I1488" s="29"/>
      <c r="J1488" s="51"/>
      <c r="K1488" s="47"/>
      <c r="L1488" s="447"/>
      <c r="M1488" s="489"/>
      <c r="N1488" s="716"/>
      <c r="O1488" s="186"/>
      <c r="P1488" s="79"/>
      <c r="Q1488" s="104"/>
      <c r="R1488" s="13"/>
      <c r="S1488" s="14"/>
      <c r="AL1488">
        <f t="shared" ref="AL1488:AL1489" si="812">F1488*G1488</f>
        <v>0</v>
      </c>
      <c r="AM1488">
        <f t="shared" ref="AM1488:AM1489" si="813">F1488*H1488</f>
        <v>0</v>
      </c>
      <c r="AN1488">
        <f t="shared" si="811"/>
        <v>0</v>
      </c>
      <c r="AV1488" t="str">
        <f>IF(F1488&gt;0,(COUNT($AV$1:AV1487)+1),"")</f>
        <v/>
      </c>
    </row>
    <row r="1489" spans="1:48" ht="15" customHeight="1" x14ac:dyDescent="0.25">
      <c r="A1489" s="1"/>
      <c r="B1489" s="31">
        <v>20862</v>
      </c>
      <c r="C1489" s="16">
        <v>4640043072983</v>
      </c>
      <c r="D1489" s="226" t="s">
        <v>6153</v>
      </c>
      <c r="E1489" s="69">
        <v>6</v>
      </c>
      <c r="F1489" s="222"/>
      <c r="G1489" s="108">
        <v>270.10000000000002</v>
      </c>
      <c r="H1489" s="17">
        <v>280.89999999999998</v>
      </c>
      <c r="I1489" s="18">
        <v>302.5</v>
      </c>
      <c r="J1489" s="113" t="s">
        <v>567</v>
      </c>
      <c r="K1489" s="44" t="s">
        <v>413</v>
      </c>
      <c r="L1489" s="442"/>
      <c r="M1489" s="480" t="s">
        <v>1856</v>
      </c>
      <c r="N1489" s="1015" t="s">
        <v>1856</v>
      </c>
      <c r="O1489" s="210"/>
      <c r="P1489" s="68" t="s">
        <v>72</v>
      </c>
      <c r="Q1489" s="100">
        <f t="shared" ref="Q1489:Q1497" si="814">IF($AO$1459=2,F1489*H1489,IF($AO$1459=1,F1489*G1489,F1489*I1489))</f>
        <v>0</v>
      </c>
      <c r="R1489" s="13" t="str">
        <f t="shared" si="810"/>
        <v>Фото &gt;&gt;</v>
      </c>
      <c r="S1489" s="14" t="s">
        <v>4624</v>
      </c>
      <c r="AK1489">
        <v>0.32</v>
      </c>
      <c r="AL1489">
        <f t="shared" si="812"/>
        <v>0</v>
      </c>
      <c r="AM1489">
        <f t="shared" si="813"/>
        <v>0</v>
      </c>
      <c r="AN1489">
        <f t="shared" si="811"/>
        <v>0</v>
      </c>
      <c r="AO1489" t="s">
        <v>4625</v>
      </c>
      <c r="AV1489" t="str">
        <f>IF(F1489&gt;0,(COUNT($AV$1:AV1488)+1),"")</f>
        <v/>
      </c>
    </row>
    <row r="1490" spans="1:48" ht="15" customHeight="1" x14ac:dyDescent="0.25">
      <c r="A1490" s="1"/>
      <c r="B1490" s="30">
        <v>20487</v>
      </c>
      <c r="C1490" s="20">
        <v>4640043076325</v>
      </c>
      <c r="D1490" s="225" t="s">
        <v>3915</v>
      </c>
      <c r="E1490" s="67">
        <v>6</v>
      </c>
      <c r="F1490" s="222"/>
      <c r="G1490" s="107">
        <v>182.6</v>
      </c>
      <c r="H1490" s="21">
        <v>189.9</v>
      </c>
      <c r="I1490" s="22">
        <v>204.6</v>
      </c>
      <c r="J1490" s="112" t="s">
        <v>567</v>
      </c>
      <c r="K1490" s="45" t="s">
        <v>413</v>
      </c>
      <c r="L1490" s="437"/>
      <c r="M1490" s="474" t="s">
        <v>1856</v>
      </c>
      <c r="N1490" s="1013" t="s">
        <v>1856</v>
      </c>
      <c r="O1490" s="209"/>
      <c r="P1490" s="66" t="s">
        <v>72</v>
      </c>
      <c r="Q1490" s="100">
        <f t="shared" si="814"/>
        <v>0</v>
      </c>
      <c r="R1490" s="13" t="str">
        <f t="shared" si="810"/>
        <v>Фото &gt;&gt;</v>
      </c>
      <c r="S1490" s="14" t="s">
        <v>3917</v>
      </c>
      <c r="AK1490">
        <v>0.32</v>
      </c>
      <c r="AL1490">
        <f t="shared" ref="AL1490:AL1496" si="815">F1490*G1490</f>
        <v>0</v>
      </c>
      <c r="AM1490">
        <f t="shared" ref="AM1490:AM1496" si="816">F1490*H1490</f>
        <v>0</v>
      </c>
      <c r="AN1490">
        <f t="shared" ref="AN1490:AN1496" si="817">AK1490*F1490+IF(E1490&gt;1.01,F1490/E1490*0.2,0)</f>
        <v>0</v>
      </c>
      <c r="AO1490" t="s">
        <v>3919</v>
      </c>
      <c r="AV1490" t="str">
        <f>IF(F1490&gt;0,(COUNT($AV$1:AV1489)+1),"")</f>
        <v/>
      </c>
    </row>
    <row r="1491" spans="1:48" ht="15" customHeight="1" x14ac:dyDescent="0.25">
      <c r="A1491" s="1"/>
      <c r="B1491" s="31">
        <v>19564</v>
      </c>
      <c r="C1491" s="16">
        <v>4640043072938</v>
      </c>
      <c r="D1491" s="226" t="s">
        <v>4626</v>
      </c>
      <c r="E1491" s="69">
        <v>6</v>
      </c>
      <c r="F1491" s="222"/>
      <c r="G1491" s="108">
        <v>187.5</v>
      </c>
      <c r="H1491" s="17">
        <v>195</v>
      </c>
      <c r="I1491" s="18">
        <v>210</v>
      </c>
      <c r="J1491" s="113" t="s">
        <v>567</v>
      </c>
      <c r="K1491" s="44" t="s">
        <v>413</v>
      </c>
      <c r="L1491" s="442"/>
      <c r="M1491" s="480" t="s">
        <v>1856</v>
      </c>
      <c r="N1491" s="1015" t="s">
        <v>1856</v>
      </c>
      <c r="O1491" s="210"/>
      <c r="P1491" s="68" t="s">
        <v>72</v>
      </c>
      <c r="Q1491" s="100">
        <f t="shared" si="814"/>
        <v>0</v>
      </c>
      <c r="R1491" s="13" t="str">
        <f t="shared" si="810"/>
        <v>Фото &gt;&gt;</v>
      </c>
      <c r="S1491" s="14" t="s">
        <v>3158</v>
      </c>
      <c r="AK1491">
        <v>0.32</v>
      </c>
      <c r="AL1491">
        <f t="shared" si="815"/>
        <v>0</v>
      </c>
      <c r="AM1491">
        <f t="shared" si="816"/>
        <v>0</v>
      </c>
      <c r="AN1491">
        <f t="shared" si="817"/>
        <v>0</v>
      </c>
      <c r="AO1491" t="s">
        <v>3159</v>
      </c>
      <c r="AV1491" t="str">
        <f>IF(F1491&gt;0,(COUNT($AV$1:AV1490)+1),"")</f>
        <v/>
      </c>
    </row>
    <row r="1492" spans="1:48" ht="15" customHeight="1" x14ac:dyDescent="0.25">
      <c r="A1492" s="1"/>
      <c r="B1492" s="30">
        <v>19565</v>
      </c>
      <c r="C1492" s="20">
        <v>4640043072945</v>
      </c>
      <c r="D1492" s="225" t="s">
        <v>1882</v>
      </c>
      <c r="E1492" s="67">
        <v>6</v>
      </c>
      <c r="F1492" s="222"/>
      <c r="G1492" s="107">
        <v>179.6</v>
      </c>
      <c r="H1492" s="21">
        <v>186.8</v>
      </c>
      <c r="I1492" s="22">
        <v>201.2</v>
      </c>
      <c r="J1492" s="112" t="s">
        <v>567</v>
      </c>
      <c r="K1492" s="45" t="s">
        <v>413</v>
      </c>
      <c r="L1492" s="437"/>
      <c r="M1492" s="474" t="s">
        <v>1856</v>
      </c>
      <c r="N1492" s="1013" t="s">
        <v>1856</v>
      </c>
      <c r="O1492" s="209"/>
      <c r="P1492" s="66" t="s">
        <v>72</v>
      </c>
      <c r="Q1492" s="100">
        <f t="shared" si="814"/>
        <v>0</v>
      </c>
      <c r="R1492" s="13" t="str">
        <f t="shared" si="810"/>
        <v>Фото &gt;&gt;</v>
      </c>
      <c r="S1492" s="14" t="s">
        <v>3156</v>
      </c>
      <c r="AK1492">
        <v>0.32</v>
      </c>
      <c r="AL1492">
        <f t="shared" si="815"/>
        <v>0</v>
      </c>
      <c r="AM1492">
        <f t="shared" si="816"/>
        <v>0</v>
      </c>
      <c r="AN1492">
        <f t="shared" si="817"/>
        <v>0</v>
      </c>
      <c r="AO1492" t="s">
        <v>3160</v>
      </c>
      <c r="AV1492" t="str">
        <f>IF(F1492&gt;0,(COUNT($AV$1:AV1491)+1),"")</f>
        <v/>
      </c>
    </row>
    <row r="1493" spans="1:48" ht="15" customHeight="1" x14ac:dyDescent="0.25">
      <c r="A1493" s="1"/>
      <c r="B1493" s="31">
        <v>20731</v>
      </c>
      <c r="C1493" s="16">
        <v>4640043076318</v>
      </c>
      <c r="D1493" s="226" t="s">
        <v>4392</v>
      </c>
      <c r="E1493" s="69">
        <v>6</v>
      </c>
      <c r="F1493" s="222"/>
      <c r="G1493" s="108">
        <v>188</v>
      </c>
      <c r="H1493" s="17">
        <v>195.5</v>
      </c>
      <c r="I1493" s="18">
        <v>210.5</v>
      </c>
      <c r="J1493" s="113" t="s">
        <v>567</v>
      </c>
      <c r="K1493" s="44" t="s">
        <v>413</v>
      </c>
      <c r="L1493" s="442"/>
      <c r="M1493" s="480" t="s">
        <v>1856</v>
      </c>
      <c r="N1493" s="1015" t="s">
        <v>1856</v>
      </c>
      <c r="O1493" s="210"/>
      <c r="P1493" s="68" t="s">
        <v>72</v>
      </c>
      <c r="Q1493" s="100">
        <f t="shared" si="814"/>
        <v>0</v>
      </c>
      <c r="R1493" s="13" t="str">
        <f t="shared" ref="R1493" si="818">IF(AO1493&gt;0,HYPERLINK(AO1493,"Фото &gt;&gt;"),"")</f>
        <v>Фото &gt;&gt;</v>
      </c>
      <c r="S1493" s="14" t="s">
        <v>4394</v>
      </c>
      <c r="AK1493">
        <v>0.32</v>
      </c>
      <c r="AL1493">
        <f t="shared" ref="AL1493" si="819">F1493*G1493</f>
        <v>0</v>
      </c>
      <c r="AM1493">
        <f t="shared" ref="AM1493" si="820">F1493*H1493</f>
        <v>0</v>
      </c>
      <c r="AN1493">
        <f t="shared" ref="AN1493" si="821">AK1493*F1493+IF(E1493&gt;1.01,F1493/E1493*0.2,0)</f>
        <v>0</v>
      </c>
      <c r="AO1493" t="s">
        <v>4393</v>
      </c>
      <c r="AV1493" t="str">
        <f>IF(F1493&gt;0,(COUNT($AV$1:AV1492)+1),"")</f>
        <v/>
      </c>
    </row>
    <row r="1494" spans="1:48" ht="15" customHeight="1" x14ac:dyDescent="0.25">
      <c r="A1494" s="1"/>
      <c r="B1494" s="30">
        <v>19567</v>
      </c>
      <c r="C1494" s="20">
        <v>4640043072952</v>
      </c>
      <c r="D1494" s="225" t="s">
        <v>1883</v>
      </c>
      <c r="E1494" s="67">
        <v>6</v>
      </c>
      <c r="F1494" s="222"/>
      <c r="G1494" s="107">
        <v>170</v>
      </c>
      <c r="H1494" s="21">
        <v>176.8</v>
      </c>
      <c r="I1494" s="22">
        <v>190.4</v>
      </c>
      <c r="J1494" s="112" t="s">
        <v>567</v>
      </c>
      <c r="K1494" s="45" t="s">
        <v>413</v>
      </c>
      <c r="L1494" s="437"/>
      <c r="M1494" s="474" t="s">
        <v>1856</v>
      </c>
      <c r="N1494" s="1013" t="s">
        <v>1856</v>
      </c>
      <c r="O1494" s="209"/>
      <c r="P1494" s="66" t="s">
        <v>72</v>
      </c>
      <c r="Q1494" s="100">
        <f t="shared" si="814"/>
        <v>0</v>
      </c>
      <c r="R1494" s="13" t="str">
        <f t="shared" si="810"/>
        <v>Фото &gt;&gt;</v>
      </c>
      <c r="S1494" s="14" t="s">
        <v>3155</v>
      </c>
      <c r="AK1494">
        <v>0.32</v>
      </c>
      <c r="AL1494">
        <f t="shared" si="815"/>
        <v>0</v>
      </c>
      <c r="AM1494">
        <f t="shared" si="816"/>
        <v>0</v>
      </c>
      <c r="AN1494">
        <f t="shared" si="817"/>
        <v>0</v>
      </c>
      <c r="AO1494" t="s">
        <v>3161</v>
      </c>
      <c r="AV1494" t="str">
        <f>IF(F1494&gt;0,(COUNT($AV$1:AV1493)+1),"")</f>
        <v/>
      </c>
    </row>
    <row r="1495" spans="1:48" ht="15" customHeight="1" x14ac:dyDescent="0.25">
      <c r="A1495" s="1"/>
      <c r="B1495" s="31">
        <v>19566</v>
      </c>
      <c r="C1495" s="16">
        <v>4640043072969</v>
      </c>
      <c r="D1495" s="226" t="s">
        <v>1884</v>
      </c>
      <c r="E1495" s="69">
        <v>6</v>
      </c>
      <c r="F1495" s="222"/>
      <c r="G1495" s="108">
        <v>187.8</v>
      </c>
      <c r="H1495" s="17">
        <v>195.3</v>
      </c>
      <c r="I1495" s="18">
        <v>211.9</v>
      </c>
      <c r="J1495" s="113" t="s">
        <v>567</v>
      </c>
      <c r="K1495" s="44" t="s">
        <v>413</v>
      </c>
      <c r="L1495" s="442"/>
      <c r="M1495" s="480" t="s">
        <v>1856</v>
      </c>
      <c r="N1495" s="1015" t="s">
        <v>1856</v>
      </c>
      <c r="O1495" s="210"/>
      <c r="P1495" s="68" t="s">
        <v>72</v>
      </c>
      <c r="Q1495" s="100">
        <f t="shared" si="814"/>
        <v>0</v>
      </c>
      <c r="R1495" s="13" t="str">
        <f t="shared" si="810"/>
        <v>Фото &gt;&gt;</v>
      </c>
      <c r="S1495" s="14" t="s">
        <v>3157</v>
      </c>
      <c r="AK1495">
        <v>0.32</v>
      </c>
      <c r="AL1495">
        <f t="shared" si="815"/>
        <v>0</v>
      </c>
      <c r="AM1495">
        <f t="shared" si="816"/>
        <v>0</v>
      </c>
      <c r="AN1495">
        <f t="shared" si="817"/>
        <v>0</v>
      </c>
      <c r="AO1495" t="s">
        <v>3162</v>
      </c>
      <c r="AV1495" t="str">
        <f>IF(F1495&gt;0,(COUNT($AV$1:AV1494)+1),"")</f>
        <v/>
      </c>
    </row>
    <row r="1496" spans="1:48" ht="15" customHeight="1" x14ac:dyDescent="0.25">
      <c r="A1496" s="1"/>
      <c r="B1496" s="30">
        <v>20488</v>
      </c>
      <c r="C1496" s="20">
        <v>4640043076301</v>
      </c>
      <c r="D1496" s="225" t="s">
        <v>3916</v>
      </c>
      <c r="E1496" s="67">
        <v>6</v>
      </c>
      <c r="F1496" s="222"/>
      <c r="G1496" s="107">
        <v>189.1</v>
      </c>
      <c r="H1496" s="21">
        <v>196.7</v>
      </c>
      <c r="I1496" s="22">
        <v>211.8</v>
      </c>
      <c r="J1496" s="112" t="s">
        <v>567</v>
      </c>
      <c r="K1496" s="45" t="s">
        <v>413</v>
      </c>
      <c r="L1496" s="437"/>
      <c r="M1496" s="474" t="s">
        <v>1856</v>
      </c>
      <c r="N1496" s="1013" t="s">
        <v>1856</v>
      </c>
      <c r="O1496" s="209"/>
      <c r="P1496" s="66" t="s">
        <v>72</v>
      </c>
      <c r="Q1496" s="100">
        <f t="shared" si="814"/>
        <v>0</v>
      </c>
      <c r="R1496" s="13" t="str">
        <f t="shared" si="810"/>
        <v>Фото &gt;&gt;</v>
      </c>
      <c r="S1496" s="14" t="s">
        <v>3918</v>
      </c>
      <c r="AK1496">
        <v>0.32</v>
      </c>
      <c r="AL1496">
        <f t="shared" si="815"/>
        <v>0</v>
      </c>
      <c r="AM1496">
        <f t="shared" si="816"/>
        <v>0</v>
      </c>
      <c r="AN1496">
        <f t="shared" si="817"/>
        <v>0</v>
      </c>
      <c r="AO1496" t="s">
        <v>3920</v>
      </c>
      <c r="AV1496" t="str">
        <f>IF(F1496&gt;0,(COUNT($AV$1:AV1495)+1),"")</f>
        <v/>
      </c>
    </row>
    <row r="1497" spans="1:48" ht="15" customHeight="1" x14ac:dyDescent="0.25">
      <c r="A1497" s="1"/>
      <c r="B1497" s="31">
        <v>20965</v>
      </c>
      <c r="C1497" s="16">
        <v>4640043076929</v>
      </c>
      <c r="D1497" s="226" t="s">
        <v>5740</v>
      </c>
      <c r="E1497" s="69">
        <v>6</v>
      </c>
      <c r="F1497" s="222"/>
      <c r="G1497" s="108">
        <v>182.6</v>
      </c>
      <c r="H1497" s="17">
        <v>189.8</v>
      </c>
      <c r="I1497" s="18">
        <v>204.3</v>
      </c>
      <c r="J1497" s="113" t="s">
        <v>567</v>
      </c>
      <c r="K1497" s="44" t="s">
        <v>413</v>
      </c>
      <c r="L1497" s="442"/>
      <c r="M1497" s="480" t="s">
        <v>1856</v>
      </c>
      <c r="N1497" s="1015" t="s">
        <v>1856</v>
      </c>
      <c r="O1497" s="210"/>
      <c r="P1497" s="68" t="s">
        <v>72</v>
      </c>
      <c r="Q1497" s="100">
        <f t="shared" si="814"/>
        <v>0</v>
      </c>
      <c r="R1497" s="13" t="str">
        <f t="shared" si="810"/>
        <v>Фото &gt;&gt;</v>
      </c>
      <c r="S1497" s="14" t="s">
        <v>5741</v>
      </c>
      <c r="AK1497">
        <v>0.32</v>
      </c>
      <c r="AL1497">
        <f t="shared" ref="AL1497" si="822">F1497*G1497</f>
        <v>0</v>
      </c>
      <c r="AM1497">
        <f t="shared" ref="AM1497" si="823">F1497*H1497</f>
        <v>0</v>
      </c>
      <c r="AN1497">
        <f t="shared" ref="AN1497" si="824">AK1497*F1497+IF(E1497&gt;1.01,F1497/E1497*0.2,0)</f>
        <v>0</v>
      </c>
      <c r="AO1497" t="s">
        <v>5742</v>
      </c>
      <c r="AV1497" t="str">
        <f>IF(F1497&gt;0,(COUNT($AV$1:AV1496)+1),"")</f>
        <v/>
      </c>
    </row>
    <row r="1498" spans="1:48" ht="15" customHeight="1" x14ac:dyDescent="0.25">
      <c r="A1498" s="1"/>
      <c r="B1498" s="25"/>
      <c r="C1498" s="26"/>
      <c r="D1498" s="27" t="s">
        <v>3921</v>
      </c>
      <c r="E1498" s="80"/>
      <c r="F1498" s="96"/>
      <c r="G1498" s="28"/>
      <c r="H1498" s="29"/>
      <c r="I1498" s="29"/>
      <c r="J1498" s="51"/>
      <c r="K1498" s="47"/>
      <c r="L1498" s="447"/>
      <c r="M1498" s="489"/>
      <c r="N1498" s="716"/>
      <c r="O1498" s="186"/>
      <c r="P1498" s="79"/>
      <c r="Q1498" s="104"/>
      <c r="R1498" s="13"/>
      <c r="S1498" s="14"/>
      <c r="AL1498">
        <f t="shared" ref="AL1498:AL1504" si="825">F1498*G1498</f>
        <v>0</v>
      </c>
      <c r="AM1498">
        <f t="shared" ref="AM1498:AM1504" si="826">F1498*H1498</f>
        <v>0</v>
      </c>
      <c r="AN1498">
        <f t="shared" ref="AN1498:AN1504" si="827">AK1498*F1498+IF(E1498&gt;1.01,F1498/E1498*0.2,0)</f>
        <v>0</v>
      </c>
      <c r="AV1498" t="str">
        <f>IF(F1498&gt;0,(COUNT($AV$1:AV1497)+1),"")</f>
        <v/>
      </c>
    </row>
    <row r="1499" spans="1:48" ht="15" customHeight="1" x14ac:dyDescent="0.25">
      <c r="A1499" s="1"/>
      <c r="B1499" s="31">
        <v>20489</v>
      </c>
      <c r="C1499" s="16">
        <v>4640043076486</v>
      </c>
      <c r="D1499" s="226" t="s">
        <v>5761</v>
      </c>
      <c r="E1499" s="69">
        <v>10</v>
      </c>
      <c r="F1499" s="222"/>
      <c r="G1499" s="108">
        <v>125.3</v>
      </c>
      <c r="H1499" s="17">
        <v>130.30000000000001</v>
      </c>
      <c r="I1499" s="18">
        <v>140.30000000000001</v>
      </c>
      <c r="J1499" s="113" t="s">
        <v>567</v>
      </c>
      <c r="K1499" s="44" t="s">
        <v>106</v>
      </c>
      <c r="L1499" s="442"/>
      <c r="M1499" s="480" t="s">
        <v>1856</v>
      </c>
      <c r="N1499" s="1015" t="s">
        <v>1856</v>
      </c>
      <c r="O1499" s="210"/>
      <c r="P1499" s="68" t="s">
        <v>72</v>
      </c>
      <c r="Q1499" s="100">
        <f>IF($AO$1459=2,F1499*H1499,IF($AO$1459=1,F1499*G1499,F1499*I1499))</f>
        <v>0</v>
      </c>
      <c r="R1499" s="13" t="str">
        <f t="shared" si="810"/>
        <v>Фото &gt;&gt;</v>
      </c>
      <c r="S1499" s="14" t="s">
        <v>5622</v>
      </c>
      <c r="AK1499">
        <v>0.2</v>
      </c>
      <c r="AL1499">
        <f t="shared" ref="AL1499:AL1501" si="828">F1499*G1499</f>
        <v>0</v>
      </c>
      <c r="AM1499">
        <f t="shared" ref="AM1499:AM1501" si="829">F1499*H1499</f>
        <v>0</v>
      </c>
      <c r="AN1499">
        <f t="shared" ref="AN1499:AN1501" si="830">AK1499*F1499+IF(E1499&gt;1.01,F1499/E1499*0.2,0)</f>
        <v>0</v>
      </c>
      <c r="AO1499" t="s">
        <v>5623</v>
      </c>
      <c r="AV1499" t="str">
        <f>IF(F1499&gt;0,(COUNT($AV$1:AV1498)+1),"")</f>
        <v/>
      </c>
    </row>
    <row r="1500" spans="1:48" ht="15" customHeight="1" x14ac:dyDescent="0.25">
      <c r="A1500" s="1"/>
      <c r="B1500" s="30">
        <v>20490</v>
      </c>
      <c r="C1500" s="20">
        <v>4640043076479</v>
      </c>
      <c r="D1500" s="225" t="s">
        <v>4221</v>
      </c>
      <c r="E1500" s="67">
        <v>10</v>
      </c>
      <c r="F1500" s="222"/>
      <c r="G1500" s="107">
        <v>132.80000000000001</v>
      </c>
      <c r="H1500" s="21">
        <v>138.1</v>
      </c>
      <c r="I1500" s="22">
        <v>148.80000000000001</v>
      </c>
      <c r="J1500" s="112" t="s">
        <v>567</v>
      </c>
      <c r="K1500" s="45" t="s">
        <v>106</v>
      </c>
      <c r="L1500" s="437"/>
      <c r="M1500" s="474" t="s">
        <v>1856</v>
      </c>
      <c r="N1500" s="1013" t="s">
        <v>1856</v>
      </c>
      <c r="O1500" s="209"/>
      <c r="P1500" s="66" t="s">
        <v>72</v>
      </c>
      <c r="Q1500" s="100">
        <f>IF($AO$1459=2,F1500*H1500,IF($AO$1459=1,F1500*G1500,F1500*I1500))</f>
        <v>0</v>
      </c>
      <c r="R1500" s="13" t="str">
        <f t="shared" si="810"/>
        <v>Фото &gt;&gt;</v>
      </c>
      <c r="S1500" s="14" t="s">
        <v>3926</v>
      </c>
      <c r="AK1500">
        <v>0.2</v>
      </c>
      <c r="AL1500">
        <f t="shared" si="828"/>
        <v>0</v>
      </c>
      <c r="AM1500">
        <f t="shared" si="829"/>
        <v>0</v>
      </c>
      <c r="AN1500">
        <f t="shared" si="830"/>
        <v>0</v>
      </c>
      <c r="AO1500" t="s">
        <v>3927</v>
      </c>
      <c r="AV1500" t="str">
        <f>IF(F1500&gt;0,(COUNT($AV$1:AV1499)+1),"")</f>
        <v/>
      </c>
    </row>
    <row r="1501" spans="1:48" ht="15" customHeight="1" x14ac:dyDescent="0.25">
      <c r="A1501" s="1"/>
      <c r="B1501" s="31">
        <v>20492</v>
      </c>
      <c r="C1501" s="16">
        <v>4640043076509</v>
      </c>
      <c r="D1501" s="226" t="s">
        <v>3922</v>
      </c>
      <c r="E1501" s="69">
        <v>10</v>
      </c>
      <c r="F1501" s="222"/>
      <c r="G1501" s="108">
        <v>120.8</v>
      </c>
      <c r="H1501" s="17">
        <v>125.6</v>
      </c>
      <c r="I1501" s="18">
        <v>135.19999999999999</v>
      </c>
      <c r="J1501" s="113" t="s">
        <v>567</v>
      </c>
      <c r="K1501" s="44" t="s">
        <v>106</v>
      </c>
      <c r="L1501" s="442"/>
      <c r="M1501" s="480" t="s">
        <v>1856</v>
      </c>
      <c r="N1501" s="1015" t="s">
        <v>1856</v>
      </c>
      <c r="O1501" s="210"/>
      <c r="P1501" s="68" t="s">
        <v>72</v>
      </c>
      <c r="Q1501" s="100">
        <f>IF($AO$1459=2,F1501*H1501,IF($AO$1459=1,F1501*G1501,F1501*I1501))</f>
        <v>0</v>
      </c>
      <c r="R1501" s="13" t="str">
        <f t="shared" si="810"/>
        <v>Фото &gt;&gt;</v>
      </c>
      <c r="S1501" s="14" t="s">
        <v>3925</v>
      </c>
      <c r="AK1501">
        <v>0.2</v>
      </c>
      <c r="AL1501">
        <f t="shared" si="828"/>
        <v>0</v>
      </c>
      <c r="AM1501">
        <f t="shared" si="829"/>
        <v>0</v>
      </c>
      <c r="AN1501">
        <f t="shared" si="830"/>
        <v>0</v>
      </c>
      <c r="AO1501" t="s">
        <v>3928</v>
      </c>
      <c r="AV1501" t="str">
        <f>IF(F1501&gt;0,(COUNT($AV$1:AV1500)+1),"")</f>
        <v/>
      </c>
    </row>
    <row r="1502" spans="1:48" ht="15" customHeight="1" x14ac:dyDescent="0.25">
      <c r="A1502" s="1"/>
      <c r="B1502" s="30">
        <v>20493</v>
      </c>
      <c r="C1502" s="20">
        <v>4640043076493</v>
      </c>
      <c r="D1502" s="225" t="s">
        <v>3924</v>
      </c>
      <c r="E1502" s="67">
        <v>10</v>
      </c>
      <c r="F1502" s="222"/>
      <c r="G1502" s="107">
        <v>105.7</v>
      </c>
      <c r="H1502" s="21">
        <v>109.9</v>
      </c>
      <c r="I1502" s="22">
        <v>118.3</v>
      </c>
      <c r="J1502" s="112" t="s">
        <v>567</v>
      </c>
      <c r="K1502" s="45" t="s">
        <v>106</v>
      </c>
      <c r="L1502" s="437"/>
      <c r="M1502" s="474" t="s">
        <v>1856</v>
      </c>
      <c r="N1502" s="1013" t="s">
        <v>1856</v>
      </c>
      <c r="O1502" s="209"/>
      <c r="P1502" s="66" t="s">
        <v>72</v>
      </c>
      <c r="Q1502" s="100">
        <f>IF($AO$1459=2,F1502*H1502,IF($AO$1459=1,F1502*G1502,F1502*I1502))</f>
        <v>0</v>
      </c>
      <c r="R1502" s="13" t="str">
        <f t="shared" si="810"/>
        <v>Фото &gt;&gt;</v>
      </c>
      <c r="S1502" s="14" t="s">
        <v>3923</v>
      </c>
      <c r="AK1502">
        <v>0.2</v>
      </c>
      <c r="AL1502">
        <f t="shared" si="825"/>
        <v>0</v>
      </c>
      <c r="AM1502">
        <f t="shared" si="826"/>
        <v>0</v>
      </c>
      <c r="AN1502">
        <f t="shared" si="827"/>
        <v>0</v>
      </c>
      <c r="AO1502" t="s">
        <v>3929</v>
      </c>
      <c r="AV1502" t="str">
        <f>IF(F1502&gt;0,(COUNT($AV$1:AV1501)+1),"")</f>
        <v/>
      </c>
    </row>
    <row r="1503" spans="1:48" ht="15" customHeight="1" x14ac:dyDescent="0.25">
      <c r="A1503" s="1"/>
      <c r="B1503" s="25"/>
      <c r="C1503" s="26"/>
      <c r="D1503" s="27" t="s">
        <v>1438</v>
      </c>
      <c r="E1503" s="80"/>
      <c r="F1503" s="96"/>
      <c r="G1503" s="28"/>
      <c r="H1503" s="29"/>
      <c r="I1503" s="29"/>
      <c r="J1503" s="51"/>
      <c r="K1503" s="47"/>
      <c r="L1503" s="447"/>
      <c r="M1503" s="489" t="s">
        <v>104</v>
      </c>
      <c r="N1503" s="716"/>
      <c r="O1503" s="186"/>
      <c r="P1503" s="79"/>
      <c r="Q1503" s="104"/>
      <c r="R1503" s="13"/>
      <c r="S1503" s="14"/>
      <c r="AL1503">
        <f t="shared" si="825"/>
        <v>0</v>
      </c>
      <c r="AM1503">
        <f t="shared" si="826"/>
        <v>0</v>
      </c>
      <c r="AN1503">
        <f t="shared" si="827"/>
        <v>0</v>
      </c>
      <c r="AV1503" t="str">
        <f>IF(F1503&gt;0,(COUNT($AV$1:AV1502)+1),"")</f>
        <v/>
      </c>
    </row>
    <row r="1504" spans="1:48" ht="15" customHeight="1" x14ac:dyDescent="0.25">
      <c r="A1504" s="1"/>
      <c r="B1504" s="31">
        <v>17311</v>
      </c>
      <c r="C1504" s="16">
        <v>4640043070378</v>
      </c>
      <c r="D1504" s="226" t="s">
        <v>1627</v>
      </c>
      <c r="E1504" s="69">
        <v>14</v>
      </c>
      <c r="F1504" s="222"/>
      <c r="G1504" s="108">
        <v>141.9</v>
      </c>
      <c r="H1504" s="17">
        <v>147.6</v>
      </c>
      <c r="I1504" s="18">
        <v>159</v>
      </c>
      <c r="J1504" s="113" t="s">
        <v>567</v>
      </c>
      <c r="K1504" s="44" t="s">
        <v>99</v>
      </c>
      <c r="L1504" s="442"/>
      <c r="M1504" s="480" t="s">
        <v>1856</v>
      </c>
      <c r="N1504" s="1015" t="s">
        <v>1856</v>
      </c>
      <c r="O1504" s="210"/>
      <c r="P1504" s="68" t="s">
        <v>72</v>
      </c>
      <c r="Q1504" s="100">
        <f>IF($AO$1459=2,F1504*H1504,IF($AO$1459=1,F1504*G1504,F1504*I1504))</f>
        <v>0</v>
      </c>
      <c r="R1504" s="13" t="str">
        <f t="shared" si="810"/>
        <v>Фото &gt;&gt;</v>
      </c>
      <c r="S1504" s="14" t="s">
        <v>596</v>
      </c>
      <c r="AK1504">
        <v>0.27</v>
      </c>
      <c r="AL1504">
        <f t="shared" si="825"/>
        <v>0</v>
      </c>
      <c r="AM1504">
        <f t="shared" si="826"/>
        <v>0</v>
      </c>
      <c r="AN1504">
        <f t="shared" si="827"/>
        <v>0</v>
      </c>
      <c r="AO1504" t="s">
        <v>2673</v>
      </c>
      <c r="AV1504" t="str">
        <f>IF(F1504&gt;0,(COUNT($AV$1:AV1503)+1),"")</f>
        <v/>
      </c>
    </row>
    <row r="1505" spans="1:48" ht="15" customHeight="1" x14ac:dyDescent="0.25">
      <c r="A1505" s="1"/>
      <c r="B1505" s="30">
        <v>17314</v>
      </c>
      <c r="C1505" s="20">
        <v>4640043070354</v>
      </c>
      <c r="D1505" s="225" t="s">
        <v>1626</v>
      </c>
      <c r="E1505" s="67">
        <v>14</v>
      </c>
      <c r="F1505" s="222"/>
      <c r="G1505" s="107">
        <v>146.6</v>
      </c>
      <c r="H1505" s="21">
        <v>152.5</v>
      </c>
      <c r="I1505" s="22">
        <v>164.2</v>
      </c>
      <c r="J1505" s="112" t="s">
        <v>567</v>
      </c>
      <c r="K1505" s="45" t="s">
        <v>99</v>
      </c>
      <c r="L1505" s="437"/>
      <c r="M1505" s="474" t="s">
        <v>1856</v>
      </c>
      <c r="N1505" s="1013" t="s">
        <v>1856</v>
      </c>
      <c r="O1505" s="209"/>
      <c r="P1505" s="66" t="s">
        <v>72</v>
      </c>
      <c r="Q1505" s="100">
        <f>IF($AO$1459=2,F1505*H1505,IF($AO$1459=1,F1505*G1505,F1505*I1505))</f>
        <v>0</v>
      </c>
      <c r="R1505" s="13" t="str">
        <f t="shared" si="810"/>
        <v>Фото &gt;&gt;</v>
      </c>
      <c r="S1505" s="14" t="s">
        <v>597</v>
      </c>
      <c r="AK1505">
        <v>0.27</v>
      </c>
      <c r="AL1505">
        <f t="shared" si="807"/>
        <v>0</v>
      </c>
      <c r="AM1505">
        <f t="shared" si="808"/>
        <v>0</v>
      </c>
      <c r="AN1505">
        <f t="shared" si="811"/>
        <v>0</v>
      </c>
      <c r="AO1505" t="s">
        <v>2674</v>
      </c>
      <c r="AV1505" t="str">
        <f>IF(F1505&gt;0,(COUNT($AV$1:AV1504)+1),"")</f>
        <v/>
      </c>
    </row>
    <row r="1506" spans="1:48" ht="15" customHeight="1" x14ac:dyDescent="0.25">
      <c r="A1506" s="1"/>
      <c r="B1506" s="125"/>
      <c r="C1506" s="126"/>
      <c r="D1506" s="127"/>
      <c r="E1506" s="134"/>
      <c r="F1506" s="189"/>
      <c r="G1506" s="130"/>
      <c r="H1506" s="131"/>
      <c r="I1506" s="132"/>
      <c r="J1506" s="128"/>
      <c r="K1506" s="129"/>
      <c r="L1506" s="433"/>
      <c r="M1506" s="481" t="s">
        <v>104</v>
      </c>
      <c r="N1506" s="471"/>
      <c r="O1506" s="181"/>
      <c r="P1506" s="133"/>
      <c r="Q1506" s="135"/>
      <c r="R1506" s="13"/>
      <c r="S1506" s="14"/>
      <c r="AV1506" t="str">
        <f>IF(F1506&gt;0,(COUNT($AV$1:AV1505)+1),"")</f>
        <v/>
      </c>
    </row>
    <row r="1507" spans="1:48" ht="15" customHeight="1" thickBot="1" x14ac:dyDescent="0.3">
      <c r="A1507" s="1"/>
      <c r="B1507" s="136"/>
      <c r="C1507" s="137"/>
      <c r="D1507" s="138"/>
      <c r="E1507" s="145"/>
      <c r="F1507" s="190"/>
      <c r="G1507" s="141"/>
      <c r="H1507" s="142"/>
      <c r="I1507" s="143"/>
      <c r="J1507" s="139"/>
      <c r="K1507" s="140"/>
      <c r="L1507" s="434"/>
      <c r="M1507" s="477" t="s">
        <v>104</v>
      </c>
      <c r="N1507" s="468"/>
      <c r="O1507" s="182"/>
      <c r="P1507" s="144"/>
      <c r="Q1507" s="146"/>
      <c r="R1507" s="13"/>
      <c r="S1507" s="14"/>
      <c r="AV1507" t="str">
        <f>IF(F1507&gt;0,(COUNT($AV$1:AV1506)+1),"")</f>
        <v/>
      </c>
    </row>
    <row r="1508" spans="1:48" ht="24.95" customHeight="1" thickBot="1" x14ac:dyDescent="0.3">
      <c r="A1508" s="1"/>
      <c r="B1508" s="266"/>
      <c r="C1508" s="267"/>
      <c r="D1508" s="268" t="str">
        <f>CONCATENATE("Грин Злак - Печенье ЗОЖ","     |     Сумма заказа: ",AK1508," руб.")</f>
        <v>Грин Злак - Печенье ЗОЖ     |     Сумма заказа: 0 руб.</v>
      </c>
      <c r="E1508" s="269"/>
      <c r="F1508" s="270"/>
      <c r="G1508" s="271" t="str">
        <f>CONCATENATE("Ценовая колонка: ",AO1508,"   |   До следующей скидки: ",AJ1508," руб.")</f>
        <v>Ценовая колонка: 3   |   До следующей скидки: 5000 руб.</v>
      </c>
      <c r="H1508" s="272"/>
      <c r="I1508" s="272"/>
      <c r="J1508" s="273" t="s">
        <v>2042</v>
      </c>
      <c r="K1508" s="274"/>
      <c r="L1508" s="451"/>
      <c r="M1508" s="495" t="s">
        <v>104</v>
      </c>
      <c r="N1508" s="571"/>
      <c r="O1508" s="275"/>
      <c r="P1508" s="276"/>
      <c r="Q1508" s="277"/>
      <c r="R1508" s="265" t="s">
        <v>1558</v>
      </c>
      <c r="S1508" s="6"/>
      <c r="AG1508" s="400"/>
      <c r="AH1508" s="400"/>
      <c r="AJ1508">
        <f>ROUND(IF(AL1508&gt;15000,"0", IF(AND(AL1508&lt;15000,AM1508&gt;5000),15000-AL1508,5000-AM1508)),2)</f>
        <v>5000</v>
      </c>
      <c r="AK1508">
        <f>SUM(Q1510:Q1517)</f>
        <v>0</v>
      </c>
      <c r="AL1508">
        <f>SUM(AL1510:AL1517)</f>
        <v>0</v>
      </c>
      <c r="AM1508">
        <f>SUM(AM1510:AM1517)</f>
        <v>0</v>
      </c>
      <c r="AO1508">
        <f>IF(AM1508&gt;5000,IF(AL1508&gt;15000,1,2),3)</f>
        <v>3</v>
      </c>
      <c r="AV1508" t="str">
        <f>IF(F1508&gt;0,(COUNT($AV$1:AV1507)+1),"")</f>
        <v/>
      </c>
    </row>
    <row r="1509" spans="1:48" ht="27.95" customHeight="1" x14ac:dyDescent="0.25">
      <c r="A1509" s="1"/>
      <c r="B1509" s="297"/>
      <c r="C1509" s="283"/>
      <c r="D1509" s="284"/>
      <c r="E1509" s="285"/>
      <c r="F1509" s="286"/>
      <c r="G1509" s="1231" t="s">
        <v>7588</v>
      </c>
      <c r="H1509" s="288" t="s">
        <v>16</v>
      </c>
      <c r="I1509" s="288"/>
      <c r="J1509" s="289"/>
      <c r="K1509" s="290"/>
      <c r="L1509" s="452"/>
      <c r="M1509" s="496"/>
      <c r="N1509" s="572"/>
      <c r="O1509" s="291"/>
      <c r="P1509" s="292"/>
      <c r="Q1509" s="293"/>
      <c r="R1509" s="2"/>
      <c r="S1509" s="6"/>
      <c r="AG1509" s="400"/>
      <c r="AH1509" s="400"/>
      <c r="AV1509" t="str">
        <f>IF(F1509&gt;0,(COUNT($AV$1:AV1508)+1),"")</f>
        <v/>
      </c>
    </row>
    <row r="1510" spans="1:48" ht="15" customHeight="1" x14ac:dyDescent="0.25">
      <c r="A1510" s="1"/>
      <c r="B1510" s="59">
        <v>19873</v>
      </c>
      <c r="C1510" s="23">
        <v>4673737039078</v>
      </c>
      <c r="D1510" s="156" t="s">
        <v>4717</v>
      </c>
      <c r="E1510" s="75">
        <v>15</v>
      </c>
      <c r="F1510" s="222"/>
      <c r="G1510" s="111">
        <v>147</v>
      </c>
      <c r="H1510" s="5">
        <v>154</v>
      </c>
      <c r="I1510" s="24">
        <v>170</v>
      </c>
      <c r="J1510" s="115" t="s">
        <v>2042</v>
      </c>
      <c r="K1510" s="46" t="s">
        <v>326</v>
      </c>
      <c r="L1510" s="440"/>
      <c r="M1510" s="482" t="s">
        <v>1856</v>
      </c>
      <c r="N1510" s="1002" t="s">
        <v>1856</v>
      </c>
      <c r="O1510" s="211" t="str">
        <f>IFERROR(IF(Q1510/F1510=99,"Ваша цена 99 руб",""),"")</f>
        <v/>
      </c>
      <c r="P1510" s="74" t="s">
        <v>53</v>
      </c>
      <c r="Q1510" s="100">
        <f t="shared" ref="Q1510:Q1521" si="831">IF(AND($AO$1508=1,MOD(F1510,E1510)=0),F1510*G1510,IF($AO$1508&lt;=2,F1510*H1510,F1510*I1510))</f>
        <v>0</v>
      </c>
      <c r="R1510" s="13" t="str">
        <f>IF(AO1510&gt;0,HYPERLINK(AO1510,"Фото &gt;&gt;"),"")</f>
        <v>Фото &gt;&gt;</v>
      </c>
      <c r="S1510" s="14" t="s">
        <v>2047</v>
      </c>
      <c r="AG1510" s="400"/>
      <c r="AH1510" s="400"/>
      <c r="AK1510">
        <v>0.16</v>
      </c>
      <c r="AL1510">
        <f>F1510*G1510</f>
        <v>0</v>
      </c>
      <c r="AM1510">
        <f>F1510*H1510</f>
        <v>0</v>
      </c>
      <c r="AN1510">
        <f t="shared" ref="AN1510:AN1521" si="832">AK1510*F1510</f>
        <v>0</v>
      </c>
      <c r="AO1510" t="s">
        <v>4723</v>
      </c>
      <c r="AS1510" s="298" t="s">
        <v>3792</v>
      </c>
      <c r="AV1510" t="str">
        <f>IF(F1510&gt;0,(COUNT($AV$1:AV1509)+1),"")</f>
        <v/>
      </c>
    </row>
    <row r="1511" spans="1:48" ht="15" customHeight="1" x14ac:dyDescent="0.25">
      <c r="A1511" s="1"/>
      <c r="B1511" s="522">
        <v>19875</v>
      </c>
      <c r="C1511" s="523">
        <v>4673737039009</v>
      </c>
      <c r="D1511" s="534" t="s">
        <v>4722</v>
      </c>
      <c r="E1511" s="524">
        <v>15</v>
      </c>
      <c r="F1511" s="222"/>
      <c r="G1511" s="525">
        <v>147</v>
      </c>
      <c r="H1511" s="526">
        <v>154</v>
      </c>
      <c r="I1511" s="527">
        <v>170</v>
      </c>
      <c r="J1511" s="528" t="s">
        <v>2042</v>
      </c>
      <c r="K1511" s="529" t="s">
        <v>326</v>
      </c>
      <c r="L1511" s="530"/>
      <c r="M1511" s="531" t="s">
        <v>1856</v>
      </c>
      <c r="N1511" s="1003" t="s">
        <v>1856</v>
      </c>
      <c r="O1511" s="532" t="str">
        <f>IFERROR(IF(Q1511/F1511=99,"Ваша цена 99 руб",""),"")</f>
        <v/>
      </c>
      <c r="P1511" s="533" t="s">
        <v>53</v>
      </c>
      <c r="Q1511" s="100">
        <f t="shared" si="831"/>
        <v>0</v>
      </c>
      <c r="R1511" s="13" t="str">
        <f>IF(AO1511&gt;0,HYPERLINK(AO1511,"Фото &gt;&gt;"),"")</f>
        <v>Фото &gt;&gt;</v>
      </c>
      <c r="S1511" s="14" t="s">
        <v>2043</v>
      </c>
      <c r="AG1511" s="400"/>
      <c r="AH1511" s="400"/>
      <c r="AK1511">
        <v>0.16</v>
      </c>
      <c r="AL1511">
        <f>F1511*G1511</f>
        <v>0</v>
      </c>
      <c r="AM1511">
        <f>F1511*H1511</f>
        <v>0</v>
      </c>
      <c r="AN1511">
        <f t="shared" si="832"/>
        <v>0</v>
      </c>
      <c r="AO1511" t="s">
        <v>4724</v>
      </c>
      <c r="AS1511" s="298" t="s">
        <v>3792</v>
      </c>
      <c r="AV1511" t="str">
        <f>IF(F1511&gt;0,(COUNT($AV$1:AV1510)+1),"")</f>
        <v/>
      </c>
    </row>
    <row r="1512" spans="1:48" ht="15" customHeight="1" x14ac:dyDescent="0.25">
      <c r="A1512" s="1"/>
      <c r="B1512" s="59">
        <v>19877</v>
      </c>
      <c r="C1512" s="23">
        <v>4673737039016</v>
      </c>
      <c r="D1512" s="156" t="s">
        <v>4715</v>
      </c>
      <c r="E1512" s="75">
        <v>15</v>
      </c>
      <c r="F1512" s="222"/>
      <c r="G1512" s="111">
        <v>147</v>
      </c>
      <c r="H1512" s="5">
        <v>154</v>
      </c>
      <c r="I1512" s="24">
        <v>170</v>
      </c>
      <c r="J1512" s="115" t="s">
        <v>2042</v>
      </c>
      <c r="K1512" s="46" t="s">
        <v>326</v>
      </c>
      <c r="L1512" s="440"/>
      <c r="M1512" s="482" t="s">
        <v>1856</v>
      </c>
      <c r="N1512" s="1002" t="s">
        <v>1856</v>
      </c>
      <c r="O1512" s="211" t="str">
        <f>IFERROR(IF(Q1512/F1512=99,"Ваша цена 99 руб",""),"")</f>
        <v/>
      </c>
      <c r="P1512" s="74" t="s">
        <v>53</v>
      </c>
      <c r="Q1512" s="100">
        <f t="shared" si="831"/>
        <v>0</v>
      </c>
      <c r="R1512" s="13" t="str">
        <f>IF(AO1512&gt;0,HYPERLINK(AO1512,"Фото &gt;&gt;"),"")</f>
        <v>Фото &gt;&gt;</v>
      </c>
      <c r="S1512" s="14" t="s">
        <v>2044</v>
      </c>
      <c r="AG1512" s="400"/>
      <c r="AH1512" s="400"/>
      <c r="AK1512">
        <v>0.16</v>
      </c>
      <c r="AL1512">
        <f t="shared" ref="AL1512:AL1514" si="833">F1512*G1512</f>
        <v>0</v>
      </c>
      <c r="AM1512">
        <f t="shared" ref="AM1512:AM1514" si="834">F1512*H1512</f>
        <v>0</v>
      </c>
      <c r="AN1512">
        <f t="shared" si="832"/>
        <v>0</v>
      </c>
      <c r="AO1512" t="s">
        <v>4725</v>
      </c>
      <c r="AS1512" s="298" t="s">
        <v>3792</v>
      </c>
      <c r="AV1512" t="str">
        <f>IF(F1512&gt;0,(COUNT($AV$1:AV1511)+1),"")</f>
        <v/>
      </c>
    </row>
    <row r="1513" spans="1:48" ht="15" customHeight="1" x14ac:dyDescent="0.25">
      <c r="A1513" s="1"/>
      <c r="B1513" s="522">
        <v>20397</v>
      </c>
      <c r="C1513" s="523">
        <v>4673734498007</v>
      </c>
      <c r="D1513" s="534" t="s">
        <v>4720</v>
      </c>
      <c r="E1513" s="524">
        <v>15</v>
      </c>
      <c r="F1513" s="222"/>
      <c r="G1513" s="525">
        <v>147</v>
      </c>
      <c r="H1513" s="526">
        <v>154</v>
      </c>
      <c r="I1513" s="527">
        <v>170</v>
      </c>
      <c r="J1513" s="528" t="s">
        <v>2042</v>
      </c>
      <c r="K1513" s="529" t="s">
        <v>326</v>
      </c>
      <c r="L1513" s="530"/>
      <c r="M1513" s="531" t="s">
        <v>1856</v>
      </c>
      <c r="N1513" s="1003" t="s">
        <v>1856</v>
      </c>
      <c r="O1513" s="532"/>
      <c r="P1513" s="533" t="s">
        <v>53</v>
      </c>
      <c r="Q1513" s="100">
        <f t="shared" si="831"/>
        <v>0</v>
      </c>
      <c r="R1513" s="13" t="str">
        <f t="shared" ref="R1513:R1518" si="835">IF(AO1513&gt;0,HYPERLINK(AO1513,"Фото &gt;&gt;"),"")</f>
        <v>Фото &gt;&gt;</v>
      </c>
      <c r="S1513" s="14" t="s">
        <v>4719</v>
      </c>
      <c r="AG1513" s="400"/>
      <c r="AH1513" s="400"/>
      <c r="AK1513">
        <v>0.17</v>
      </c>
      <c r="AL1513">
        <f t="shared" si="833"/>
        <v>0</v>
      </c>
      <c r="AM1513">
        <f t="shared" si="834"/>
        <v>0</v>
      </c>
      <c r="AN1513">
        <f t="shared" si="832"/>
        <v>0</v>
      </c>
      <c r="AO1513" t="s">
        <v>4726</v>
      </c>
      <c r="AV1513" t="str">
        <f>IF(F1513&gt;0,(COUNT($AV$1:AV1512)+1),"")</f>
        <v/>
      </c>
    </row>
    <row r="1514" spans="1:48" ht="15" customHeight="1" x14ac:dyDescent="0.25">
      <c r="A1514" s="1"/>
      <c r="B1514" s="59">
        <v>19876</v>
      </c>
      <c r="C1514" s="23">
        <v>4673737039023</v>
      </c>
      <c r="D1514" s="156" t="s">
        <v>4714</v>
      </c>
      <c r="E1514" s="75">
        <v>15</v>
      </c>
      <c r="F1514" s="222"/>
      <c r="G1514" s="111">
        <v>147</v>
      </c>
      <c r="H1514" s="5">
        <v>154</v>
      </c>
      <c r="I1514" s="24">
        <v>170</v>
      </c>
      <c r="J1514" s="115" t="s">
        <v>2042</v>
      </c>
      <c r="K1514" s="46" t="s">
        <v>326</v>
      </c>
      <c r="L1514" s="440"/>
      <c r="M1514" s="482" t="s">
        <v>1856</v>
      </c>
      <c r="N1514" s="1002" t="s">
        <v>1856</v>
      </c>
      <c r="O1514" s="211" t="str">
        <f t="shared" ref="O1514:O1521" si="836">IFERROR(IF(Q1514/F1514=99,"Ваша цена 99 руб",""),"")</f>
        <v/>
      </c>
      <c r="P1514" s="74" t="s">
        <v>53</v>
      </c>
      <c r="Q1514" s="100">
        <f t="shared" si="831"/>
        <v>0</v>
      </c>
      <c r="R1514" s="13" t="str">
        <f t="shared" si="835"/>
        <v>Фото &gt;&gt;</v>
      </c>
      <c r="S1514" s="14" t="s">
        <v>2045</v>
      </c>
      <c r="AG1514" s="400"/>
      <c r="AH1514" s="400"/>
      <c r="AK1514">
        <v>0.16</v>
      </c>
      <c r="AL1514">
        <f t="shared" si="833"/>
        <v>0</v>
      </c>
      <c r="AM1514">
        <f t="shared" si="834"/>
        <v>0</v>
      </c>
      <c r="AN1514">
        <f t="shared" si="832"/>
        <v>0</v>
      </c>
      <c r="AO1514" t="s">
        <v>4727</v>
      </c>
      <c r="AS1514" s="298" t="s">
        <v>3792</v>
      </c>
      <c r="AV1514" t="str">
        <f>IF(F1514&gt;0,(COUNT($AV$1:AV1513)+1),"")</f>
        <v/>
      </c>
    </row>
    <row r="1515" spans="1:48" ht="15" customHeight="1" x14ac:dyDescent="0.25">
      <c r="A1515" s="1"/>
      <c r="B1515" s="522">
        <v>19874</v>
      </c>
      <c r="C1515" s="523">
        <v>4673737039030</v>
      </c>
      <c r="D1515" s="534" t="s">
        <v>4721</v>
      </c>
      <c r="E1515" s="524">
        <v>15</v>
      </c>
      <c r="F1515" s="222"/>
      <c r="G1515" s="525">
        <v>147</v>
      </c>
      <c r="H1515" s="526">
        <v>154</v>
      </c>
      <c r="I1515" s="527">
        <v>170</v>
      </c>
      <c r="J1515" s="528" t="s">
        <v>2042</v>
      </c>
      <c r="K1515" s="529" t="s">
        <v>326</v>
      </c>
      <c r="L1515" s="530"/>
      <c r="M1515" s="531" t="s">
        <v>1856</v>
      </c>
      <c r="N1515" s="1003" t="s">
        <v>1856</v>
      </c>
      <c r="O1515" s="532" t="str">
        <f t="shared" si="836"/>
        <v/>
      </c>
      <c r="P1515" s="533" t="s">
        <v>53</v>
      </c>
      <c r="Q1515" s="100">
        <f t="shared" si="831"/>
        <v>0</v>
      </c>
      <c r="R1515" s="13" t="str">
        <f t="shared" si="835"/>
        <v>Фото &gt;&gt;</v>
      </c>
      <c r="S1515" s="14" t="s">
        <v>2046</v>
      </c>
      <c r="AG1515" s="400"/>
      <c r="AH1515" s="400"/>
      <c r="AK1515">
        <v>0.16</v>
      </c>
      <c r="AL1515">
        <f>F1515*G1515</f>
        <v>0</v>
      </c>
      <c r="AM1515">
        <f>F1515*H1515</f>
        <v>0</v>
      </c>
      <c r="AN1515">
        <f t="shared" si="832"/>
        <v>0</v>
      </c>
      <c r="AO1515" t="s">
        <v>4728</v>
      </c>
      <c r="AS1515" s="298" t="s">
        <v>3792</v>
      </c>
      <c r="AV1515" t="str">
        <f>IF(F1515&gt;0,(COUNT($AV$1:AV1514)+1),"")</f>
        <v/>
      </c>
    </row>
    <row r="1516" spans="1:48" ht="15" customHeight="1" x14ac:dyDescent="0.25">
      <c r="A1516" s="1"/>
      <c r="B1516" s="59">
        <v>19878</v>
      </c>
      <c r="C1516" s="23">
        <v>4673737039085</v>
      </c>
      <c r="D1516" s="156" t="s">
        <v>4716</v>
      </c>
      <c r="E1516" s="75">
        <v>15</v>
      </c>
      <c r="F1516" s="222"/>
      <c r="G1516" s="111">
        <v>147</v>
      </c>
      <c r="H1516" s="5">
        <v>154</v>
      </c>
      <c r="I1516" s="24">
        <v>170</v>
      </c>
      <c r="J1516" s="115" t="s">
        <v>2042</v>
      </c>
      <c r="K1516" s="46" t="s">
        <v>326</v>
      </c>
      <c r="L1516" s="440"/>
      <c r="M1516" s="482" t="s">
        <v>1856</v>
      </c>
      <c r="N1516" s="1002" t="s">
        <v>1856</v>
      </c>
      <c r="O1516" s="211" t="str">
        <f t="shared" si="836"/>
        <v/>
      </c>
      <c r="P1516" s="74" t="s">
        <v>53</v>
      </c>
      <c r="Q1516" s="100">
        <f t="shared" si="831"/>
        <v>0</v>
      </c>
      <c r="R1516" s="13" t="str">
        <f t="shared" si="835"/>
        <v>Фото &gt;&gt;</v>
      </c>
      <c r="S1516" s="14" t="s">
        <v>2048</v>
      </c>
      <c r="AG1516" s="400"/>
      <c r="AH1516" s="400"/>
      <c r="AK1516">
        <v>0.16</v>
      </c>
      <c r="AL1516">
        <f>F1516*G1516</f>
        <v>0</v>
      </c>
      <c r="AM1516">
        <f>F1516*H1516</f>
        <v>0</v>
      </c>
      <c r="AN1516">
        <f t="shared" si="832"/>
        <v>0</v>
      </c>
      <c r="AO1516" t="s">
        <v>4729</v>
      </c>
      <c r="AS1516" s="298" t="s">
        <v>3792</v>
      </c>
      <c r="AV1516" t="str">
        <f>IF(F1516&gt;0,(COUNT($AV$1:AV1515)+1),"")</f>
        <v/>
      </c>
    </row>
    <row r="1517" spans="1:48" ht="15" customHeight="1" x14ac:dyDescent="0.25">
      <c r="A1517" s="1"/>
      <c r="B1517" s="536">
        <v>19879</v>
      </c>
      <c r="C1517" s="317">
        <v>4673734498052</v>
      </c>
      <c r="D1517" s="513" t="s">
        <v>4718</v>
      </c>
      <c r="E1517" s="318">
        <v>15</v>
      </c>
      <c r="F1517" s="222"/>
      <c r="G1517" s="510">
        <v>147</v>
      </c>
      <c r="H1517" s="511">
        <v>154</v>
      </c>
      <c r="I1517" s="512">
        <v>170</v>
      </c>
      <c r="J1517" s="319" t="s">
        <v>2042</v>
      </c>
      <c r="K1517" s="320" t="s">
        <v>326</v>
      </c>
      <c r="L1517" s="432"/>
      <c r="M1517" s="493" t="s">
        <v>1856</v>
      </c>
      <c r="N1517" s="1004" t="s">
        <v>1856</v>
      </c>
      <c r="O1517" s="322" t="str">
        <f t="shared" si="836"/>
        <v/>
      </c>
      <c r="P1517" s="321" t="s">
        <v>53</v>
      </c>
      <c r="Q1517" s="100">
        <f t="shared" si="831"/>
        <v>0</v>
      </c>
      <c r="R1517" s="13" t="str">
        <f t="shared" si="835"/>
        <v>Фото &gt;&gt;</v>
      </c>
      <c r="S1517" s="14" t="s">
        <v>2049</v>
      </c>
      <c r="AG1517" s="400"/>
      <c r="AH1517" s="400"/>
      <c r="AK1517">
        <v>0.16</v>
      </c>
      <c r="AL1517">
        <f>F1517*G1517</f>
        <v>0</v>
      </c>
      <c r="AM1517">
        <f>F1517*H1517</f>
        <v>0</v>
      </c>
      <c r="AN1517">
        <f t="shared" si="832"/>
        <v>0</v>
      </c>
      <c r="AO1517" t="s">
        <v>4730</v>
      </c>
      <c r="AS1517" s="298" t="s">
        <v>3792</v>
      </c>
      <c r="AV1517" t="str">
        <f>IF(F1517&gt;0,(COUNT($AV$1:AV1516)+1),"")</f>
        <v/>
      </c>
    </row>
    <row r="1518" spans="1:48" ht="15" customHeight="1" x14ac:dyDescent="0.25">
      <c r="A1518" s="1"/>
      <c r="B1518" s="914">
        <v>20401</v>
      </c>
      <c r="C1518" s="915">
        <v>4673734498090</v>
      </c>
      <c r="D1518" s="916" t="s">
        <v>4710</v>
      </c>
      <c r="E1518" s="917">
        <v>20</v>
      </c>
      <c r="F1518" s="222"/>
      <c r="G1518" s="918">
        <v>136</v>
      </c>
      <c r="H1518" s="919">
        <v>143</v>
      </c>
      <c r="I1518" s="920">
        <v>157</v>
      </c>
      <c r="J1518" s="921" t="s">
        <v>2042</v>
      </c>
      <c r="K1518" s="922" t="s">
        <v>326</v>
      </c>
      <c r="L1518" s="923"/>
      <c r="M1518" s="924" t="s">
        <v>1856</v>
      </c>
      <c r="N1518" s="1025" t="s">
        <v>1856</v>
      </c>
      <c r="O1518" s="925" t="str">
        <f t="shared" si="836"/>
        <v/>
      </c>
      <c r="P1518" s="926" t="s">
        <v>53</v>
      </c>
      <c r="Q1518" s="100">
        <f t="shared" si="831"/>
        <v>0</v>
      </c>
      <c r="R1518" s="13" t="str">
        <f t="shared" si="835"/>
        <v>Фото &gt;&gt;</v>
      </c>
      <c r="S1518" s="14" t="s">
        <v>3800</v>
      </c>
      <c r="AG1518" s="400"/>
      <c r="AH1518" s="400"/>
      <c r="AK1518">
        <v>0.12</v>
      </c>
      <c r="AL1518">
        <f t="shared" ref="AL1518:AL1521" si="837">F1518*G1518</f>
        <v>0</v>
      </c>
      <c r="AM1518">
        <f t="shared" ref="AM1518:AM1521" si="838">F1518*H1518</f>
        <v>0</v>
      </c>
      <c r="AN1518">
        <f t="shared" si="832"/>
        <v>0</v>
      </c>
      <c r="AO1518" t="s">
        <v>4731</v>
      </c>
      <c r="AS1518" s="298" t="s">
        <v>3792</v>
      </c>
      <c r="AV1518" t="str">
        <f>IF(F1518&gt;0,(COUNT($AV$1:AV1517)+1),"")</f>
        <v/>
      </c>
    </row>
    <row r="1519" spans="1:48" ht="15" customHeight="1" x14ac:dyDescent="0.25">
      <c r="A1519" s="1"/>
      <c r="B1519" s="522">
        <v>20398</v>
      </c>
      <c r="C1519" s="523">
        <v>4673734498069</v>
      </c>
      <c r="D1519" s="534" t="s">
        <v>4711</v>
      </c>
      <c r="E1519" s="524">
        <v>20</v>
      </c>
      <c r="F1519" s="222"/>
      <c r="G1519" s="525">
        <v>136</v>
      </c>
      <c r="H1519" s="526">
        <v>143</v>
      </c>
      <c r="I1519" s="527">
        <v>157</v>
      </c>
      <c r="J1519" s="528" t="s">
        <v>2042</v>
      </c>
      <c r="K1519" s="529" t="s">
        <v>326</v>
      </c>
      <c r="L1519" s="530"/>
      <c r="M1519" s="531" t="s">
        <v>1856</v>
      </c>
      <c r="N1519" s="1003" t="s">
        <v>1856</v>
      </c>
      <c r="O1519" s="532" t="str">
        <f t="shared" si="836"/>
        <v/>
      </c>
      <c r="P1519" s="533" t="s">
        <v>53</v>
      </c>
      <c r="Q1519" s="100">
        <f t="shared" si="831"/>
        <v>0</v>
      </c>
      <c r="R1519" s="13" t="str">
        <f>IF(AO1519&gt;0,HYPERLINK(AO1519,"Фото &gt;&gt;"),"")</f>
        <v>Фото &gt;&gt;</v>
      </c>
      <c r="S1519" s="14" t="s">
        <v>3794</v>
      </c>
      <c r="AG1519" s="400"/>
      <c r="AH1519" s="400"/>
      <c r="AK1519">
        <v>0.12</v>
      </c>
      <c r="AL1519">
        <f>F1519*G1519</f>
        <v>0</v>
      </c>
      <c r="AM1519">
        <f>F1519*H1519</f>
        <v>0</v>
      </c>
      <c r="AN1519">
        <f t="shared" si="832"/>
        <v>0</v>
      </c>
      <c r="AO1519" t="s">
        <v>4732</v>
      </c>
      <c r="AS1519" s="298" t="s">
        <v>3792</v>
      </c>
      <c r="AV1519" t="str">
        <f>IF(F1519&gt;0,(COUNT($AV$1:AV1518)+1),"")</f>
        <v/>
      </c>
    </row>
    <row r="1520" spans="1:48" ht="15" customHeight="1" x14ac:dyDescent="0.25">
      <c r="A1520" s="1"/>
      <c r="B1520" s="59">
        <v>20399</v>
      </c>
      <c r="C1520" s="23">
        <v>4673734498076</v>
      </c>
      <c r="D1520" s="237" t="s">
        <v>4712</v>
      </c>
      <c r="E1520" s="75">
        <v>20</v>
      </c>
      <c r="F1520" s="222"/>
      <c r="G1520" s="111">
        <v>136</v>
      </c>
      <c r="H1520" s="5">
        <v>143</v>
      </c>
      <c r="I1520" s="24">
        <v>157</v>
      </c>
      <c r="J1520" s="115" t="s">
        <v>2042</v>
      </c>
      <c r="K1520" s="46" t="s">
        <v>326</v>
      </c>
      <c r="L1520" s="440"/>
      <c r="M1520" s="482" t="s">
        <v>1856</v>
      </c>
      <c r="N1520" s="1002" t="s">
        <v>1856</v>
      </c>
      <c r="O1520" s="211" t="str">
        <f t="shared" si="836"/>
        <v/>
      </c>
      <c r="P1520" s="74" t="s">
        <v>53</v>
      </c>
      <c r="Q1520" s="100">
        <f t="shared" si="831"/>
        <v>0</v>
      </c>
      <c r="R1520" s="13" t="str">
        <f t="shared" ref="R1520:R1521" si="839">IF(AO1520&gt;0,HYPERLINK(AO1520,"Фото &gt;&gt;"),"")</f>
        <v>Фото &gt;&gt;</v>
      </c>
      <c r="S1520" s="14" t="s">
        <v>3799</v>
      </c>
      <c r="AG1520" s="400"/>
      <c r="AH1520" s="400"/>
      <c r="AK1520">
        <v>0.12</v>
      </c>
      <c r="AL1520">
        <f t="shared" si="837"/>
        <v>0</v>
      </c>
      <c r="AM1520">
        <f t="shared" si="838"/>
        <v>0</v>
      </c>
      <c r="AN1520">
        <f t="shared" si="832"/>
        <v>0</v>
      </c>
      <c r="AO1520" t="s">
        <v>4733</v>
      </c>
      <c r="AS1520" s="298" t="s">
        <v>3792</v>
      </c>
      <c r="AV1520" t="str">
        <f>IF(F1520&gt;0,(COUNT($AV$1:AV1519)+1),"")</f>
        <v/>
      </c>
    </row>
    <row r="1521" spans="1:48" ht="15" customHeight="1" x14ac:dyDescent="0.25">
      <c r="A1521" s="1"/>
      <c r="B1521" s="522">
        <v>20400</v>
      </c>
      <c r="C1521" s="523">
        <v>4673734498083</v>
      </c>
      <c r="D1521" s="534" t="s">
        <v>4713</v>
      </c>
      <c r="E1521" s="524">
        <v>20</v>
      </c>
      <c r="F1521" s="222"/>
      <c r="G1521" s="525">
        <v>136</v>
      </c>
      <c r="H1521" s="526">
        <v>143</v>
      </c>
      <c r="I1521" s="527">
        <v>157</v>
      </c>
      <c r="J1521" s="528" t="s">
        <v>2042</v>
      </c>
      <c r="K1521" s="529" t="s">
        <v>326</v>
      </c>
      <c r="L1521" s="530"/>
      <c r="M1521" s="531" t="s">
        <v>1856</v>
      </c>
      <c r="N1521" s="1003" t="s">
        <v>1856</v>
      </c>
      <c r="O1521" s="532" t="str">
        <f t="shared" si="836"/>
        <v/>
      </c>
      <c r="P1521" s="533" t="s">
        <v>53</v>
      </c>
      <c r="Q1521" s="100">
        <f t="shared" si="831"/>
        <v>0</v>
      </c>
      <c r="R1521" s="13" t="str">
        <f t="shared" si="839"/>
        <v>Фото &gt;&gt;</v>
      </c>
      <c r="S1521" s="14" t="s">
        <v>3798</v>
      </c>
      <c r="AG1521" s="400"/>
      <c r="AH1521" s="400"/>
      <c r="AK1521">
        <v>0.12</v>
      </c>
      <c r="AL1521">
        <f t="shared" si="837"/>
        <v>0</v>
      </c>
      <c r="AM1521">
        <f t="shared" si="838"/>
        <v>0</v>
      </c>
      <c r="AN1521">
        <f t="shared" si="832"/>
        <v>0</v>
      </c>
      <c r="AO1521" t="s">
        <v>4734</v>
      </c>
      <c r="AS1521" s="298" t="s">
        <v>3792</v>
      </c>
      <c r="AV1521" t="str">
        <f>IF(F1521&gt;0,(COUNT($AV$1:AV1520)+1),"")</f>
        <v/>
      </c>
    </row>
    <row r="1522" spans="1:48" ht="15" customHeight="1" x14ac:dyDescent="0.25">
      <c r="A1522" s="1"/>
      <c r="B1522" s="125"/>
      <c r="C1522" s="126"/>
      <c r="D1522" s="127"/>
      <c r="E1522" s="134"/>
      <c r="F1522" s="189"/>
      <c r="G1522" s="130"/>
      <c r="H1522" s="131"/>
      <c r="I1522" s="132"/>
      <c r="J1522" s="128"/>
      <c r="K1522" s="129"/>
      <c r="L1522" s="433"/>
      <c r="M1522" s="481" t="s">
        <v>104</v>
      </c>
      <c r="N1522" s="471"/>
      <c r="O1522" s="181"/>
      <c r="P1522" s="133"/>
      <c r="Q1522" s="135"/>
      <c r="R1522" s="13"/>
      <c r="S1522" s="14"/>
      <c r="AG1522" s="400"/>
      <c r="AH1522" s="400"/>
      <c r="AV1522" t="str">
        <f>IF(F1522&gt;0,(COUNT($AV$1:AV1521)+1),"")</f>
        <v/>
      </c>
    </row>
    <row r="1523" spans="1:48" ht="15" customHeight="1" thickBot="1" x14ac:dyDescent="0.3">
      <c r="A1523" s="1"/>
      <c r="B1523" s="158"/>
      <c r="C1523" s="159"/>
      <c r="D1523" s="160"/>
      <c r="E1523" s="167"/>
      <c r="F1523" s="191"/>
      <c r="G1523" s="163"/>
      <c r="H1523" s="164"/>
      <c r="I1523" s="165"/>
      <c r="J1523" s="161"/>
      <c r="K1523" s="162"/>
      <c r="L1523" s="439"/>
      <c r="M1523" s="475" t="s">
        <v>104</v>
      </c>
      <c r="N1523" s="467"/>
      <c r="O1523" s="183"/>
      <c r="P1523" s="166"/>
      <c r="Q1523" s="168"/>
      <c r="R1523" s="13"/>
      <c r="S1523" s="14"/>
      <c r="AG1523" s="400"/>
      <c r="AH1523" s="400"/>
      <c r="AV1523" t="str">
        <f>IF(F1523&gt;0,(COUNT($AV$1:AV1522)+1),"")</f>
        <v/>
      </c>
    </row>
    <row r="1524" spans="1:48" ht="24.95" customHeight="1" thickBot="1" x14ac:dyDescent="0.3">
      <c r="A1524" s="1"/>
      <c r="B1524" s="266"/>
      <c r="C1524" s="267"/>
      <c r="D1524" s="268" t="str">
        <f>CONCATENATE("Missis Pickez (Здраво фуд)","     |     Сумма заказа: ",AK1524," руб.")</f>
        <v>Missis Pickez (Здраво фуд)     |     Сумма заказа: 0 руб.</v>
      </c>
      <c r="E1524" s="269"/>
      <c r="F1524" s="270"/>
      <c r="G1524" s="271" t="str">
        <f>CONCATENATE("Ценовая колонка: ",AO1524,"   |   До следующей скидки: ",AJ1524," руб.")</f>
        <v>Ценовая колонка: 3   |   До следующей скидки: 5000 руб.</v>
      </c>
      <c r="H1524" s="272"/>
      <c r="I1524" s="272"/>
      <c r="J1524" s="273" t="s">
        <v>3971</v>
      </c>
      <c r="K1524" s="274"/>
      <c r="L1524" s="451"/>
      <c r="M1524" s="495"/>
      <c r="N1524" s="571"/>
      <c r="O1524" s="275"/>
      <c r="P1524" s="276"/>
      <c r="Q1524" s="277"/>
      <c r="R1524" s="265" t="s">
        <v>1558</v>
      </c>
      <c r="S1524" s="6"/>
      <c r="AJ1524">
        <f>ROUND(IF(AL1524&gt;20000,"0", IF(AND(AL1524&lt;20000,AM1524&gt;5000),20000-AL1524,5000-AM1524)),2)</f>
        <v>5000</v>
      </c>
      <c r="AK1524">
        <f>SUM(Q1531:Q1555)</f>
        <v>0</v>
      </c>
      <c r="AL1524">
        <f>SUM(AL1531:AL1555)</f>
        <v>0</v>
      </c>
      <c r="AM1524">
        <f>SUM(AM1531:AM1555)</f>
        <v>0</v>
      </c>
      <c r="AO1524">
        <f>IF(AM1524&gt;5000,IF(AL1524&gt;20000,1,2),3)</f>
        <v>3</v>
      </c>
      <c r="AV1524" t="str">
        <f>IF(F1524&gt;0,(COUNT($AV$1:AV1523)+1),"")</f>
        <v/>
      </c>
    </row>
    <row r="1525" spans="1:48" ht="15" customHeight="1" x14ac:dyDescent="0.25">
      <c r="A1525" s="1"/>
      <c r="B1525" s="294"/>
      <c r="C1525" s="243"/>
      <c r="D1525" s="263" t="s">
        <v>2964</v>
      </c>
      <c r="E1525" s="244"/>
      <c r="F1525" s="245"/>
      <c r="G1525" s="246"/>
      <c r="H1525" s="247"/>
      <c r="I1525" s="247"/>
      <c r="J1525" s="248"/>
      <c r="K1525" s="249"/>
      <c r="L1525" s="435"/>
      <c r="M1525" s="478"/>
      <c r="N1525" s="469"/>
      <c r="O1525" s="250"/>
      <c r="P1525" s="251"/>
      <c r="Q1525" s="252"/>
      <c r="R1525" s="13"/>
      <c r="S1525" s="14"/>
      <c r="AV1525" t="str">
        <f>IF(F1525&gt;0,(COUNT($AV$1:AV1524)+1),"")</f>
        <v/>
      </c>
    </row>
    <row r="1526" spans="1:48" ht="15" customHeight="1" x14ac:dyDescent="0.25">
      <c r="A1526" s="1"/>
      <c r="B1526" s="158"/>
      <c r="C1526" s="159"/>
      <c r="D1526" s="263" t="s">
        <v>3972</v>
      </c>
      <c r="E1526" s="238"/>
      <c r="F1526" s="203"/>
      <c r="G1526" s="239"/>
      <c r="H1526" s="240"/>
      <c r="I1526" s="240"/>
      <c r="J1526" s="241"/>
      <c r="K1526" s="201"/>
      <c r="L1526" s="428"/>
      <c r="M1526" s="475"/>
      <c r="N1526" s="467"/>
      <c r="O1526" s="166"/>
      <c r="P1526" s="242"/>
      <c r="Q1526" s="202"/>
      <c r="R1526" s="13"/>
      <c r="S1526" s="14"/>
      <c r="AV1526" t="str">
        <f>IF(F1526&gt;0,(COUNT($AV$1:AV1525)+1),"")</f>
        <v/>
      </c>
    </row>
    <row r="1527" spans="1:48" ht="15" customHeight="1" x14ac:dyDescent="0.25">
      <c r="A1527" s="1"/>
      <c r="B1527" s="158"/>
      <c r="C1527" s="159"/>
      <c r="D1527" s="263" t="s">
        <v>3973</v>
      </c>
      <c r="E1527" s="238"/>
      <c r="F1527" s="203"/>
      <c r="G1527" s="239"/>
      <c r="H1527" s="240"/>
      <c r="I1527" s="240"/>
      <c r="J1527" s="241"/>
      <c r="K1527" s="201"/>
      <c r="L1527" s="428"/>
      <c r="M1527" s="475"/>
      <c r="N1527" s="467"/>
      <c r="O1527" s="166"/>
      <c r="P1527" s="242"/>
      <c r="Q1527" s="202"/>
      <c r="R1527" s="13"/>
      <c r="S1527" s="14"/>
      <c r="AV1527" t="str">
        <f>IF(F1527&gt;0,(COUNT($AV$1:AV1526)+1),"")</f>
        <v/>
      </c>
    </row>
    <row r="1528" spans="1:48" ht="15" customHeight="1" x14ac:dyDescent="0.25">
      <c r="A1528" s="1"/>
      <c r="B1528" s="158"/>
      <c r="C1528" s="159"/>
      <c r="D1528" s="263"/>
      <c r="E1528" s="238"/>
      <c r="F1528" s="203"/>
      <c r="G1528" s="239"/>
      <c r="H1528" s="240"/>
      <c r="I1528" s="240"/>
      <c r="J1528" s="241"/>
      <c r="K1528" s="201"/>
      <c r="L1528" s="428"/>
      <c r="M1528" s="475"/>
      <c r="N1528" s="467"/>
      <c r="O1528" s="166"/>
      <c r="P1528" s="242"/>
      <c r="Q1528" s="202"/>
      <c r="R1528" s="13"/>
      <c r="S1528" s="14"/>
      <c r="AV1528" t="str">
        <f>IF(F1528&gt;0,(COUNT($AV$1:AV1527)+1),"")</f>
        <v/>
      </c>
    </row>
    <row r="1529" spans="1:48" ht="15" customHeight="1" x14ac:dyDescent="0.25">
      <c r="A1529" s="1"/>
      <c r="B1529" s="295"/>
      <c r="C1529" s="253"/>
      <c r="D1529" s="263"/>
      <c r="E1529" s="254"/>
      <c r="F1529" s="255"/>
      <c r="G1529" s="256"/>
      <c r="H1529" s="257"/>
      <c r="I1529" s="257"/>
      <c r="J1529" s="258"/>
      <c r="K1529" s="259"/>
      <c r="L1529" s="436"/>
      <c r="M1529" s="479"/>
      <c r="N1529" s="470"/>
      <c r="O1529" s="260"/>
      <c r="P1529" s="261"/>
      <c r="Q1529" s="262"/>
      <c r="R1529" s="13"/>
      <c r="S1529" s="14"/>
      <c r="AV1529" t="str">
        <f>IF(F1529&gt;0,(COUNT($AV$1:AV1528)+1),"")</f>
        <v/>
      </c>
    </row>
    <row r="1530" spans="1:48" ht="27.95" customHeight="1" x14ac:dyDescent="0.25">
      <c r="A1530" s="1"/>
      <c r="B1530" s="297"/>
      <c r="C1530" s="283"/>
      <c r="D1530" s="284" t="s">
        <v>3954</v>
      </c>
      <c r="E1530" s="285"/>
      <c r="F1530" s="286"/>
      <c r="G1530" s="1231" t="s">
        <v>7587</v>
      </c>
      <c r="H1530" s="288" t="s">
        <v>16</v>
      </c>
      <c r="I1530" s="288" t="s">
        <v>221</v>
      </c>
      <c r="J1530" s="289"/>
      <c r="K1530" s="290"/>
      <c r="L1530" s="452"/>
      <c r="M1530" s="496"/>
      <c r="N1530" s="572"/>
      <c r="O1530" s="291"/>
      <c r="P1530" s="292"/>
      <c r="Q1530" s="293"/>
      <c r="R1530" s="2"/>
      <c r="S1530" s="6"/>
      <c r="AV1530" t="str">
        <f>IF(F1530&gt;0,(COUNT($AV$1:AV1529)+1),"")</f>
        <v/>
      </c>
    </row>
    <row r="1531" spans="1:48" ht="15" customHeight="1" x14ac:dyDescent="0.25">
      <c r="A1531" s="1"/>
      <c r="B1531" s="552">
        <v>20910</v>
      </c>
      <c r="C1531" s="553">
        <v>4630179970994</v>
      </c>
      <c r="D1531" s="554" t="s">
        <v>6578</v>
      </c>
      <c r="E1531" s="555">
        <v>14</v>
      </c>
      <c r="F1531" s="222"/>
      <c r="G1531" s="556">
        <v>120</v>
      </c>
      <c r="H1531" s="557">
        <v>125</v>
      </c>
      <c r="I1531" s="558">
        <v>137</v>
      </c>
      <c r="J1531" s="559" t="s">
        <v>3971</v>
      </c>
      <c r="K1531" s="560" t="s">
        <v>326</v>
      </c>
      <c r="L1531" s="561" t="s">
        <v>4740</v>
      </c>
      <c r="M1531" s="562" t="s">
        <v>1856</v>
      </c>
      <c r="N1531" s="1007" t="s">
        <v>1856</v>
      </c>
      <c r="O1531" s="563"/>
      <c r="P1531" s="564" t="s">
        <v>72</v>
      </c>
      <c r="Q1531" s="521">
        <f t="shared" ref="Q1531:Q1555" si="840">IF(AND($AO$1524=1,MOD(F1531,E1531)=0),F1531*G1531,IF($AO$1524&lt;=2,F1531*H1531,F1531*I1531))</f>
        <v>0</v>
      </c>
      <c r="R1531" s="13" t="str">
        <f t="shared" ref="R1531" si="841">IF(AO1531&gt;0,HYPERLINK(AO1531,"Фото &gt;&gt;"),"")</f>
        <v>Фото &gt;&gt;</v>
      </c>
      <c r="S1531" s="14" t="s">
        <v>4738</v>
      </c>
      <c r="AK1531">
        <v>0.115</v>
      </c>
      <c r="AL1531">
        <f t="shared" ref="AL1531:AL1532" si="842">F1531*G1531</f>
        <v>0</v>
      </c>
      <c r="AM1531">
        <f t="shared" ref="AM1531:AM1532" si="843">F1531*H1531</f>
        <v>0</v>
      </c>
      <c r="AN1531">
        <f t="shared" ref="AN1531:AN1532" si="844">AK1531*F1531+IF(E1531&gt;1.01,F1531/E1531*0.2,0)</f>
        <v>0</v>
      </c>
      <c r="AO1531" t="s">
        <v>4742</v>
      </c>
      <c r="AV1531" t="str">
        <f>IF(F1531&gt;0,(COUNT($AV$1:AV1530)+1),"")</f>
        <v/>
      </c>
    </row>
    <row r="1532" spans="1:48" ht="15" customHeight="1" x14ac:dyDescent="0.25">
      <c r="A1532" s="1"/>
      <c r="B1532" s="32">
        <v>20909</v>
      </c>
      <c r="C1532" s="33">
        <v>4630179970956</v>
      </c>
      <c r="D1532" s="227" t="s">
        <v>6579</v>
      </c>
      <c r="E1532" s="71">
        <v>14</v>
      </c>
      <c r="F1532" s="222"/>
      <c r="G1532" s="109">
        <v>120</v>
      </c>
      <c r="H1532" s="34">
        <v>125</v>
      </c>
      <c r="I1532" s="35">
        <v>137</v>
      </c>
      <c r="J1532" s="114" t="s">
        <v>3971</v>
      </c>
      <c r="K1532" s="57" t="s">
        <v>326</v>
      </c>
      <c r="L1532" s="438" t="s">
        <v>4740</v>
      </c>
      <c r="M1532" s="484" t="s">
        <v>1856</v>
      </c>
      <c r="N1532" s="1008" t="s">
        <v>1856</v>
      </c>
      <c r="O1532" s="219"/>
      <c r="P1532" s="70" t="s">
        <v>72</v>
      </c>
      <c r="Q1532" s="521">
        <f t="shared" si="840"/>
        <v>0</v>
      </c>
      <c r="R1532" s="13" t="str">
        <f t="shared" ref="R1532:R1555" si="845">IF(AO1532&gt;0,HYPERLINK(AO1532,"Фото &gt;&gt;"),"")</f>
        <v>Фото &gt;&gt;</v>
      </c>
      <c r="S1532" s="14" t="s">
        <v>4739</v>
      </c>
      <c r="AK1532">
        <v>0.11</v>
      </c>
      <c r="AL1532">
        <f t="shared" si="842"/>
        <v>0</v>
      </c>
      <c r="AM1532">
        <f t="shared" si="843"/>
        <v>0</v>
      </c>
      <c r="AN1532">
        <f t="shared" si="844"/>
        <v>0</v>
      </c>
      <c r="AO1532" t="s">
        <v>4743</v>
      </c>
      <c r="AV1532" t="str">
        <f>IF(F1532&gt;0,(COUNT($AV$1:AV1531)+1),"")</f>
        <v/>
      </c>
    </row>
    <row r="1533" spans="1:48" ht="15" customHeight="1" x14ac:dyDescent="0.25">
      <c r="A1533" s="1"/>
      <c r="B1533" s="552">
        <v>20908</v>
      </c>
      <c r="C1533" s="553">
        <v>4630179971007</v>
      </c>
      <c r="D1533" s="554" t="s">
        <v>6580</v>
      </c>
      <c r="E1533" s="555">
        <v>14</v>
      </c>
      <c r="F1533" s="222"/>
      <c r="G1533" s="556">
        <v>120</v>
      </c>
      <c r="H1533" s="557">
        <v>125</v>
      </c>
      <c r="I1533" s="558">
        <v>137</v>
      </c>
      <c r="J1533" s="559" t="s">
        <v>3971</v>
      </c>
      <c r="K1533" s="560" t="s">
        <v>326</v>
      </c>
      <c r="L1533" s="561" t="s">
        <v>4740</v>
      </c>
      <c r="M1533" s="562" t="s">
        <v>1856</v>
      </c>
      <c r="N1533" s="1007" t="s">
        <v>1856</v>
      </c>
      <c r="O1533" s="563"/>
      <c r="P1533" s="564" t="s">
        <v>72</v>
      </c>
      <c r="Q1533" s="521">
        <f t="shared" si="840"/>
        <v>0</v>
      </c>
      <c r="R1533" s="13" t="str">
        <f t="shared" si="845"/>
        <v>Фото &gt;&gt;</v>
      </c>
      <c r="S1533" s="14" t="s">
        <v>4741</v>
      </c>
      <c r="AK1533">
        <v>0.11</v>
      </c>
      <c r="AL1533">
        <f t="shared" ref="AL1533:AL1555" si="846">F1533*G1533</f>
        <v>0</v>
      </c>
      <c r="AM1533">
        <f t="shared" ref="AM1533:AM1555" si="847">F1533*H1533</f>
        <v>0</v>
      </c>
      <c r="AN1533">
        <f t="shared" ref="AN1533:AN1555" si="848">AK1533*F1533+IF(E1533&gt;1.01,F1533/E1533*0.2,0)</f>
        <v>0</v>
      </c>
      <c r="AO1533" t="s">
        <v>4744</v>
      </c>
      <c r="AV1533" t="str">
        <f>IF(F1533&gt;0,(COUNT($AV$1:AV1532)+1),"")</f>
        <v/>
      </c>
    </row>
    <row r="1534" spans="1:48" ht="15" customHeight="1" x14ac:dyDescent="0.25">
      <c r="A1534" s="1"/>
      <c r="B1534" s="32">
        <v>20839</v>
      </c>
      <c r="C1534" s="33">
        <v>4630179970901</v>
      </c>
      <c r="D1534" s="227" t="s">
        <v>6581</v>
      </c>
      <c r="E1534" s="71">
        <v>14</v>
      </c>
      <c r="F1534" s="222"/>
      <c r="G1534" s="109">
        <v>120</v>
      </c>
      <c r="H1534" s="34">
        <v>125</v>
      </c>
      <c r="I1534" s="35">
        <v>137</v>
      </c>
      <c r="J1534" s="114" t="s">
        <v>3971</v>
      </c>
      <c r="K1534" s="57" t="s">
        <v>326</v>
      </c>
      <c r="L1534" s="438"/>
      <c r="M1534" s="484" t="s">
        <v>1856</v>
      </c>
      <c r="N1534" s="1008" t="s">
        <v>1856</v>
      </c>
      <c r="O1534" s="219"/>
      <c r="P1534" s="70" t="s">
        <v>72</v>
      </c>
      <c r="Q1534" s="521">
        <f t="shared" si="840"/>
        <v>0</v>
      </c>
      <c r="R1534" s="13" t="str">
        <f t="shared" si="845"/>
        <v>Фото &gt;&gt;</v>
      </c>
      <c r="S1534" s="14" t="s">
        <v>6594</v>
      </c>
      <c r="AK1534">
        <v>0.115</v>
      </c>
      <c r="AL1534">
        <f t="shared" si="846"/>
        <v>0</v>
      </c>
      <c r="AM1534">
        <f t="shared" si="847"/>
        <v>0</v>
      </c>
      <c r="AN1534">
        <f t="shared" si="848"/>
        <v>0</v>
      </c>
      <c r="AO1534" t="s">
        <v>4573</v>
      </c>
      <c r="AV1534" t="str">
        <f>IF(F1534&gt;0,(COUNT($AV$1:AV1533)+1),"")</f>
        <v/>
      </c>
    </row>
    <row r="1535" spans="1:48" ht="15" customHeight="1" x14ac:dyDescent="0.25">
      <c r="A1535" s="1"/>
      <c r="B1535" s="552">
        <v>20840</v>
      </c>
      <c r="C1535" s="553">
        <v>4630179970888</v>
      </c>
      <c r="D1535" s="554" t="s">
        <v>6582</v>
      </c>
      <c r="E1535" s="555">
        <v>14</v>
      </c>
      <c r="F1535" s="222"/>
      <c r="G1535" s="556">
        <v>120</v>
      </c>
      <c r="H1535" s="557">
        <v>125</v>
      </c>
      <c r="I1535" s="558">
        <v>137</v>
      </c>
      <c r="J1535" s="559" t="s">
        <v>3971</v>
      </c>
      <c r="K1535" s="560" t="s">
        <v>326</v>
      </c>
      <c r="L1535" s="561"/>
      <c r="M1535" s="562" t="s">
        <v>1856</v>
      </c>
      <c r="N1535" s="1007" t="s">
        <v>1856</v>
      </c>
      <c r="O1535" s="563"/>
      <c r="P1535" s="564" t="s">
        <v>72</v>
      </c>
      <c r="Q1535" s="521">
        <f t="shared" si="840"/>
        <v>0</v>
      </c>
      <c r="R1535" s="13" t="str">
        <f t="shared" si="845"/>
        <v>Фото &gt;&gt;</v>
      </c>
      <c r="S1535" s="14" t="s">
        <v>6595</v>
      </c>
      <c r="AK1535">
        <v>0.115</v>
      </c>
      <c r="AL1535">
        <f t="shared" si="846"/>
        <v>0</v>
      </c>
      <c r="AM1535">
        <f t="shared" si="847"/>
        <v>0</v>
      </c>
      <c r="AN1535">
        <f t="shared" si="848"/>
        <v>0</v>
      </c>
      <c r="AO1535" t="s">
        <v>4574</v>
      </c>
      <c r="AV1535" t="str">
        <f>IF(F1535&gt;0,(COUNT($AV$1:AV1534)+1),"")</f>
        <v/>
      </c>
    </row>
    <row r="1536" spans="1:48" ht="15" customHeight="1" x14ac:dyDescent="0.25">
      <c r="A1536" s="1"/>
      <c r="B1536" s="32">
        <v>20841</v>
      </c>
      <c r="C1536" s="33">
        <v>4630179970871</v>
      </c>
      <c r="D1536" s="227" t="s">
        <v>6583</v>
      </c>
      <c r="E1536" s="71">
        <v>14</v>
      </c>
      <c r="F1536" s="222"/>
      <c r="G1536" s="109">
        <v>120</v>
      </c>
      <c r="H1536" s="34">
        <v>125</v>
      </c>
      <c r="I1536" s="35">
        <v>137</v>
      </c>
      <c r="J1536" s="114" t="s">
        <v>3971</v>
      </c>
      <c r="K1536" s="57" t="s">
        <v>326</v>
      </c>
      <c r="L1536" s="438"/>
      <c r="M1536" s="484" t="s">
        <v>1856</v>
      </c>
      <c r="N1536" s="1008" t="s">
        <v>1856</v>
      </c>
      <c r="O1536" s="219"/>
      <c r="P1536" s="70" t="s">
        <v>72</v>
      </c>
      <c r="Q1536" s="521">
        <f t="shared" si="840"/>
        <v>0</v>
      </c>
      <c r="R1536" s="13" t="str">
        <f t="shared" si="845"/>
        <v>Фото &gt;&gt;</v>
      </c>
      <c r="S1536" s="14" t="s">
        <v>6596</v>
      </c>
      <c r="AK1536">
        <v>0.115</v>
      </c>
      <c r="AL1536">
        <f t="shared" si="846"/>
        <v>0</v>
      </c>
      <c r="AM1536">
        <f t="shared" si="847"/>
        <v>0</v>
      </c>
      <c r="AN1536">
        <f t="shared" si="848"/>
        <v>0</v>
      </c>
      <c r="AO1536" t="s">
        <v>4575</v>
      </c>
      <c r="AV1536" t="str">
        <f>IF(F1536&gt;0,(COUNT($AV$1:AV1535)+1),"")</f>
        <v/>
      </c>
    </row>
    <row r="1537" spans="1:48" ht="15" customHeight="1" x14ac:dyDescent="0.25">
      <c r="A1537" s="1"/>
      <c r="B1537" s="364">
        <v>20842</v>
      </c>
      <c r="C1537" s="365">
        <v>4630179970840</v>
      </c>
      <c r="D1537" s="514" t="s">
        <v>6584</v>
      </c>
      <c r="E1537" s="366">
        <v>14</v>
      </c>
      <c r="F1537" s="222"/>
      <c r="G1537" s="367">
        <v>120</v>
      </c>
      <c r="H1537" s="368">
        <v>125</v>
      </c>
      <c r="I1537" s="369">
        <v>137</v>
      </c>
      <c r="J1537" s="370" t="s">
        <v>3971</v>
      </c>
      <c r="K1537" s="371" t="s">
        <v>326</v>
      </c>
      <c r="L1537" s="431"/>
      <c r="M1537" s="494" t="s">
        <v>1856</v>
      </c>
      <c r="N1537" s="1000" t="s">
        <v>1856</v>
      </c>
      <c r="O1537" s="372"/>
      <c r="P1537" s="373" t="s">
        <v>72</v>
      </c>
      <c r="Q1537" s="521">
        <f t="shared" si="840"/>
        <v>0</v>
      </c>
      <c r="R1537" s="13" t="str">
        <f t="shared" si="845"/>
        <v>Фото &gt;&gt;</v>
      </c>
      <c r="S1537" s="14" t="s">
        <v>6597</v>
      </c>
      <c r="AK1537">
        <v>0.115</v>
      </c>
      <c r="AL1537">
        <f t="shared" si="846"/>
        <v>0</v>
      </c>
      <c r="AM1537">
        <f t="shared" si="847"/>
        <v>0</v>
      </c>
      <c r="AN1537">
        <f t="shared" si="848"/>
        <v>0</v>
      </c>
      <c r="AO1537" t="s">
        <v>4576</v>
      </c>
      <c r="AV1537" t="str">
        <f>IF(F1537&gt;0,(COUNT($AV$1:AV1536)+1),"")</f>
        <v/>
      </c>
    </row>
    <row r="1538" spans="1:48" ht="15" customHeight="1" x14ac:dyDescent="0.25">
      <c r="A1538" s="1"/>
      <c r="B1538" s="900">
        <v>20522</v>
      </c>
      <c r="C1538" s="901">
        <v>4630179970468</v>
      </c>
      <c r="D1538" s="902" t="s">
        <v>6585</v>
      </c>
      <c r="E1538" s="903">
        <v>14</v>
      </c>
      <c r="F1538" s="222"/>
      <c r="G1538" s="904">
        <v>120</v>
      </c>
      <c r="H1538" s="905">
        <v>125</v>
      </c>
      <c r="I1538" s="906">
        <v>137</v>
      </c>
      <c r="J1538" s="907" t="s">
        <v>3971</v>
      </c>
      <c r="K1538" s="908" t="s">
        <v>326</v>
      </c>
      <c r="L1538" s="909"/>
      <c r="M1538" s="910" t="s">
        <v>1856</v>
      </c>
      <c r="N1538" s="1026" t="s">
        <v>1856</v>
      </c>
      <c r="O1538" s="911"/>
      <c r="P1538" s="912" t="s">
        <v>53</v>
      </c>
      <c r="Q1538" s="521">
        <f t="shared" si="840"/>
        <v>0</v>
      </c>
      <c r="R1538" s="13" t="str">
        <f t="shared" si="845"/>
        <v>Фото &gt;&gt;</v>
      </c>
      <c r="S1538" s="14" t="s">
        <v>3737</v>
      </c>
      <c r="AK1538">
        <v>0.125</v>
      </c>
      <c r="AL1538">
        <f t="shared" si="846"/>
        <v>0</v>
      </c>
      <c r="AM1538">
        <f t="shared" si="847"/>
        <v>0</v>
      </c>
      <c r="AN1538">
        <f t="shared" si="848"/>
        <v>0</v>
      </c>
      <c r="AO1538" t="s">
        <v>4052</v>
      </c>
      <c r="AV1538" t="str">
        <f>IF(F1538&gt;0,(COUNT($AV$1:AV1537)+1),"")</f>
        <v/>
      </c>
    </row>
    <row r="1539" spans="1:48" ht="15" customHeight="1" x14ac:dyDescent="0.25">
      <c r="A1539" s="1"/>
      <c r="B1539" s="552">
        <v>20524</v>
      </c>
      <c r="C1539" s="553">
        <v>4630179970529</v>
      </c>
      <c r="D1539" s="554" t="s">
        <v>6586</v>
      </c>
      <c r="E1539" s="555">
        <v>14</v>
      </c>
      <c r="F1539" s="222"/>
      <c r="G1539" s="556">
        <v>120</v>
      </c>
      <c r="H1539" s="557">
        <v>125</v>
      </c>
      <c r="I1539" s="558">
        <v>137</v>
      </c>
      <c r="J1539" s="559" t="s">
        <v>3971</v>
      </c>
      <c r="K1539" s="560" t="s">
        <v>326</v>
      </c>
      <c r="L1539" s="561"/>
      <c r="M1539" s="562" t="s">
        <v>1856</v>
      </c>
      <c r="N1539" s="1007" t="s">
        <v>1856</v>
      </c>
      <c r="O1539" s="563"/>
      <c r="P1539" s="564" t="s">
        <v>53</v>
      </c>
      <c r="Q1539" s="521">
        <f t="shared" si="840"/>
        <v>0</v>
      </c>
      <c r="R1539" s="13" t="str">
        <f t="shared" si="845"/>
        <v>Фото &gt;&gt;</v>
      </c>
      <c r="S1539" s="14" t="s">
        <v>3724</v>
      </c>
      <c r="AK1539">
        <v>0.125</v>
      </c>
      <c r="AL1539">
        <f t="shared" si="846"/>
        <v>0</v>
      </c>
      <c r="AM1539">
        <f t="shared" si="847"/>
        <v>0</v>
      </c>
      <c r="AN1539">
        <f t="shared" si="848"/>
        <v>0</v>
      </c>
      <c r="AO1539" t="s">
        <v>4053</v>
      </c>
      <c r="AV1539" t="str">
        <f>IF(F1539&gt;0,(COUNT($AV$1:AV1538)+1),"")</f>
        <v/>
      </c>
    </row>
    <row r="1540" spans="1:48" ht="15" customHeight="1" x14ac:dyDescent="0.25">
      <c r="A1540" s="1"/>
      <c r="B1540" s="32">
        <v>20523</v>
      </c>
      <c r="C1540" s="33">
        <v>4630179970574</v>
      </c>
      <c r="D1540" s="227" t="s">
        <v>6587</v>
      </c>
      <c r="E1540" s="71">
        <v>14</v>
      </c>
      <c r="F1540" s="222"/>
      <c r="G1540" s="109">
        <v>120</v>
      </c>
      <c r="H1540" s="34">
        <v>125</v>
      </c>
      <c r="I1540" s="35">
        <v>137</v>
      </c>
      <c r="J1540" s="114" t="s">
        <v>3971</v>
      </c>
      <c r="K1540" s="57" t="s">
        <v>326</v>
      </c>
      <c r="L1540" s="438"/>
      <c r="M1540" s="484" t="s">
        <v>1856</v>
      </c>
      <c r="N1540" s="1008" t="s">
        <v>1856</v>
      </c>
      <c r="O1540" s="219"/>
      <c r="P1540" s="70" t="s">
        <v>53</v>
      </c>
      <c r="Q1540" s="521">
        <f t="shared" si="840"/>
        <v>0</v>
      </c>
      <c r="R1540" s="13" t="str">
        <f t="shared" si="845"/>
        <v>Фото &gt;&gt;</v>
      </c>
      <c r="S1540" s="14" t="s">
        <v>3723</v>
      </c>
      <c r="AK1540">
        <v>0.125</v>
      </c>
      <c r="AL1540">
        <f t="shared" si="846"/>
        <v>0</v>
      </c>
      <c r="AM1540">
        <f t="shared" si="847"/>
        <v>0</v>
      </c>
      <c r="AN1540">
        <f t="shared" si="848"/>
        <v>0</v>
      </c>
      <c r="AO1540" t="s">
        <v>4054</v>
      </c>
      <c r="AV1540" t="str">
        <f>IF(F1540&gt;0,(COUNT($AV$1:AV1539)+1),"")</f>
        <v/>
      </c>
    </row>
    <row r="1541" spans="1:48" ht="15" customHeight="1" x14ac:dyDescent="0.25">
      <c r="A1541" s="1"/>
      <c r="B1541" s="364">
        <v>20514</v>
      </c>
      <c r="C1541" s="365">
        <v>4630179970628</v>
      </c>
      <c r="D1541" s="514" t="s">
        <v>6588</v>
      </c>
      <c r="E1541" s="366">
        <v>14</v>
      </c>
      <c r="F1541" s="222"/>
      <c r="G1541" s="367">
        <v>127.5</v>
      </c>
      <c r="H1541" s="368">
        <v>133.5</v>
      </c>
      <c r="I1541" s="369">
        <v>147</v>
      </c>
      <c r="J1541" s="370" t="s">
        <v>3971</v>
      </c>
      <c r="K1541" s="371" t="s">
        <v>326</v>
      </c>
      <c r="L1541" s="431"/>
      <c r="M1541" s="494" t="s">
        <v>1856</v>
      </c>
      <c r="N1541" s="1000" t="s">
        <v>1856</v>
      </c>
      <c r="O1541" s="372"/>
      <c r="P1541" s="373" t="s">
        <v>53</v>
      </c>
      <c r="Q1541" s="521">
        <f t="shared" si="840"/>
        <v>0</v>
      </c>
      <c r="R1541" s="13" t="str">
        <f t="shared" si="845"/>
        <v>Фото &gt;&gt;</v>
      </c>
      <c r="S1541" s="14" t="s">
        <v>3956</v>
      </c>
      <c r="AK1541">
        <v>0.125</v>
      </c>
      <c r="AL1541">
        <f t="shared" si="846"/>
        <v>0</v>
      </c>
      <c r="AM1541">
        <f t="shared" si="847"/>
        <v>0</v>
      </c>
      <c r="AN1541">
        <f t="shared" si="848"/>
        <v>0</v>
      </c>
      <c r="AO1541" t="s">
        <v>3955</v>
      </c>
      <c r="AV1541" t="str">
        <f>IF(F1541&gt;0,(COUNT($AV$1:AV1540)+1),"")</f>
        <v/>
      </c>
    </row>
    <row r="1542" spans="1:48" ht="15" customHeight="1" x14ac:dyDescent="0.25">
      <c r="A1542" s="1"/>
      <c r="B1542" s="669">
        <v>20506</v>
      </c>
      <c r="C1542" s="670">
        <v>4630179970659</v>
      </c>
      <c r="D1542" s="671" t="s">
        <v>3958</v>
      </c>
      <c r="E1542" s="672">
        <v>14</v>
      </c>
      <c r="F1542" s="222"/>
      <c r="G1542" s="674">
        <v>120</v>
      </c>
      <c r="H1542" s="675">
        <v>125</v>
      </c>
      <c r="I1542" s="676">
        <v>137</v>
      </c>
      <c r="J1542" s="899" t="s">
        <v>3971</v>
      </c>
      <c r="K1542" s="678" t="s">
        <v>326</v>
      </c>
      <c r="L1542" s="679"/>
      <c r="M1542" s="680" t="s">
        <v>1856</v>
      </c>
      <c r="N1542" s="1027" t="s">
        <v>1856</v>
      </c>
      <c r="O1542" s="681"/>
      <c r="P1542" s="682" t="s">
        <v>53</v>
      </c>
      <c r="Q1542" s="521">
        <f t="shared" si="840"/>
        <v>0</v>
      </c>
      <c r="R1542" s="13" t="str">
        <f t="shared" si="845"/>
        <v>Фото &gt;&gt;</v>
      </c>
      <c r="S1542" s="14" t="s">
        <v>3959</v>
      </c>
      <c r="AK1542">
        <v>0.125</v>
      </c>
      <c r="AL1542">
        <f t="shared" si="846"/>
        <v>0</v>
      </c>
      <c r="AM1542">
        <f t="shared" si="847"/>
        <v>0</v>
      </c>
      <c r="AN1542">
        <f t="shared" si="848"/>
        <v>0</v>
      </c>
      <c r="AO1542" t="s">
        <v>3957</v>
      </c>
      <c r="AV1542" t="str">
        <f>IF(F1542&gt;0,(COUNT($AV$1:AV1541)+1),"")</f>
        <v/>
      </c>
    </row>
    <row r="1543" spans="1:48" ht="15" customHeight="1" x14ac:dyDescent="0.25">
      <c r="A1543" s="1"/>
      <c r="B1543" s="32">
        <v>20511</v>
      </c>
      <c r="C1543" s="33">
        <v>4630179970635</v>
      </c>
      <c r="D1543" s="227" t="s">
        <v>3970</v>
      </c>
      <c r="E1543" s="71">
        <v>14</v>
      </c>
      <c r="F1543" s="222"/>
      <c r="G1543" s="109">
        <v>120</v>
      </c>
      <c r="H1543" s="34">
        <v>125</v>
      </c>
      <c r="I1543" s="35">
        <v>137</v>
      </c>
      <c r="J1543" s="114" t="s">
        <v>3971</v>
      </c>
      <c r="K1543" s="57" t="s">
        <v>326</v>
      </c>
      <c r="L1543" s="438"/>
      <c r="M1543" s="484" t="s">
        <v>1856</v>
      </c>
      <c r="N1543" s="1008" t="s">
        <v>1856</v>
      </c>
      <c r="O1543" s="219"/>
      <c r="P1543" s="70" t="s">
        <v>53</v>
      </c>
      <c r="Q1543" s="521">
        <f t="shared" si="840"/>
        <v>0</v>
      </c>
      <c r="R1543" s="13" t="str">
        <f t="shared" si="845"/>
        <v>Фото &gt;&gt;</v>
      </c>
      <c r="S1543" s="14" t="s">
        <v>3960</v>
      </c>
      <c r="AK1543">
        <v>0.125</v>
      </c>
      <c r="AL1543">
        <f t="shared" si="846"/>
        <v>0</v>
      </c>
      <c r="AM1543">
        <f t="shared" si="847"/>
        <v>0</v>
      </c>
      <c r="AN1543">
        <f t="shared" si="848"/>
        <v>0</v>
      </c>
      <c r="AO1543" t="s">
        <v>3961</v>
      </c>
      <c r="AV1543" t="str">
        <f>IF(F1543&gt;0,(COUNT($AV$1:AV1542)+1),"")</f>
        <v/>
      </c>
    </row>
    <row r="1544" spans="1:48" ht="15" customHeight="1" x14ac:dyDescent="0.25">
      <c r="A1544" s="1"/>
      <c r="B1544" s="364">
        <v>20512</v>
      </c>
      <c r="C1544" s="365">
        <v>4630179970642</v>
      </c>
      <c r="D1544" s="514" t="s">
        <v>5698</v>
      </c>
      <c r="E1544" s="366">
        <v>14</v>
      </c>
      <c r="F1544" s="222"/>
      <c r="G1544" s="367">
        <v>127.5</v>
      </c>
      <c r="H1544" s="368">
        <v>133.5</v>
      </c>
      <c r="I1544" s="369">
        <v>147</v>
      </c>
      <c r="J1544" s="370" t="s">
        <v>3971</v>
      </c>
      <c r="K1544" s="371" t="s">
        <v>326</v>
      </c>
      <c r="L1544" s="431"/>
      <c r="M1544" s="494" t="s">
        <v>1856</v>
      </c>
      <c r="N1544" s="1000" t="s">
        <v>1856</v>
      </c>
      <c r="O1544" s="372"/>
      <c r="P1544" s="373" t="s">
        <v>53</v>
      </c>
      <c r="Q1544" s="521">
        <f t="shared" si="840"/>
        <v>0</v>
      </c>
      <c r="R1544" s="13" t="str">
        <f t="shared" si="845"/>
        <v>Фото &gt;&gt;</v>
      </c>
      <c r="S1544" s="14" t="s">
        <v>3963</v>
      </c>
      <c r="AK1544">
        <v>0.125</v>
      </c>
      <c r="AL1544">
        <f t="shared" si="846"/>
        <v>0</v>
      </c>
      <c r="AM1544">
        <f t="shared" si="847"/>
        <v>0</v>
      </c>
      <c r="AN1544">
        <f t="shared" si="848"/>
        <v>0</v>
      </c>
      <c r="AO1544" t="s">
        <v>3962</v>
      </c>
      <c r="AV1544" t="str">
        <f>IF(F1544&gt;0,(COUNT($AV$1:AV1543)+1),"")</f>
        <v/>
      </c>
    </row>
    <row r="1545" spans="1:48" ht="15" customHeight="1" x14ac:dyDescent="0.25">
      <c r="A1545" s="1"/>
      <c r="B1545" s="900">
        <v>20979</v>
      </c>
      <c r="C1545" s="901">
        <v>4630179971021</v>
      </c>
      <c r="D1545" s="902" t="s">
        <v>6589</v>
      </c>
      <c r="E1545" s="903">
        <v>14</v>
      </c>
      <c r="F1545" s="222"/>
      <c r="G1545" s="904">
        <v>120</v>
      </c>
      <c r="H1545" s="905">
        <v>125</v>
      </c>
      <c r="I1545" s="906">
        <v>137</v>
      </c>
      <c r="J1545" s="907" t="s">
        <v>3971</v>
      </c>
      <c r="K1545" s="908" t="s">
        <v>326</v>
      </c>
      <c r="L1545" s="909" t="s">
        <v>4740</v>
      </c>
      <c r="M1545" s="910" t="s">
        <v>1856</v>
      </c>
      <c r="N1545" s="1026" t="s">
        <v>1856</v>
      </c>
      <c r="O1545" s="911"/>
      <c r="P1545" s="912" t="s">
        <v>72</v>
      </c>
      <c r="Q1545" s="521">
        <f t="shared" si="840"/>
        <v>0</v>
      </c>
      <c r="R1545" s="13" t="str">
        <f t="shared" si="845"/>
        <v>Фото &gt;&gt;</v>
      </c>
      <c r="S1545" s="14" t="s">
        <v>5706</v>
      </c>
      <c r="AK1545">
        <v>0.125</v>
      </c>
      <c r="AL1545">
        <f t="shared" si="846"/>
        <v>0</v>
      </c>
      <c r="AM1545">
        <f t="shared" si="847"/>
        <v>0</v>
      </c>
      <c r="AN1545">
        <f t="shared" si="848"/>
        <v>0</v>
      </c>
      <c r="AO1545" t="s">
        <v>5707</v>
      </c>
      <c r="AV1545" t="str">
        <f>IF(F1545&gt;0,(COUNT($AV$1:AV1544)+1),"")</f>
        <v/>
      </c>
    </row>
    <row r="1546" spans="1:48" ht="15" customHeight="1" x14ac:dyDescent="0.25">
      <c r="A1546" s="1"/>
      <c r="B1546" s="364">
        <v>20980</v>
      </c>
      <c r="C1546" s="365">
        <v>4630179971014</v>
      </c>
      <c r="D1546" s="514" t="s">
        <v>6590</v>
      </c>
      <c r="E1546" s="366">
        <v>14</v>
      </c>
      <c r="F1546" s="222"/>
      <c r="G1546" s="367">
        <v>120</v>
      </c>
      <c r="H1546" s="368">
        <v>125</v>
      </c>
      <c r="I1546" s="369">
        <v>137</v>
      </c>
      <c r="J1546" s="370" t="s">
        <v>3971</v>
      </c>
      <c r="K1546" s="371" t="s">
        <v>326</v>
      </c>
      <c r="L1546" s="431" t="s">
        <v>4740</v>
      </c>
      <c r="M1546" s="494" t="s">
        <v>1856</v>
      </c>
      <c r="N1546" s="1000" t="s">
        <v>1856</v>
      </c>
      <c r="O1546" s="372"/>
      <c r="P1546" s="373" t="s">
        <v>72</v>
      </c>
      <c r="Q1546" s="521">
        <f t="shared" si="840"/>
        <v>0</v>
      </c>
      <c r="R1546" s="13" t="str">
        <f t="shared" si="845"/>
        <v>Фото &gt;&gt;</v>
      </c>
      <c r="S1546" s="14" t="s">
        <v>5706</v>
      </c>
      <c r="AK1546">
        <v>0.125</v>
      </c>
      <c r="AL1546">
        <f t="shared" si="846"/>
        <v>0</v>
      </c>
      <c r="AM1546">
        <f t="shared" si="847"/>
        <v>0</v>
      </c>
      <c r="AN1546">
        <f t="shared" si="848"/>
        <v>0</v>
      </c>
      <c r="AO1546" t="s">
        <v>5708</v>
      </c>
      <c r="AV1546" t="str">
        <f>IF(F1546&gt;0,(COUNT($AV$1:AV1545)+1),"")</f>
        <v/>
      </c>
    </row>
    <row r="1547" spans="1:48" ht="15" customHeight="1" x14ac:dyDescent="0.25">
      <c r="A1547" s="1"/>
      <c r="B1547" s="900">
        <v>20519</v>
      </c>
      <c r="C1547" s="901">
        <v>4630179970444</v>
      </c>
      <c r="D1547" s="902" t="s">
        <v>6591</v>
      </c>
      <c r="E1547" s="903">
        <v>14</v>
      </c>
      <c r="F1547" s="222"/>
      <c r="G1547" s="904">
        <v>120</v>
      </c>
      <c r="H1547" s="905">
        <v>125</v>
      </c>
      <c r="I1547" s="906">
        <v>137</v>
      </c>
      <c r="J1547" s="907" t="s">
        <v>3971</v>
      </c>
      <c r="K1547" s="908" t="s">
        <v>326</v>
      </c>
      <c r="L1547" s="909"/>
      <c r="M1547" s="910" t="s">
        <v>1856</v>
      </c>
      <c r="N1547" s="1026" t="s">
        <v>1856</v>
      </c>
      <c r="O1547" s="911"/>
      <c r="P1547" s="912" t="s">
        <v>53</v>
      </c>
      <c r="Q1547" s="521">
        <f t="shared" si="840"/>
        <v>0</v>
      </c>
      <c r="R1547" s="13" t="str">
        <f t="shared" si="845"/>
        <v>Фото &gt;&gt;</v>
      </c>
      <c r="S1547" s="14" t="s">
        <v>3965</v>
      </c>
      <c r="AK1547">
        <v>0.125</v>
      </c>
      <c r="AL1547">
        <f t="shared" si="846"/>
        <v>0</v>
      </c>
      <c r="AM1547">
        <f t="shared" si="847"/>
        <v>0</v>
      </c>
      <c r="AN1547">
        <f t="shared" si="848"/>
        <v>0</v>
      </c>
      <c r="AO1547" t="s">
        <v>3964</v>
      </c>
      <c r="AV1547" t="str">
        <f>IF(F1547&gt;0,(COUNT($AV$1:AV1546)+1),"")</f>
        <v/>
      </c>
    </row>
    <row r="1548" spans="1:48" ht="15" customHeight="1" x14ac:dyDescent="0.25">
      <c r="A1548" s="1"/>
      <c r="B1548" s="552">
        <v>20516</v>
      </c>
      <c r="C1548" s="553">
        <v>4630179970413</v>
      </c>
      <c r="D1548" s="554" t="s">
        <v>6592</v>
      </c>
      <c r="E1548" s="555">
        <v>14</v>
      </c>
      <c r="F1548" s="222"/>
      <c r="G1548" s="556">
        <v>120</v>
      </c>
      <c r="H1548" s="557">
        <v>125</v>
      </c>
      <c r="I1548" s="558">
        <v>137</v>
      </c>
      <c r="J1548" s="559" t="s">
        <v>3971</v>
      </c>
      <c r="K1548" s="560" t="s">
        <v>326</v>
      </c>
      <c r="L1548" s="561"/>
      <c r="M1548" s="562" t="s">
        <v>1856</v>
      </c>
      <c r="N1548" s="1007" t="s">
        <v>1856</v>
      </c>
      <c r="O1548" s="563"/>
      <c r="P1548" s="564" t="s">
        <v>53</v>
      </c>
      <c r="Q1548" s="521">
        <f t="shared" si="840"/>
        <v>0</v>
      </c>
      <c r="R1548" s="13" t="str">
        <f t="shared" si="845"/>
        <v>Фото &gt;&gt;</v>
      </c>
      <c r="S1548" s="14" t="s">
        <v>3966</v>
      </c>
      <c r="AK1548">
        <v>0.125</v>
      </c>
      <c r="AL1548">
        <f t="shared" si="846"/>
        <v>0</v>
      </c>
      <c r="AM1548">
        <f t="shared" si="847"/>
        <v>0</v>
      </c>
      <c r="AN1548">
        <f t="shared" si="848"/>
        <v>0</v>
      </c>
      <c r="AO1548" t="s">
        <v>3967</v>
      </c>
      <c r="AV1548" t="str">
        <f>IF(F1548&gt;0,(COUNT($AV$1:AV1547)+1),"")</f>
        <v/>
      </c>
    </row>
    <row r="1549" spans="1:48" ht="15" customHeight="1" x14ac:dyDescent="0.25">
      <c r="A1549" s="1"/>
      <c r="B1549" s="32">
        <v>20517</v>
      </c>
      <c r="C1549" s="33">
        <v>4630179970437</v>
      </c>
      <c r="D1549" s="227" t="s">
        <v>6593</v>
      </c>
      <c r="E1549" s="71">
        <v>14</v>
      </c>
      <c r="F1549" s="222"/>
      <c r="G1549" s="109">
        <v>120</v>
      </c>
      <c r="H1549" s="34">
        <v>125</v>
      </c>
      <c r="I1549" s="35">
        <v>137</v>
      </c>
      <c r="J1549" s="114" t="s">
        <v>3971</v>
      </c>
      <c r="K1549" s="57" t="s">
        <v>326</v>
      </c>
      <c r="L1549" s="438"/>
      <c r="M1549" s="484" t="s">
        <v>1856</v>
      </c>
      <c r="N1549" s="1008" t="s">
        <v>1856</v>
      </c>
      <c r="O1549" s="219"/>
      <c r="P1549" s="70" t="s">
        <v>53</v>
      </c>
      <c r="Q1549" s="521">
        <f t="shared" si="840"/>
        <v>0</v>
      </c>
      <c r="R1549" s="13" t="str">
        <f t="shared" si="845"/>
        <v>Фото &gt;&gt;</v>
      </c>
      <c r="S1549" s="14" t="s">
        <v>3969</v>
      </c>
      <c r="AK1549">
        <v>0.125</v>
      </c>
      <c r="AL1549">
        <f t="shared" si="846"/>
        <v>0</v>
      </c>
      <c r="AM1549">
        <f t="shared" si="847"/>
        <v>0</v>
      </c>
      <c r="AN1549">
        <f t="shared" si="848"/>
        <v>0</v>
      </c>
      <c r="AO1549" t="s">
        <v>3968</v>
      </c>
      <c r="AV1549" t="str">
        <f>IF(F1549&gt;0,(COUNT($AV$1:AV1548)+1),"")</f>
        <v/>
      </c>
    </row>
    <row r="1550" spans="1:48" ht="15" customHeight="1" x14ac:dyDescent="0.25">
      <c r="A1550" s="1"/>
      <c r="B1550" s="669">
        <v>21224</v>
      </c>
      <c r="C1550" s="670">
        <v>4630179971182</v>
      </c>
      <c r="D1550" s="671" t="s">
        <v>7284</v>
      </c>
      <c r="E1550" s="672">
        <v>14</v>
      </c>
      <c r="F1550" s="222"/>
      <c r="G1550" s="674">
        <v>120</v>
      </c>
      <c r="H1550" s="675">
        <v>125</v>
      </c>
      <c r="I1550" s="676">
        <v>137</v>
      </c>
      <c r="J1550" s="899" t="s">
        <v>3971</v>
      </c>
      <c r="K1550" s="678" t="s">
        <v>326</v>
      </c>
      <c r="L1550" s="679" t="s">
        <v>4740</v>
      </c>
      <c r="M1550" s="680" t="s">
        <v>1856</v>
      </c>
      <c r="N1550" s="1027" t="s">
        <v>1856</v>
      </c>
      <c r="O1550" s="681"/>
      <c r="P1550" s="682" t="s">
        <v>72</v>
      </c>
      <c r="Q1550" s="521">
        <f t="shared" si="840"/>
        <v>0</v>
      </c>
      <c r="R1550" s="13" t="str">
        <f t="shared" si="845"/>
        <v>Фото &gt;&gt;</v>
      </c>
      <c r="S1550" s="14" t="s">
        <v>6325</v>
      </c>
      <c r="AK1550">
        <v>0.125</v>
      </c>
      <c r="AL1550">
        <f t="shared" si="846"/>
        <v>0</v>
      </c>
      <c r="AM1550">
        <f t="shared" si="847"/>
        <v>0</v>
      </c>
      <c r="AN1550">
        <f t="shared" si="848"/>
        <v>0</v>
      </c>
      <c r="AO1550" t="s">
        <v>6331</v>
      </c>
      <c r="AV1550" t="str">
        <f>IF(F1550&gt;0,(COUNT($AV$1:AV1549)+1),"")</f>
        <v/>
      </c>
    </row>
    <row r="1551" spans="1:48" ht="15" customHeight="1" x14ac:dyDescent="0.25">
      <c r="A1551" s="1"/>
      <c r="B1551" s="32">
        <v>21219</v>
      </c>
      <c r="C1551" s="33">
        <v>4630179971175</v>
      </c>
      <c r="D1551" s="227" t="s">
        <v>7285</v>
      </c>
      <c r="E1551" s="71">
        <v>14</v>
      </c>
      <c r="F1551" s="222"/>
      <c r="G1551" s="109">
        <v>120</v>
      </c>
      <c r="H1551" s="34">
        <v>125</v>
      </c>
      <c r="I1551" s="35">
        <v>137</v>
      </c>
      <c r="J1551" s="114" t="s">
        <v>3971</v>
      </c>
      <c r="K1551" s="57" t="s">
        <v>326</v>
      </c>
      <c r="L1551" s="438" t="s">
        <v>4740</v>
      </c>
      <c r="M1551" s="484" t="s">
        <v>1856</v>
      </c>
      <c r="N1551" s="1008" t="s">
        <v>1856</v>
      </c>
      <c r="O1551" s="219"/>
      <c r="P1551" s="70" t="s">
        <v>72</v>
      </c>
      <c r="Q1551" s="521">
        <f t="shared" si="840"/>
        <v>0</v>
      </c>
      <c r="R1551" s="13" t="str">
        <f t="shared" si="845"/>
        <v>Фото &gt;&gt;</v>
      </c>
      <c r="S1551" s="14" t="s">
        <v>6326</v>
      </c>
      <c r="AK1551">
        <v>0.125</v>
      </c>
      <c r="AL1551">
        <f t="shared" si="846"/>
        <v>0</v>
      </c>
      <c r="AM1551">
        <f t="shared" si="847"/>
        <v>0</v>
      </c>
      <c r="AN1551">
        <f t="shared" si="848"/>
        <v>0</v>
      </c>
      <c r="AO1551" t="s">
        <v>6332</v>
      </c>
      <c r="AV1551" t="str">
        <f>IF(F1551&gt;0,(COUNT($AV$1:AV1550)+1),"")</f>
        <v/>
      </c>
    </row>
    <row r="1552" spans="1:48" ht="15" customHeight="1" x14ac:dyDescent="0.25">
      <c r="A1552" s="1"/>
      <c r="B1552" s="669">
        <v>21227</v>
      </c>
      <c r="C1552" s="670">
        <v>4630179970970</v>
      </c>
      <c r="D1552" s="671" t="s">
        <v>7286</v>
      </c>
      <c r="E1552" s="913">
        <v>10</v>
      </c>
      <c r="F1552" s="222"/>
      <c r="G1552" s="674">
        <v>111.2</v>
      </c>
      <c r="H1552" s="675">
        <v>116.7</v>
      </c>
      <c r="I1552" s="676">
        <v>128</v>
      </c>
      <c r="J1552" s="899" t="s">
        <v>3971</v>
      </c>
      <c r="K1552" s="678" t="s">
        <v>326</v>
      </c>
      <c r="L1552" s="679" t="s">
        <v>4740</v>
      </c>
      <c r="M1552" s="680"/>
      <c r="N1552" s="1027" t="s">
        <v>1856</v>
      </c>
      <c r="O1552" s="1110" t="s">
        <v>2097</v>
      </c>
      <c r="P1552" s="682" t="s">
        <v>72</v>
      </c>
      <c r="Q1552" s="521">
        <f t="shared" si="840"/>
        <v>0</v>
      </c>
      <c r="R1552" s="13" t="str">
        <f t="shared" si="845"/>
        <v>Фото &gt;&gt;</v>
      </c>
      <c r="S1552" s="14" t="s">
        <v>6327</v>
      </c>
      <c r="AK1552">
        <v>0.05</v>
      </c>
      <c r="AL1552">
        <f t="shared" si="846"/>
        <v>0</v>
      </c>
      <c r="AM1552">
        <f t="shared" si="847"/>
        <v>0</v>
      </c>
      <c r="AN1552">
        <f t="shared" si="848"/>
        <v>0</v>
      </c>
      <c r="AO1552" t="s">
        <v>6333</v>
      </c>
      <c r="AV1552" t="str">
        <f>IF(F1552&gt;0,(COUNT($AV$1:AV1551)+1),"")</f>
        <v/>
      </c>
    </row>
    <row r="1553" spans="1:48" ht="15" customHeight="1" x14ac:dyDescent="0.25">
      <c r="A1553" s="1"/>
      <c r="B1553" s="32">
        <v>21225</v>
      </c>
      <c r="C1553" s="33">
        <v>4630179970895</v>
      </c>
      <c r="D1553" s="227" t="s">
        <v>7287</v>
      </c>
      <c r="E1553" s="623">
        <v>10</v>
      </c>
      <c r="F1553" s="222"/>
      <c r="G1553" s="109">
        <v>111.2</v>
      </c>
      <c r="H1553" s="34">
        <v>116.7</v>
      </c>
      <c r="I1553" s="35">
        <v>128</v>
      </c>
      <c r="J1553" s="114" t="s">
        <v>3971</v>
      </c>
      <c r="K1553" s="57" t="s">
        <v>326</v>
      </c>
      <c r="L1553" s="438" t="s">
        <v>4740</v>
      </c>
      <c r="M1553" s="484" t="s">
        <v>1856</v>
      </c>
      <c r="N1553" s="1008" t="s">
        <v>1856</v>
      </c>
      <c r="O1553" s="218" t="s">
        <v>2097</v>
      </c>
      <c r="P1553" s="70" t="s">
        <v>72</v>
      </c>
      <c r="Q1553" s="521">
        <f t="shared" si="840"/>
        <v>0</v>
      </c>
      <c r="R1553" s="13" t="str">
        <f t="shared" si="845"/>
        <v>Фото &gt;&gt;</v>
      </c>
      <c r="S1553" s="14" t="s">
        <v>6328</v>
      </c>
      <c r="AK1553">
        <v>0.05</v>
      </c>
      <c r="AL1553">
        <f t="shared" si="846"/>
        <v>0</v>
      </c>
      <c r="AM1553">
        <f t="shared" si="847"/>
        <v>0</v>
      </c>
      <c r="AN1553">
        <f t="shared" si="848"/>
        <v>0</v>
      </c>
      <c r="AO1553" t="s">
        <v>6334</v>
      </c>
      <c r="AV1553" t="str">
        <f>IF(F1553&gt;0,(COUNT($AV$1:AV1552)+1),"")</f>
        <v/>
      </c>
    </row>
    <row r="1554" spans="1:48" ht="15" customHeight="1" x14ac:dyDescent="0.25">
      <c r="A1554" s="1"/>
      <c r="B1554" s="552">
        <v>21226</v>
      </c>
      <c r="C1554" s="553">
        <v>4630179970963</v>
      </c>
      <c r="D1554" s="554" t="s">
        <v>7288</v>
      </c>
      <c r="E1554" s="822">
        <v>10</v>
      </c>
      <c r="F1554" s="222"/>
      <c r="G1554" s="556">
        <v>111.2</v>
      </c>
      <c r="H1554" s="557">
        <v>116.7</v>
      </c>
      <c r="I1554" s="558">
        <v>128</v>
      </c>
      <c r="J1554" s="559" t="s">
        <v>3971</v>
      </c>
      <c r="K1554" s="560" t="s">
        <v>326</v>
      </c>
      <c r="L1554" s="561" t="s">
        <v>4740</v>
      </c>
      <c r="M1554" s="562" t="s">
        <v>1856</v>
      </c>
      <c r="N1554" s="1007" t="s">
        <v>1856</v>
      </c>
      <c r="O1554" s="1111" t="s">
        <v>2097</v>
      </c>
      <c r="P1554" s="564" t="s">
        <v>72</v>
      </c>
      <c r="Q1554" s="521">
        <f t="shared" si="840"/>
        <v>0</v>
      </c>
      <c r="R1554" s="13" t="str">
        <f t="shared" si="845"/>
        <v>Фото &gt;&gt;</v>
      </c>
      <c r="S1554" s="14" t="s">
        <v>6329</v>
      </c>
      <c r="AK1554">
        <v>0.05</v>
      </c>
      <c r="AL1554">
        <f t="shared" si="846"/>
        <v>0</v>
      </c>
      <c r="AM1554">
        <f t="shared" si="847"/>
        <v>0</v>
      </c>
      <c r="AN1554">
        <f t="shared" si="848"/>
        <v>0</v>
      </c>
      <c r="AO1554" t="s">
        <v>6335</v>
      </c>
      <c r="AV1554" t="str">
        <f>IF(F1554&gt;0,(COUNT($AV$1:AV1553)+1),"")</f>
        <v/>
      </c>
    </row>
    <row r="1555" spans="1:48" ht="15" customHeight="1" x14ac:dyDescent="0.25">
      <c r="A1555" s="1"/>
      <c r="B1555" s="32">
        <v>21228</v>
      </c>
      <c r="C1555" s="33">
        <v>4630179970987</v>
      </c>
      <c r="D1555" s="227" t="s">
        <v>7289</v>
      </c>
      <c r="E1555" s="623">
        <v>10</v>
      </c>
      <c r="F1555" s="222"/>
      <c r="G1555" s="109">
        <v>111.2</v>
      </c>
      <c r="H1555" s="34">
        <v>116.7</v>
      </c>
      <c r="I1555" s="35">
        <v>128</v>
      </c>
      <c r="J1555" s="114" t="s">
        <v>3971</v>
      </c>
      <c r="K1555" s="57" t="s">
        <v>326</v>
      </c>
      <c r="L1555" s="438" t="s">
        <v>4740</v>
      </c>
      <c r="M1555" s="484" t="s">
        <v>1856</v>
      </c>
      <c r="N1555" s="1008" t="s">
        <v>1856</v>
      </c>
      <c r="O1555" s="218" t="s">
        <v>2097</v>
      </c>
      <c r="P1555" s="70" t="s">
        <v>72</v>
      </c>
      <c r="Q1555" s="521">
        <f t="shared" si="840"/>
        <v>0</v>
      </c>
      <c r="R1555" s="13" t="str">
        <f t="shared" si="845"/>
        <v>Фото &gt;&gt;</v>
      </c>
      <c r="S1555" s="14" t="s">
        <v>6330</v>
      </c>
      <c r="AK1555">
        <v>0.05</v>
      </c>
      <c r="AL1555">
        <f t="shared" si="846"/>
        <v>0</v>
      </c>
      <c r="AM1555">
        <f t="shared" si="847"/>
        <v>0</v>
      </c>
      <c r="AN1555">
        <f t="shared" si="848"/>
        <v>0</v>
      </c>
      <c r="AO1555" t="s">
        <v>6336</v>
      </c>
      <c r="AV1555" t="str">
        <f>IF(F1555&gt;0,(COUNT($AV$1:AV1554)+1),"")</f>
        <v/>
      </c>
    </row>
    <row r="1556" spans="1:48" ht="15" customHeight="1" x14ac:dyDescent="0.25">
      <c r="A1556" s="1"/>
      <c r="B1556" s="125"/>
      <c r="C1556" s="126"/>
      <c r="D1556" s="127"/>
      <c r="E1556" s="134"/>
      <c r="F1556" s="189"/>
      <c r="G1556" s="130"/>
      <c r="H1556" s="131"/>
      <c r="I1556" s="132"/>
      <c r="J1556" s="128"/>
      <c r="K1556" s="129"/>
      <c r="L1556" s="433"/>
      <c r="M1556" s="481"/>
      <c r="N1556" s="471"/>
      <c r="O1556" s="181"/>
      <c r="P1556" s="133"/>
      <c r="Q1556" s="135"/>
      <c r="R1556" s="13"/>
      <c r="S1556" s="14"/>
      <c r="AV1556" t="str">
        <f>IF(F1556&gt;0,(COUNT($AV$1:AV1555)+1),"")</f>
        <v/>
      </c>
    </row>
    <row r="1557" spans="1:48" ht="15" customHeight="1" thickBot="1" x14ac:dyDescent="0.3">
      <c r="A1557" s="1"/>
      <c r="B1557" s="158"/>
      <c r="C1557" s="159"/>
      <c r="D1557" s="160"/>
      <c r="E1557" s="167"/>
      <c r="F1557" s="191"/>
      <c r="G1557" s="163"/>
      <c r="H1557" s="164"/>
      <c r="I1557" s="165"/>
      <c r="J1557" s="161"/>
      <c r="K1557" s="162"/>
      <c r="L1557" s="439"/>
      <c r="M1557" s="475"/>
      <c r="N1557" s="467"/>
      <c r="O1557" s="183"/>
      <c r="P1557" s="166"/>
      <c r="Q1557" s="168"/>
      <c r="R1557" s="13"/>
      <c r="S1557" s="14"/>
      <c r="AV1557" t="str">
        <f>IF(F1557&gt;0,(COUNT($AV$1:AV1556)+1),"")</f>
        <v/>
      </c>
    </row>
    <row r="1558" spans="1:48" ht="24.95" customHeight="1" thickBot="1" x14ac:dyDescent="0.3">
      <c r="A1558" s="1"/>
      <c r="B1558" s="266"/>
      <c r="C1558" s="267"/>
      <c r="D1558" s="268" t="str">
        <f>CONCATENATE("Туррон Duke Almond","     |     Сумма заказа: ",AK1558," руб.")</f>
        <v>Туррон Duke Almond     |     Сумма заказа: 0 руб.</v>
      </c>
      <c r="E1558" s="269"/>
      <c r="F1558" s="270"/>
      <c r="G1558" s="271" t="str">
        <f>CONCATENATE("Ценовая колонка: ",AO1558,"   |   До следующей скидки: ",AJ1558," руб.")</f>
        <v>Ценовая колонка: 3   |   До следующей скидки: 2000 руб.</v>
      </c>
      <c r="H1558" s="272"/>
      <c r="I1558" s="272"/>
      <c r="J1558" s="273" t="s">
        <v>1981</v>
      </c>
      <c r="K1558" s="274"/>
      <c r="L1558" s="451"/>
      <c r="M1558" s="495" t="s">
        <v>104</v>
      </c>
      <c r="N1558" s="571"/>
      <c r="O1558" s="275"/>
      <c r="P1558" s="276"/>
      <c r="Q1558" s="277"/>
      <c r="R1558" s="265" t="s">
        <v>1558</v>
      </c>
      <c r="S1558" s="6"/>
      <c r="AG1558" s="400"/>
      <c r="AH1558" s="400"/>
      <c r="AJ1558">
        <f>ROUND(IF(AL1558&gt;5000,"0", IF(AND(AL1558&lt;5000,AM1558&gt;2000),5000-AL1558,2000-AM1558)),2)</f>
        <v>2000</v>
      </c>
      <c r="AK1558">
        <f>SUM(Q1560:Q1568)</f>
        <v>0</v>
      </c>
      <c r="AL1558">
        <f>SUM(AL1560:AL1568)</f>
        <v>0</v>
      </c>
      <c r="AM1558">
        <f>SUM(AM1560:AM1568)</f>
        <v>0</v>
      </c>
      <c r="AO1558">
        <f>IF(AM1558&gt;2000,IF(AL1558&gt;5000,1,2),3)</f>
        <v>3</v>
      </c>
      <c r="AV1558" t="str">
        <f>IF(F1558&gt;0,(COUNT($AV$1:AV1557)+1),"")</f>
        <v/>
      </c>
    </row>
    <row r="1559" spans="1:48" ht="15" customHeight="1" x14ac:dyDescent="0.25">
      <c r="A1559" s="1"/>
      <c r="B1559" s="297"/>
      <c r="C1559" s="283"/>
      <c r="D1559" s="284"/>
      <c r="E1559" s="285"/>
      <c r="F1559" s="286"/>
      <c r="G1559" s="287" t="s">
        <v>16</v>
      </c>
      <c r="H1559" s="288" t="s">
        <v>1967</v>
      </c>
      <c r="I1559" s="288" t="s">
        <v>221</v>
      </c>
      <c r="J1559" s="289"/>
      <c r="K1559" s="290"/>
      <c r="L1559" s="452"/>
      <c r="M1559" s="496" t="s">
        <v>104</v>
      </c>
      <c r="N1559" s="572"/>
      <c r="O1559" s="291"/>
      <c r="P1559" s="292"/>
      <c r="Q1559" s="293"/>
      <c r="R1559" s="2"/>
      <c r="S1559" s="6"/>
      <c r="AG1559" s="400"/>
      <c r="AH1559" s="400"/>
      <c r="AV1559" t="str">
        <f>IF(F1559&gt;0,(COUNT($AV$1:AV1558)+1),"")</f>
        <v/>
      </c>
    </row>
    <row r="1560" spans="1:48" ht="15" customHeight="1" x14ac:dyDescent="0.25">
      <c r="A1560" s="1"/>
      <c r="B1560" s="19">
        <v>20306</v>
      </c>
      <c r="C1560" s="20">
        <v>4670049270670</v>
      </c>
      <c r="D1560" s="225" t="s">
        <v>5879</v>
      </c>
      <c r="E1560" s="67">
        <v>16</v>
      </c>
      <c r="F1560" s="223"/>
      <c r="G1560" s="107">
        <v>89.5</v>
      </c>
      <c r="H1560" s="21">
        <v>94</v>
      </c>
      <c r="I1560" s="22">
        <v>99</v>
      </c>
      <c r="J1560" s="112" t="s">
        <v>1981</v>
      </c>
      <c r="K1560" s="45" t="s">
        <v>428</v>
      </c>
      <c r="L1560" s="437"/>
      <c r="M1560" s="474"/>
      <c r="N1560" s="1013"/>
      <c r="O1560" s="209"/>
      <c r="P1560" s="66" t="s">
        <v>72</v>
      </c>
      <c r="Q1560" s="100">
        <f t="shared" ref="Q1560:Q1568" si="849">IF($AO$1558=2,F1560*H1560,IF($AO$1558=1,F1560*G1560,F1560*I1560))</f>
        <v>0</v>
      </c>
      <c r="R1560" s="13" t="str">
        <f t="shared" ref="R1560:R1564" si="850">IF(AO1560&gt;0,HYPERLINK(AO1560,"Фото &gt;&gt;"),"")</f>
        <v>Фото &gt;&gt;</v>
      </c>
      <c r="S1560" s="14" t="s">
        <v>3175</v>
      </c>
      <c r="AG1560" s="400"/>
      <c r="AH1560" s="400"/>
      <c r="AK1560">
        <v>0.05</v>
      </c>
      <c r="AL1560">
        <f t="shared" ref="AL1560" si="851">F1560*G1560</f>
        <v>0</v>
      </c>
      <c r="AM1560">
        <f t="shared" ref="AM1560" si="852">F1560*H1560</f>
        <v>0</v>
      </c>
      <c r="AN1560">
        <f t="shared" ref="AN1560:AN1567" si="853">AK1560*F1560</f>
        <v>0</v>
      </c>
      <c r="AO1560" t="s">
        <v>3173</v>
      </c>
      <c r="AV1560" t="str">
        <f>IF(F1560&gt;0,(COUNT($AV$1:AV1559)+1),"")</f>
        <v/>
      </c>
    </row>
    <row r="1561" spans="1:48" ht="15" customHeight="1" x14ac:dyDescent="0.25">
      <c r="A1561" s="1"/>
      <c r="B1561" s="15">
        <v>20307</v>
      </c>
      <c r="C1561" s="16">
        <v>4670049270663</v>
      </c>
      <c r="D1561" s="226" t="s">
        <v>5880</v>
      </c>
      <c r="E1561" s="69">
        <v>16</v>
      </c>
      <c r="F1561" s="223"/>
      <c r="G1561" s="108">
        <v>89.5</v>
      </c>
      <c r="H1561" s="17">
        <v>94</v>
      </c>
      <c r="I1561" s="18">
        <v>99</v>
      </c>
      <c r="J1561" s="113" t="s">
        <v>1981</v>
      </c>
      <c r="K1561" s="44" t="s">
        <v>428</v>
      </c>
      <c r="L1561" s="442"/>
      <c r="M1561" s="480"/>
      <c r="N1561" s="1015"/>
      <c r="O1561" s="210"/>
      <c r="P1561" s="68" t="s">
        <v>72</v>
      </c>
      <c r="Q1561" s="100">
        <f t="shared" si="849"/>
        <v>0</v>
      </c>
      <c r="R1561" s="13" t="str">
        <f t="shared" si="850"/>
        <v>Фото &gt;&gt;</v>
      </c>
      <c r="S1561" s="14" t="s">
        <v>3176</v>
      </c>
      <c r="AG1561" s="400"/>
      <c r="AH1561" s="400"/>
      <c r="AK1561">
        <v>0.05</v>
      </c>
      <c r="AL1561">
        <f t="shared" ref="AL1561" si="854">F1561*G1561</f>
        <v>0</v>
      </c>
      <c r="AM1561">
        <f t="shared" ref="AM1561" si="855">F1561*H1561</f>
        <v>0</v>
      </c>
      <c r="AN1561">
        <f t="shared" si="853"/>
        <v>0</v>
      </c>
      <c r="AO1561" t="s">
        <v>3174</v>
      </c>
      <c r="AV1561" t="str">
        <f>IF(F1561&gt;0,(COUNT($AV$1:AV1560)+1),"")</f>
        <v/>
      </c>
    </row>
    <row r="1562" spans="1:48" ht="15" customHeight="1" x14ac:dyDescent="0.25">
      <c r="A1562" s="1"/>
      <c r="B1562" s="19">
        <v>19792</v>
      </c>
      <c r="C1562" s="20">
        <v>4670049270380</v>
      </c>
      <c r="D1562" s="225" t="s">
        <v>3825</v>
      </c>
      <c r="E1562" s="67">
        <v>16</v>
      </c>
      <c r="F1562" s="223"/>
      <c r="G1562" s="107">
        <v>66.7</v>
      </c>
      <c r="H1562" s="21">
        <v>70</v>
      </c>
      <c r="I1562" s="22">
        <v>74</v>
      </c>
      <c r="J1562" s="112" t="s">
        <v>1981</v>
      </c>
      <c r="K1562" s="45" t="s">
        <v>428</v>
      </c>
      <c r="L1562" s="437"/>
      <c r="M1562" s="474" t="s">
        <v>104</v>
      </c>
      <c r="N1562" s="1013"/>
      <c r="O1562" s="209"/>
      <c r="P1562" s="66" t="s">
        <v>72</v>
      </c>
      <c r="Q1562" s="100">
        <f t="shared" si="849"/>
        <v>0</v>
      </c>
      <c r="R1562" s="13" t="str">
        <f t="shared" si="850"/>
        <v>Фото &gt;&gt;</v>
      </c>
      <c r="S1562" s="14" t="s">
        <v>1983</v>
      </c>
      <c r="AG1562" s="400"/>
      <c r="AH1562" s="400"/>
      <c r="AK1562">
        <v>0.05</v>
      </c>
      <c r="AL1562">
        <f t="shared" ref="AL1562" si="856">F1562*G1562</f>
        <v>0</v>
      </c>
      <c r="AM1562">
        <f t="shared" ref="AM1562" si="857">F1562*H1562</f>
        <v>0</v>
      </c>
      <c r="AN1562">
        <f t="shared" si="853"/>
        <v>0</v>
      </c>
      <c r="AO1562" t="s">
        <v>2691</v>
      </c>
      <c r="AV1562" t="str">
        <f>IF(F1562&gt;0,(COUNT($AV$1:AV1561)+1),"")</f>
        <v/>
      </c>
    </row>
    <row r="1563" spans="1:48" ht="15" customHeight="1" x14ac:dyDescent="0.25">
      <c r="A1563" s="1"/>
      <c r="B1563" s="15">
        <v>21054</v>
      </c>
      <c r="C1563" s="16">
        <v>4670049270595</v>
      </c>
      <c r="D1563" s="226" t="s">
        <v>6389</v>
      </c>
      <c r="E1563" s="69">
        <v>16</v>
      </c>
      <c r="F1563" s="223"/>
      <c r="G1563" s="108">
        <v>89.5</v>
      </c>
      <c r="H1563" s="17">
        <v>94</v>
      </c>
      <c r="I1563" s="18">
        <v>99</v>
      </c>
      <c r="J1563" s="113" t="s">
        <v>1981</v>
      </c>
      <c r="K1563" s="44" t="s">
        <v>428</v>
      </c>
      <c r="L1563" s="442"/>
      <c r="M1563" s="480"/>
      <c r="N1563" s="1015"/>
      <c r="O1563" s="210"/>
      <c r="P1563" s="68" t="s">
        <v>72</v>
      </c>
      <c r="Q1563" s="100">
        <f t="shared" si="849"/>
        <v>0</v>
      </c>
      <c r="R1563" s="13" t="str">
        <f t="shared" si="850"/>
        <v>Фото &gt;&gt;</v>
      </c>
      <c r="S1563" s="14" t="s">
        <v>5882</v>
      </c>
      <c r="AG1563" s="400"/>
      <c r="AH1563" s="400"/>
      <c r="AK1563">
        <v>0.05</v>
      </c>
      <c r="AL1563">
        <f t="shared" ref="AL1563:AL1564" si="858">F1563*G1563</f>
        <v>0</v>
      </c>
      <c r="AM1563">
        <f t="shared" ref="AM1563:AM1564" si="859">F1563*H1563</f>
        <v>0</v>
      </c>
      <c r="AN1563">
        <f t="shared" ref="AN1563:AN1564" si="860">AK1563*F1563</f>
        <v>0</v>
      </c>
      <c r="AO1563" t="s">
        <v>5881</v>
      </c>
      <c r="AQ1563" s="520" t="str">
        <f>CONCATENATE("http://1.c8804.nichost.ru/pics/",B1563,".jpg")</f>
        <v>http://1.c8804.nichost.ru/pics/21054.jpg</v>
      </c>
      <c r="AV1563" t="str">
        <f>IF(F1563&gt;0,(COUNT($AV$1:AV1562)+1),"")</f>
        <v/>
      </c>
    </row>
    <row r="1564" spans="1:48" ht="15" customHeight="1" x14ac:dyDescent="0.25">
      <c r="A1564" s="1"/>
      <c r="B1564" s="19">
        <v>19791</v>
      </c>
      <c r="C1564" s="20">
        <v>4670049270410</v>
      </c>
      <c r="D1564" s="225" t="s">
        <v>5878</v>
      </c>
      <c r="E1564" s="67">
        <v>16</v>
      </c>
      <c r="F1564" s="223"/>
      <c r="G1564" s="107">
        <v>89.5</v>
      </c>
      <c r="H1564" s="21">
        <v>94</v>
      </c>
      <c r="I1564" s="22">
        <v>99</v>
      </c>
      <c r="J1564" s="112" t="s">
        <v>1981</v>
      </c>
      <c r="K1564" s="45" t="s">
        <v>428</v>
      </c>
      <c r="L1564" s="437"/>
      <c r="M1564" s="474" t="s">
        <v>104</v>
      </c>
      <c r="N1564" s="1013"/>
      <c r="O1564" s="209"/>
      <c r="P1564" s="66" t="s">
        <v>72</v>
      </c>
      <c r="Q1564" s="100">
        <f t="shared" si="849"/>
        <v>0</v>
      </c>
      <c r="R1564" s="13" t="str">
        <f t="shared" si="850"/>
        <v>Фото &gt;&gt;</v>
      </c>
      <c r="S1564" s="14" t="s">
        <v>1982</v>
      </c>
      <c r="AG1564" s="400"/>
      <c r="AH1564" s="400"/>
      <c r="AK1564">
        <v>0.05</v>
      </c>
      <c r="AL1564">
        <f t="shared" si="858"/>
        <v>0</v>
      </c>
      <c r="AM1564">
        <f t="shared" si="859"/>
        <v>0</v>
      </c>
      <c r="AN1564">
        <f t="shared" si="860"/>
        <v>0</v>
      </c>
      <c r="AO1564" t="s">
        <v>2692</v>
      </c>
      <c r="AV1564" t="str">
        <f>IF(F1564&gt;0,(COUNT($AV$1:AV1563)+1),"")</f>
        <v/>
      </c>
    </row>
    <row r="1565" spans="1:48" ht="15" customHeight="1" x14ac:dyDescent="0.25">
      <c r="A1565" s="1"/>
      <c r="B1565" s="15">
        <v>19790</v>
      </c>
      <c r="C1565" s="16">
        <v>4670049270304</v>
      </c>
      <c r="D1565" s="226" t="s">
        <v>3826</v>
      </c>
      <c r="E1565" s="69">
        <v>14</v>
      </c>
      <c r="F1565" s="223"/>
      <c r="G1565" s="108">
        <v>125.5</v>
      </c>
      <c r="H1565" s="17">
        <v>132</v>
      </c>
      <c r="I1565" s="18">
        <v>138</v>
      </c>
      <c r="J1565" s="113" t="s">
        <v>1981</v>
      </c>
      <c r="K1565" s="44" t="s">
        <v>428</v>
      </c>
      <c r="L1565" s="442"/>
      <c r="M1565" s="480" t="s">
        <v>104</v>
      </c>
      <c r="N1565" s="1015"/>
      <c r="O1565" s="210"/>
      <c r="P1565" s="68" t="s">
        <v>72</v>
      </c>
      <c r="Q1565" s="100">
        <f t="shared" si="849"/>
        <v>0</v>
      </c>
      <c r="R1565" s="13" t="str">
        <f t="shared" ref="R1565:R1568" si="861">IF(AO1565&gt;0,HYPERLINK(AO1565,"Фото &gt;&gt;"),"")</f>
        <v>Фото &gt;&gt;</v>
      </c>
      <c r="S1565" s="14" t="s">
        <v>1984</v>
      </c>
      <c r="AG1565" s="400"/>
      <c r="AH1565" s="400"/>
      <c r="AK1565">
        <v>0.13</v>
      </c>
      <c r="AL1565">
        <f t="shared" ref="AL1565:AL1567" si="862">F1565*G1565</f>
        <v>0</v>
      </c>
      <c r="AM1565">
        <f t="shared" ref="AM1565:AM1567" si="863">F1565*H1565</f>
        <v>0</v>
      </c>
      <c r="AN1565">
        <f t="shared" si="853"/>
        <v>0</v>
      </c>
      <c r="AO1565" t="s">
        <v>2693</v>
      </c>
      <c r="AV1565" t="str">
        <f>IF(F1565&gt;0,(COUNT($AV$1:AV1564)+1),"")</f>
        <v/>
      </c>
    </row>
    <row r="1566" spans="1:48" ht="15" customHeight="1" x14ac:dyDescent="0.25">
      <c r="A1566" s="1"/>
      <c r="B1566" s="19">
        <v>19789</v>
      </c>
      <c r="C1566" s="20">
        <v>4670049270052</v>
      </c>
      <c r="D1566" s="225" t="s">
        <v>3948</v>
      </c>
      <c r="E1566" s="67">
        <v>14</v>
      </c>
      <c r="F1566" s="223"/>
      <c r="G1566" s="107">
        <v>151</v>
      </c>
      <c r="H1566" s="21">
        <v>159</v>
      </c>
      <c r="I1566" s="22">
        <v>167</v>
      </c>
      <c r="J1566" s="112" t="s">
        <v>1981</v>
      </c>
      <c r="K1566" s="45" t="s">
        <v>428</v>
      </c>
      <c r="L1566" s="437"/>
      <c r="M1566" s="474" t="s">
        <v>104</v>
      </c>
      <c r="N1566" s="1013"/>
      <c r="O1566" s="209"/>
      <c r="P1566" s="66" t="s">
        <v>72</v>
      </c>
      <c r="Q1566" s="100">
        <f t="shared" si="849"/>
        <v>0</v>
      </c>
      <c r="R1566" s="13" t="str">
        <f t="shared" si="861"/>
        <v>Фото &gt;&gt;</v>
      </c>
      <c r="S1566" s="14" t="s">
        <v>1983</v>
      </c>
      <c r="AG1566" s="400"/>
      <c r="AH1566" s="400"/>
      <c r="AK1566">
        <v>0.13</v>
      </c>
      <c r="AL1566">
        <f t="shared" si="862"/>
        <v>0</v>
      </c>
      <c r="AM1566">
        <f t="shared" si="863"/>
        <v>0</v>
      </c>
      <c r="AN1566">
        <f t="shared" si="853"/>
        <v>0</v>
      </c>
      <c r="AO1566" t="s">
        <v>2694</v>
      </c>
      <c r="AV1566" t="str">
        <f>IF(F1566&gt;0,(COUNT($AV$1:AV1565)+1),"")</f>
        <v/>
      </c>
    </row>
    <row r="1567" spans="1:48" ht="15" customHeight="1" x14ac:dyDescent="0.25">
      <c r="A1567" s="1"/>
      <c r="B1567" s="15">
        <v>19788</v>
      </c>
      <c r="C1567" s="16">
        <v>4670049270090</v>
      </c>
      <c r="D1567" s="226" t="s">
        <v>3949</v>
      </c>
      <c r="E1567" s="69">
        <v>14</v>
      </c>
      <c r="F1567" s="223"/>
      <c r="G1567" s="108">
        <v>151</v>
      </c>
      <c r="H1567" s="17">
        <v>159</v>
      </c>
      <c r="I1567" s="18">
        <v>167</v>
      </c>
      <c r="J1567" s="113" t="s">
        <v>1981</v>
      </c>
      <c r="K1567" s="44" t="s">
        <v>428</v>
      </c>
      <c r="L1567" s="442"/>
      <c r="M1567" s="480" t="s">
        <v>104</v>
      </c>
      <c r="N1567" s="1015"/>
      <c r="O1567" s="210"/>
      <c r="P1567" s="68" t="s">
        <v>72</v>
      </c>
      <c r="Q1567" s="100">
        <f t="shared" si="849"/>
        <v>0</v>
      </c>
      <c r="R1567" s="13" t="str">
        <f t="shared" si="861"/>
        <v>Фото &gt;&gt;</v>
      </c>
      <c r="S1567" s="14" t="s">
        <v>1982</v>
      </c>
      <c r="AG1567" s="400"/>
      <c r="AH1567" s="400"/>
      <c r="AK1567">
        <v>0.13</v>
      </c>
      <c r="AL1567">
        <f t="shared" si="862"/>
        <v>0</v>
      </c>
      <c r="AM1567">
        <f t="shared" si="863"/>
        <v>0</v>
      </c>
      <c r="AN1567">
        <f t="shared" si="853"/>
        <v>0</v>
      </c>
      <c r="AO1567" t="s">
        <v>2695</v>
      </c>
      <c r="AV1567" t="str">
        <f>IF(F1567&gt;0,(COUNT($AV$1:AV1566)+1),"")</f>
        <v/>
      </c>
    </row>
    <row r="1568" spans="1:48" ht="15" customHeight="1" x14ac:dyDescent="0.25">
      <c r="A1568" s="1"/>
      <c r="B1568" s="19">
        <v>20545</v>
      </c>
      <c r="C1568" s="20">
        <v>4670049270762</v>
      </c>
      <c r="D1568" s="225" t="s">
        <v>4008</v>
      </c>
      <c r="E1568" s="67">
        <v>16</v>
      </c>
      <c r="F1568" s="223"/>
      <c r="G1568" s="107">
        <v>52</v>
      </c>
      <c r="H1568" s="21">
        <v>54.6</v>
      </c>
      <c r="I1568" s="22">
        <v>57.7</v>
      </c>
      <c r="J1568" s="112" t="s">
        <v>1981</v>
      </c>
      <c r="K1568" s="45" t="s">
        <v>326</v>
      </c>
      <c r="L1568" s="437"/>
      <c r="M1568" s="474"/>
      <c r="N1568" s="1013"/>
      <c r="O1568" s="209"/>
      <c r="P1568" s="66" t="s">
        <v>53</v>
      </c>
      <c r="Q1568" s="100">
        <f t="shared" si="849"/>
        <v>0</v>
      </c>
      <c r="R1568" s="13" t="str">
        <f t="shared" si="861"/>
        <v>Фото &gt;&gt;</v>
      </c>
      <c r="S1568" s="14" t="s">
        <v>4006</v>
      </c>
      <c r="AG1568" s="400"/>
      <c r="AH1568" s="400"/>
      <c r="AK1568">
        <v>0.06</v>
      </c>
      <c r="AL1568">
        <f t="shared" ref="AL1568" si="864">F1568*G1568</f>
        <v>0</v>
      </c>
      <c r="AM1568">
        <f t="shared" ref="AM1568" si="865">F1568*H1568</f>
        <v>0</v>
      </c>
      <c r="AN1568">
        <f t="shared" ref="AN1568" si="866">AK1568*F1568</f>
        <v>0</v>
      </c>
      <c r="AO1568" t="s">
        <v>4009</v>
      </c>
      <c r="AV1568" t="str">
        <f>IF(F1568&gt;0,(COUNT($AV$1:AV1567)+1),"")</f>
        <v/>
      </c>
    </row>
    <row r="1569" spans="1:48" ht="15" customHeight="1" x14ac:dyDescent="0.25">
      <c r="A1569" s="1"/>
      <c r="B1569" s="125"/>
      <c r="C1569" s="126"/>
      <c r="D1569" s="127"/>
      <c r="E1569" s="134"/>
      <c r="F1569" s="189"/>
      <c r="G1569" s="130"/>
      <c r="H1569" s="131"/>
      <c r="I1569" s="132"/>
      <c r="J1569" s="128"/>
      <c r="K1569" s="129"/>
      <c r="L1569" s="433"/>
      <c r="M1569" s="481" t="s">
        <v>104</v>
      </c>
      <c r="N1569" s="471"/>
      <c r="O1569" s="181"/>
      <c r="P1569" s="133"/>
      <c r="Q1569" s="135"/>
      <c r="R1569" s="13"/>
      <c r="S1569" s="14"/>
      <c r="AG1569" s="400"/>
      <c r="AH1569" s="400"/>
      <c r="AV1569" t="str">
        <f>IF(F1569&gt;0,(COUNT($AV$1:AV1568)+1),"")</f>
        <v/>
      </c>
    </row>
    <row r="1570" spans="1:48" ht="15" customHeight="1" thickBot="1" x14ac:dyDescent="0.3">
      <c r="A1570" s="1"/>
      <c r="B1570" s="158"/>
      <c r="C1570" s="159"/>
      <c r="D1570" s="160"/>
      <c r="E1570" s="167"/>
      <c r="F1570" s="191"/>
      <c r="G1570" s="163"/>
      <c r="H1570" s="164"/>
      <c r="I1570" s="165"/>
      <c r="J1570" s="161"/>
      <c r="K1570" s="162"/>
      <c r="L1570" s="439"/>
      <c r="M1570" s="475" t="s">
        <v>104</v>
      </c>
      <c r="N1570" s="467"/>
      <c r="O1570" s="183"/>
      <c r="P1570" s="166"/>
      <c r="Q1570" s="168"/>
      <c r="R1570" s="13"/>
      <c r="S1570" s="14"/>
      <c r="AG1570" s="400"/>
      <c r="AH1570" s="400"/>
      <c r="AV1570" t="str">
        <f>IF(F1570&gt;0,(COUNT($AV$1:AV1569)+1),"")</f>
        <v/>
      </c>
    </row>
    <row r="1571" spans="1:48" ht="24.95" customHeight="1" thickBot="1" x14ac:dyDescent="0.3">
      <c r="A1571" s="1"/>
      <c r="B1571" s="266"/>
      <c r="C1571" s="267"/>
      <c r="D1571" s="268" t="str">
        <f>CONCATENATE(" Фабрика Петербургский кондитерЪ","     |     Сумма заказа: ",AK1571," руб.")</f>
        <v xml:space="preserve"> Фабрика Петербургский кондитерЪ     |     Сумма заказа: 0 руб.</v>
      </c>
      <c r="E1571" s="269"/>
      <c r="F1571" s="270"/>
      <c r="G1571" s="271" t="str">
        <f>CONCATENATE("Ценовая колонка: ",AO1571,"   |   До следующей скидки: ",AJ1571," руб.")</f>
        <v>Ценовая колонка: 3   |   До следующей скидки: 5000 руб.</v>
      </c>
      <c r="H1571" s="272"/>
      <c r="I1571" s="272"/>
      <c r="J1571" s="273" t="s">
        <v>6434</v>
      </c>
      <c r="K1571" s="274"/>
      <c r="L1571" s="451"/>
      <c r="M1571" s="495"/>
      <c r="N1571" s="571"/>
      <c r="O1571" s="275"/>
      <c r="P1571" s="276"/>
      <c r="Q1571" s="277"/>
      <c r="R1571" s="265" t="s">
        <v>1558</v>
      </c>
      <c r="S1571" s="6"/>
      <c r="AJ1571">
        <f>ROUND(IF(AL1571&gt;20000,"0", IF(AND(AL1571&lt;20000,AM1571&gt;5000),20000-AL1571,5000-AM1571)),2)</f>
        <v>5000</v>
      </c>
      <c r="AK1571">
        <f>SUM(Q1578:Q1587)</f>
        <v>0</v>
      </c>
      <c r="AL1571">
        <f>SUM(AL1578:AL1587)</f>
        <v>0</v>
      </c>
      <c r="AM1571">
        <f>SUM(AM1578:AM1587)</f>
        <v>0</v>
      </c>
      <c r="AO1571">
        <f>IF(AM1571&gt;5000,IF(AL1571&gt;20000,1,2),3)</f>
        <v>3</v>
      </c>
      <c r="AV1571" t="str">
        <f>IF(F1571&gt;0,(COUNT($AV$1:AV1570)+1),"")</f>
        <v/>
      </c>
    </row>
    <row r="1572" spans="1:48" ht="15" customHeight="1" x14ac:dyDescent="0.25">
      <c r="A1572" s="1"/>
      <c r="B1572" s="294"/>
      <c r="C1572" s="243"/>
      <c r="D1572" s="263" t="s">
        <v>6405</v>
      </c>
      <c r="E1572" s="244"/>
      <c r="F1572" s="245"/>
      <c r="G1572" s="246"/>
      <c r="H1572" s="247"/>
      <c r="I1572" s="247"/>
      <c r="J1572" s="248"/>
      <c r="K1572" s="249"/>
      <c r="L1572" s="435"/>
      <c r="M1572" s="478"/>
      <c r="N1572" s="469"/>
      <c r="O1572" s="250"/>
      <c r="P1572" s="251"/>
      <c r="Q1572" s="252"/>
      <c r="R1572" s="13"/>
      <c r="S1572" s="14"/>
      <c r="AV1572" t="str">
        <f>IF(F1572&gt;0,(COUNT($AV$1:AV1571)+1),"")</f>
        <v/>
      </c>
    </row>
    <row r="1573" spans="1:48" ht="15" customHeight="1" x14ac:dyDescent="0.25">
      <c r="A1573" s="1"/>
      <c r="B1573" s="158"/>
      <c r="C1573" s="159"/>
      <c r="D1573" s="263" t="s">
        <v>6466</v>
      </c>
      <c r="E1573" s="238"/>
      <c r="F1573" s="203"/>
      <c r="G1573" s="239"/>
      <c r="H1573" s="240"/>
      <c r="I1573" s="240"/>
      <c r="J1573" s="241"/>
      <c r="K1573" s="201"/>
      <c r="L1573" s="428"/>
      <c r="M1573" s="475"/>
      <c r="N1573" s="467"/>
      <c r="O1573" s="166"/>
      <c r="P1573" s="242"/>
      <c r="Q1573" s="202"/>
      <c r="R1573" s="13"/>
      <c r="S1573" s="14"/>
      <c r="AV1573" t="str">
        <f>IF(F1573&gt;0,(COUNT($AV$1:AV1572)+1),"")</f>
        <v/>
      </c>
    </row>
    <row r="1574" spans="1:48" ht="15" customHeight="1" x14ac:dyDescent="0.25">
      <c r="A1574" s="1"/>
      <c r="B1574" s="158"/>
      <c r="C1574" s="159"/>
      <c r="D1574" s="263" t="s">
        <v>6467</v>
      </c>
      <c r="E1574" s="238"/>
      <c r="F1574" s="203"/>
      <c r="G1574" s="239"/>
      <c r="H1574" s="240"/>
      <c r="I1574" s="240"/>
      <c r="J1574" s="241"/>
      <c r="K1574" s="201"/>
      <c r="L1574" s="428"/>
      <c r="M1574" s="475"/>
      <c r="N1574" s="467"/>
      <c r="O1574" s="166"/>
      <c r="P1574" s="242"/>
      <c r="Q1574" s="202"/>
      <c r="R1574" s="13"/>
      <c r="S1574" s="14"/>
      <c r="AV1574" t="str">
        <f>IF(F1574&gt;0,(COUNT($AV$1:AV1573)+1),"")</f>
        <v/>
      </c>
    </row>
    <row r="1575" spans="1:48" ht="15" customHeight="1" x14ac:dyDescent="0.25">
      <c r="A1575" s="1"/>
      <c r="B1575" s="158"/>
      <c r="C1575" s="159"/>
      <c r="D1575" s="263"/>
      <c r="E1575" s="238"/>
      <c r="F1575" s="203"/>
      <c r="G1575" s="239"/>
      <c r="H1575" s="240"/>
      <c r="I1575" s="240"/>
      <c r="J1575" s="241"/>
      <c r="K1575" s="201"/>
      <c r="L1575" s="428"/>
      <c r="M1575" s="475"/>
      <c r="N1575" s="467"/>
      <c r="O1575" s="166"/>
      <c r="P1575" s="242"/>
      <c r="Q1575" s="202"/>
      <c r="R1575" s="13"/>
      <c r="S1575" s="14"/>
      <c r="AV1575" t="str">
        <f>IF(F1575&gt;0,(COUNT($AV$1:AV1574)+1),"")</f>
        <v/>
      </c>
    </row>
    <row r="1576" spans="1:48" ht="15" customHeight="1" x14ac:dyDescent="0.25">
      <c r="A1576" s="1"/>
      <c r="B1576" s="295"/>
      <c r="C1576" s="253"/>
      <c r="D1576" s="263"/>
      <c r="E1576" s="254"/>
      <c r="F1576" s="255"/>
      <c r="G1576" s="256"/>
      <c r="H1576" s="257"/>
      <c r="I1576" s="257"/>
      <c r="J1576" s="258"/>
      <c r="K1576" s="259"/>
      <c r="L1576" s="436"/>
      <c r="M1576" s="479"/>
      <c r="N1576" s="470"/>
      <c r="O1576" s="260"/>
      <c r="P1576" s="261"/>
      <c r="Q1576" s="262"/>
      <c r="R1576" s="13"/>
      <c r="S1576" s="14"/>
      <c r="AV1576" t="str">
        <f>IF(F1576&gt;0,(COUNT($AV$1:AV1575)+1),"")</f>
        <v/>
      </c>
    </row>
    <row r="1577" spans="1:48" ht="27.95" customHeight="1" x14ac:dyDescent="0.25">
      <c r="A1577" s="1"/>
      <c r="B1577" s="297"/>
      <c r="C1577" s="283"/>
      <c r="D1577" s="284" t="s">
        <v>6407</v>
      </c>
      <c r="E1577" s="285"/>
      <c r="F1577" s="286"/>
      <c r="G1577" s="1231" t="s">
        <v>7587</v>
      </c>
      <c r="H1577" s="288" t="s">
        <v>16</v>
      </c>
      <c r="I1577" s="288"/>
      <c r="J1577" s="289"/>
      <c r="K1577" s="290"/>
      <c r="L1577" s="452"/>
      <c r="M1577" s="496"/>
      <c r="N1577" s="572"/>
      <c r="O1577" s="291"/>
      <c r="P1577" s="292"/>
      <c r="Q1577" s="293"/>
      <c r="R1577" s="2"/>
      <c r="S1577" s="6"/>
      <c r="AV1577" t="str">
        <f>IF(F1577&gt;0,(COUNT($AV$1:AV1576)+1),"")</f>
        <v/>
      </c>
    </row>
    <row r="1578" spans="1:48" ht="15" customHeight="1" x14ac:dyDescent="0.25">
      <c r="A1578" s="1"/>
      <c r="B1578" s="37">
        <v>21295</v>
      </c>
      <c r="C1578" s="23">
        <v>4670033030808</v>
      </c>
      <c r="D1578" s="237" t="s">
        <v>6420</v>
      </c>
      <c r="E1578" s="75">
        <v>8</v>
      </c>
      <c r="F1578" s="223"/>
      <c r="G1578" s="111">
        <v>125.4</v>
      </c>
      <c r="H1578" s="5">
        <v>131.69999999999999</v>
      </c>
      <c r="I1578" s="24">
        <v>145</v>
      </c>
      <c r="J1578" s="120" t="s">
        <v>6766</v>
      </c>
      <c r="K1578" s="46" t="s">
        <v>6406</v>
      </c>
      <c r="L1578" s="440"/>
      <c r="M1578" s="482"/>
      <c r="N1578" s="1002"/>
      <c r="O1578" s="211"/>
      <c r="P1578" s="74" t="s">
        <v>125</v>
      </c>
      <c r="Q1578" s="521">
        <f t="shared" ref="Q1578:Q1587" si="867">IF(AND($AO$1571=1,MOD(F1578,E1578)=0),F1578*G1578,IF($AO$1571&lt;=2,F1578*H1578,F1578*I1578))</f>
        <v>0</v>
      </c>
      <c r="R1578" s="13" t="str">
        <f t="shared" ref="R1578:R1587" si="868">IF(AO1578&gt;0,HYPERLINK(AO1578,"Фото &gt;&gt;"),"")</f>
        <v>Фото &gt;&gt;</v>
      </c>
      <c r="S1578" s="14" t="s">
        <v>6414</v>
      </c>
      <c r="AK1578">
        <v>0.23</v>
      </c>
      <c r="AL1578">
        <f t="shared" ref="AL1578:AL1587" si="869">F1578*G1578</f>
        <v>0</v>
      </c>
      <c r="AM1578">
        <f t="shared" ref="AM1578:AM1587" si="870">F1578*H1578</f>
        <v>0</v>
      </c>
      <c r="AN1578">
        <f t="shared" ref="AN1578:AN1587" si="871">AK1578*F1578+IF(E1578&gt;1.01,F1578/E1578*0.2,0)</f>
        <v>0</v>
      </c>
      <c r="AO1578" t="s">
        <v>6426</v>
      </c>
      <c r="AV1578" t="str">
        <f>IF(F1578&gt;0,(COUNT($AV$1:AV1577)+1),"")</f>
        <v/>
      </c>
    </row>
    <row r="1579" spans="1:48" ht="15" customHeight="1" x14ac:dyDescent="0.25">
      <c r="A1579" s="1"/>
      <c r="B1579" s="825">
        <v>21296</v>
      </c>
      <c r="C1579" s="523">
        <v>4670033030037</v>
      </c>
      <c r="D1579" s="534" t="s">
        <v>6419</v>
      </c>
      <c r="E1579" s="524">
        <v>8</v>
      </c>
      <c r="F1579" s="223"/>
      <c r="G1579" s="525">
        <v>125.4</v>
      </c>
      <c r="H1579" s="526">
        <v>131.69999999999999</v>
      </c>
      <c r="I1579" s="527">
        <v>145</v>
      </c>
      <c r="J1579" s="826" t="s">
        <v>6766</v>
      </c>
      <c r="K1579" s="529" t="s">
        <v>6406</v>
      </c>
      <c r="L1579" s="530"/>
      <c r="M1579" s="531"/>
      <c r="N1579" s="1003"/>
      <c r="O1579" s="532"/>
      <c r="P1579" s="533" t="s">
        <v>125</v>
      </c>
      <c r="Q1579" s="521">
        <f t="shared" si="867"/>
        <v>0</v>
      </c>
      <c r="R1579" s="13" t="str">
        <f t="shared" si="868"/>
        <v>Фото &gt;&gt;</v>
      </c>
      <c r="S1579" s="14" t="s">
        <v>6415</v>
      </c>
      <c r="AK1579">
        <v>0.23</v>
      </c>
      <c r="AL1579">
        <f t="shared" si="869"/>
        <v>0</v>
      </c>
      <c r="AM1579">
        <f t="shared" si="870"/>
        <v>0</v>
      </c>
      <c r="AN1579">
        <f t="shared" si="871"/>
        <v>0</v>
      </c>
      <c r="AO1579" t="s">
        <v>6427</v>
      </c>
      <c r="AV1579" t="str">
        <f>IF(F1579&gt;0,(COUNT($AV$1:AV1578)+1),"")</f>
        <v/>
      </c>
    </row>
    <row r="1580" spans="1:48" ht="15" customHeight="1" x14ac:dyDescent="0.25">
      <c r="A1580" s="1"/>
      <c r="B1580" s="37">
        <v>21297</v>
      </c>
      <c r="C1580" s="23">
        <v>4670033030013</v>
      </c>
      <c r="D1580" s="237" t="s">
        <v>6432</v>
      </c>
      <c r="E1580" s="75">
        <v>8</v>
      </c>
      <c r="F1580" s="223"/>
      <c r="G1580" s="111">
        <v>125.4</v>
      </c>
      <c r="H1580" s="5">
        <v>131.69999999999999</v>
      </c>
      <c r="I1580" s="24">
        <v>145</v>
      </c>
      <c r="J1580" s="120" t="s">
        <v>6766</v>
      </c>
      <c r="K1580" s="46" t="s">
        <v>6406</v>
      </c>
      <c r="L1580" s="440"/>
      <c r="M1580" s="482"/>
      <c r="N1580" s="1002"/>
      <c r="O1580" s="211"/>
      <c r="P1580" s="74" t="s">
        <v>125</v>
      </c>
      <c r="Q1580" s="521">
        <f t="shared" si="867"/>
        <v>0</v>
      </c>
      <c r="R1580" s="13" t="str">
        <f t="shared" si="868"/>
        <v>Фото &gt;&gt;</v>
      </c>
      <c r="S1580" s="14" t="s">
        <v>6416</v>
      </c>
      <c r="AK1580">
        <v>0.23</v>
      </c>
      <c r="AL1580">
        <f t="shared" si="869"/>
        <v>0</v>
      </c>
      <c r="AM1580">
        <f t="shared" si="870"/>
        <v>0</v>
      </c>
      <c r="AN1580">
        <f t="shared" si="871"/>
        <v>0</v>
      </c>
      <c r="AO1580" t="s">
        <v>6431</v>
      </c>
      <c r="AV1580" t="str">
        <f>IF(F1580&gt;0,(COUNT($AV$1:AV1579)+1),"")</f>
        <v/>
      </c>
    </row>
    <row r="1581" spans="1:48" ht="15" customHeight="1" x14ac:dyDescent="0.25">
      <c r="A1581" s="1"/>
      <c r="B1581" s="825">
        <v>21298</v>
      </c>
      <c r="C1581" s="523">
        <v>4670033030075</v>
      </c>
      <c r="D1581" s="534" t="s">
        <v>6421</v>
      </c>
      <c r="E1581" s="524">
        <v>8</v>
      </c>
      <c r="F1581" s="223"/>
      <c r="G1581" s="525">
        <v>138.30000000000001</v>
      </c>
      <c r="H1581" s="526">
        <v>145.19999999999999</v>
      </c>
      <c r="I1581" s="527">
        <v>160</v>
      </c>
      <c r="J1581" s="826" t="s">
        <v>6766</v>
      </c>
      <c r="K1581" s="529" t="s">
        <v>6406</v>
      </c>
      <c r="L1581" s="530"/>
      <c r="M1581" s="531"/>
      <c r="N1581" s="1003"/>
      <c r="O1581" s="532"/>
      <c r="P1581" s="533" t="s">
        <v>125</v>
      </c>
      <c r="Q1581" s="521">
        <f t="shared" si="867"/>
        <v>0</v>
      </c>
      <c r="R1581" s="13" t="str">
        <f t="shared" si="868"/>
        <v>Фото &gt;&gt;</v>
      </c>
      <c r="S1581" s="14" t="s">
        <v>6413</v>
      </c>
      <c r="AK1581">
        <v>0.3</v>
      </c>
      <c r="AL1581">
        <f t="shared" si="869"/>
        <v>0</v>
      </c>
      <c r="AM1581">
        <f t="shared" si="870"/>
        <v>0</v>
      </c>
      <c r="AN1581">
        <f t="shared" si="871"/>
        <v>0</v>
      </c>
      <c r="AO1581" t="s">
        <v>6424</v>
      </c>
      <c r="AV1581" t="str">
        <f>IF(F1581&gt;0,(COUNT($AV$1:AV1580)+1),"")</f>
        <v/>
      </c>
    </row>
    <row r="1582" spans="1:48" ht="15" customHeight="1" x14ac:dyDescent="0.25">
      <c r="A1582" s="1"/>
      <c r="B1582" s="37">
        <v>21299</v>
      </c>
      <c r="C1582" s="23">
        <v>4670033030112</v>
      </c>
      <c r="D1582" s="237" t="s">
        <v>6409</v>
      </c>
      <c r="E1582" s="75">
        <v>8</v>
      </c>
      <c r="F1582" s="223"/>
      <c r="G1582" s="111">
        <v>138.30000000000001</v>
      </c>
      <c r="H1582" s="5">
        <v>145.19999999999999</v>
      </c>
      <c r="I1582" s="24">
        <v>160</v>
      </c>
      <c r="J1582" s="120" t="s">
        <v>6766</v>
      </c>
      <c r="K1582" s="46" t="s">
        <v>6406</v>
      </c>
      <c r="L1582" s="440"/>
      <c r="M1582" s="482"/>
      <c r="N1582" s="1002"/>
      <c r="O1582" s="211"/>
      <c r="P1582" s="74" t="s">
        <v>125</v>
      </c>
      <c r="Q1582" s="521">
        <f t="shared" si="867"/>
        <v>0</v>
      </c>
      <c r="R1582" s="13" t="str">
        <f t="shared" si="868"/>
        <v>Фото &gt;&gt;</v>
      </c>
      <c r="S1582" s="14" t="s">
        <v>6412</v>
      </c>
      <c r="AK1582">
        <v>0.3</v>
      </c>
      <c r="AL1582">
        <f t="shared" si="869"/>
        <v>0</v>
      </c>
      <c r="AM1582">
        <f t="shared" si="870"/>
        <v>0</v>
      </c>
      <c r="AN1582">
        <f t="shared" si="871"/>
        <v>0</v>
      </c>
      <c r="AO1582" t="s">
        <v>6408</v>
      </c>
      <c r="AV1582" t="str">
        <f>IF(F1582&gt;0,(COUNT($AV$1:AV1581)+1),"")</f>
        <v/>
      </c>
    </row>
    <row r="1583" spans="1:48" ht="15" customHeight="1" x14ac:dyDescent="0.25">
      <c r="A1583" s="1"/>
      <c r="B1583" s="316">
        <v>21300</v>
      </c>
      <c r="C1583" s="317">
        <v>4670033030129</v>
      </c>
      <c r="D1583" s="513" t="s">
        <v>6418</v>
      </c>
      <c r="E1583" s="318">
        <v>8</v>
      </c>
      <c r="F1583" s="223"/>
      <c r="G1583" s="510">
        <v>138.30000000000001</v>
      </c>
      <c r="H1583" s="511">
        <v>145.19999999999999</v>
      </c>
      <c r="I1583" s="512">
        <v>160</v>
      </c>
      <c r="J1583" s="826" t="s">
        <v>6766</v>
      </c>
      <c r="K1583" s="320" t="s">
        <v>6406</v>
      </c>
      <c r="L1583" s="432"/>
      <c r="M1583" s="493"/>
      <c r="N1583" s="1004"/>
      <c r="O1583" s="322"/>
      <c r="P1583" s="321" t="s">
        <v>125</v>
      </c>
      <c r="Q1583" s="521">
        <f t="shared" si="867"/>
        <v>0</v>
      </c>
      <c r="R1583" s="13" t="str">
        <f t="shared" si="868"/>
        <v>Фото &gt;&gt;</v>
      </c>
      <c r="S1583" s="14" t="s">
        <v>6417</v>
      </c>
      <c r="AK1583">
        <v>0.3</v>
      </c>
      <c r="AL1583">
        <f t="shared" si="869"/>
        <v>0</v>
      </c>
      <c r="AM1583">
        <f t="shared" si="870"/>
        <v>0</v>
      </c>
      <c r="AN1583">
        <f t="shared" si="871"/>
        <v>0</v>
      </c>
      <c r="AO1583" t="s">
        <v>6428</v>
      </c>
      <c r="AV1583" t="str">
        <f>IF(F1583&gt;0,(COUNT($AV$1:AV1582)+1),"")</f>
        <v/>
      </c>
    </row>
    <row r="1584" spans="1:48" ht="15" customHeight="1" x14ac:dyDescent="0.25">
      <c r="A1584" s="1"/>
      <c r="B1584" s="827">
        <v>21293</v>
      </c>
      <c r="C1584" s="828">
        <v>4670033031171</v>
      </c>
      <c r="D1584" s="829" t="s">
        <v>6410</v>
      </c>
      <c r="E1584" s="830">
        <v>12</v>
      </c>
      <c r="F1584" s="789"/>
      <c r="G1584" s="831">
        <v>172.5</v>
      </c>
      <c r="H1584" s="832">
        <v>181.2</v>
      </c>
      <c r="I1584" s="833">
        <v>199</v>
      </c>
      <c r="J1584" s="834" t="s">
        <v>6766</v>
      </c>
      <c r="K1584" s="835" t="s">
        <v>6406</v>
      </c>
      <c r="L1584" s="836"/>
      <c r="M1584" s="837"/>
      <c r="N1584" s="1005"/>
      <c r="O1584" s="838"/>
      <c r="P1584" s="839" t="s">
        <v>125</v>
      </c>
      <c r="Q1584" s="521">
        <f t="shared" si="867"/>
        <v>0</v>
      </c>
      <c r="R1584" s="13" t="str">
        <f t="shared" si="868"/>
        <v>Фото &gt;&gt;</v>
      </c>
      <c r="S1584" s="14" t="s">
        <v>6411</v>
      </c>
      <c r="AK1584">
        <v>0.25</v>
      </c>
      <c r="AL1584">
        <f t="shared" si="869"/>
        <v>0</v>
      </c>
      <c r="AM1584">
        <f t="shared" si="870"/>
        <v>0</v>
      </c>
      <c r="AN1584">
        <f t="shared" si="871"/>
        <v>0</v>
      </c>
      <c r="AO1584" t="s">
        <v>6425</v>
      </c>
      <c r="AV1584" t="str">
        <f>IF(F1584&gt;0,(COUNT($AV$1:AV1583)+1),"")</f>
        <v/>
      </c>
    </row>
    <row r="1585" spans="1:48" ht="15" customHeight="1" x14ac:dyDescent="0.25">
      <c r="A1585" s="1"/>
      <c r="B1585" s="825">
        <v>21294</v>
      </c>
      <c r="C1585" s="523">
        <v>4627138303719</v>
      </c>
      <c r="D1585" s="534" t="s">
        <v>6433</v>
      </c>
      <c r="E1585" s="524">
        <v>12</v>
      </c>
      <c r="F1585" s="223"/>
      <c r="G1585" s="525">
        <v>164.3</v>
      </c>
      <c r="H1585" s="526">
        <v>172.5</v>
      </c>
      <c r="I1585" s="527">
        <v>189.7</v>
      </c>
      <c r="J1585" s="826" t="s">
        <v>6766</v>
      </c>
      <c r="K1585" s="529" t="s">
        <v>6406</v>
      </c>
      <c r="L1585" s="530"/>
      <c r="M1585" s="531"/>
      <c r="N1585" s="1003"/>
      <c r="O1585" s="532"/>
      <c r="P1585" s="533" t="s">
        <v>125</v>
      </c>
      <c r="Q1585" s="521">
        <f t="shared" si="867"/>
        <v>0</v>
      </c>
      <c r="R1585" s="13" t="str">
        <f t="shared" si="868"/>
        <v>Фото &gt;&gt;</v>
      </c>
      <c r="S1585" s="14" t="s">
        <v>6423</v>
      </c>
      <c r="AK1585">
        <v>0.25</v>
      </c>
      <c r="AL1585">
        <f t="shared" si="869"/>
        <v>0</v>
      </c>
      <c r="AM1585">
        <f t="shared" si="870"/>
        <v>0</v>
      </c>
      <c r="AN1585">
        <f t="shared" si="871"/>
        <v>0</v>
      </c>
      <c r="AO1585" t="s">
        <v>6429</v>
      </c>
      <c r="AV1585" t="str">
        <f>IF(F1585&gt;0,(COUNT($AV$1:AV1584)+1),"")</f>
        <v/>
      </c>
    </row>
    <row r="1586" spans="1:48" ht="15" customHeight="1" x14ac:dyDescent="0.25">
      <c r="A1586" s="1"/>
      <c r="B1586" s="37">
        <v>21292</v>
      </c>
      <c r="C1586" s="23">
        <v>4606938004552</v>
      </c>
      <c r="D1586" s="237" t="s">
        <v>6422</v>
      </c>
      <c r="E1586" s="75">
        <v>12</v>
      </c>
      <c r="F1586" s="223"/>
      <c r="G1586" s="111">
        <v>188.3</v>
      </c>
      <c r="H1586" s="5">
        <v>196.9</v>
      </c>
      <c r="I1586" s="24">
        <v>217</v>
      </c>
      <c r="J1586" s="120" t="s">
        <v>6766</v>
      </c>
      <c r="K1586" s="46" t="s">
        <v>6406</v>
      </c>
      <c r="L1586" s="440"/>
      <c r="M1586" s="482"/>
      <c r="N1586" s="1002"/>
      <c r="O1586" s="211"/>
      <c r="P1586" s="74" t="s">
        <v>125</v>
      </c>
      <c r="Q1586" s="521">
        <f t="shared" si="867"/>
        <v>0</v>
      </c>
      <c r="R1586" s="13" t="str">
        <f t="shared" si="868"/>
        <v>Фото &gt;&gt;</v>
      </c>
      <c r="S1586" s="14"/>
      <c r="AK1586">
        <v>0.25</v>
      </c>
      <c r="AL1586">
        <f t="shared" si="869"/>
        <v>0</v>
      </c>
      <c r="AM1586">
        <f t="shared" si="870"/>
        <v>0</v>
      </c>
      <c r="AN1586">
        <f t="shared" si="871"/>
        <v>0</v>
      </c>
      <c r="AO1586" t="s">
        <v>6430</v>
      </c>
      <c r="AV1586" t="str">
        <f>IF(F1586&gt;0,(COUNT($AV$1:AV1585)+1),"")</f>
        <v/>
      </c>
    </row>
    <row r="1587" spans="1:48" ht="15" customHeight="1" x14ac:dyDescent="0.25">
      <c r="A1587" s="1"/>
      <c r="B1587" s="825">
        <v>21490</v>
      </c>
      <c r="C1587" s="523">
        <v>4670033031546</v>
      </c>
      <c r="D1587" s="534" t="s">
        <v>6960</v>
      </c>
      <c r="E1587" s="524">
        <v>24</v>
      </c>
      <c r="F1587" s="223"/>
      <c r="G1587" s="525">
        <v>173.5</v>
      </c>
      <c r="H1587" s="526">
        <v>182.1</v>
      </c>
      <c r="I1587" s="527">
        <v>193</v>
      </c>
      <c r="J1587" s="826" t="s">
        <v>6766</v>
      </c>
      <c r="K1587" s="529" t="s">
        <v>428</v>
      </c>
      <c r="L1587" s="530"/>
      <c r="M1587" s="531"/>
      <c r="N1587" s="1003"/>
      <c r="O1587" s="532"/>
      <c r="P1587" s="533" t="s">
        <v>72</v>
      </c>
      <c r="Q1587" s="521">
        <f t="shared" si="867"/>
        <v>0</v>
      </c>
      <c r="R1587" s="13" t="str">
        <f t="shared" si="868"/>
        <v>Фото &gt;&gt;</v>
      </c>
      <c r="S1587" s="14" t="s">
        <v>7043</v>
      </c>
      <c r="AK1587">
        <v>0.21</v>
      </c>
      <c r="AL1587">
        <f t="shared" si="869"/>
        <v>0</v>
      </c>
      <c r="AM1587">
        <f t="shared" si="870"/>
        <v>0</v>
      </c>
      <c r="AN1587">
        <f t="shared" si="871"/>
        <v>0</v>
      </c>
      <c r="AO1587" t="s">
        <v>7044</v>
      </c>
      <c r="AV1587" t="str">
        <f>IF(F1587&gt;0,(COUNT($AV$1:AV1586)+1),"")</f>
        <v/>
      </c>
    </row>
    <row r="1588" spans="1:48" ht="15" customHeight="1" x14ac:dyDescent="0.25">
      <c r="A1588" s="1"/>
      <c r="B1588" s="125"/>
      <c r="C1588" s="126"/>
      <c r="D1588" s="127"/>
      <c r="E1588" s="134"/>
      <c r="F1588" s="189"/>
      <c r="G1588" s="130"/>
      <c r="H1588" s="131"/>
      <c r="I1588" s="132"/>
      <c r="J1588" s="128"/>
      <c r="K1588" s="129"/>
      <c r="L1588" s="433"/>
      <c r="M1588" s="481"/>
      <c r="N1588" s="471"/>
      <c r="O1588" s="181"/>
      <c r="P1588" s="133"/>
      <c r="Q1588" s="135"/>
      <c r="R1588" s="13"/>
      <c r="S1588" s="14"/>
      <c r="AG1588" s="400"/>
      <c r="AH1588" s="400"/>
      <c r="AV1588" t="str">
        <f>IF(F1588&gt;0,(COUNT($AV$1:AV1587)+1),"")</f>
        <v/>
      </c>
    </row>
    <row r="1589" spans="1:48" ht="15" customHeight="1" thickBot="1" x14ac:dyDescent="0.3">
      <c r="A1589" s="1"/>
      <c r="B1589" s="158"/>
      <c r="C1589" s="159"/>
      <c r="D1589" s="160"/>
      <c r="E1589" s="167"/>
      <c r="F1589" s="191"/>
      <c r="G1589" s="163"/>
      <c r="H1589" s="164"/>
      <c r="I1589" s="165"/>
      <c r="J1589" s="161"/>
      <c r="K1589" s="162"/>
      <c r="L1589" s="439"/>
      <c r="M1589" s="475"/>
      <c r="N1589" s="467"/>
      <c r="O1589" s="183"/>
      <c r="P1589" s="166"/>
      <c r="Q1589" s="168"/>
      <c r="R1589" s="13"/>
      <c r="S1589" s="14"/>
      <c r="AG1589" s="400"/>
      <c r="AH1589" s="400"/>
      <c r="AV1589" t="str">
        <f>IF(F1589&gt;0,(COUNT($AV$1:AV1588)+1),"")</f>
        <v/>
      </c>
    </row>
    <row r="1590" spans="1:48" ht="24.95" customHeight="1" thickBot="1" x14ac:dyDescent="0.3">
      <c r="A1590" s="1"/>
      <c r="B1590" s="266"/>
      <c r="C1590" s="267"/>
      <c r="D1590" s="268" t="str">
        <f>CONCATENATE("Таёжный тайник","     |     Сумма заказа: ",AK1590," руб.")</f>
        <v>Таёжный тайник     |     Сумма заказа: 0 руб.</v>
      </c>
      <c r="E1590" s="269"/>
      <c r="F1590" s="270"/>
      <c r="G1590" s="271" t="str">
        <f>CONCATENATE("Ценовая колонка: ",AO1590,"   |   До следующей скидки: ",AJ1590," руб.")</f>
        <v>Ценовая колонка: 3   |   До следующей скидки: 15000 руб.</v>
      </c>
      <c r="H1590" s="272"/>
      <c r="I1590" s="272"/>
      <c r="J1590" s="273" t="s">
        <v>6471</v>
      </c>
      <c r="K1590" s="274"/>
      <c r="L1590" s="451"/>
      <c r="M1590" s="495"/>
      <c r="N1590" s="571"/>
      <c r="O1590" s="275"/>
      <c r="P1590" s="276"/>
      <c r="Q1590" s="277"/>
      <c r="R1590" s="265" t="s">
        <v>1558</v>
      </c>
      <c r="S1590" s="6"/>
      <c r="AJ1590">
        <f>ROUND(IF(AL1590&gt;50000,"0", IF(AND(AL1590&lt;50000,AM1590&gt;15000),50000-AL1590,15000-AM1590)),2)</f>
        <v>15000</v>
      </c>
      <c r="AK1590">
        <f>SUM(Q1597:Q1636)</f>
        <v>0</v>
      </c>
      <c r="AL1590">
        <f>SUM(AL1597:AL1636)</f>
        <v>0</v>
      </c>
      <c r="AM1590">
        <f>SUM(AM1597:AM1636)</f>
        <v>0</v>
      </c>
      <c r="AO1590">
        <f>IF(AM1590&gt;15000,IF(AL1590&gt;50000,1,2),3)</f>
        <v>3</v>
      </c>
      <c r="AV1590" t="str">
        <f>IF(F1590&gt;0,(COUNT($AV$1:AV1589)+1),"")</f>
        <v/>
      </c>
    </row>
    <row r="1591" spans="1:48" ht="15" customHeight="1" x14ac:dyDescent="0.25">
      <c r="A1591" s="1"/>
      <c r="B1591" s="294"/>
      <c r="C1591" s="243"/>
      <c r="D1591" s="263" t="s">
        <v>2964</v>
      </c>
      <c r="E1591" s="244"/>
      <c r="F1591" s="245"/>
      <c r="G1591" s="246"/>
      <c r="H1591" s="247"/>
      <c r="I1591" s="247"/>
      <c r="J1591" s="248"/>
      <c r="K1591" s="249"/>
      <c r="L1591" s="435"/>
      <c r="M1591" s="478"/>
      <c r="N1591" s="469"/>
      <c r="O1591" s="250"/>
      <c r="P1591" s="251"/>
      <c r="Q1591" s="252"/>
      <c r="R1591" s="13"/>
      <c r="S1591" s="14"/>
      <c r="AV1591" t="str">
        <f>IF(F1591&gt;0,(COUNT($AV$1:AV1590)+1),"")</f>
        <v/>
      </c>
    </row>
    <row r="1592" spans="1:48" ht="15" customHeight="1" x14ac:dyDescent="0.25">
      <c r="A1592" s="1"/>
      <c r="B1592" s="158"/>
      <c r="C1592" s="159"/>
      <c r="D1592" s="263" t="s">
        <v>6565</v>
      </c>
      <c r="E1592" s="238"/>
      <c r="F1592" s="203"/>
      <c r="G1592" s="239"/>
      <c r="H1592" s="240"/>
      <c r="I1592" s="240"/>
      <c r="J1592" s="241"/>
      <c r="K1592" s="201"/>
      <c r="L1592" s="428"/>
      <c r="M1592" s="475"/>
      <c r="N1592" s="467"/>
      <c r="O1592" s="166"/>
      <c r="P1592" s="242"/>
      <c r="Q1592" s="202"/>
      <c r="R1592" s="13"/>
      <c r="S1592" s="14"/>
      <c r="AV1592" t="str">
        <f>IF(F1592&gt;0,(COUNT($AV$1:AV1591)+1),"")</f>
        <v/>
      </c>
    </row>
    <row r="1593" spans="1:48" ht="15" customHeight="1" x14ac:dyDescent="0.25">
      <c r="A1593" s="1"/>
      <c r="B1593" s="158"/>
      <c r="C1593" s="159"/>
      <c r="D1593" s="263" t="s">
        <v>6563</v>
      </c>
      <c r="E1593" s="238"/>
      <c r="F1593" s="203"/>
      <c r="G1593" s="239"/>
      <c r="H1593" s="240"/>
      <c r="I1593" s="240"/>
      <c r="J1593" s="241"/>
      <c r="K1593" s="201"/>
      <c r="L1593" s="428"/>
      <c r="M1593" s="475"/>
      <c r="N1593" s="467"/>
      <c r="O1593" s="166"/>
      <c r="P1593" s="242"/>
      <c r="Q1593" s="202"/>
      <c r="R1593" s="13"/>
      <c r="S1593" s="14"/>
      <c r="AV1593" t="str">
        <f>IF(F1593&gt;0,(COUNT($AV$1:AV1592)+1),"")</f>
        <v/>
      </c>
    </row>
    <row r="1594" spans="1:48" ht="15" customHeight="1" x14ac:dyDescent="0.25">
      <c r="A1594" s="1"/>
      <c r="B1594" s="158"/>
      <c r="C1594" s="159"/>
      <c r="D1594" s="263" t="s">
        <v>3973</v>
      </c>
      <c r="E1594" s="238"/>
      <c r="F1594" s="203"/>
      <c r="G1594" s="239"/>
      <c r="H1594" s="240"/>
      <c r="I1594" s="240"/>
      <c r="J1594" s="241"/>
      <c r="K1594" s="201"/>
      <c r="L1594" s="428"/>
      <c r="M1594" s="475"/>
      <c r="N1594" s="467"/>
      <c r="O1594" s="166"/>
      <c r="P1594" s="242"/>
      <c r="Q1594" s="202"/>
      <c r="R1594" s="13"/>
      <c r="S1594" s="14"/>
      <c r="AV1594" t="str">
        <f>IF(F1594&gt;0,(COUNT($AV$1:AV1593)+1),"")</f>
        <v/>
      </c>
    </row>
    <row r="1595" spans="1:48" ht="15" customHeight="1" x14ac:dyDescent="0.25">
      <c r="A1595" s="1"/>
      <c r="B1595" s="295"/>
      <c r="C1595" s="253"/>
      <c r="D1595" s="263" t="s">
        <v>6564</v>
      </c>
      <c r="E1595" s="254"/>
      <c r="F1595" s="255"/>
      <c r="G1595" s="256"/>
      <c r="H1595" s="257"/>
      <c r="I1595" s="257"/>
      <c r="J1595" s="258"/>
      <c r="K1595" s="259"/>
      <c r="L1595" s="436"/>
      <c r="M1595" s="479"/>
      <c r="N1595" s="470"/>
      <c r="O1595" s="260"/>
      <c r="P1595" s="261"/>
      <c r="Q1595" s="262"/>
      <c r="R1595" s="13"/>
      <c r="S1595" s="14"/>
      <c r="AV1595" t="str">
        <f>IF(F1595&gt;0,(COUNT($AV$1:AV1594)+1),"")</f>
        <v/>
      </c>
    </row>
    <row r="1596" spans="1:48" ht="15" customHeight="1" x14ac:dyDescent="0.25">
      <c r="A1596" s="1"/>
      <c r="B1596" s="297"/>
      <c r="C1596" s="283"/>
      <c r="D1596" s="284" t="s">
        <v>6472</v>
      </c>
      <c r="E1596" s="285"/>
      <c r="F1596" s="286"/>
      <c r="G1596" s="287" t="s">
        <v>169</v>
      </c>
      <c r="H1596" s="288" t="s">
        <v>1451</v>
      </c>
      <c r="I1596" s="288" t="s">
        <v>221</v>
      </c>
      <c r="J1596" s="289"/>
      <c r="K1596" s="290"/>
      <c r="L1596" s="452"/>
      <c r="M1596" s="496"/>
      <c r="N1596" s="572"/>
      <c r="O1596" s="291"/>
      <c r="P1596" s="292"/>
      <c r="Q1596" s="293"/>
      <c r="R1596" s="2"/>
      <c r="S1596" s="6"/>
      <c r="AV1596" t="str">
        <f>IF(F1596&gt;0,(COUNT($AV$1:AV1595)+1),"")</f>
        <v/>
      </c>
    </row>
    <row r="1597" spans="1:48" ht="15" customHeight="1" x14ac:dyDescent="0.25">
      <c r="A1597" s="1"/>
      <c r="B1597" s="552">
        <v>21242</v>
      </c>
      <c r="C1597" s="553">
        <v>4631139736803</v>
      </c>
      <c r="D1597" s="554" t="s">
        <v>6747</v>
      </c>
      <c r="E1597" s="555">
        <v>12</v>
      </c>
      <c r="F1597" s="223"/>
      <c r="G1597" s="556">
        <v>268.88</v>
      </c>
      <c r="H1597" s="557">
        <v>282.24</v>
      </c>
      <c r="I1597" s="558">
        <v>295.8</v>
      </c>
      <c r="J1597" s="559" t="s">
        <v>6471</v>
      </c>
      <c r="K1597" s="560" t="s">
        <v>1460</v>
      </c>
      <c r="L1597" s="561"/>
      <c r="M1597" s="562"/>
      <c r="N1597" s="1007" t="s">
        <v>1856</v>
      </c>
      <c r="O1597" s="563"/>
      <c r="P1597" s="564" t="s">
        <v>50</v>
      </c>
      <c r="Q1597" s="521">
        <f t="shared" ref="Q1597:Q1615" si="872">IF($AO$1590=2,F1597*H1597,IF($AO$1590=1,F1597*G1597,F1597*I1597))</f>
        <v>0</v>
      </c>
      <c r="R1597" s="13" t="str">
        <f t="shared" ref="R1597:R1619" si="873">IF(AO1597&gt;0,HYPERLINK(AO1597,"Фото &gt;&gt;"),"")</f>
        <v>Фото &gt;&gt;</v>
      </c>
      <c r="S1597" s="14" t="s">
        <v>6475</v>
      </c>
      <c r="AK1597">
        <v>0.37</v>
      </c>
      <c r="AL1597">
        <f t="shared" ref="AL1597:AL1646" si="874">F1597*G1597</f>
        <v>0</v>
      </c>
      <c r="AM1597">
        <f t="shared" ref="AM1597:AM1646" si="875">F1597*H1597</f>
        <v>0</v>
      </c>
      <c r="AN1597">
        <f t="shared" ref="AN1597:AN1646" si="876">AK1597*F1597+IF(E1597&gt;1.01,F1597/E1597*0.2,0)</f>
        <v>0</v>
      </c>
      <c r="AO1597" t="s">
        <v>6499</v>
      </c>
      <c r="AV1597" t="str">
        <f>IF(F1597&gt;0,(COUNT($AV$1:AV1596)+1),"")</f>
        <v/>
      </c>
    </row>
    <row r="1598" spans="1:48" ht="15" customHeight="1" x14ac:dyDescent="0.25">
      <c r="A1598" s="1"/>
      <c r="B1598" s="32">
        <v>21328</v>
      </c>
      <c r="C1598" s="33" t="s">
        <v>104</v>
      </c>
      <c r="D1598" s="227" t="s">
        <v>6748</v>
      </c>
      <c r="E1598" s="71">
        <v>12</v>
      </c>
      <c r="F1598" s="223"/>
      <c r="G1598" s="109">
        <v>427.49</v>
      </c>
      <c r="H1598" s="34">
        <v>448.8</v>
      </c>
      <c r="I1598" s="35">
        <v>471.24</v>
      </c>
      <c r="J1598" s="114" t="s">
        <v>6471</v>
      </c>
      <c r="K1598" s="57" t="s">
        <v>1460</v>
      </c>
      <c r="L1598" s="438"/>
      <c r="M1598" s="484"/>
      <c r="N1598" s="1008" t="s">
        <v>1856</v>
      </c>
      <c r="O1598" s="219"/>
      <c r="P1598" s="70" t="s">
        <v>50</v>
      </c>
      <c r="Q1598" s="521">
        <f t="shared" si="872"/>
        <v>0</v>
      </c>
      <c r="R1598" s="13" t="str">
        <f t="shared" si="873"/>
        <v>Фото &gt;&gt;</v>
      </c>
      <c r="S1598" s="14" t="s">
        <v>6475</v>
      </c>
      <c r="AK1598">
        <v>0.55000000000000004</v>
      </c>
      <c r="AL1598">
        <f t="shared" si="874"/>
        <v>0</v>
      </c>
      <c r="AM1598">
        <f t="shared" si="875"/>
        <v>0</v>
      </c>
      <c r="AN1598">
        <f t="shared" si="876"/>
        <v>0</v>
      </c>
      <c r="AO1598" t="s">
        <v>6743</v>
      </c>
      <c r="AV1598" t="str">
        <f>IF(F1598&gt;0,(COUNT($AV$1:AV1597)+1),"")</f>
        <v/>
      </c>
    </row>
    <row r="1599" spans="1:48" ht="15" customHeight="1" x14ac:dyDescent="0.25">
      <c r="A1599" s="1"/>
      <c r="B1599" s="552">
        <v>21241</v>
      </c>
      <c r="C1599" s="553">
        <v>4631137704477</v>
      </c>
      <c r="D1599" s="554" t="s">
        <v>6749</v>
      </c>
      <c r="E1599" s="555">
        <v>12</v>
      </c>
      <c r="F1599" s="223"/>
      <c r="G1599" s="556">
        <v>268.88</v>
      </c>
      <c r="H1599" s="557">
        <v>282.33999999999997</v>
      </c>
      <c r="I1599" s="558">
        <v>295.8</v>
      </c>
      <c r="J1599" s="559" t="s">
        <v>6471</v>
      </c>
      <c r="K1599" s="560" t="s">
        <v>1460</v>
      </c>
      <c r="L1599" s="561"/>
      <c r="M1599" s="562"/>
      <c r="N1599" s="1007" t="s">
        <v>1856</v>
      </c>
      <c r="O1599" s="563"/>
      <c r="P1599" s="564" t="s">
        <v>50</v>
      </c>
      <c r="Q1599" s="521">
        <f t="shared" si="872"/>
        <v>0</v>
      </c>
      <c r="R1599" s="13" t="str">
        <f t="shared" si="873"/>
        <v>Фото &gt;&gt;</v>
      </c>
      <c r="S1599" s="14" t="s">
        <v>6477</v>
      </c>
      <c r="AK1599">
        <v>0.37</v>
      </c>
      <c r="AL1599">
        <f t="shared" si="874"/>
        <v>0</v>
      </c>
      <c r="AM1599">
        <f t="shared" si="875"/>
        <v>0</v>
      </c>
      <c r="AN1599">
        <f t="shared" si="876"/>
        <v>0</v>
      </c>
      <c r="AO1599" t="s">
        <v>6500</v>
      </c>
      <c r="AV1599" t="str">
        <f>IF(F1599&gt;0,(COUNT($AV$1:AV1598)+1),"")</f>
        <v/>
      </c>
    </row>
    <row r="1600" spans="1:48" ht="15" customHeight="1" x14ac:dyDescent="0.25">
      <c r="A1600" s="1"/>
      <c r="B1600" s="32">
        <v>21332</v>
      </c>
      <c r="C1600" s="33" t="s">
        <v>104</v>
      </c>
      <c r="D1600" s="227" t="s">
        <v>6750</v>
      </c>
      <c r="E1600" s="71">
        <v>12</v>
      </c>
      <c r="F1600" s="223"/>
      <c r="G1600" s="109">
        <v>426.87</v>
      </c>
      <c r="H1600" s="34">
        <v>447.78</v>
      </c>
      <c r="I1600" s="35">
        <v>470.22</v>
      </c>
      <c r="J1600" s="114" t="s">
        <v>6471</v>
      </c>
      <c r="K1600" s="57" t="s">
        <v>1460</v>
      </c>
      <c r="L1600" s="438"/>
      <c r="M1600" s="484"/>
      <c r="N1600" s="1008" t="s">
        <v>1856</v>
      </c>
      <c r="O1600" s="219"/>
      <c r="P1600" s="70" t="s">
        <v>50</v>
      </c>
      <c r="Q1600" s="521">
        <f t="shared" si="872"/>
        <v>0</v>
      </c>
      <c r="R1600" s="13" t="str">
        <f t="shared" si="873"/>
        <v>Фото &gt;&gt;</v>
      </c>
      <c r="S1600" s="14" t="s">
        <v>6477</v>
      </c>
      <c r="AK1600">
        <v>0.55000000000000004</v>
      </c>
      <c r="AL1600">
        <f t="shared" si="874"/>
        <v>0</v>
      </c>
      <c r="AM1600">
        <f t="shared" si="875"/>
        <v>0</v>
      </c>
      <c r="AN1600">
        <f t="shared" si="876"/>
        <v>0</v>
      </c>
      <c r="AO1600" t="s">
        <v>6744</v>
      </c>
      <c r="AV1600" t="str">
        <f>IF(F1600&gt;0,(COUNT($AV$1:AV1599)+1),"")</f>
        <v/>
      </c>
    </row>
    <row r="1601" spans="1:48" ht="15" customHeight="1" x14ac:dyDescent="0.25">
      <c r="A1601" s="1"/>
      <c r="B1601" s="552">
        <v>21329</v>
      </c>
      <c r="C1601" s="553" t="s">
        <v>104</v>
      </c>
      <c r="D1601" s="554" t="s">
        <v>6745</v>
      </c>
      <c r="E1601" s="555">
        <v>12</v>
      </c>
      <c r="F1601" s="223"/>
      <c r="G1601" s="556">
        <v>347.7</v>
      </c>
      <c r="H1601" s="557">
        <v>365</v>
      </c>
      <c r="I1601" s="558">
        <v>383.4</v>
      </c>
      <c r="J1601" s="559" t="s">
        <v>6471</v>
      </c>
      <c r="K1601" s="560" t="s">
        <v>1460</v>
      </c>
      <c r="L1601" s="561"/>
      <c r="M1601" s="562"/>
      <c r="N1601" s="1007" t="s">
        <v>1856</v>
      </c>
      <c r="O1601" s="563"/>
      <c r="P1601" s="564" t="s">
        <v>50</v>
      </c>
      <c r="Q1601" s="521">
        <f t="shared" si="872"/>
        <v>0</v>
      </c>
      <c r="R1601" s="13" t="str">
        <f t="shared" si="873"/>
        <v>Фото &gt;&gt;</v>
      </c>
      <c r="S1601" s="14" t="s">
        <v>6498</v>
      </c>
      <c r="AK1601">
        <v>0.37</v>
      </c>
      <c r="AL1601">
        <f t="shared" si="874"/>
        <v>0</v>
      </c>
      <c r="AM1601">
        <f t="shared" si="875"/>
        <v>0</v>
      </c>
      <c r="AN1601">
        <f t="shared" si="876"/>
        <v>0</v>
      </c>
      <c r="AO1601" t="s">
        <v>6752</v>
      </c>
      <c r="AV1601" t="str">
        <f>IF(F1601&gt;0,(COUNT($AV$1:AV1600)+1),"")</f>
        <v/>
      </c>
    </row>
    <row r="1602" spans="1:48" ht="15" customHeight="1" x14ac:dyDescent="0.25">
      <c r="A1602" s="1"/>
      <c r="B1602" s="32">
        <v>21243</v>
      </c>
      <c r="C1602" s="33">
        <v>4631137704521</v>
      </c>
      <c r="D1602" s="227" t="s">
        <v>6746</v>
      </c>
      <c r="E1602" s="71">
        <v>12</v>
      </c>
      <c r="F1602" s="223"/>
      <c r="G1602" s="109">
        <v>696.09</v>
      </c>
      <c r="H1602" s="34">
        <v>723.8</v>
      </c>
      <c r="I1602" s="35">
        <v>759</v>
      </c>
      <c r="J1602" s="114" t="s">
        <v>6471</v>
      </c>
      <c r="K1602" s="57" t="s">
        <v>1460</v>
      </c>
      <c r="L1602" s="438"/>
      <c r="M1602" s="484"/>
      <c r="N1602" s="1008" t="s">
        <v>1856</v>
      </c>
      <c r="O1602" s="219"/>
      <c r="P1602" s="70" t="s">
        <v>72</v>
      </c>
      <c r="Q1602" s="521">
        <f t="shared" si="872"/>
        <v>0</v>
      </c>
      <c r="R1602" s="13" t="str">
        <f t="shared" si="873"/>
        <v>Фото &gt;&gt;</v>
      </c>
      <c r="S1602" s="14" t="s">
        <v>6498</v>
      </c>
      <c r="AK1602">
        <v>0.65</v>
      </c>
      <c r="AL1602">
        <f t="shared" si="874"/>
        <v>0</v>
      </c>
      <c r="AM1602">
        <f t="shared" si="875"/>
        <v>0</v>
      </c>
      <c r="AN1602">
        <f t="shared" si="876"/>
        <v>0</v>
      </c>
      <c r="AO1602" t="s">
        <v>6501</v>
      </c>
      <c r="AV1602" t="str">
        <f>IF(F1602&gt;0,(COUNT($AV$1:AV1601)+1),"")</f>
        <v/>
      </c>
    </row>
    <row r="1603" spans="1:48" ht="15" customHeight="1" x14ac:dyDescent="0.25">
      <c r="A1603" s="1"/>
      <c r="B1603" s="552">
        <v>21244</v>
      </c>
      <c r="C1603" s="553">
        <v>4631141445502</v>
      </c>
      <c r="D1603" s="554" t="s">
        <v>6754</v>
      </c>
      <c r="E1603" s="555">
        <v>12</v>
      </c>
      <c r="F1603" s="223"/>
      <c r="G1603" s="556">
        <v>281.12</v>
      </c>
      <c r="H1603" s="557">
        <v>295.08999999999997</v>
      </c>
      <c r="I1603" s="558">
        <v>309.06</v>
      </c>
      <c r="J1603" s="559" t="s">
        <v>6471</v>
      </c>
      <c r="K1603" s="560" t="s">
        <v>1460</v>
      </c>
      <c r="L1603" s="561"/>
      <c r="M1603" s="562"/>
      <c r="N1603" s="1007" t="s">
        <v>1856</v>
      </c>
      <c r="O1603" s="563"/>
      <c r="P1603" s="564" t="s">
        <v>72</v>
      </c>
      <c r="Q1603" s="521">
        <f t="shared" si="872"/>
        <v>0</v>
      </c>
      <c r="R1603" s="13" t="str">
        <f t="shared" si="873"/>
        <v>Фото &gt;&gt;</v>
      </c>
      <c r="S1603" s="14" t="s">
        <v>6476</v>
      </c>
      <c r="AK1603">
        <v>0.37</v>
      </c>
      <c r="AL1603">
        <f t="shared" si="874"/>
        <v>0</v>
      </c>
      <c r="AM1603">
        <f t="shared" si="875"/>
        <v>0</v>
      </c>
      <c r="AN1603">
        <f t="shared" si="876"/>
        <v>0</v>
      </c>
      <c r="AO1603" t="s">
        <v>6502</v>
      </c>
      <c r="AV1603" t="str">
        <f>IF(F1603&gt;0,(COUNT($AV$1:AV1602)+1),"")</f>
        <v/>
      </c>
    </row>
    <row r="1604" spans="1:48" ht="15" customHeight="1" x14ac:dyDescent="0.25">
      <c r="A1604" s="1"/>
      <c r="B1604" s="32">
        <v>21331</v>
      </c>
      <c r="C1604" s="33" t="s">
        <v>104</v>
      </c>
      <c r="D1604" s="227" t="s">
        <v>6751</v>
      </c>
      <c r="E1604" s="71">
        <v>12</v>
      </c>
      <c r="F1604" s="223"/>
      <c r="G1604" s="109">
        <v>476.5</v>
      </c>
      <c r="H1604" s="34">
        <v>500</v>
      </c>
      <c r="I1604" s="35">
        <v>525.4</v>
      </c>
      <c r="J1604" s="114" t="s">
        <v>6471</v>
      </c>
      <c r="K1604" s="57" t="s">
        <v>1460</v>
      </c>
      <c r="L1604" s="438"/>
      <c r="M1604" s="484"/>
      <c r="N1604" s="1008" t="s">
        <v>1856</v>
      </c>
      <c r="O1604" s="219"/>
      <c r="P1604" s="70" t="s">
        <v>72</v>
      </c>
      <c r="Q1604" s="521">
        <f t="shared" si="872"/>
        <v>0</v>
      </c>
      <c r="R1604" s="13" t="str">
        <f t="shared" si="873"/>
        <v>Фото &gt;&gt;</v>
      </c>
      <c r="S1604" s="14" t="s">
        <v>6476</v>
      </c>
      <c r="AK1604">
        <v>0.65</v>
      </c>
      <c r="AL1604">
        <f t="shared" si="874"/>
        <v>0</v>
      </c>
      <c r="AM1604">
        <f t="shared" si="875"/>
        <v>0</v>
      </c>
      <c r="AN1604">
        <f t="shared" si="876"/>
        <v>0</v>
      </c>
      <c r="AO1604" t="s">
        <v>6753</v>
      </c>
      <c r="AV1604" t="str">
        <f>IF(F1604&gt;0,(COUNT($AV$1:AV1603)+1),"")</f>
        <v/>
      </c>
    </row>
    <row r="1605" spans="1:48" ht="15" customHeight="1" x14ac:dyDescent="0.25">
      <c r="A1605" s="1"/>
      <c r="B1605" s="785">
        <v>21246</v>
      </c>
      <c r="C1605" s="786">
        <v>4631140763317</v>
      </c>
      <c r="D1605" s="787" t="s">
        <v>6479</v>
      </c>
      <c r="E1605" s="788">
        <v>12</v>
      </c>
      <c r="F1605" s="789"/>
      <c r="G1605" s="811">
        <v>166.15</v>
      </c>
      <c r="H1605" s="790">
        <v>174.43</v>
      </c>
      <c r="I1605" s="791">
        <v>182.81</v>
      </c>
      <c r="J1605" s="792" t="s">
        <v>6471</v>
      </c>
      <c r="K1605" s="793" t="s">
        <v>1460</v>
      </c>
      <c r="L1605" s="781"/>
      <c r="M1605" s="782"/>
      <c r="N1605" s="1009" t="s">
        <v>1856</v>
      </c>
      <c r="O1605" s="794"/>
      <c r="P1605" s="784" t="s">
        <v>72</v>
      </c>
      <c r="Q1605" s="521">
        <f t="shared" si="872"/>
        <v>0</v>
      </c>
      <c r="R1605" s="13" t="str">
        <f t="shared" si="873"/>
        <v>Фото &gt;&gt;</v>
      </c>
      <c r="S1605" s="14" t="s">
        <v>6478</v>
      </c>
      <c r="AK1605">
        <v>0.37</v>
      </c>
      <c r="AL1605">
        <f t="shared" si="874"/>
        <v>0</v>
      </c>
      <c r="AM1605">
        <f t="shared" si="875"/>
        <v>0</v>
      </c>
      <c r="AN1605">
        <f t="shared" si="876"/>
        <v>0</v>
      </c>
      <c r="AO1605" t="s">
        <v>6503</v>
      </c>
      <c r="AV1605" t="str">
        <f>IF(F1605&gt;0,(COUNT($AV$1:AV1604)+1),"")</f>
        <v/>
      </c>
    </row>
    <row r="1606" spans="1:48" ht="15" customHeight="1" x14ac:dyDescent="0.25">
      <c r="A1606" s="1"/>
      <c r="B1606" s="32">
        <v>21247</v>
      </c>
      <c r="C1606" s="33">
        <v>4631163869393</v>
      </c>
      <c r="D1606" s="227" t="s">
        <v>6486</v>
      </c>
      <c r="E1606" s="71">
        <v>12</v>
      </c>
      <c r="F1606" s="223"/>
      <c r="G1606" s="109">
        <v>257.60000000000002</v>
      </c>
      <c r="H1606" s="34">
        <v>270.5</v>
      </c>
      <c r="I1606" s="35">
        <v>284</v>
      </c>
      <c r="J1606" s="114" t="s">
        <v>6471</v>
      </c>
      <c r="K1606" s="57" t="s">
        <v>1460</v>
      </c>
      <c r="L1606" s="438"/>
      <c r="M1606" s="484"/>
      <c r="N1606" s="1008" t="s">
        <v>1856</v>
      </c>
      <c r="O1606" s="219"/>
      <c r="P1606" s="70" t="s">
        <v>72</v>
      </c>
      <c r="Q1606" s="521">
        <f t="shared" si="872"/>
        <v>0</v>
      </c>
      <c r="R1606" s="13" t="str">
        <f t="shared" si="873"/>
        <v>Фото &gt;&gt;</v>
      </c>
      <c r="S1606" s="14" t="s">
        <v>6480</v>
      </c>
      <c r="AK1606">
        <v>0.37</v>
      </c>
      <c r="AL1606">
        <f t="shared" si="874"/>
        <v>0</v>
      </c>
      <c r="AM1606">
        <f t="shared" si="875"/>
        <v>0</v>
      </c>
      <c r="AN1606">
        <f t="shared" si="876"/>
        <v>0</v>
      </c>
      <c r="AO1606" t="s">
        <v>6504</v>
      </c>
      <c r="AV1606" t="str">
        <f>IF(F1606&gt;0,(COUNT($AV$1:AV1605)+1),"")</f>
        <v/>
      </c>
    </row>
    <row r="1607" spans="1:48" ht="15" customHeight="1" x14ac:dyDescent="0.25">
      <c r="A1607" s="1"/>
      <c r="B1607" s="552">
        <v>21245</v>
      </c>
      <c r="C1607" s="553">
        <v>4631147013231</v>
      </c>
      <c r="D1607" s="554" t="s">
        <v>6485</v>
      </c>
      <c r="E1607" s="555">
        <v>12</v>
      </c>
      <c r="F1607" s="223"/>
      <c r="G1607" s="556">
        <v>225.13</v>
      </c>
      <c r="H1607" s="557">
        <v>236.34</v>
      </c>
      <c r="I1607" s="558">
        <v>247.45</v>
      </c>
      <c r="J1607" s="559" t="s">
        <v>6471</v>
      </c>
      <c r="K1607" s="560" t="s">
        <v>1460</v>
      </c>
      <c r="L1607" s="561"/>
      <c r="M1607" s="562"/>
      <c r="N1607" s="1007" t="s">
        <v>1856</v>
      </c>
      <c r="O1607" s="563"/>
      <c r="P1607" s="564" t="s">
        <v>72</v>
      </c>
      <c r="Q1607" s="521">
        <f t="shared" si="872"/>
        <v>0</v>
      </c>
      <c r="R1607" s="13" t="str">
        <f t="shared" si="873"/>
        <v>Фото &gt;&gt;</v>
      </c>
      <c r="S1607" s="14" t="s">
        <v>6481</v>
      </c>
      <c r="AK1607">
        <v>0.37</v>
      </c>
      <c r="AL1607">
        <f t="shared" si="874"/>
        <v>0</v>
      </c>
      <c r="AM1607">
        <f t="shared" si="875"/>
        <v>0</v>
      </c>
      <c r="AN1607">
        <f t="shared" si="876"/>
        <v>0</v>
      </c>
      <c r="AO1607" t="s">
        <v>6505</v>
      </c>
      <c r="AV1607" t="str">
        <f>IF(F1607&gt;0,(COUNT($AV$1:AV1606)+1),"")</f>
        <v/>
      </c>
    </row>
    <row r="1608" spans="1:48" ht="15" customHeight="1" x14ac:dyDescent="0.25">
      <c r="A1608" s="1"/>
      <c r="B1608" s="32">
        <v>21248</v>
      </c>
      <c r="C1608" s="33">
        <v>4631139947964</v>
      </c>
      <c r="D1608" s="227" t="s">
        <v>6484</v>
      </c>
      <c r="E1608" s="71">
        <v>12</v>
      </c>
      <c r="F1608" s="223"/>
      <c r="G1608" s="109">
        <v>187.56</v>
      </c>
      <c r="H1608" s="34">
        <v>196.85</v>
      </c>
      <c r="I1608" s="35">
        <v>206.04</v>
      </c>
      <c r="J1608" s="114" t="s">
        <v>6471</v>
      </c>
      <c r="K1608" s="57" t="s">
        <v>1460</v>
      </c>
      <c r="L1608" s="438"/>
      <c r="M1608" s="484"/>
      <c r="N1608" s="1008" t="s">
        <v>1856</v>
      </c>
      <c r="O1608" s="219"/>
      <c r="P1608" s="70" t="s">
        <v>72</v>
      </c>
      <c r="Q1608" s="521">
        <f t="shared" si="872"/>
        <v>0</v>
      </c>
      <c r="R1608" s="13" t="str">
        <f t="shared" si="873"/>
        <v>Фото &gt;&gt;</v>
      </c>
      <c r="S1608" s="14" t="s">
        <v>6482</v>
      </c>
      <c r="AK1608">
        <v>0.37</v>
      </c>
      <c r="AL1608">
        <f t="shared" si="874"/>
        <v>0</v>
      </c>
      <c r="AM1608">
        <f t="shared" si="875"/>
        <v>0</v>
      </c>
      <c r="AN1608">
        <f t="shared" si="876"/>
        <v>0</v>
      </c>
      <c r="AO1608" t="s">
        <v>6506</v>
      </c>
      <c r="AV1608" t="str">
        <f>IF(F1608&gt;0,(COUNT($AV$1:AV1607)+1),"")</f>
        <v/>
      </c>
    </row>
    <row r="1609" spans="1:48" ht="15" customHeight="1" x14ac:dyDescent="0.25">
      <c r="A1609" s="1"/>
      <c r="B1609" s="785">
        <v>21250</v>
      </c>
      <c r="C1609" s="786">
        <v>4631177063794</v>
      </c>
      <c r="D1609" s="787" t="s">
        <v>6483</v>
      </c>
      <c r="E1609" s="788">
        <v>12</v>
      </c>
      <c r="F1609" s="789"/>
      <c r="G1609" s="811">
        <v>187.56</v>
      </c>
      <c r="H1609" s="790">
        <v>196.85</v>
      </c>
      <c r="I1609" s="791">
        <v>206.04</v>
      </c>
      <c r="J1609" s="792" t="s">
        <v>6471</v>
      </c>
      <c r="K1609" s="793" t="s">
        <v>1460</v>
      </c>
      <c r="L1609" s="781"/>
      <c r="M1609" s="782"/>
      <c r="N1609" s="1009" t="s">
        <v>1856</v>
      </c>
      <c r="O1609" s="794"/>
      <c r="P1609" s="784" t="s">
        <v>72</v>
      </c>
      <c r="Q1609" s="521">
        <f t="shared" si="872"/>
        <v>0</v>
      </c>
      <c r="R1609" s="13" t="str">
        <f t="shared" si="873"/>
        <v>Фото &gt;&gt;</v>
      </c>
      <c r="S1609" s="14" t="s">
        <v>6487</v>
      </c>
      <c r="AK1609">
        <v>0.37</v>
      </c>
      <c r="AL1609">
        <f t="shared" si="874"/>
        <v>0</v>
      </c>
      <c r="AM1609">
        <f t="shared" si="875"/>
        <v>0</v>
      </c>
      <c r="AN1609">
        <f t="shared" si="876"/>
        <v>0</v>
      </c>
      <c r="AO1609" t="s">
        <v>6507</v>
      </c>
      <c r="AV1609" t="str">
        <f>IF(F1609&gt;0,(COUNT($AV$1:AV1608)+1),"")</f>
        <v/>
      </c>
    </row>
    <row r="1610" spans="1:48" ht="15" customHeight="1" x14ac:dyDescent="0.25">
      <c r="A1610" s="1"/>
      <c r="B1610" s="32">
        <v>21271</v>
      </c>
      <c r="C1610" s="33">
        <v>4631137704552</v>
      </c>
      <c r="D1610" s="227" t="s">
        <v>6495</v>
      </c>
      <c r="E1610" s="71">
        <v>12</v>
      </c>
      <c r="F1610" s="223"/>
      <c r="G1610" s="109">
        <v>249.07</v>
      </c>
      <c r="H1610" s="34">
        <v>261.49</v>
      </c>
      <c r="I1610" s="35">
        <v>273.70999999999998</v>
      </c>
      <c r="J1610" s="114" t="s">
        <v>6471</v>
      </c>
      <c r="K1610" s="57" t="s">
        <v>1460</v>
      </c>
      <c r="L1610" s="438"/>
      <c r="M1610" s="484"/>
      <c r="N1610" s="1008" t="s">
        <v>1856</v>
      </c>
      <c r="O1610" s="219"/>
      <c r="P1610" s="70" t="s">
        <v>72</v>
      </c>
      <c r="Q1610" s="521">
        <f t="shared" si="872"/>
        <v>0</v>
      </c>
      <c r="R1610" s="13" t="str">
        <f t="shared" si="873"/>
        <v>Фото &gt;&gt;</v>
      </c>
      <c r="S1610" s="14" t="s">
        <v>6494</v>
      </c>
      <c r="AK1610">
        <v>0.37</v>
      </c>
      <c r="AL1610">
        <f t="shared" si="874"/>
        <v>0</v>
      </c>
      <c r="AM1610">
        <f t="shared" si="875"/>
        <v>0</v>
      </c>
      <c r="AN1610">
        <f t="shared" si="876"/>
        <v>0</v>
      </c>
      <c r="AO1610" t="s">
        <v>6508</v>
      </c>
      <c r="AV1610" t="str">
        <f>IF(F1610&gt;0,(COUNT($AV$1:AV1609)+1),"")</f>
        <v/>
      </c>
    </row>
    <row r="1611" spans="1:48" ht="15" customHeight="1" x14ac:dyDescent="0.25">
      <c r="A1611" s="1"/>
      <c r="B1611" s="552">
        <v>21251</v>
      </c>
      <c r="C1611" s="553">
        <v>4631177063770</v>
      </c>
      <c r="D1611" s="554" t="s">
        <v>6488</v>
      </c>
      <c r="E1611" s="555">
        <v>12</v>
      </c>
      <c r="F1611" s="223"/>
      <c r="G1611" s="556">
        <v>249.07</v>
      </c>
      <c r="H1611" s="557">
        <v>261.49</v>
      </c>
      <c r="I1611" s="558">
        <v>274.72000000000003</v>
      </c>
      <c r="J1611" s="559" t="s">
        <v>6471</v>
      </c>
      <c r="K1611" s="560" t="s">
        <v>1460</v>
      </c>
      <c r="L1611" s="561"/>
      <c r="M1611" s="562"/>
      <c r="N1611" s="1007" t="s">
        <v>1856</v>
      </c>
      <c r="O1611" s="563"/>
      <c r="P1611" s="564" t="s">
        <v>72</v>
      </c>
      <c r="Q1611" s="521">
        <f t="shared" si="872"/>
        <v>0</v>
      </c>
      <c r="R1611" s="13" t="str">
        <f t="shared" si="873"/>
        <v>Фото &gt;&gt;</v>
      </c>
      <c r="S1611" s="14" t="s">
        <v>6489</v>
      </c>
      <c r="AK1611">
        <v>0.37</v>
      </c>
      <c r="AL1611">
        <f t="shared" si="874"/>
        <v>0</v>
      </c>
      <c r="AM1611">
        <f t="shared" si="875"/>
        <v>0</v>
      </c>
      <c r="AN1611">
        <f t="shared" si="876"/>
        <v>0</v>
      </c>
      <c r="AO1611" t="s">
        <v>6509</v>
      </c>
      <c r="AV1611" t="str">
        <f>IF(F1611&gt;0,(COUNT($AV$1:AV1610)+1),"")</f>
        <v/>
      </c>
    </row>
    <row r="1612" spans="1:48" ht="15" customHeight="1" x14ac:dyDescent="0.25">
      <c r="A1612" s="1"/>
      <c r="B1612" s="32">
        <v>21249</v>
      </c>
      <c r="C1612" s="33">
        <v>4631141739526</v>
      </c>
      <c r="D1612" s="227" t="s">
        <v>6491</v>
      </c>
      <c r="E1612" s="71">
        <v>12</v>
      </c>
      <c r="F1612" s="223"/>
      <c r="G1612" s="109">
        <v>225.12</v>
      </c>
      <c r="H1612" s="34">
        <v>233.16</v>
      </c>
      <c r="I1612" s="35">
        <v>241.2</v>
      </c>
      <c r="J1612" s="114" t="s">
        <v>6471</v>
      </c>
      <c r="K1612" s="57" t="s">
        <v>1460</v>
      </c>
      <c r="L1612" s="438"/>
      <c r="M1612" s="484"/>
      <c r="N1612" s="1008" t="s">
        <v>1856</v>
      </c>
      <c r="O1612" s="219"/>
      <c r="P1612" s="70" t="s">
        <v>72</v>
      </c>
      <c r="Q1612" s="521">
        <f t="shared" si="872"/>
        <v>0</v>
      </c>
      <c r="R1612" s="13" t="str">
        <f t="shared" si="873"/>
        <v>Фото &gt;&gt;</v>
      </c>
      <c r="S1612" s="14" t="s">
        <v>6490</v>
      </c>
      <c r="AK1612">
        <v>0.37</v>
      </c>
      <c r="AL1612">
        <f t="shared" si="874"/>
        <v>0</v>
      </c>
      <c r="AM1612">
        <f t="shared" si="875"/>
        <v>0</v>
      </c>
      <c r="AN1612">
        <f t="shared" si="876"/>
        <v>0</v>
      </c>
      <c r="AO1612" t="s">
        <v>6510</v>
      </c>
      <c r="AV1612" t="str">
        <f>IF(F1612&gt;0,(COUNT($AV$1:AV1611)+1),"")</f>
        <v/>
      </c>
    </row>
    <row r="1613" spans="1:48" ht="15" customHeight="1" x14ac:dyDescent="0.25">
      <c r="A1613" s="1"/>
      <c r="B1613" s="364">
        <v>21283</v>
      </c>
      <c r="C1613" s="365" t="s">
        <v>104</v>
      </c>
      <c r="D1613" s="514" t="s">
        <v>6492</v>
      </c>
      <c r="E1613" s="366">
        <v>12</v>
      </c>
      <c r="F1613" s="223"/>
      <c r="G1613" s="367">
        <v>231.8</v>
      </c>
      <c r="H1613" s="368">
        <v>243.4</v>
      </c>
      <c r="I1613" s="369">
        <v>256</v>
      </c>
      <c r="J1613" s="370" t="s">
        <v>6471</v>
      </c>
      <c r="K1613" s="371" t="s">
        <v>1460</v>
      </c>
      <c r="L1613" s="431"/>
      <c r="M1613" s="494"/>
      <c r="N1613" s="1000" t="s">
        <v>1856</v>
      </c>
      <c r="O1613" s="372"/>
      <c r="P1613" s="373" t="s">
        <v>72</v>
      </c>
      <c r="Q1613" s="521">
        <f t="shared" si="872"/>
        <v>0</v>
      </c>
      <c r="R1613" s="13" t="str">
        <f t="shared" si="873"/>
        <v>Фото &gt;&gt;</v>
      </c>
      <c r="S1613" s="14" t="s">
        <v>6493</v>
      </c>
      <c r="AK1613">
        <v>0.37</v>
      </c>
      <c r="AL1613">
        <f t="shared" si="874"/>
        <v>0</v>
      </c>
      <c r="AM1613">
        <f t="shared" si="875"/>
        <v>0</v>
      </c>
      <c r="AN1613">
        <f t="shared" si="876"/>
        <v>0</v>
      </c>
      <c r="AO1613" t="s">
        <v>6511</v>
      </c>
      <c r="AV1613" t="str">
        <f>IF(F1613&gt;0,(COUNT($AV$1:AV1612)+1),"")</f>
        <v/>
      </c>
    </row>
    <row r="1614" spans="1:48" ht="15" customHeight="1" x14ac:dyDescent="0.25">
      <c r="A1614" s="1"/>
      <c r="B1614" s="846">
        <v>21252</v>
      </c>
      <c r="C1614" s="847">
        <v>4631149598248</v>
      </c>
      <c r="D1614" s="848" t="s">
        <v>6514</v>
      </c>
      <c r="E1614" s="849">
        <v>12</v>
      </c>
      <c r="F1614" s="789"/>
      <c r="G1614" s="850">
        <v>231.2</v>
      </c>
      <c r="H1614" s="851">
        <v>242.7</v>
      </c>
      <c r="I1614" s="852">
        <v>255</v>
      </c>
      <c r="J1614" s="853" t="s">
        <v>6471</v>
      </c>
      <c r="K1614" s="854" t="s">
        <v>1460</v>
      </c>
      <c r="L1614" s="855"/>
      <c r="M1614" s="856"/>
      <c r="N1614" s="1010" t="s">
        <v>1856</v>
      </c>
      <c r="O1614" s="857"/>
      <c r="P1614" s="858" t="s">
        <v>72</v>
      </c>
      <c r="Q1614" s="521">
        <f t="shared" si="872"/>
        <v>0</v>
      </c>
      <c r="R1614" s="13" t="str">
        <f t="shared" si="873"/>
        <v>Фото &gt;&gt;</v>
      </c>
      <c r="S1614" s="14" t="s">
        <v>6496</v>
      </c>
      <c r="AK1614">
        <v>0.37</v>
      </c>
      <c r="AL1614">
        <f t="shared" si="874"/>
        <v>0</v>
      </c>
      <c r="AM1614">
        <f t="shared" si="875"/>
        <v>0</v>
      </c>
      <c r="AN1614">
        <f t="shared" si="876"/>
        <v>0</v>
      </c>
      <c r="AO1614" t="s">
        <v>6512</v>
      </c>
      <c r="AV1614" t="str">
        <f>IF(F1614&gt;0,(COUNT($AV$1:AV1613)+1),"")</f>
        <v/>
      </c>
    </row>
    <row r="1615" spans="1:48" ht="15" customHeight="1" x14ac:dyDescent="0.25">
      <c r="A1615" s="1"/>
      <c r="B1615" s="552">
        <v>21253</v>
      </c>
      <c r="C1615" s="553">
        <v>4631149598262</v>
      </c>
      <c r="D1615" s="554" t="s">
        <v>6515</v>
      </c>
      <c r="E1615" s="555">
        <v>12</v>
      </c>
      <c r="F1615" s="223"/>
      <c r="G1615" s="556">
        <v>274.32</v>
      </c>
      <c r="H1615" s="557">
        <v>288.06</v>
      </c>
      <c r="I1615" s="558">
        <v>292.89999999999998</v>
      </c>
      <c r="J1615" s="559" t="s">
        <v>6471</v>
      </c>
      <c r="K1615" s="560" t="s">
        <v>1460</v>
      </c>
      <c r="L1615" s="561"/>
      <c r="M1615" s="562"/>
      <c r="N1615" s="1007" t="s">
        <v>1856</v>
      </c>
      <c r="O1615" s="563"/>
      <c r="P1615" s="564" t="s">
        <v>72</v>
      </c>
      <c r="Q1615" s="521">
        <f t="shared" si="872"/>
        <v>0</v>
      </c>
      <c r="R1615" s="13" t="str">
        <f t="shared" si="873"/>
        <v>Фото &gt;&gt;</v>
      </c>
      <c r="S1615" s="14" t="s">
        <v>6497</v>
      </c>
      <c r="AK1615">
        <v>0.37</v>
      </c>
      <c r="AL1615">
        <f t="shared" si="874"/>
        <v>0</v>
      </c>
      <c r="AM1615">
        <f t="shared" si="875"/>
        <v>0</v>
      </c>
      <c r="AN1615">
        <f t="shared" si="876"/>
        <v>0</v>
      </c>
      <c r="AO1615" t="s">
        <v>6513</v>
      </c>
      <c r="AV1615" t="str">
        <f>IF(F1615&gt;0,(COUNT($AV$1:AV1614)+1),"")</f>
        <v/>
      </c>
    </row>
    <row r="1616" spans="1:48" ht="15" customHeight="1" x14ac:dyDescent="0.25">
      <c r="A1616" s="1"/>
      <c r="B1616" s="1113"/>
      <c r="C1616" s="1114"/>
      <c r="D1616" s="27" t="s">
        <v>442</v>
      </c>
      <c r="E1616" s="80"/>
      <c r="F1616" s="96"/>
      <c r="G1616" s="1115"/>
      <c r="H1616" s="1116"/>
      <c r="I1616" s="1116"/>
      <c r="J1616" s="51"/>
      <c r="K1616" s="47"/>
      <c r="L1616" s="447"/>
      <c r="M1616" s="489"/>
      <c r="N1616" s="716"/>
      <c r="O1616" s="186"/>
      <c r="P1616" s="79"/>
      <c r="Q1616" s="104"/>
      <c r="R1616" s="13" t="str">
        <f t="shared" si="873"/>
        <v/>
      </c>
      <c r="S1616" s="6"/>
      <c r="AL1616">
        <f t="shared" si="874"/>
        <v>0</v>
      </c>
      <c r="AM1616">
        <f t="shared" si="875"/>
        <v>0</v>
      </c>
      <c r="AN1616">
        <f t="shared" si="876"/>
        <v>0</v>
      </c>
      <c r="AV1616" t="str">
        <f>IF(F1616&gt;0,(COUNT($AV$1:AV1615)+1),"")</f>
        <v/>
      </c>
    </row>
    <row r="1617" spans="1:48" ht="15" customHeight="1" x14ac:dyDescent="0.25">
      <c r="A1617" s="1"/>
      <c r="B1617" s="552">
        <v>21276</v>
      </c>
      <c r="C1617" s="553" t="s">
        <v>104</v>
      </c>
      <c r="D1617" s="554" t="s">
        <v>6516</v>
      </c>
      <c r="E1617" s="555">
        <v>50</v>
      </c>
      <c r="F1617" s="1117"/>
      <c r="G1617" s="556">
        <v>87</v>
      </c>
      <c r="H1617" s="557">
        <v>91.4</v>
      </c>
      <c r="I1617" s="558">
        <v>96</v>
      </c>
      <c r="J1617" s="559" t="s">
        <v>6471</v>
      </c>
      <c r="K1617" s="560" t="s">
        <v>442</v>
      </c>
      <c r="L1617" s="561"/>
      <c r="M1617" s="562"/>
      <c r="N1617" s="1007" t="s">
        <v>1856</v>
      </c>
      <c r="O1617" s="563"/>
      <c r="P1617" s="564" t="s">
        <v>53</v>
      </c>
      <c r="Q1617" s="521">
        <f>IF($AO$1590=2,F1617*H1617,IF($AO$1590=1,F1617*G1617,F1617*I1617))</f>
        <v>0</v>
      </c>
      <c r="R1617" s="13" t="str">
        <f t="shared" si="873"/>
        <v>Фото &gt;&gt;</v>
      </c>
      <c r="S1617" s="14" t="s">
        <v>6517</v>
      </c>
      <c r="AK1617">
        <v>0.03</v>
      </c>
      <c r="AL1617">
        <f t="shared" si="874"/>
        <v>0</v>
      </c>
      <c r="AM1617">
        <f t="shared" si="875"/>
        <v>0</v>
      </c>
      <c r="AN1617">
        <f t="shared" si="876"/>
        <v>0</v>
      </c>
      <c r="AO1617" t="s">
        <v>6535</v>
      </c>
      <c r="AV1617" t="str">
        <f>IF(F1617&gt;0,(COUNT($AV$1:AV1616)+1),"")</f>
        <v/>
      </c>
    </row>
    <row r="1618" spans="1:48" ht="15" customHeight="1" x14ac:dyDescent="0.25">
      <c r="A1618" s="1"/>
      <c r="B1618" s="32">
        <v>21274</v>
      </c>
      <c r="C1618" s="33" t="s">
        <v>104</v>
      </c>
      <c r="D1618" s="227" t="s">
        <v>6519</v>
      </c>
      <c r="E1618" s="71">
        <v>50</v>
      </c>
      <c r="F1618" s="223"/>
      <c r="G1618" s="109">
        <v>87.11</v>
      </c>
      <c r="H1618" s="34">
        <v>91.45</v>
      </c>
      <c r="I1618" s="35">
        <v>95.95</v>
      </c>
      <c r="J1618" s="114" t="s">
        <v>6471</v>
      </c>
      <c r="K1618" s="57" t="s">
        <v>442</v>
      </c>
      <c r="L1618" s="438"/>
      <c r="M1618" s="484"/>
      <c r="N1618" s="1008" t="s">
        <v>1856</v>
      </c>
      <c r="O1618" s="219"/>
      <c r="P1618" s="70" t="s">
        <v>53</v>
      </c>
      <c r="Q1618" s="521">
        <f>IF($AO$1590=2,F1618*H1618,IF($AO$1590=1,F1618*G1618,F1618*I1618))</f>
        <v>0</v>
      </c>
      <c r="R1618" s="13" t="str">
        <f t="shared" si="873"/>
        <v>Фото &gt;&gt;</v>
      </c>
      <c r="S1618" s="14" t="s">
        <v>6518</v>
      </c>
      <c r="AK1618">
        <v>0.03</v>
      </c>
      <c r="AL1618">
        <f t="shared" si="874"/>
        <v>0</v>
      </c>
      <c r="AM1618">
        <f t="shared" si="875"/>
        <v>0</v>
      </c>
      <c r="AN1618">
        <f t="shared" si="876"/>
        <v>0</v>
      </c>
      <c r="AO1618" t="s">
        <v>6536</v>
      </c>
      <c r="AV1618" t="str">
        <f>IF(F1618&gt;0,(COUNT($AV$1:AV1617)+1),"")</f>
        <v/>
      </c>
    </row>
    <row r="1619" spans="1:48" ht="15" customHeight="1" x14ac:dyDescent="0.25">
      <c r="A1619" s="1"/>
      <c r="B1619" s="552">
        <v>21260</v>
      </c>
      <c r="C1619" s="553">
        <v>4631175873760</v>
      </c>
      <c r="D1619" s="554" t="s">
        <v>6520</v>
      </c>
      <c r="E1619" s="555">
        <v>30</v>
      </c>
      <c r="F1619" s="1117"/>
      <c r="G1619" s="556">
        <v>207.68</v>
      </c>
      <c r="H1619" s="557">
        <v>217.98</v>
      </c>
      <c r="I1619" s="558">
        <v>228.08</v>
      </c>
      <c r="J1619" s="559" t="s">
        <v>6471</v>
      </c>
      <c r="K1619" s="560" t="s">
        <v>442</v>
      </c>
      <c r="L1619" s="561"/>
      <c r="M1619" s="562"/>
      <c r="N1619" s="1007"/>
      <c r="O1619" s="563"/>
      <c r="P1619" s="564" t="s">
        <v>195</v>
      </c>
      <c r="Q1619" s="521">
        <f>IF($AO$1590=2,F1619*H1619,IF($AO$1590=1,F1619*G1619,F1619*I1619))</f>
        <v>0</v>
      </c>
      <c r="R1619" s="13" t="str">
        <f t="shared" si="873"/>
        <v>Фото &gt;&gt;</v>
      </c>
      <c r="S1619" s="14" t="s">
        <v>6521</v>
      </c>
      <c r="AK1619">
        <v>7.0000000000000007E-2</v>
      </c>
      <c r="AL1619">
        <f t="shared" si="874"/>
        <v>0</v>
      </c>
      <c r="AM1619">
        <f t="shared" si="875"/>
        <v>0</v>
      </c>
      <c r="AN1619">
        <f t="shared" si="876"/>
        <v>0</v>
      </c>
      <c r="AO1619" t="s">
        <v>6537</v>
      </c>
      <c r="AV1619" t="str">
        <f>IF(F1619&gt;0,(COUNT($AV$1:AV1618)+1),"")</f>
        <v/>
      </c>
    </row>
    <row r="1620" spans="1:48" ht="15" customHeight="1" x14ac:dyDescent="0.25">
      <c r="A1620" s="1"/>
      <c r="B1620" s="1113"/>
      <c r="C1620" s="1114"/>
      <c r="D1620" s="27" t="s">
        <v>6523</v>
      </c>
      <c r="E1620" s="80"/>
      <c r="F1620" s="96"/>
      <c r="G1620" s="1115"/>
      <c r="H1620" s="1116"/>
      <c r="I1620" s="1116"/>
      <c r="J1620" s="51"/>
      <c r="K1620" s="47"/>
      <c r="L1620" s="447"/>
      <c r="M1620" s="489"/>
      <c r="N1620" s="716"/>
      <c r="O1620" s="186"/>
      <c r="P1620" s="79"/>
      <c r="Q1620" s="104"/>
      <c r="R1620" s="13"/>
      <c r="S1620" s="6"/>
      <c r="AL1620">
        <f t="shared" si="874"/>
        <v>0</v>
      </c>
      <c r="AM1620">
        <f t="shared" si="875"/>
        <v>0</v>
      </c>
      <c r="AN1620">
        <f t="shared" si="876"/>
        <v>0</v>
      </c>
      <c r="AV1620" t="str">
        <f>IF(F1620&gt;0,(COUNT($AV$1:AV1619)+1),"")</f>
        <v/>
      </c>
    </row>
    <row r="1621" spans="1:48" ht="15" customHeight="1" x14ac:dyDescent="0.25">
      <c r="A1621" s="1"/>
      <c r="B1621" s="32">
        <v>21262</v>
      </c>
      <c r="C1621" s="33">
        <v>4631174716945</v>
      </c>
      <c r="D1621" s="227" t="s">
        <v>6524</v>
      </c>
      <c r="E1621" s="71">
        <v>40</v>
      </c>
      <c r="F1621" s="223"/>
      <c r="G1621" s="109">
        <v>220.28</v>
      </c>
      <c r="H1621" s="34">
        <v>224.78</v>
      </c>
      <c r="I1621" s="35">
        <v>238.27</v>
      </c>
      <c r="J1621" s="114" t="s">
        <v>6471</v>
      </c>
      <c r="K1621" s="57" t="s">
        <v>374</v>
      </c>
      <c r="L1621" s="438"/>
      <c r="M1621" s="484"/>
      <c r="N1621" s="1008"/>
      <c r="O1621" s="219"/>
      <c r="P1621" s="70" t="s">
        <v>195</v>
      </c>
      <c r="Q1621" s="521">
        <f t="shared" ref="Q1621:Q1631" si="877">IF($AO$1590=2,F1621*H1621,IF($AO$1590=1,F1621*G1621,F1621*I1621))</f>
        <v>0</v>
      </c>
      <c r="R1621" s="13" t="str">
        <f t="shared" ref="R1621:R1646" si="878">IF(AO1621&gt;0,HYPERLINK(AO1621,"Фото &gt;&gt;"),"")</f>
        <v>Фото &gt;&gt;</v>
      </c>
      <c r="S1621" s="14" t="s">
        <v>6525</v>
      </c>
      <c r="AK1621">
        <v>7.0000000000000007E-2</v>
      </c>
      <c r="AL1621">
        <f t="shared" si="874"/>
        <v>0</v>
      </c>
      <c r="AM1621">
        <f t="shared" si="875"/>
        <v>0</v>
      </c>
      <c r="AN1621">
        <f t="shared" si="876"/>
        <v>0</v>
      </c>
      <c r="AO1621" t="s">
        <v>6538</v>
      </c>
      <c r="AV1621" t="str">
        <f>IF(F1621&gt;0,(COUNT($AV$1:AV1620)+1),"")</f>
        <v/>
      </c>
    </row>
    <row r="1622" spans="1:48" ht="15" customHeight="1" x14ac:dyDescent="0.25">
      <c r="A1622" s="1"/>
      <c r="B1622" s="552">
        <v>21263</v>
      </c>
      <c r="C1622" s="553">
        <v>4631174656258</v>
      </c>
      <c r="D1622" s="554" t="s">
        <v>6526</v>
      </c>
      <c r="E1622" s="555">
        <v>20</v>
      </c>
      <c r="F1622" s="1117"/>
      <c r="G1622" s="556">
        <v>370.85</v>
      </c>
      <c r="H1622" s="557">
        <v>378.42</v>
      </c>
      <c r="I1622" s="558">
        <v>397.34</v>
      </c>
      <c r="J1622" s="559" t="s">
        <v>6471</v>
      </c>
      <c r="K1622" s="560" t="s">
        <v>374</v>
      </c>
      <c r="L1622" s="561"/>
      <c r="M1622" s="562"/>
      <c r="N1622" s="1007"/>
      <c r="O1622" s="563"/>
      <c r="P1622" s="564" t="s">
        <v>195</v>
      </c>
      <c r="Q1622" s="521">
        <f t="shared" si="877"/>
        <v>0</v>
      </c>
      <c r="R1622" s="13" t="str">
        <f t="shared" si="878"/>
        <v>Фото &gt;&gt;</v>
      </c>
      <c r="S1622" s="14" t="s">
        <v>6522</v>
      </c>
      <c r="AK1622">
        <v>0.12</v>
      </c>
      <c r="AL1622">
        <f t="shared" si="874"/>
        <v>0</v>
      </c>
      <c r="AM1622">
        <f t="shared" si="875"/>
        <v>0</v>
      </c>
      <c r="AN1622">
        <f t="shared" si="876"/>
        <v>0</v>
      </c>
      <c r="AO1622" t="s">
        <v>6539</v>
      </c>
      <c r="AV1622" t="str">
        <f>IF(F1622&gt;0,(COUNT($AV$1:AV1621)+1),"")</f>
        <v/>
      </c>
    </row>
    <row r="1623" spans="1:48" ht="15" customHeight="1" x14ac:dyDescent="0.25">
      <c r="A1623" s="1"/>
      <c r="B1623" s="32">
        <v>21264</v>
      </c>
      <c r="C1623" s="33" t="s">
        <v>104</v>
      </c>
      <c r="D1623" s="227" t="s">
        <v>6527</v>
      </c>
      <c r="E1623" s="71">
        <v>40</v>
      </c>
      <c r="F1623" s="223"/>
      <c r="G1623" s="109">
        <v>220.28</v>
      </c>
      <c r="H1623" s="34">
        <v>224.78</v>
      </c>
      <c r="I1623" s="35">
        <v>238.27</v>
      </c>
      <c r="J1623" s="114" t="s">
        <v>6471</v>
      </c>
      <c r="K1623" s="57" t="s">
        <v>374</v>
      </c>
      <c r="L1623" s="438"/>
      <c r="M1623" s="484"/>
      <c r="N1623" s="1008"/>
      <c r="O1623" s="219"/>
      <c r="P1623" s="70" t="s">
        <v>195</v>
      </c>
      <c r="Q1623" s="521">
        <f t="shared" si="877"/>
        <v>0</v>
      </c>
      <c r="R1623" s="13" t="str">
        <f t="shared" si="878"/>
        <v>Фото &gt;&gt;</v>
      </c>
      <c r="S1623" s="14" t="s">
        <v>6522</v>
      </c>
      <c r="AK1623">
        <v>7.0000000000000007E-2</v>
      </c>
      <c r="AL1623">
        <f t="shared" si="874"/>
        <v>0</v>
      </c>
      <c r="AM1623">
        <f t="shared" si="875"/>
        <v>0</v>
      </c>
      <c r="AN1623">
        <f t="shared" si="876"/>
        <v>0</v>
      </c>
      <c r="AO1623" t="s">
        <v>6540</v>
      </c>
      <c r="AV1623" t="str">
        <f>IF(F1623&gt;0,(COUNT($AV$1:AV1622)+1),"")</f>
        <v/>
      </c>
    </row>
    <row r="1624" spans="1:48" ht="15" customHeight="1" x14ac:dyDescent="0.25">
      <c r="A1624" s="1"/>
      <c r="B1624" s="364">
        <v>21265</v>
      </c>
      <c r="C1624" s="365">
        <v>4631174716969</v>
      </c>
      <c r="D1624" s="514" t="s">
        <v>6528</v>
      </c>
      <c r="E1624" s="366">
        <v>20</v>
      </c>
      <c r="F1624" s="315"/>
      <c r="G1624" s="367">
        <v>370.85</v>
      </c>
      <c r="H1624" s="368">
        <v>378.42</v>
      </c>
      <c r="I1624" s="369">
        <v>397.34</v>
      </c>
      <c r="J1624" s="370" t="s">
        <v>6471</v>
      </c>
      <c r="K1624" s="371" t="s">
        <v>374</v>
      </c>
      <c r="L1624" s="431"/>
      <c r="M1624" s="494"/>
      <c r="N1624" s="1000"/>
      <c r="O1624" s="372"/>
      <c r="P1624" s="373" t="s">
        <v>195</v>
      </c>
      <c r="Q1624" s="521">
        <f t="shared" si="877"/>
        <v>0</v>
      </c>
      <c r="R1624" s="13" t="str">
        <f t="shared" si="878"/>
        <v>Фото &gt;&gt;</v>
      </c>
      <c r="S1624" s="14" t="s">
        <v>6529</v>
      </c>
      <c r="AK1624">
        <v>0.12</v>
      </c>
      <c r="AL1624">
        <f t="shared" si="874"/>
        <v>0</v>
      </c>
      <c r="AM1624">
        <f t="shared" si="875"/>
        <v>0</v>
      </c>
      <c r="AN1624">
        <f t="shared" si="876"/>
        <v>0</v>
      </c>
      <c r="AO1624" t="s">
        <v>6541</v>
      </c>
      <c r="AV1624" t="str">
        <f>IF(F1624&gt;0,(COUNT($AV$1:AV1623)+1),"")</f>
        <v/>
      </c>
    </row>
    <row r="1625" spans="1:48" ht="15" customHeight="1" x14ac:dyDescent="0.25">
      <c r="A1625" s="1"/>
      <c r="B1625" s="881">
        <v>21371</v>
      </c>
      <c r="C1625" s="812" t="s">
        <v>104</v>
      </c>
      <c r="D1625" s="813" t="s">
        <v>6755</v>
      </c>
      <c r="E1625" s="814">
        <v>12</v>
      </c>
      <c r="F1625" s="815"/>
      <c r="G1625" s="882">
        <v>370.85</v>
      </c>
      <c r="H1625" s="883">
        <v>378.42</v>
      </c>
      <c r="I1625" s="884">
        <v>397.34</v>
      </c>
      <c r="J1625" s="816" t="s">
        <v>6471</v>
      </c>
      <c r="K1625" s="817" t="s">
        <v>374</v>
      </c>
      <c r="L1625" s="818"/>
      <c r="M1625" s="819"/>
      <c r="N1625" s="1011"/>
      <c r="O1625" s="885"/>
      <c r="P1625" s="820" t="s">
        <v>195</v>
      </c>
      <c r="Q1625" s="521">
        <f t="shared" si="877"/>
        <v>0</v>
      </c>
      <c r="R1625" s="13" t="str">
        <f t="shared" si="878"/>
        <v>Фото &gt;&gt;</v>
      </c>
      <c r="S1625" s="14" t="s">
        <v>6757</v>
      </c>
      <c r="AK1625">
        <v>0.12</v>
      </c>
      <c r="AL1625">
        <f t="shared" si="874"/>
        <v>0</v>
      </c>
      <c r="AM1625">
        <f t="shared" si="875"/>
        <v>0</v>
      </c>
      <c r="AN1625">
        <f t="shared" si="876"/>
        <v>0</v>
      </c>
      <c r="AO1625" t="s">
        <v>6758</v>
      </c>
      <c r="AV1625" t="str">
        <f>IF(F1625&gt;0,(COUNT($AV$1:AV1624)+1),"")</f>
        <v/>
      </c>
    </row>
    <row r="1626" spans="1:48" ht="15" customHeight="1" x14ac:dyDescent="0.25">
      <c r="A1626" s="1"/>
      <c r="B1626" s="552">
        <v>21370</v>
      </c>
      <c r="C1626" s="553" t="s">
        <v>104</v>
      </c>
      <c r="D1626" s="554" t="s">
        <v>6756</v>
      </c>
      <c r="E1626" s="555">
        <v>40</v>
      </c>
      <c r="F1626" s="1117"/>
      <c r="G1626" s="556">
        <v>220.28</v>
      </c>
      <c r="H1626" s="557">
        <v>224.78</v>
      </c>
      <c r="I1626" s="558">
        <v>238.27</v>
      </c>
      <c r="J1626" s="559" t="s">
        <v>6471</v>
      </c>
      <c r="K1626" s="560" t="s">
        <v>374</v>
      </c>
      <c r="L1626" s="561"/>
      <c r="M1626" s="562"/>
      <c r="N1626" s="1007"/>
      <c r="O1626" s="563"/>
      <c r="P1626" s="564" t="s">
        <v>195</v>
      </c>
      <c r="Q1626" s="521">
        <f t="shared" si="877"/>
        <v>0</v>
      </c>
      <c r="R1626" s="13" t="str">
        <f t="shared" si="878"/>
        <v>Фото &gt;&gt;</v>
      </c>
      <c r="S1626" s="14" t="s">
        <v>6757</v>
      </c>
      <c r="AK1626">
        <v>7.0000000000000007E-2</v>
      </c>
      <c r="AL1626">
        <f t="shared" si="874"/>
        <v>0</v>
      </c>
      <c r="AM1626">
        <f t="shared" si="875"/>
        <v>0</v>
      </c>
      <c r="AN1626">
        <f t="shared" si="876"/>
        <v>0</v>
      </c>
      <c r="AO1626" t="s">
        <v>6759</v>
      </c>
      <c r="AV1626" t="str">
        <f>IF(F1626&gt;0,(COUNT($AV$1:AV1625)+1),"")</f>
        <v/>
      </c>
    </row>
    <row r="1627" spans="1:48" ht="15" customHeight="1" x14ac:dyDescent="0.25">
      <c r="A1627" s="1"/>
      <c r="B1627" s="32">
        <v>21266</v>
      </c>
      <c r="C1627" s="33">
        <v>4631174656234</v>
      </c>
      <c r="D1627" s="227" t="s">
        <v>6532</v>
      </c>
      <c r="E1627" s="71">
        <v>20</v>
      </c>
      <c r="F1627" s="223"/>
      <c r="G1627" s="109">
        <v>370.85</v>
      </c>
      <c r="H1627" s="34">
        <v>378.42</v>
      </c>
      <c r="I1627" s="35">
        <v>397.34</v>
      </c>
      <c r="J1627" s="114" t="s">
        <v>6471</v>
      </c>
      <c r="K1627" s="57" t="s">
        <v>374</v>
      </c>
      <c r="L1627" s="438"/>
      <c r="M1627" s="484"/>
      <c r="N1627" s="1008"/>
      <c r="O1627" s="219"/>
      <c r="P1627" s="70" t="s">
        <v>195</v>
      </c>
      <c r="Q1627" s="521">
        <f t="shared" si="877"/>
        <v>0</v>
      </c>
      <c r="R1627" s="13" t="str">
        <f t="shared" si="878"/>
        <v>Фото &gt;&gt;</v>
      </c>
      <c r="S1627" s="14" t="s">
        <v>6531</v>
      </c>
      <c r="AK1627">
        <v>0.12</v>
      </c>
      <c r="AL1627">
        <f t="shared" si="874"/>
        <v>0</v>
      </c>
      <c r="AM1627">
        <f t="shared" si="875"/>
        <v>0</v>
      </c>
      <c r="AN1627">
        <f t="shared" si="876"/>
        <v>0</v>
      </c>
      <c r="AO1627" t="s">
        <v>6542</v>
      </c>
      <c r="AV1627" t="str">
        <f>IF(F1627&gt;0,(COUNT($AV$1:AV1626)+1),"")</f>
        <v/>
      </c>
    </row>
    <row r="1628" spans="1:48" ht="15" customHeight="1" x14ac:dyDescent="0.25">
      <c r="A1628" s="1"/>
      <c r="B1628" s="552">
        <v>21336</v>
      </c>
      <c r="C1628" s="553" t="s">
        <v>104</v>
      </c>
      <c r="D1628" s="554" t="s">
        <v>6760</v>
      </c>
      <c r="E1628" s="555">
        <v>40</v>
      </c>
      <c r="F1628" s="1117"/>
      <c r="G1628" s="556">
        <v>220.28</v>
      </c>
      <c r="H1628" s="557">
        <v>224.78</v>
      </c>
      <c r="I1628" s="558">
        <v>238.27</v>
      </c>
      <c r="J1628" s="559" t="s">
        <v>6471</v>
      </c>
      <c r="K1628" s="560" t="s">
        <v>374</v>
      </c>
      <c r="L1628" s="561"/>
      <c r="M1628" s="562"/>
      <c r="N1628" s="1007"/>
      <c r="O1628" s="563"/>
      <c r="P1628" s="564" t="s">
        <v>195</v>
      </c>
      <c r="Q1628" s="521">
        <f t="shared" si="877"/>
        <v>0</v>
      </c>
      <c r="R1628" s="13" t="str">
        <f t="shared" si="878"/>
        <v>Фото &gt;&gt;</v>
      </c>
      <c r="S1628" s="14" t="s">
        <v>6531</v>
      </c>
      <c r="AK1628">
        <v>7.0000000000000007E-2</v>
      </c>
      <c r="AL1628">
        <f t="shared" si="874"/>
        <v>0</v>
      </c>
      <c r="AM1628">
        <f t="shared" si="875"/>
        <v>0</v>
      </c>
      <c r="AN1628">
        <f t="shared" si="876"/>
        <v>0</v>
      </c>
      <c r="AO1628" t="s">
        <v>6761</v>
      </c>
      <c r="AV1628" t="str">
        <f>IF(F1628&gt;0,(COUNT($AV$1:AV1627)+1),"")</f>
        <v/>
      </c>
    </row>
    <row r="1629" spans="1:48" ht="15" customHeight="1" x14ac:dyDescent="0.25">
      <c r="A1629" s="1"/>
      <c r="B1629" s="32">
        <v>21273</v>
      </c>
      <c r="C1629" s="33">
        <v>4631174656319</v>
      </c>
      <c r="D1629" s="227" t="s">
        <v>6533</v>
      </c>
      <c r="E1629" s="71">
        <v>20</v>
      </c>
      <c r="F1629" s="223"/>
      <c r="G1629" s="109">
        <v>370.85</v>
      </c>
      <c r="H1629" s="34">
        <v>378.42</v>
      </c>
      <c r="I1629" s="35">
        <v>397.34</v>
      </c>
      <c r="J1629" s="114" t="s">
        <v>6471</v>
      </c>
      <c r="K1629" s="57" t="s">
        <v>374</v>
      </c>
      <c r="L1629" s="438"/>
      <c r="M1629" s="484"/>
      <c r="N1629" s="1008"/>
      <c r="O1629" s="219"/>
      <c r="P1629" s="70" t="s">
        <v>195</v>
      </c>
      <c r="Q1629" s="521">
        <f t="shared" si="877"/>
        <v>0</v>
      </c>
      <c r="R1629" s="13" t="str">
        <f t="shared" si="878"/>
        <v>Фото &gt;&gt;</v>
      </c>
      <c r="S1629" s="14" t="s">
        <v>6530</v>
      </c>
      <c r="AK1629">
        <v>0.12</v>
      </c>
      <c r="AL1629">
        <f t="shared" si="874"/>
        <v>0</v>
      </c>
      <c r="AM1629">
        <f t="shared" si="875"/>
        <v>0</v>
      </c>
      <c r="AN1629">
        <f t="shared" si="876"/>
        <v>0</v>
      </c>
      <c r="AO1629" t="s">
        <v>6543</v>
      </c>
      <c r="AV1629" t="str">
        <f>IF(F1629&gt;0,(COUNT($AV$1:AV1628)+1),"")</f>
        <v/>
      </c>
    </row>
    <row r="1630" spans="1:48" ht="15" customHeight="1" x14ac:dyDescent="0.25">
      <c r="A1630" s="1"/>
      <c r="B1630" s="364">
        <v>21285</v>
      </c>
      <c r="C1630" s="365">
        <v>4631174656326</v>
      </c>
      <c r="D1630" s="514" t="s">
        <v>6534</v>
      </c>
      <c r="E1630" s="366">
        <v>40</v>
      </c>
      <c r="F1630" s="315"/>
      <c r="G1630" s="367">
        <v>220.28</v>
      </c>
      <c r="H1630" s="368">
        <v>224.78</v>
      </c>
      <c r="I1630" s="369">
        <v>238.27</v>
      </c>
      <c r="J1630" s="370" t="s">
        <v>6471</v>
      </c>
      <c r="K1630" s="371" t="s">
        <v>374</v>
      </c>
      <c r="L1630" s="431"/>
      <c r="M1630" s="494"/>
      <c r="N1630" s="1000"/>
      <c r="O1630" s="372"/>
      <c r="P1630" s="373" t="s">
        <v>195</v>
      </c>
      <c r="Q1630" s="521">
        <f t="shared" si="877"/>
        <v>0</v>
      </c>
      <c r="R1630" s="13" t="str">
        <f t="shared" si="878"/>
        <v>Фото &gt;&gt;</v>
      </c>
      <c r="S1630" s="14" t="s">
        <v>6530</v>
      </c>
      <c r="AK1630">
        <v>7.0000000000000007E-2</v>
      </c>
      <c r="AL1630">
        <f t="shared" si="874"/>
        <v>0</v>
      </c>
      <c r="AM1630">
        <f t="shared" si="875"/>
        <v>0</v>
      </c>
      <c r="AN1630">
        <f t="shared" si="876"/>
        <v>0</v>
      </c>
      <c r="AO1630" t="s">
        <v>6544</v>
      </c>
      <c r="AV1630" t="str">
        <f>IF(F1630&gt;0,(COUNT($AV$1:AV1629)+1),"")</f>
        <v/>
      </c>
    </row>
    <row r="1631" spans="1:48" ht="15" customHeight="1" x14ac:dyDescent="0.25">
      <c r="A1631" s="1"/>
      <c r="B1631" s="936">
        <v>21452</v>
      </c>
      <c r="C1631" s="937"/>
      <c r="D1631" s="938" t="s">
        <v>6948</v>
      </c>
      <c r="E1631" s="939">
        <v>20</v>
      </c>
      <c r="F1631" s="1118"/>
      <c r="G1631" s="940">
        <v>378.27</v>
      </c>
      <c r="H1631" s="941">
        <v>385.99</v>
      </c>
      <c r="I1631" s="942">
        <v>405.29</v>
      </c>
      <c r="J1631" s="943" t="s">
        <v>6471</v>
      </c>
      <c r="K1631" s="944" t="s">
        <v>374</v>
      </c>
      <c r="L1631" s="945"/>
      <c r="M1631" s="946" t="s">
        <v>1856</v>
      </c>
      <c r="N1631" s="1012"/>
      <c r="O1631" s="947"/>
      <c r="P1631" s="948" t="s">
        <v>195</v>
      </c>
      <c r="Q1631" s="521">
        <f t="shared" si="877"/>
        <v>0</v>
      </c>
      <c r="R1631" s="13" t="str">
        <f t="shared" si="878"/>
        <v>Фото &gt;&gt;</v>
      </c>
      <c r="S1631" s="14" t="s">
        <v>6950</v>
      </c>
      <c r="AK1631">
        <v>0.12</v>
      </c>
      <c r="AL1631">
        <f t="shared" si="874"/>
        <v>0</v>
      </c>
      <c r="AM1631">
        <f t="shared" si="875"/>
        <v>0</v>
      </c>
      <c r="AN1631">
        <f t="shared" si="876"/>
        <v>0</v>
      </c>
      <c r="AO1631" t="s">
        <v>6949</v>
      </c>
      <c r="AV1631" t="str">
        <f>IF(F1631&gt;0,(COUNT($AV$1:AV1630)+1),"")</f>
        <v/>
      </c>
    </row>
    <row r="1632" spans="1:48" ht="15" customHeight="1" x14ac:dyDescent="0.25">
      <c r="A1632" s="1"/>
      <c r="B1632" s="1113"/>
      <c r="C1632" s="1114"/>
      <c r="D1632" s="27" t="s">
        <v>6473</v>
      </c>
      <c r="E1632" s="80"/>
      <c r="F1632" s="96"/>
      <c r="G1632" s="1115"/>
      <c r="H1632" s="1116"/>
      <c r="I1632" s="1116"/>
      <c r="J1632" s="51"/>
      <c r="K1632" s="47"/>
      <c r="L1632" s="447"/>
      <c r="M1632" s="489"/>
      <c r="N1632" s="716"/>
      <c r="O1632" s="186"/>
      <c r="P1632" s="79"/>
      <c r="Q1632" s="104"/>
      <c r="R1632" s="13" t="str">
        <f t="shared" si="878"/>
        <v/>
      </c>
      <c r="S1632" s="6"/>
      <c r="AL1632">
        <f t="shared" si="874"/>
        <v>0</v>
      </c>
      <c r="AM1632">
        <f t="shared" si="875"/>
        <v>0</v>
      </c>
      <c r="AN1632">
        <f t="shared" si="876"/>
        <v>0</v>
      </c>
      <c r="AV1632" t="str">
        <f>IF(F1632&gt;0,(COUNT($AV$1:AV1631)+1),"")</f>
        <v/>
      </c>
    </row>
    <row r="1633" spans="1:48" ht="15" customHeight="1" x14ac:dyDescent="0.25">
      <c r="A1633" s="1"/>
      <c r="B1633" s="552">
        <v>21254</v>
      </c>
      <c r="C1633" s="553">
        <v>4631161372857</v>
      </c>
      <c r="D1633" s="554" t="s">
        <v>6729</v>
      </c>
      <c r="E1633" s="555">
        <v>12</v>
      </c>
      <c r="F1633" s="1117"/>
      <c r="G1633" s="556">
        <v>239.5</v>
      </c>
      <c r="H1633" s="557">
        <v>251.43</v>
      </c>
      <c r="I1633" s="558">
        <v>263.98</v>
      </c>
      <c r="J1633" s="559" t="s">
        <v>6471</v>
      </c>
      <c r="K1633" s="560" t="s">
        <v>219</v>
      </c>
      <c r="L1633" s="561"/>
      <c r="M1633" s="562"/>
      <c r="N1633" s="1007" t="s">
        <v>1856</v>
      </c>
      <c r="O1633" s="563"/>
      <c r="P1633" s="564" t="s">
        <v>50</v>
      </c>
      <c r="Q1633" s="521">
        <f>IF($AO$1590=2,F1633*H1633,IF($AO$1590=1,F1633*G1633,F1633*I1633))</f>
        <v>0</v>
      </c>
      <c r="R1633" s="13" t="str">
        <f t="shared" si="878"/>
        <v>Фото &gt;&gt;</v>
      </c>
      <c r="S1633" s="14" t="s">
        <v>6549</v>
      </c>
      <c r="AK1633">
        <v>0.4</v>
      </c>
      <c r="AL1633">
        <f t="shared" si="874"/>
        <v>0</v>
      </c>
      <c r="AM1633">
        <f t="shared" si="875"/>
        <v>0</v>
      </c>
      <c r="AN1633">
        <f t="shared" si="876"/>
        <v>0</v>
      </c>
      <c r="AO1633" t="s">
        <v>6556</v>
      </c>
      <c r="AV1633" t="str">
        <f>IF(F1633&gt;0,(COUNT($AV$1:AV1632)+1),"")</f>
        <v/>
      </c>
    </row>
    <row r="1634" spans="1:48" ht="15" customHeight="1" x14ac:dyDescent="0.25">
      <c r="A1634" s="1"/>
      <c r="B1634" s="32">
        <v>21337</v>
      </c>
      <c r="C1634" s="33">
        <v>4631176820633</v>
      </c>
      <c r="D1634" s="227" t="s">
        <v>6730</v>
      </c>
      <c r="E1634" s="71">
        <v>12</v>
      </c>
      <c r="F1634" s="223"/>
      <c r="G1634" s="109">
        <v>239.5</v>
      </c>
      <c r="H1634" s="34">
        <v>251.43</v>
      </c>
      <c r="I1634" s="35">
        <v>263.98</v>
      </c>
      <c r="J1634" s="114" t="s">
        <v>6471</v>
      </c>
      <c r="K1634" s="57" t="s">
        <v>219</v>
      </c>
      <c r="L1634" s="438"/>
      <c r="M1634" s="484"/>
      <c r="N1634" s="1008" t="s">
        <v>1856</v>
      </c>
      <c r="O1634" s="219"/>
      <c r="P1634" s="70" t="s">
        <v>50</v>
      </c>
      <c r="Q1634" s="521">
        <f>IF($AO$1590=2,F1634*H1634,IF($AO$1590=1,F1634*G1634,F1634*I1634))</f>
        <v>0</v>
      </c>
      <c r="R1634" s="13" t="str">
        <f t="shared" si="878"/>
        <v>Фото &gt;&gt;</v>
      </c>
      <c r="S1634" s="14" t="s">
        <v>6731</v>
      </c>
      <c r="AK1634">
        <v>0.4</v>
      </c>
      <c r="AL1634">
        <f t="shared" si="874"/>
        <v>0</v>
      </c>
      <c r="AM1634">
        <f t="shared" si="875"/>
        <v>0</v>
      </c>
      <c r="AN1634">
        <f t="shared" si="876"/>
        <v>0</v>
      </c>
      <c r="AO1634" t="s">
        <v>6732</v>
      </c>
      <c r="AV1634" t="str">
        <f>IF(F1634&gt;0,(COUNT($AV$1:AV1633)+1),"")</f>
        <v/>
      </c>
    </row>
    <row r="1635" spans="1:48" ht="15" customHeight="1" x14ac:dyDescent="0.25">
      <c r="A1635" s="1"/>
      <c r="B1635" s="552">
        <v>21267</v>
      </c>
      <c r="C1635" s="553" t="s">
        <v>104</v>
      </c>
      <c r="D1635" s="554" t="s">
        <v>6547</v>
      </c>
      <c r="E1635" s="555">
        <v>12</v>
      </c>
      <c r="F1635" s="1117"/>
      <c r="G1635" s="556">
        <v>164.94</v>
      </c>
      <c r="H1635" s="557">
        <v>173.1</v>
      </c>
      <c r="I1635" s="558">
        <v>178.2</v>
      </c>
      <c r="J1635" s="559" t="s">
        <v>6471</v>
      </c>
      <c r="K1635" s="560" t="s">
        <v>219</v>
      </c>
      <c r="L1635" s="561"/>
      <c r="M1635" s="562"/>
      <c r="N1635" s="1007" t="s">
        <v>1856</v>
      </c>
      <c r="O1635" s="563"/>
      <c r="P1635" s="564" t="s">
        <v>50</v>
      </c>
      <c r="Q1635" s="521">
        <f>IF($AO$1590=2,F1635*H1635,IF($AO$1590=1,F1635*G1635,F1635*I1635))</f>
        <v>0</v>
      </c>
      <c r="R1635" s="13" t="str">
        <f t="shared" si="878"/>
        <v>Фото &gt;&gt;</v>
      </c>
      <c r="S1635" s="14" t="s">
        <v>6545</v>
      </c>
      <c r="AK1635">
        <v>0.4</v>
      </c>
      <c r="AL1635">
        <f t="shared" si="874"/>
        <v>0</v>
      </c>
      <c r="AM1635">
        <f t="shared" si="875"/>
        <v>0</v>
      </c>
      <c r="AN1635">
        <f t="shared" si="876"/>
        <v>0</v>
      </c>
      <c r="AO1635" t="s">
        <v>6557</v>
      </c>
      <c r="AV1635" t="str">
        <f>IF(F1635&gt;0,(COUNT($AV$1:AV1634)+1),"")</f>
        <v/>
      </c>
    </row>
    <row r="1636" spans="1:48" ht="15" customHeight="1" x14ac:dyDescent="0.25">
      <c r="A1636" s="1"/>
      <c r="B1636" s="32">
        <v>21268</v>
      </c>
      <c r="C1636" s="33" t="s">
        <v>104</v>
      </c>
      <c r="D1636" s="227" t="s">
        <v>6548</v>
      </c>
      <c r="E1636" s="71">
        <v>12</v>
      </c>
      <c r="F1636" s="223"/>
      <c r="G1636" s="109">
        <v>169.79</v>
      </c>
      <c r="H1636" s="34">
        <v>178.19</v>
      </c>
      <c r="I1636" s="35">
        <v>183.44</v>
      </c>
      <c r="J1636" s="114" t="s">
        <v>6471</v>
      </c>
      <c r="K1636" s="57" t="s">
        <v>219</v>
      </c>
      <c r="L1636" s="438"/>
      <c r="M1636" s="484"/>
      <c r="N1636" s="1008" t="s">
        <v>1856</v>
      </c>
      <c r="O1636" s="219"/>
      <c r="P1636" s="70" t="s">
        <v>50</v>
      </c>
      <c r="Q1636" s="521">
        <f>IF($AO$1590=2,F1636*H1636,IF($AO$1590=1,F1636*G1636,F1636*I1636))</f>
        <v>0</v>
      </c>
      <c r="R1636" s="13" t="str">
        <f t="shared" si="878"/>
        <v>Фото &gt;&gt;</v>
      </c>
      <c r="S1636" s="14" t="s">
        <v>6546</v>
      </c>
      <c r="AK1636">
        <v>0.4</v>
      </c>
      <c r="AL1636">
        <f t="shared" si="874"/>
        <v>0</v>
      </c>
      <c r="AM1636">
        <f t="shared" si="875"/>
        <v>0</v>
      </c>
      <c r="AN1636">
        <f t="shared" si="876"/>
        <v>0</v>
      </c>
      <c r="AO1636" t="s">
        <v>6558</v>
      </c>
      <c r="AV1636" t="str">
        <f>IF(F1636&gt;0,(COUNT($AV$1:AV1635)+1),"")</f>
        <v/>
      </c>
    </row>
    <row r="1637" spans="1:48" ht="15" customHeight="1" x14ac:dyDescent="0.25">
      <c r="A1637" s="1"/>
      <c r="B1637" s="552">
        <v>21333</v>
      </c>
      <c r="C1637" s="553">
        <v>4631171581195</v>
      </c>
      <c r="D1637" s="554" t="s">
        <v>6733</v>
      </c>
      <c r="E1637" s="555">
        <v>12</v>
      </c>
      <c r="F1637" s="1117"/>
      <c r="G1637" s="556">
        <v>239.5</v>
      </c>
      <c r="H1637" s="557">
        <v>251.43</v>
      </c>
      <c r="I1637" s="558">
        <v>256.52999999999997</v>
      </c>
      <c r="J1637" s="559" t="s">
        <v>6471</v>
      </c>
      <c r="K1637" s="560" t="s">
        <v>219</v>
      </c>
      <c r="L1637" s="561"/>
      <c r="M1637" s="562"/>
      <c r="N1637" s="1007" t="s">
        <v>1856</v>
      </c>
      <c r="O1637" s="563"/>
      <c r="P1637" s="564" t="s">
        <v>50</v>
      </c>
      <c r="Q1637" s="521">
        <f>IF($AO$1590=2,F1637*H1637,IF($AO$1590=1,F1637*G1637,F1637*I1637))</f>
        <v>0</v>
      </c>
      <c r="R1637" s="13" t="str">
        <f t="shared" si="878"/>
        <v>Фото &gt;&gt;</v>
      </c>
      <c r="S1637" s="14" t="s">
        <v>6734</v>
      </c>
      <c r="AK1637">
        <v>0.4</v>
      </c>
      <c r="AL1637">
        <f t="shared" si="874"/>
        <v>0</v>
      </c>
      <c r="AM1637">
        <f t="shared" si="875"/>
        <v>0</v>
      </c>
      <c r="AN1637">
        <f t="shared" si="876"/>
        <v>0</v>
      </c>
      <c r="AO1637" t="s">
        <v>6735</v>
      </c>
      <c r="AV1637" t="str">
        <f>IF(F1637&gt;0,(COUNT($AV$1:AV1636)+1),"")</f>
        <v/>
      </c>
    </row>
    <row r="1638" spans="1:48" ht="15" customHeight="1" x14ac:dyDescent="0.25">
      <c r="A1638" s="1"/>
      <c r="B1638" s="1113"/>
      <c r="C1638" s="1114"/>
      <c r="D1638" s="27" t="s">
        <v>6736</v>
      </c>
      <c r="E1638" s="80"/>
      <c r="F1638" s="96"/>
      <c r="G1638" s="1115"/>
      <c r="H1638" s="1116"/>
      <c r="I1638" s="1116"/>
      <c r="J1638" s="51"/>
      <c r="K1638" s="47"/>
      <c r="L1638" s="447"/>
      <c r="M1638" s="489"/>
      <c r="N1638" s="716"/>
      <c r="O1638" s="186"/>
      <c r="P1638" s="79"/>
      <c r="Q1638" s="104"/>
      <c r="R1638" s="13" t="str">
        <f t="shared" si="878"/>
        <v/>
      </c>
      <c r="S1638" s="6"/>
      <c r="AL1638">
        <f t="shared" si="874"/>
        <v>0</v>
      </c>
      <c r="AM1638">
        <f t="shared" si="875"/>
        <v>0</v>
      </c>
      <c r="AN1638">
        <f t="shared" si="876"/>
        <v>0</v>
      </c>
      <c r="AV1638" t="str">
        <f>IF(F1638&gt;0,(COUNT($AV$1:AV1637)+1),"")</f>
        <v/>
      </c>
    </row>
    <row r="1639" spans="1:48" ht="15" customHeight="1" x14ac:dyDescent="0.25">
      <c r="A1639" s="1"/>
      <c r="B1639" s="552">
        <v>21278</v>
      </c>
      <c r="C1639" s="553" t="s">
        <v>104</v>
      </c>
      <c r="D1639" s="554" t="s">
        <v>6737</v>
      </c>
      <c r="E1639" s="555">
        <v>10</v>
      </c>
      <c r="F1639" s="1117"/>
      <c r="G1639" s="556">
        <v>138.58000000000001</v>
      </c>
      <c r="H1639" s="557">
        <v>145.44</v>
      </c>
      <c r="I1639" s="558">
        <v>151.19999999999999</v>
      </c>
      <c r="J1639" s="559" t="s">
        <v>6471</v>
      </c>
      <c r="K1639" s="560" t="s">
        <v>117</v>
      </c>
      <c r="L1639" s="561"/>
      <c r="M1639" s="562" t="s">
        <v>1856</v>
      </c>
      <c r="N1639" s="1007" t="s">
        <v>1856</v>
      </c>
      <c r="O1639" s="563"/>
      <c r="P1639" s="564" t="s">
        <v>50</v>
      </c>
      <c r="Q1639" s="521">
        <f>IF($AO$1590=2,F1639*H1639,IF($AO$1590=1,F1639*G1639,F1639*I1639))</f>
        <v>0</v>
      </c>
      <c r="R1639" s="13" t="str">
        <f t="shared" si="878"/>
        <v>Фото &gt;&gt;</v>
      </c>
      <c r="S1639" s="14" t="s">
        <v>6739</v>
      </c>
      <c r="AK1639">
        <v>0.06</v>
      </c>
      <c r="AL1639">
        <f t="shared" si="874"/>
        <v>0</v>
      </c>
      <c r="AM1639">
        <f t="shared" si="875"/>
        <v>0</v>
      </c>
      <c r="AN1639">
        <f t="shared" si="876"/>
        <v>0</v>
      </c>
      <c r="AO1639" t="s">
        <v>6741</v>
      </c>
      <c r="AV1639" t="str">
        <f>IF(F1639&gt;0,(COUNT($AV$1:AV1638)+1),"")</f>
        <v/>
      </c>
    </row>
    <row r="1640" spans="1:48" ht="15" customHeight="1" x14ac:dyDescent="0.25">
      <c r="A1640" s="1"/>
      <c r="B1640" s="32">
        <v>21277</v>
      </c>
      <c r="C1640" s="33" t="s">
        <v>104</v>
      </c>
      <c r="D1640" s="227" t="s">
        <v>6738</v>
      </c>
      <c r="E1640" s="71">
        <v>10</v>
      </c>
      <c r="F1640" s="223"/>
      <c r="G1640" s="109">
        <v>138.58000000000001</v>
      </c>
      <c r="H1640" s="34">
        <v>145.44</v>
      </c>
      <c r="I1640" s="35">
        <v>151.19999999999999</v>
      </c>
      <c r="J1640" s="114" t="s">
        <v>6471</v>
      </c>
      <c r="K1640" s="57" t="s">
        <v>117</v>
      </c>
      <c r="L1640" s="438"/>
      <c r="M1640" s="484" t="s">
        <v>1856</v>
      </c>
      <c r="N1640" s="1008" t="s">
        <v>1856</v>
      </c>
      <c r="O1640" s="219"/>
      <c r="P1640" s="70" t="s">
        <v>50</v>
      </c>
      <c r="Q1640" s="521">
        <f>IF($AO$1590=2,F1640*H1640,IF($AO$1590=1,F1640*G1640,F1640*I1640))</f>
        <v>0</v>
      </c>
      <c r="R1640" s="13" t="str">
        <f t="shared" si="878"/>
        <v>Фото &gt;&gt;</v>
      </c>
      <c r="S1640" s="14" t="s">
        <v>6740</v>
      </c>
      <c r="AK1640">
        <v>0.06</v>
      </c>
      <c r="AL1640">
        <f t="shared" si="874"/>
        <v>0</v>
      </c>
      <c r="AM1640">
        <f t="shared" si="875"/>
        <v>0</v>
      </c>
      <c r="AN1640">
        <f t="shared" si="876"/>
        <v>0</v>
      </c>
      <c r="AO1640" t="s">
        <v>6742</v>
      </c>
      <c r="AV1640" t="str">
        <f>IF(F1640&gt;0,(COUNT($AV$1:AV1639)+1),"")</f>
        <v/>
      </c>
    </row>
    <row r="1641" spans="1:48" ht="15" customHeight="1" x14ac:dyDescent="0.25">
      <c r="A1641" s="1"/>
      <c r="B1641" s="1113"/>
      <c r="C1641" s="1114"/>
      <c r="D1641" s="27" t="s">
        <v>6474</v>
      </c>
      <c r="E1641" s="80"/>
      <c r="F1641" s="96"/>
      <c r="G1641" s="1115"/>
      <c r="H1641" s="1116"/>
      <c r="I1641" s="1116"/>
      <c r="J1641" s="51"/>
      <c r="K1641" s="47"/>
      <c r="L1641" s="447"/>
      <c r="M1641" s="489"/>
      <c r="N1641" s="716"/>
      <c r="O1641" s="186"/>
      <c r="P1641" s="79"/>
      <c r="Q1641" s="104"/>
      <c r="R1641" s="13" t="str">
        <f t="shared" si="878"/>
        <v/>
      </c>
      <c r="S1641" s="6"/>
      <c r="AL1641">
        <f t="shared" si="874"/>
        <v>0</v>
      </c>
      <c r="AM1641">
        <f t="shared" si="875"/>
        <v>0</v>
      </c>
      <c r="AN1641">
        <f t="shared" si="876"/>
        <v>0</v>
      </c>
      <c r="AV1641" t="str">
        <f>IF(F1641&gt;0,(COUNT($AV$1:AV1640)+1),"")</f>
        <v/>
      </c>
    </row>
    <row r="1642" spans="1:48" ht="15" customHeight="1" x14ac:dyDescent="0.25">
      <c r="A1642" s="1"/>
      <c r="B1642" s="32">
        <v>21455</v>
      </c>
      <c r="C1642" s="33"/>
      <c r="D1642" s="227" t="s">
        <v>6945</v>
      </c>
      <c r="E1642" s="71">
        <v>20</v>
      </c>
      <c r="F1642" s="223"/>
      <c r="G1642" s="935">
        <v>206.41</v>
      </c>
      <c r="H1642" s="34">
        <v>212.66</v>
      </c>
      <c r="I1642" s="35">
        <v>222.04</v>
      </c>
      <c r="J1642" s="114" t="s">
        <v>6471</v>
      </c>
      <c r="K1642" s="57" t="s">
        <v>1070</v>
      </c>
      <c r="L1642" s="438"/>
      <c r="M1642" s="484"/>
      <c r="N1642" s="1008" t="s">
        <v>1856</v>
      </c>
      <c r="O1642" s="219"/>
      <c r="P1642" s="70" t="s">
        <v>195</v>
      </c>
      <c r="Q1642" s="521">
        <f>IF($AO$1590=2,F1642*H1642,IF($AO$1590=1,F1642*G1642,F1642*I1642))</f>
        <v>0</v>
      </c>
      <c r="R1642" s="13" t="str">
        <f t="shared" si="878"/>
        <v>Фото &gt;&gt;</v>
      </c>
      <c r="S1642" s="14" t="s">
        <v>6946</v>
      </c>
      <c r="AK1642">
        <v>0.1</v>
      </c>
      <c r="AL1642">
        <f t="shared" si="874"/>
        <v>0</v>
      </c>
      <c r="AM1642">
        <f t="shared" si="875"/>
        <v>0</v>
      </c>
      <c r="AN1642">
        <f t="shared" si="876"/>
        <v>0</v>
      </c>
      <c r="AO1642" t="s">
        <v>6947</v>
      </c>
      <c r="AV1642" t="str">
        <f>IF(F1642&gt;0,(COUNT($AV$1:AV1641)+1),"")</f>
        <v/>
      </c>
    </row>
    <row r="1643" spans="1:48" ht="15" customHeight="1" x14ac:dyDescent="0.25">
      <c r="A1643" s="1"/>
      <c r="B1643" s="552">
        <v>21256</v>
      </c>
      <c r="C1643" s="553">
        <v>4631137704637</v>
      </c>
      <c r="D1643" s="554" t="s">
        <v>6554</v>
      </c>
      <c r="E1643" s="555">
        <v>20</v>
      </c>
      <c r="F1643" s="1117"/>
      <c r="G1643" s="556">
        <v>244.83</v>
      </c>
      <c r="H1643" s="557">
        <v>257.05</v>
      </c>
      <c r="I1643" s="558">
        <v>269.67</v>
      </c>
      <c r="J1643" s="559" t="s">
        <v>6471</v>
      </c>
      <c r="K1643" s="560" t="s">
        <v>1070</v>
      </c>
      <c r="L1643" s="561"/>
      <c r="M1643" s="562"/>
      <c r="N1643" s="1007" t="s">
        <v>1856</v>
      </c>
      <c r="O1643" s="563"/>
      <c r="P1643" s="564" t="s">
        <v>195</v>
      </c>
      <c r="Q1643" s="521">
        <f>IF($AO$1590=2,F1643*H1643,IF($AO$1590=1,F1643*G1643,F1643*I1643))</f>
        <v>0</v>
      </c>
      <c r="R1643" s="13" t="str">
        <f t="shared" si="878"/>
        <v>Фото &gt;&gt;</v>
      </c>
      <c r="S1643" s="14" t="s">
        <v>6553</v>
      </c>
      <c r="AK1643">
        <v>0.12</v>
      </c>
      <c r="AL1643">
        <f t="shared" si="874"/>
        <v>0</v>
      </c>
      <c r="AM1643">
        <f t="shared" si="875"/>
        <v>0</v>
      </c>
      <c r="AN1643">
        <f t="shared" si="876"/>
        <v>0</v>
      </c>
      <c r="AO1643" t="s">
        <v>6559</v>
      </c>
      <c r="AV1643" t="str">
        <f>IF(F1643&gt;0,(COUNT($AV$1:AV1642)+1),"")</f>
        <v/>
      </c>
    </row>
    <row r="1644" spans="1:48" ht="15" customHeight="1" x14ac:dyDescent="0.25">
      <c r="A1644" s="1"/>
      <c r="B1644" s="32">
        <v>21257</v>
      </c>
      <c r="C1644" s="33">
        <v>4631141224466</v>
      </c>
      <c r="D1644" s="227" t="s">
        <v>6552</v>
      </c>
      <c r="E1644" s="71">
        <v>20</v>
      </c>
      <c r="F1644" s="223"/>
      <c r="G1644" s="109">
        <v>239.2</v>
      </c>
      <c r="H1644" s="34">
        <v>251</v>
      </c>
      <c r="I1644" s="35">
        <v>263</v>
      </c>
      <c r="J1644" s="114" t="s">
        <v>6471</v>
      </c>
      <c r="K1644" s="57" t="s">
        <v>1070</v>
      </c>
      <c r="L1644" s="438"/>
      <c r="M1644" s="484"/>
      <c r="N1644" s="1008" t="s">
        <v>1856</v>
      </c>
      <c r="O1644" s="219"/>
      <c r="P1644" s="70" t="s">
        <v>195</v>
      </c>
      <c r="Q1644" s="521">
        <f>IF($AO$1590=2,F1644*H1644,IF($AO$1590=1,F1644*G1644,F1644*I1644))</f>
        <v>0</v>
      </c>
      <c r="R1644" s="13" t="str">
        <f t="shared" si="878"/>
        <v>Фото &gt;&gt;</v>
      </c>
      <c r="S1644" s="14" t="s">
        <v>6551</v>
      </c>
      <c r="AK1644">
        <v>0.11</v>
      </c>
      <c r="AL1644">
        <f t="shared" si="874"/>
        <v>0</v>
      </c>
      <c r="AM1644">
        <f t="shared" si="875"/>
        <v>0</v>
      </c>
      <c r="AN1644">
        <f t="shared" si="876"/>
        <v>0</v>
      </c>
      <c r="AO1644" t="s">
        <v>6560</v>
      </c>
      <c r="AV1644" t="str">
        <f>IF(F1644&gt;0,(COUNT($AV$1:AV1643)+1),"")</f>
        <v/>
      </c>
    </row>
    <row r="1645" spans="1:48" ht="15" customHeight="1" x14ac:dyDescent="0.25">
      <c r="A1645" s="1"/>
      <c r="B1645" s="552">
        <v>21258</v>
      </c>
      <c r="C1645" s="553">
        <v>4631160210969</v>
      </c>
      <c r="D1645" s="554" t="s">
        <v>6550</v>
      </c>
      <c r="E1645" s="555">
        <v>12</v>
      </c>
      <c r="F1645" s="1117"/>
      <c r="G1645" s="556">
        <v>345.93</v>
      </c>
      <c r="H1645" s="557">
        <v>363.2</v>
      </c>
      <c r="I1645" s="558">
        <v>381.38</v>
      </c>
      <c r="J1645" s="559" t="s">
        <v>6471</v>
      </c>
      <c r="K1645" s="560" t="s">
        <v>1070</v>
      </c>
      <c r="L1645" s="561"/>
      <c r="M1645" s="562"/>
      <c r="N1645" s="1007" t="s">
        <v>1856</v>
      </c>
      <c r="O1645" s="563"/>
      <c r="P1645" s="564" t="s">
        <v>195</v>
      </c>
      <c r="Q1645" s="521">
        <f>IF($AO$1590=2,F1645*H1645,IF($AO$1590=1,F1645*G1645,F1645*I1645))</f>
        <v>0</v>
      </c>
      <c r="R1645" s="13" t="str">
        <f t="shared" si="878"/>
        <v>Фото &gt;&gt;</v>
      </c>
      <c r="S1645" s="14" t="s">
        <v>6551</v>
      </c>
      <c r="AK1645">
        <v>0.16</v>
      </c>
      <c r="AL1645">
        <f t="shared" si="874"/>
        <v>0</v>
      </c>
      <c r="AM1645">
        <f t="shared" si="875"/>
        <v>0</v>
      </c>
      <c r="AN1645">
        <f t="shared" si="876"/>
        <v>0</v>
      </c>
      <c r="AO1645" t="s">
        <v>6561</v>
      </c>
      <c r="AV1645" t="str">
        <f>IF(F1645&gt;0,(COUNT($AV$1:AV1644)+1),"")</f>
        <v/>
      </c>
    </row>
    <row r="1646" spans="1:48" ht="15" customHeight="1" x14ac:dyDescent="0.25">
      <c r="A1646" s="1"/>
      <c r="B1646" s="32">
        <v>21259</v>
      </c>
      <c r="C1646" s="33">
        <v>4631141224459</v>
      </c>
      <c r="D1646" s="227" t="s">
        <v>6555</v>
      </c>
      <c r="E1646" s="71">
        <v>50</v>
      </c>
      <c r="F1646" s="223"/>
      <c r="G1646" s="109">
        <v>75.45</v>
      </c>
      <c r="H1646" s="34">
        <v>79.19</v>
      </c>
      <c r="I1646" s="35">
        <v>83.13</v>
      </c>
      <c r="J1646" s="114" t="s">
        <v>6471</v>
      </c>
      <c r="K1646" s="57" t="s">
        <v>1070</v>
      </c>
      <c r="L1646" s="438"/>
      <c r="M1646" s="484"/>
      <c r="N1646" s="1008" t="s">
        <v>1856</v>
      </c>
      <c r="O1646" s="219"/>
      <c r="P1646" s="70" t="s">
        <v>195</v>
      </c>
      <c r="Q1646" s="521">
        <f>IF($AO$1590=2,F1646*H1646,IF($AO$1590=1,F1646*G1646,F1646*I1646))</f>
        <v>0</v>
      </c>
      <c r="R1646" s="13" t="str">
        <f t="shared" si="878"/>
        <v>Фото &gt;&gt;</v>
      </c>
      <c r="S1646" s="14" t="s">
        <v>6551</v>
      </c>
      <c r="AK1646">
        <v>0.04</v>
      </c>
      <c r="AL1646">
        <f t="shared" si="874"/>
        <v>0</v>
      </c>
      <c r="AM1646">
        <f t="shared" si="875"/>
        <v>0</v>
      </c>
      <c r="AN1646">
        <f t="shared" si="876"/>
        <v>0</v>
      </c>
      <c r="AO1646" t="s">
        <v>6562</v>
      </c>
      <c r="AV1646" t="str">
        <f>IF(F1646&gt;0,(COUNT($AV$1:AV1645)+1),"")</f>
        <v/>
      </c>
    </row>
    <row r="1647" spans="1:48" ht="15" customHeight="1" x14ac:dyDescent="0.25">
      <c r="A1647" s="1"/>
      <c r="B1647" s="125"/>
      <c r="C1647" s="126"/>
      <c r="D1647" s="127"/>
      <c r="E1647" s="134"/>
      <c r="F1647" s="189"/>
      <c r="G1647" s="130"/>
      <c r="H1647" s="131"/>
      <c r="I1647" s="132"/>
      <c r="J1647" s="128"/>
      <c r="K1647" s="129"/>
      <c r="L1647" s="433"/>
      <c r="M1647" s="481"/>
      <c r="N1647" s="471"/>
      <c r="O1647" s="181"/>
      <c r="P1647" s="133"/>
      <c r="Q1647" s="135"/>
      <c r="R1647" s="13"/>
      <c r="S1647" s="14"/>
      <c r="AG1647" s="400"/>
      <c r="AH1647" s="400"/>
      <c r="AV1647" t="str">
        <f>IF(F1647&gt;0,(COUNT($AV$1:AV1646)+1),"")</f>
        <v/>
      </c>
    </row>
    <row r="1648" spans="1:48" ht="15" customHeight="1" thickBot="1" x14ac:dyDescent="0.3">
      <c r="A1648" s="1"/>
      <c r="B1648" s="158"/>
      <c r="C1648" s="159"/>
      <c r="D1648" s="160"/>
      <c r="E1648" s="167"/>
      <c r="F1648" s="191"/>
      <c r="G1648" s="163"/>
      <c r="H1648" s="164"/>
      <c r="I1648" s="165"/>
      <c r="J1648" s="161"/>
      <c r="K1648" s="162"/>
      <c r="L1648" s="439"/>
      <c r="M1648" s="475"/>
      <c r="N1648" s="467"/>
      <c r="O1648" s="183"/>
      <c r="P1648" s="166"/>
      <c r="Q1648" s="168"/>
      <c r="R1648" s="13"/>
      <c r="S1648" s="14"/>
      <c r="AG1648" s="400"/>
      <c r="AH1648" s="400"/>
      <c r="AV1648" t="str">
        <f>IF(F1648&gt;0,(COUNT($AV$1:AV1647)+1),"")</f>
        <v/>
      </c>
    </row>
    <row r="1649" spans="1:48" ht="24.95" customHeight="1" thickBot="1" x14ac:dyDescent="0.3">
      <c r="A1649" s="1"/>
      <c r="B1649" s="266"/>
      <c r="C1649" s="267"/>
      <c r="D1649" s="268" t="str">
        <f>CONCATENATE("Любэль","     |     Сумма заказа: ",AK1649," руб.")</f>
        <v>Любэль     |     Сумма заказа: 0 руб.</v>
      </c>
      <c r="E1649" s="269"/>
      <c r="F1649" s="270"/>
      <c r="G1649" s="271" t="str">
        <f>CONCATENATE("Ценовая колонка: ",AO1649,"   |   До следующей скидки: ",AJ1649," руб.")</f>
        <v>Ценовая колонка: 3   |   До следующей скидки: 3000 руб.</v>
      </c>
      <c r="H1649" s="272"/>
      <c r="I1649" s="272"/>
      <c r="J1649" s="273" t="s">
        <v>6647</v>
      </c>
      <c r="K1649" s="274"/>
      <c r="L1649" s="451"/>
      <c r="M1649" s="495"/>
      <c r="N1649" s="571"/>
      <c r="O1649" s="275"/>
      <c r="P1649" s="276"/>
      <c r="Q1649" s="277"/>
      <c r="R1649" s="265" t="s">
        <v>1558</v>
      </c>
      <c r="S1649" s="6"/>
      <c r="AJ1649">
        <f>ROUND(IF(AL1649&gt;15000,"0", IF(AND(AL1649&lt;15000,AM1649&gt;3000),15000-AL1649,3000-AM1649)),2)</f>
        <v>3000</v>
      </c>
      <c r="AK1649">
        <f>SUM(Q1656:Q1665)</f>
        <v>0</v>
      </c>
      <c r="AL1649">
        <f>SUM(AL1656:AL1665)</f>
        <v>0</v>
      </c>
      <c r="AM1649">
        <f>SUM(AM1656:AM1665)</f>
        <v>0</v>
      </c>
      <c r="AO1649">
        <f>IF(AM1649&gt;3000,IF(AL1649&gt;15000,1,2),3)</f>
        <v>3</v>
      </c>
      <c r="AV1649" t="str">
        <f>IF(F1649&gt;0,(COUNT($AV$1:AV1648)+1),"")</f>
        <v/>
      </c>
    </row>
    <row r="1650" spans="1:48" ht="15" customHeight="1" x14ac:dyDescent="0.25">
      <c r="A1650" s="1"/>
      <c r="B1650" s="294"/>
      <c r="C1650" s="243"/>
      <c r="D1650" s="263" t="s">
        <v>6677</v>
      </c>
      <c r="E1650" s="244"/>
      <c r="F1650" s="245"/>
      <c r="G1650" s="246"/>
      <c r="H1650" s="247"/>
      <c r="I1650" s="247"/>
      <c r="J1650" s="248"/>
      <c r="K1650" s="249"/>
      <c r="L1650" s="435"/>
      <c r="M1650" s="478"/>
      <c r="N1650" s="469"/>
      <c r="O1650" s="250"/>
      <c r="P1650" s="251"/>
      <c r="Q1650" s="252"/>
      <c r="R1650" s="13"/>
      <c r="S1650" s="14"/>
      <c r="AV1650" t="str">
        <f>IF(F1650&gt;0,(COUNT($AV$1:AV1649)+1),"")</f>
        <v/>
      </c>
    </row>
    <row r="1651" spans="1:48" ht="15" customHeight="1" x14ac:dyDescent="0.25">
      <c r="A1651" s="1"/>
      <c r="B1651" s="158"/>
      <c r="C1651" s="159"/>
      <c r="D1651" s="263" t="s">
        <v>6678</v>
      </c>
      <c r="E1651" s="238"/>
      <c r="F1651" s="203"/>
      <c r="G1651" s="239"/>
      <c r="H1651" s="240"/>
      <c r="I1651" s="240"/>
      <c r="J1651" s="241"/>
      <c r="K1651" s="201"/>
      <c r="L1651" s="428"/>
      <c r="M1651" s="475"/>
      <c r="N1651" s="467"/>
      <c r="O1651" s="166"/>
      <c r="P1651" s="242"/>
      <c r="Q1651" s="202"/>
      <c r="R1651" s="13"/>
      <c r="S1651" s="14"/>
      <c r="AV1651" t="str">
        <f>IF(F1651&gt;0,(COUNT($AV$1:AV1650)+1),"")</f>
        <v/>
      </c>
    </row>
    <row r="1652" spans="1:48" ht="15" customHeight="1" x14ac:dyDescent="0.25">
      <c r="A1652" s="1"/>
      <c r="B1652" s="158"/>
      <c r="C1652" s="159"/>
      <c r="D1652" s="263" t="s">
        <v>6679</v>
      </c>
      <c r="E1652" s="238"/>
      <c r="F1652" s="203"/>
      <c r="G1652" s="239"/>
      <c r="H1652" s="240"/>
      <c r="I1652" s="240"/>
      <c r="J1652" s="241"/>
      <c r="K1652" s="201"/>
      <c r="L1652" s="428"/>
      <c r="M1652" s="475"/>
      <c r="N1652" s="467"/>
      <c r="O1652" s="166"/>
      <c r="P1652" s="242"/>
      <c r="Q1652" s="202"/>
      <c r="R1652" s="13"/>
      <c r="S1652" s="14"/>
      <c r="AV1652" t="str">
        <f>IF(F1652&gt;0,(COUNT($AV$1:AV1651)+1),"")</f>
        <v/>
      </c>
    </row>
    <row r="1653" spans="1:48" ht="15" customHeight="1" x14ac:dyDescent="0.25">
      <c r="A1653" s="1"/>
      <c r="B1653" s="158"/>
      <c r="C1653" s="159"/>
      <c r="D1653" s="263" t="s">
        <v>6680</v>
      </c>
      <c r="E1653" s="238"/>
      <c r="F1653" s="203"/>
      <c r="G1653" s="239"/>
      <c r="H1653" s="240"/>
      <c r="I1653" s="240"/>
      <c r="J1653" s="241"/>
      <c r="K1653" s="201"/>
      <c r="L1653" s="428"/>
      <c r="M1653" s="475"/>
      <c r="N1653" s="467"/>
      <c r="O1653" s="166"/>
      <c r="P1653" s="242"/>
      <c r="Q1653" s="202"/>
      <c r="R1653" s="13"/>
      <c r="S1653" s="14"/>
      <c r="AV1653" t="str">
        <f>IF(F1653&gt;0,(COUNT($AV$1:AV1652)+1),"")</f>
        <v/>
      </c>
    </row>
    <row r="1654" spans="1:48" ht="15" customHeight="1" x14ac:dyDescent="0.25">
      <c r="A1654" s="1"/>
      <c r="B1654" s="295"/>
      <c r="C1654" s="253"/>
      <c r="D1654" s="263"/>
      <c r="E1654" s="254"/>
      <c r="F1654" s="255"/>
      <c r="G1654" s="256"/>
      <c r="H1654" s="257"/>
      <c r="I1654" s="257"/>
      <c r="J1654" s="258"/>
      <c r="K1654" s="259"/>
      <c r="L1654" s="436"/>
      <c r="M1654" s="479"/>
      <c r="N1654" s="470"/>
      <c r="O1654" s="260"/>
      <c r="P1654" s="261"/>
      <c r="Q1654" s="262"/>
      <c r="R1654" s="13"/>
      <c r="S1654" s="14"/>
      <c r="AV1654" t="str">
        <f>IF(F1654&gt;0,(COUNT($AV$1:AV1653)+1),"")</f>
        <v/>
      </c>
    </row>
    <row r="1655" spans="1:48" ht="27.95" customHeight="1" x14ac:dyDescent="0.25">
      <c r="A1655" s="1"/>
      <c r="B1655" s="297"/>
      <c r="C1655" s="283"/>
      <c r="D1655" s="284" t="s">
        <v>3954</v>
      </c>
      <c r="E1655" s="285"/>
      <c r="F1655" s="286"/>
      <c r="G1655" s="1233" t="s">
        <v>7588</v>
      </c>
      <c r="H1655" s="288" t="s">
        <v>1461</v>
      </c>
      <c r="I1655" s="288"/>
      <c r="J1655" s="289"/>
      <c r="K1655" s="290"/>
      <c r="L1655" s="452"/>
      <c r="M1655" s="496"/>
      <c r="N1655" s="572"/>
      <c r="O1655" s="291"/>
      <c r="P1655" s="292"/>
      <c r="Q1655" s="293"/>
      <c r="R1655" s="2"/>
      <c r="S1655" s="6"/>
      <c r="AV1655" t="str">
        <f>IF(F1655&gt;0,(COUNT($AV$1:AV1654)+1),"")</f>
        <v/>
      </c>
    </row>
    <row r="1656" spans="1:48" ht="15" customHeight="1" x14ac:dyDescent="0.25">
      <c r="A1656" s="1"/>
      <c r="B1656" s="552">
        <v>21318</v>
      </c>
      <c r="C1656" s="553">
        <v>4607066933806</v>
      </c>
      <c r="D1656" s="554" t="s">
        <v>6649</v>
      </c>
      <c r="E1656" s="555">
        <v>12</v>
      </c>
      <c r="F1656" s="1117"/>
      <c r="G1656" s="556">
        <v>97.7</v>
      </c>
      <c r="H1656" s="557">
        <v>102.5</v>
      </c>
      <c r="I1656" s="558">
        <v>108</v>
      </c>
      <c r="J1656" s="559" t="s">
        <v>6647</v>
      </c>
      <c r="K1656" s="560" t="s">
        <v>442</v>
      </c>
      <c r="L1656" s="561" t="s">
        <v>4258</v>
      </c>
      <c r="M1656" s="562"/>
      <c r="N1656" s="1007" t="s">
        <v>1856</v>
      </c>
      <c r="O1656" s="563"/>
      <c r="P1656" s="564" t="s">
        <v>20</v>
      </c>
      <c r="Q1656" s="521">
        <f t="shared" ref="Q1656:Q1665" si="879">IF(AND($AO$1649=1,MOD(F1656,E1656)=0),F1656*G1656,IF($AO$1649&lt;=2,F1656*H1656,F1656*I1656))</f>
        <v>0</v>
      </c>
      <c r="R1656" s="13" t="str">
        <f t="shared" ref="R1656:R1665" si="880">IF(AO1656&gt;0,HYPERLINK(AO1656,"Фото &gt;&gt;"),"")</f>
        <v>Фото &gt;&gt;</v>
      </c>
      <c r="S1656" s="14" t="s">
        <v>6648</v>
      </c>
      <c r="AK1656">
        <v>0.11</v>
      </c>
      <c r="AL1656">
        <f t="shared" ref="AL1656:AL1665" si="881">F1656*G1656</f>
        <v>0</v>
      </c>
      <c r="AM1656">
        <f t="shared" ref="AM1656:AM1665" si="882">F1656*H1656</f>
        <v>0</v>
      </c>
      <c r="AN1656">
        <f t="shared" ref="AN1656:AN1665" si="883">AK1656*F1656+IF(E1656&gt;1.01,F1656/E1656*0.2,0)</f>
        <v>0</v>
      </c>
      <c r="AO1656" t="s">
        <v>6667</v>
      </c>
      <c r="AV1656" t="str">
        <f>IF(F1656&gt;0,(COUNT($AV$1:AV1655)+1),"")</f>
        <v/>
      </c>
    </row>
    <row r="1657" spans="1:48" ht="15" customHeight="1" x14ac:dyDescent="0.25">
      <c r="A1657" s="1"/>
      <c r="B1657" s="32">
        <v>21319</v>
      </c>
      <c r="C1657" s="33">
        <v>4607066933820</v>
      </c>
      <c r="D1657" s="227" t="s">
        <v>6650</v>
      </c>
      <c r="E1657" s="71">
        <v>12</v>
      </c>
      <c r="F1657" s="223"/>
      <c r="G1657" s="109">
        <v>97.7</v>
      </c>
      <c r="H1657" s="34">
        <v>102.5</v>
      </c>
      <c r="I1657" s="35">
        <v>108</v>
      </c>
      <c r="J1657" s="114" t="s">
        <v>6647</v>
      </c>
      <c r="K1657" s="57" t="s">
        <v>442</v>
      </c>
      <c r="L1657" s="438" t="s">
        <v>4258</v>
      </c>
      <c r="M1657" s="484"/>
      <c r="N1657" s="1008" t="s">
        <v>1856</v>
      </c>
      <c r="O1657" s="219"/>
      <c r="P1657" s="70" t="s">
        <v>20</v>
      </c>
      <c r="Q1657" s="521">
        <f t="shared" si="879"/>
        <v>0</v>
      </c>
      <c r="R1657" s="13" t="str">
        <f t="shared" si="880"/>
        <v>Фото &gt;&gt;</v>
      </c>
      <c r="S1657" s="14" t="s">
        <v>6656</v>
      </c>
      <c r="AK1657">
        <v>0.11</v>
      </c>
      <c r="AL1657">
        <f t="shared" si="881"/>
        <v>0</v>
      </c>
      <c r="AM1657">
        <f t="shared" si="882"/>
        <v>0</v>
      </c>
      <c r="AN1657">
        <f t="shared" si="883"/>
        <v>0</v>
      </c>
      <c r="AO1657" t="s">
        <v>6668</v>
      </c>
      <c r="AV1657" t="str">
        <f>IF(F1657&gt;0,(COUNT($AV$1:AV1656)+1),"")</f>
        <v/>
      </c>
    </row>
    <row r="1658" spans="1:48" ht="15" customHeight="1" x14ac:dyDescent="0.25">
      <c r="A1658" s="1"/>
      <c r="B1658" s="552">
        <v>21320</v>
      </c>
      <c r="C1658" s="553">
        <v>4607066934360</v>
      </c>
      <c r="D1658" s="554" t="s">
        <v>6651</v>
      </c>
      <c r="E1658" s="555">
        <v>12</v>
      </c>
      <c r="F1658" s="1117"/>
      <c r="G1658" s="556">
        <v>97.7</v>
      </c>
      <c r="H1658" s="557">
        <v>102.5</v>
      </c>
      <c r="I1658" s="558">
        <v>108</v>
      </c>
      <c r="J1658" s="559" t="s">
        <v>6647</v>
      </c>
      <c r="K1658" s="560" t="s">
        <v>442</v>
      </c>
      <c r="L1658" s="561" t="s">
        <v>4258</v>
      </c>
      <c r="M1658" s="562"/>
      <c r="N1658" s="1007" t="s">
        <v>1856</v>
      </c>
      <c r="O1658" s="563"/>
      <c r="P1658" s="564" t="s">
        <v>20</v>
      </c>
      <c r="Q1658" s="521">
        <f t="shared" si="879"/>
        <v>0</v>
      </c>
      <c r="R1658" s="13" t="str">
        <f t="shared" si="880"/>
        <v>Фото &gt;&gt;</v>
      </c>
      <c r="S1658" s="14" t="s">
        <v>6658</v>
      </c>
      <c r="AK1658">
        <v>0.11</v>
      </c>
      <c r="AL1658">
        <f t="shared" si="881"/>
        <v>0</v>
      </c>
      <c r="AM1658">
        <f t="shared" si="882"/>
        <v>0</v>
      </c>
      <c r="AN1658">
        <f t="shared" si="883"/>
        <v>0</v>
      </c>
      <c r="AO1658" t="s">
        <v>6669</v>
      </c>
      <c r="AV1658" t="str">
        <f>IF(F1658&gt;0,(COUNT($AV$1:AV1657)+1),"")</f>
        <v/>
      </c>
    </row>
    <row r="1659" spans="1:48" ht="15" customHeight="1" x14ac:dyDescent="0.25">
      <c r="A1659" s="1"/>
      <c r="B1659" s="32">
        <v>21321</v>
      </c>
      <c r="C1659" s="33">
        <v>4607066934339</v>
      </c>
      <c r="D1659" s="227" t="s">
        <v>6652</v>
      </c>
      <c r="E1659" s="71">
        <v>12</v>
      </c>
      <c r="F1659" s="223"/>
      <c r="G1659" s="109">
        <v>97.7</v>
      </c>
      <c r="H1659" s="34">
        <v>102.5</v>
      </c>
      <c r="I1659" s="35">
        <v>108</v>
      </c>
      <c r="J1659" s="114" t="s">
        <v>6647</v>
      </c>
      <c r="K1659" s="57" t="s">
        <v>442</v>
      </c>
      <c r="L1659" s="438" t="s">
        <v>4258</v>
      </c>
      <c r="M1659" s="484"/>
      <c r="N1659" s="1008" t="s">
        <v>1856</v>
      </c>
      <c r="O1659" s="219"/>
      <c r="P1659" s="70" t="s">
        <v>20</v>
      </c>
      <c r="Q1659" s="521">
        <f t="shared" si="879"/>
        <v>0</v>
      </c>
      <c r="R1659" s="13" t="str">
        <f t="shared" si="880"/>
        <v>Фото &gt;&gt;</v>
      </c>
      <c r="S1659" s="14" t="s">
        <v>6656</v>
      </c>
      <c r="AK1659">
        <v>0.11</v>
      </c>
      <c r="AL1659">
        <f t="shared" si="881"/>
        <v>0</v>
      </c>
      <c r="AM1659">
        <f t="shared" si="882"/>
        <v>0</v>
      </c>
      <c r="AN1659">
        <f t="shared" si="883"/>
        <v>0</v>
      </c>
      <c r="AO1659" t="s">
        <v>6670</v>
      </c>
      <c r="AV1659" t="str">
        <f>IF(F1659&gt;0,(COUNT($AV$1:AV1658)+1),"")</f>
        <v/>
      </c>
    </row>
    <row r="1660" spans="1:48" ht="15" customHeight="1" x14ac:dyDescent="0.25">
      <c r="A1660" s="1"/>
      <c r="B1660" s="552">
        <v>21322</v>
      </c>
      <c r="C1660" s="553">
        <v>4607066934346</v>
      </c>
      <c r="D1660" s="554" t="s">
        <v>6653</v>
      </c>
      <c r="E1660" s="555">
        <v>12</v>
      </c>
      <c r="F1660" s="1117"/>
      <c r="G1660" s="556">
        <v>97.7</v>
      </c>
      <c r="H1660" s="557">
        <v>102.5</v>
      </c>
      <c r="I1660" s="558">
        <v>108</v>
      </c>
      <c r="J1660" s="559" t="s">
        <v>6647</v>
      </c>
      <c r="K1660" s="560" t="s">
        <v>442</v>
      </c>
      <c r="L1660" s="561" t="s">
        <v>4258</v>
      </c>
      <c r="M1660" s="562"/>
      <c r="N1660" s="1007" t="s">
        <v>1856</v>
      </c>
      <c r="O1660" s="563"/>
      <c r="P1660" s="564" t="s">
        <v>20</v>
      </c>
      <c r="Q1660" s="521">
        <f t="shared" si="879"/>
        <v>0</v>
      </c>
      <c r="R1660" s="13" t="str">
        <f t="shared" si="880"/>
        <v>Фото &gt;&gt;</v>
      </c>
      <c r="S1660" s="14" t="s">
        <v>6657</v>
      </c>
      <c r="AK1660">
        <v>0.11</v>
      </c>
      <c r="AL1660">
        <f t="shared" si="881"/>
        <v>0</v>
      </c>
      <c r="AM1660">
        <f t="shared" si="882"/>
        <v>0</v>
      </c>
      <c r="AN1660">
        <f t="shared" si="883"/>
        <v>0</v>
      </c>
      <c r="AO1660" t="s">
        <v>6671</v>
      </c>
      <c r="AV1660" t="str">
        <f>IF(F1660&gt;0,(COUNT($AV$1:AV1659)+1),"")</f>
        <v/>
      </c>
    </row>
    <row r="1661" spans="1:48" ht="15" customHeight="1" x14ac:dyDescent="0.25">
      <c r="A1661" s="1"/>
      <c r="B1661" s="32">
        <v>21323</v>
      </c>
      <c r="C1661" s="33">
        <v>4607066934353</v>
      </c>
      <c r="D1661" s="227" t="s">
        <v>6654</v>
      </c>
      <c r="E1661" s="71">
        <v>12</v>
      </c>
      <c r="F1661" s="223"/>
      <c r="G1661" s="109">
        <v>97.7</v>
      </c>
      <c r="H1661" s="34">
        <v>102.5</v>
      </c>
      <c r="I1661" s="35">
        <v>108</v>
      </c>
      <c r="J1661" s="114" t="s">
        <v>6647</v>
      </c>
      <c r="K1661" s="57" t="s">
        <v>442</v>
      </c>
      <c r="L1661" s="438" t="s">
        <v>4258</v>
      </c>
      <c r="M1661" s="484"/>
      <c r="N1661" s="1008" t="s">
        <v>1856</v>
      </c>
      <c r="O1661" s="219"/>
      <c r="P1661" s="70" t="s">
        <v>20</v>
      </c>
      <c r="Q1661" s="521">
        <f t="shared" si="879"/>
        <v>0</v>
      </c>
      <c r="R1661" s="13" t="str">
        <f t="shared" si="880"/>
        <v>Фото &gt;&gt;</v>
      </c>
      <c r="S1661" s="14" t="s">
        <v>6655</v>
      </c>
      <c r="AK1661">
        <v>0.11</v>
      </c>
      <c r="AL1661">
        <f t="shared" si="881"/>
        <v>0</v>
      </c>
      <c r="AM1661">
        <f t="shared" si="882"/>
        <v>0</v>
      </c>
      <c r="AN1661">
        <f t="shared" si="883"/>
        <v>0</v>
      </c>
      <c r="AO1661" t="s">
        <v>6672</v>
      </c>
      <c r="AV1661" t="str">
        <f>IF(F1661&gt;0,(COUNT($AV$1:AV1660)+1),"")</f>
        <v/>
      </c>
    </row>
    <row r="1662" spans="1:48" ht="15" customHeight="1" x14ac:dyDescent="0.25">
      <c r="A1662" s="1"/>
      <c r="B1662" s="552">
        <v>21324</v>
      </c>
      <c r="C1662" s="553">
        <v>4607066934179</v>
      </c>
      <c r="D1662" s="554" t="s">
        <v>6661</v>
      </c>
      <c r="E1662" s="555">
        <v>12</v>
      </c>
      <c r="F1662" s="1117"/>
      <c r="G1662" s="556">
        <v>103.7</v>
      </c>
      <c r="H1662" s="557">
        <v>108</v>
      </c>
      <c r="I1662" s="558">
        <v>115</v>
      </c>
      <c r="J1662" s="559" t="s">
        <v>6647</v>
      </c>
      <c r="K1662" s="560" t="s">
        <v>96</v>
      </c>
      <c r="L1662" s="561"/>
      <c r="M1662" s="562"/>
      <c r="N1662" s="1007" t="s">
        <v>1856</v>
      </c>
      <c r="O1662" s="563"/>
      <c r="P1662" s="564" t="s">
        <v>20</v>
      </c>
      <c r="Q1662" s="521">
        <f t="shared" si="879"/>
        <v>0</v>
      </c>
      <c r="R1662" s="13" t="str">
        <f t="shared" si="880"/>
        <v>Фото &gt;&gt;</v>
      </c>
      <c r="S1662" s="14" t="s">
        <v>6659</v>
      </c>
      <c r="AK1662">
        <v>0.11</v>
      </c>
      <c r="AL1662">
        <f t="shared" si="881"/>
        <v>0</v>
      </c>
      <c r="AM1662">
        <f t="shared" si="882"/>
        <v>0</v>
      </c>
      <c r="AN1662">
        <f t="shared" si="883"/>
        <v>0</v>
      </c>
      <c r="AO1662" t="s">
        <v>6673</v>
      </c>
      <c r="AV1662" t="str">
        <f>IF(F1662&gt;0,(COUNT($AV$1:AV1661)+1),"")</f>
        <v/>
      </c>
    </row>
    <row r="1663" spans="1:48" ht="15" customHeight="1" x14ac:dyDescent="0.25">
      <c r="A1663" s="1"/>
      <c r="B1663" s="32">
        <v>21325</v>
      </c>
      <c r="C1663" s="33">
        <v>4607066934186</v>
      </c>
      <c r="D1663" s="227" t="s">
        <v>6662</v>
      </c>
      <c r="E1663" s="71">
        <v>12</v>
      </c>
      <c r="F1663" s="223"/>
      <c r="G1663" s="109">
        <v>103.7</v>
      </c>
      <c r="H1663" s="34">
        <v>108</v>
      </c>
      <c r="I1663" s="35">
        <v>115</v>
      </c>
      <c r="J1663" s="114" t="s">
        <v>6647</v>
      </c>
      <c r="K1663" s="57" t="s">
        <v>96</v>
      </c>
      <c r="L1663" s="438"/>
      <c r="M1663" s="484"/>
      <c r="N1663" s="1008" t="s">
        <v>1856</v>
      </c>
      <c r="O1663" s="219"/>
      <c r="P1663" s="70" t="s">
        <v>20</v>
      </c>
      <c r="Q1663" s="521">
        <f t="shared" si="879"/>
        <v>0</v>
      </c>
      <c r="R1663" s="13" t="str">
        <f t="shared" si="880"/>
        <v>Фото &gt;&gt;</v>
      </c>
      <c r="S1663" s="14" t="s">
        <v>6660</v>
      </c>
      <c r="AK1663">
        <v>0.11</v>
      </c>
      <c r="AL1663">
        <f t="shared" si="881"/>
        <v>0</v>
      </c>
      <c r="AM1663">
        <f t="shared" si="882"/>
        <v>0</v>
      </c>
      <c r="AN1663">
        <f t="shared" si="883"/>
        <v>0</v>
      </c>
      <c r="AO1663" t="s">
        <v>6674</v>
      </c>
      <c r="AV1663" t="str">
        <f>IF(F1663&gt;0,(COUNT($AV$1:AV1662)+1),"")</f>
        <v/>
      </c>
    </row>
    <row r="1664" spans="1:48" ht="15" customHeight="1" x14ac:dyDescent="0.25">
      <c r="A1664" s="1"/>
      <c r="B1664" s="552">
        <v>21327</v>
      </c>
      <c r="C1664" s="553" t="s">
        <v>104</v>
      </c>
      <c r="D1664" s="554" t="s">
        <v>6665</v>
      </c>
      <c r="E1664" s="555">
        <v>15</v>
      </c>
      <c r="F1664" s="1117"/>
      <c r="G1664" s="556">
        <v>76</v>
      </c>
      <c r="H1664" s="557">
        <v>80</v>
      </c>
      <c r="I1664" s="558">
        <v>85</v>
      </c>
      <c r="J1664" s="559" t="s">
        <v>6647</v>
      </c>
      <c r="K1664" s="560" t="s">
        <v>96</v>
      </c>
      <c r="L1664" s="561"/>
      <c r="M1664" s="562"/>
      <c r="N1664" s="1007" t="s">
        <v>1856</v>
      </c>
      <c r="O1664" s="563"/>
      <c r="P1664" s="564" t="s">
        <v>20</v>
      </c>
      <c r="Q1664" s="521">
        <f t="shared" si="879"/>
        <v>0</v>
      </c>
      <c r="R1664" s="13" t="str">
        <f t="shared" si="880"/>
        <v>Фото &gt;&gt;</v>
      </c>
      <c r="S1664" s="14" t="s">
        <v>6663</v>
      </c>
      <c r="AK1664">
        <v>7.0000000000000007E-2</v>
      </c>
      <c r="AL1664">
        <f t="shared" si="881"/>
        <v>0</v>
      </c>
      <c r="AM1664">
        <f t="shared" si="882"/>
        <v>0</v>
      </c>
      <c r="AN1664">
        <f t="shared" si="883"/>
        <v>0</v>
      </c>
      <c r="AO1664" t="s">
        <v>6675</v>
      </c>
      <c r="AV1664" t="str">
        <f>IF(F1664&gt;0,(COUNT($AV$1:AV1663)+1),"")</f>
        <v/>
      </c>
    </row>
    <row r="1665" spans="1:48" ht="15" customHeight="1" x14ac:dyDescent="0.25">
      <c r="A1665" s="1"/>
      <c r="B1665" s="32">
        <v>21326</v>
      </c>
      <c r="C1665" s="33" t="s">
        <v>104</v>
      </c>
      <c r="D1665" s="227" t="s">
        <v>6666</v>
      </c>
      <c r="E1665" s="71">
        <v>15</v>
      </c>
      <c r="F1665" s="223"/>
      <c r="G1665" s="109">
        <v>76</v>
      </c>
      <c r="H1665" s="34">
        <v>80</v>
      </c>
      <c r="I1665" s="35">
        <v>85</v>
      </c>
      <c r="J1665" s="114" t="s">
        <v>6647</v>
      </c>
      <c r="K1665" s="57" t="s">
        <v>96</v>
      </c>
      <c r="L1665" s="438"/>
      <c r="M1665" s="484"/>
      <c r="N1665" s="1008" t="s">
        <v>1856</v>
      </c>
      <c r="O1665" s="219"/>
      <c r="P1665" s="70" t="s">
        <v>20</v>
      </c>
      <c r="Q1665" s="521">
        <f t="shared" si="879"/>
        <v>0</v>
      </c>
      <c r="R1665" s="13" t="str">
        <f t="shared" si="880"/>
        <v>Фото &gt;&gt;</v>
      </c>
      <c r="S1665" s="14" t="s">
        <v>6664</v>
      </c>
      <c r="AK1665">
        <v>7.0000000000000007E-2</v>
      </c>
      <c r="AL1665">
        <f t="shared" si="881"/>
        <v>0</v>
      </c>
      <c r="AM1665">
        <f t="shared" si="882"/>
        <v>0</v>
      </c>
      <c r="AN1665">
        <f t="shared" si="883"/>
        <v>0</v>
      </c>
      <c r="AO1665" t="s">
        <v>6676</v>
      </c>
      <c r="AV1665" t="str">
        <f>IF(F1665&gt;0,(COUNT($AV$1:AV1664)+1),"")</f>
        <v/>
      </c>
    </row>
    <row r="1666" spans="1:48" ht="15" customHeight="1" x14ac:dyDescent="0.25">
      <c r="A1666" s="1"/>
      <c r="B1666" s="125"/>
      <c r="C1666" s="126"/>
      <c r="D1666" s="127"/>
      <c r="E1666" s="134"/>
      <c r="F1666" s="189"/>
      <c r="G1666" s="130"/>
      <c r="H1666" s="131"/>
      <c r="I1666" s="132"/>
      <c r="J1666" s="128"/>
      <c r="K1666" s="129"/>
      <c r="L1666" s="433"/>
      <c r="M1666" s="481"/>
      <c r="N1666" s="471"/>
      <c r="O1666" s="181"/>
      <c r="P1666" s="133"/>
      <c r="Q1666" s="135"/>
      <c r="R1666" s="13"/>
      <c r="S1666" s="14"/>
      <c r="AG1666" s="400"/>
      <c r="AH1666" s="400"/>
      <c r="AV1666" t="str">
        <f>IF(F1666&gt;0,(COUNT($AV$1:AV1665)+1),"")</f>
        <v/>
      </c>
    </row>
    <row r="1667" spans="1:48" ht="15" customHeight="1" thickBot="1" x14ac:dyDescent="0.3">
      <c r="A1667" s="1"/>
      <c r="B1667" s="158"/>
      <c r="C1667" s="159"/>
      <c r="D1667" s="160"/>
      <c r="E1667" s="167"/>
      <c r="F1667" s="191"/>
      <c r="G1667" s="163"/>
      <c r="H1667" s="164"/>
      <c r="I1667" s="165"/>
      <c r="J1667" s="161"/>
      <c r="K1667" s="162"/>
      <c r="L1667" s="439"/>
      <c r="M1667" s="475"/>
      <c r="N1667" s="467"/>
      <c r="O1667" s="183"/>
      <c r="P1667" s="166"/>
      <c r="Q1667" s="168"/>
      <c r="R1667" s="13"/>
      <c r="S1667" s="14"/>
      <c r="AG1667" s="400"/>
      <c r="AH1667" s="400"/>
      <c r="AV1667" t="str">
        <f>IF(F1667&gt;0,(COUNT($AV$1:AV1666)+1),"")</f>
        <v/>
      </c>
    </row>
    <row r="1668" spans="1:48" ht="24.95" customHeight="1" thickBot="1" x14ac:dyDescent="0.3">
      <c r="A1668" s="1"/>
      <c r="B1668" s="266"/>
      <c r="C1668" s="267"/>
      <c r="D1668" s="268" t="str">
        <f>CONCATENATE("Сибирио","     |     Сумма заказа: ",AK1668," руб.")</f>
        <v>Сибирио     |     Сумма заказа: 0 руб.</v>
      </c>
      <c r="E1668" s="269"/>
      <c r="F1668" s="270"/>
      <c r="G1668" s="271" t="str">
        <f>CONCATENATE("Ценовая колонка: ",AO1668,"   |   До следующей скидки: ",AJ1668," руб.")</f>
        <v>Ценовая колонка: 3   |   До следующей скидки: 3000 руб.</v>
      </c>
      <c r="H1668" s="272"/>
      <c r="I1668" s="272"/>
      <c r="J1668" s="273" t="s">
        <v>6566</v>
      </c>
      <c r="K1668" s="274"/>
      <c r="L1668" s="451"/>
      <c r="M1668" s="495"/>
      <c r="N1668" s="571"/>
      <c r="O1668" s="275"/>
      <c r="P1668" s="276"/>
      <c r="Q1668" s="277"/>
      <c r="R1668" s="265" t="s">
        <v>1558</v>
      </c>
      <c r="S1668" s="6"/>
      <c r="AJ1668">
        <f>ROUND(IF(AL1668&gt;10000,"0", IF(AND(AL1668&lt;10000,AM1668&gt;3000),10000-AL1668,3000-AM1668)),2)</f>
        <v>3000</v>
      </c>
      <c r="AK1668">
        <f>SUM(Q1675:Q1686)</f>
        <v>0</v>
      </c>
      <c r="AL1668">
        <f>SUM(AL1675:AL1686)</f>
        <v>0</v>
      </c>
      <c r="AM1668">
        <f>SUM(AM1675:AM1686)</f>
        <v>0</v>
      </c>
      <c r="AO1668">
        <f>IF(AM1668&gt;3000,IF(AL1668&gt;10000,1,2),3)</f>
        <v>3</v>
      </c>
      <c r="AV1668" t="str">
        <f>IF(F1668&gt;0,(COUNT($AV$1:AV1667)+1),"")</f>
        <v/>
      </c>
    </row>
    <row r="1669" spans="1:48" ht="15" customHeight="1" x14ac:dyDescent="0.25">
      <c r="A1669" s="1"/>
      <c r="B1669" s="294"/>
      <c r="C1669" s="243"/>
      <c r="D1669" s="263" t="s">
        <v>6930</v>
      </c>
      <c r="E1669" s="244"/>
      <c r="F1669" s="245"/>
      <c r="G1669" s="246"/>
      <c r="H1669" s="247"/>
      <c r="I1669" s="247"/>
      <c r="J1669" s="248"/>
      <c r="K1669" s="249"/>
      <c r="L1669" s="435"/>
      <c r="M1669" s="478"/>
      <c r="N1669" s="469"/>
      <c r="O1669" s="250"/>
      <c r="P1669" s="251"/>
      <c r="Q1669" s="252"/>
      <c r="R1669" s="13"/>
      <c r="S1669" s="14"/>
      <c r="AV1669" t="str">
        <f>IF(F1669&gt;0,(COUNT($AV$1:AV1668)+1),"")</f>
        <v/>
      </c>
    </row>
    <row r="1670" spans="1:48" ht="15" customHeight="1" x14ac:dyDescent="0.25">
      <c r="A1670" s="1"/>
      <c r="B1670" s="158"/>
      <c r="C1670" s="159"/>
      <c r="D1670" s="263" t="s">
        <v>6463</v>
      </c>
      <c r="E1670" s="238"/>
      <c r="F1670" s="203"/>
      <c r="G1670" s="239"/>
      <c r="H1670" s="240"/>
      <c r="I1670" s="240"/>
      <c r="J1670" s="241"/>
      <c r="K1670" s="201"/>
      <c r="L1670" s="428"/>
      <c r="M1670" s="475"/>
      <c r="N1670" s="467"/>
      <c r="O1670" s="166"/>
      <c r="P1670" s="242"/>
      <c r="Q1670" s="202"/>
      <c r="R1670" s="13"/>
      <c r="S1670" s="14"/>
      <c r="AV1670" t="str">
        <f>IF(F1670&gt;0,(COUNT($AV$1:AV1669)+1),"")</f>
        <v/>
      </c>
    </row>
    <row r="1671" spans="1:48" ht="15" customHeight="1" x14ac:dyDescent="0.25">
      <c r="A1671" s="1"/>
      <c r="B1671" s="158"/>
      <c r="C1671" s="159"/>
      <c r="D1671" s="263" t="s">
        <v>6929</v>
      </c>
      <c r="E1671" s="238"/>
      <c r="F1671" s="203"/>
      <c r="G1671" s="239"/>
      <c r="H1671" s="240"/>
      <c r="I1671" s="240"/>
      <c r="K1671" s="201"/>
      <c r="L1671" s="428"/>
      <c r="M1671" s="475"/>
      <c r="N1671" s="467"/>
      <c r="O1671" s="166"/>
      <c r="P1671" s="242"/>
      <c r="Q1671" s="202"/>
      <c r="R1671" s="13"/>
      <c r="S1671" s="14"/>
      <c r="AV1671" t="str">
        <f>IF(F1671&gt;0,(COUNT($AV$1:AV1670)+1),"")</f>
        <v/>
      </c>
    </row>
    <row r="1672" spans="1:48" ht="15" customHeight="1" x14ac:dyDescent="0.25">
      <c r="A1672" s="1"/>
      <c r="B1672" s="158"/>
      <c r="C1672" s="159"/>
      <c r="D1672" s="263"/>
      <c r="E1672" s="238"/>
      <c r="F1672" s="203"/>
      <c r="G1672" s="239"/>
      <c r="H1672" s="240"/>
      <c r="I1672" s="240"/>
      <c r="J1672" s="241"/>
      <c r="K1672" s="201"/>
      <c r="L1672" s="428"/>
      <c r="M1672" s="475"/>
      <c r="N1672" s="467"/>
      <c r="O1672" s="166"/>
      <c r="P1672" s="242"/>
      <c r="Q1672" s="202"/>
      <c r="R1672" s="13"/>
      <c r="S1672" s="14"/>
      <c r="AV1672" t="str">
        <f>IF(F1672&gt;0,(COUNT($AV$1:AV1671)+1),"")</f>
        <v/>
      </c>
    </row>
    <row r="1673" spans="1:48" ht="15" customHeight="1" x14ac:dyDescent="0.25">
      <c r="A1673" s="1"/>
      <c r="B1673" s="295"/>
      <c r="C1673" s="253"/>
      <c r="D1673" s="263"/>
      <c r="E1673" s="254"/>
      <c r="F1673" s="255"/>
      <c r="G1673" s="256"/>
      <c r="H1673" s="257"/>
      <c r="I1673" s="257"/>
      <c r="J1673" s="258"/>
      <c r="K1673" s="259"/>
      <c r="L1673" s="436"/>
      <c r="M1673" s="479"/>
      <c r="N1673" s="470"/>
      <c r="O1673" s="260"/>
      <c r="P1673" s="261"/>
      <c r="Q1673" s="262"/>
      <c r="R1673" s="13"/>
      <c r="S1673" s="14"/>
      <c r="AV1673" t="str">
        <f>IF(F1673&gt;0,(COUNT($AV$1:AV1672)+1),"")</f>
        <v/>
      </c>
    </row>
    <row r="1674" spans="1:48" ht="15" customHeight="1" x14ac:dyDescent="0.25">
      <c r="A1674" s="1"/>
      <c r="B1674" s="297"/>
      <c r="C1674" s="283"/>
      <c r="D1674" s="284" t="s">
        <v>6920</v>
      </c>
      <c r="E1674" s="285"/>
      <c r="F1674" s="286"/>
      <c r="G1674" s="287" t="s">
        <v>1451</v>
      </c>
      <c r="H1674" s="288" t="s">
        <v>1461</v>
      </c>
      <c r="I1674" s="288" t="s">
        <v>221</v>
      </c>
      <c r="J1674" s="289"/>
      <c r="K1674" s="290"/>
      <c r="L1674" s="452"/>
      <c r="M1674" s="496"/>
      <c r="N1674" s="572"/>
      <c r="O1674" s="291"/>
      <c r="P1674" s="292"/>
      <c r="Q1674" s="293"/>
      <c r="R1674" s="2"/>
      <c r="S1674" s="6"/>
      <c r="AV1674" t="str">
        <f>IF(F1674&gt;0,(COUNT($AV$1:AV1673)+1),"")</f>
        <v/>
      </c>
    </row>
    <row r="1675" spans="1:48" ht="15" customHeight="1" x14ac:dyDescent="0.25">
      <c r="A1675" s="1"/>
      <c r="B1675" s="37">
        <v>21346</v>
      </c>
      <c r="C1675" s="23">
        <v>7930142450414</v>
      </c>
      <c r="D1675" s="237" t="s">
        <v>6931</v>
      </c>
      <c r="E1675" s="75">
        <v>40</v>
      </c>
      <c r="F1675" s="223"/>
      <c r="G1675" s="111">
        <v>478.26</v>
      </c>
      <c r="H1675" s="5">
        <v>497.39</v>
      </c>
      <c r="I1675" s="24">
        <v>547.13</v>
      </c>
      <c r="J1675" s="115" t="s">
        <v>6566</v>
      </c>
      <c r="K1675" s="46" t="s">
        <v>367</v>
      </c>
      <c r="L1675" s="440"/>
      <c r="M1675" s="482"/>
      <c r="N1675" s="1002"/>
      <c r="O1675" s="211"/>
      <c r="P1675" s="74" t="s">
        <v>53</v>
      </c>
      <c r="Q1675" s="521">
        <f t="shared" ref="Q1675:Q1686" si="884">IF($AO$1668=2,F1675*H1675,IF($AO$1668=1,F1675*G1675,F1675*I1675))</f>
        <v>0</v>
      </c>
      <c r="R1675" s="13" t="str">
        <f t="shared" ref="R1675:R1686" si="885">IF(AO1675&gt;0,HYPERLINK(AO1675,"Фото &gt;&gt;"),"")</f>
        <v>Фото &gt;&gt;</v>
      </c>
      <c r="S1675" s="14" t="s">
        <v>6603</v>
      </c>
      <c r="AK1675">
        <v>0.12</v>
      </c>
      <c r="AL1675">
        <f t="shared" ref="AL1675:AL1686" si="886">F1675*G1675</f>
        <v>0</v>
      </c>
      <c r="AM1675">
        <f t="shared" ref="AM1675:AM1686" si="887">F1675*H1675</f>
        <v>0</v>
      </c>
      <c r="AN1675">
        <f t="shared" ref="AN1675:AN1686" si="888">AK1675*F1675+IF(E1675&gt;1.01,F1675/E1675*0.2,0)</f>
        <v>0</v>
      </c>
      <c r="AO1675" t="s">
        <v>6612</v>
      </c>
      <c r="AV1675" t="str">
        <f>IF(F1675&gt;0,(COUNT($AV$1:AV1674)+1),"")</f>
        <v/>
      </c>
    </row>
    <row r="1676" spans="1:48" ht="15" customHeight="1" x14ac:dyDescent="0.25">
      <c r="A1676" s="1"/>
      <c r="B1676" s="825">
        <v>21347</v>
      </c>
      <c r="C1676" s="523">
        <v>7930142450407</v>
      </c>
      <c r="D1676" s="534" t="s">
        <v>6932</v>
      </c>
      <c r="E1676" s="524">
        <v>40</v>
      </c>
      <c r="F1676" s="223"/>
      <c r="G1676" s="525">
        <v>478.26</v>
      </c>
      <c r="H1676" s="526">
        <v>497.39</v>
      </c>
      <c r="I1676" s="527">
        <v>547.13</v>
      </c>
      <c r="J1676" s="528" t="s">
        <v>6566</v>
      </c>
      <c r="K1676" s="529" t="s">
        <v>367</v>
      </c>
      <c r="L1676" s="530"/>
      <c r="M1676" s="531"/>
      <c r="N1676" s="1003"/>
      <c r="O1676" s="532"/>
      <c r="P1676" s="533" t="s">
        <v>53</v>
      </c>
      <c r="Q1676" s="521">
        <f t="shared" si="884"/>
        <v>0</v>
      </c>
      <c r="R1676" s="13" t="str">
        <f t="shared" si="885"/>
        <v>Фото &gt;&gt;</v>
      </c>
      <c r="S1676" s="14" t="s">
        <v>6604</v>
      </c>
      <c r="AK1676">
        <v>0.12</v>
      </c>
      <c r="AL1676">
        <f t="shared" si="886"/>
        <v>0</v>
      </c>
      <c r="AM1676">
        <f t="shared" si="887"/>
        <v>0</v>
      </c>
      <c r="AN1676">
        <f t="shared" si="888"/>
        <v>0</v>
      </c>
      <c r="AO1676" t="s">
        <v>6613</v>
      </c>
      <c r="AV1676" t="str">
        <f>IF(F1676&gt;0,(COUNT($AV$1:AV1675)+1),"")</f>
        <v/>
      </c>
    </row>
    <row r="1677" spans="1:48" ht="15" customHeight="1" x14ac:dyDescent="0.25">
      <c r="A1677" s="1"/>
      <c r="B1677" s="37">
        <v>21348</v>
      </c>
      <c r="C1677" s="23">
        <v>7930142450353</v>
      </c>
      <c r="D1677" s="237" t="s">
        <v>6921</v>
      </c>
      <c r="E1677" s="75">
        <v>40</v>
      </c>
      <c r="F1677" s="223"/>
      <c r="G1677" s="111">
        <v>478.26</v>
      </c>
      <c r="H1677" s="5">
        <v>497.39</v>
      </c>
      <c r="I1677" s="24">
        <v>547.13</v>
      </c>
      <c r="J1677" s="115" t="s">
        <v>6566</v>
      </c>
      <c r="K1677" s="46" t="s">
        <v>367</v>
      </c>
      <c r="L1677" s="440"/>
      <c r="M1677" s="482"/>
      <c r="N1677" s="1002"/>
      <c r="O1677" s="211"/>
      <c r="P1677" s="74" t="s">
        <v>53</v>
      </c>
      <c r="Q1677" s="521">
        <f t="shared" si="884"/>
        <v>0</v>
      </c>
      <c r="R1677" s="13" t="str">
        <f t="shared" si="885"/>
        <v>Фото &gt;&gt;</v>
      </c>
      <c r="S1677" s="14" t="s">
        <v>6605</v>
      </c>
      <c r="AK1677">
        <v>0.12</v>
      </c>
      <c r="AL1677">
        <f t="shared" si="886"/>
        <v>0</v>
      </c>
      <c r="AM1677">
        <f t="shared" si="887"/>
        <v>0</v>
      </c>
      <c r="AN1677">
        <f t="shared" si="888"/>
        <v>0</v>
      </c>
      <c r="AO1677" t="s">
        <v>6614</v>
      </c>
      <c r="AV1677" t="str">
        <f>IF(F1677&gt;0,(COUNT($AV$1:AV1676)+1),"")</f>
        <v/>
      </c>
    </row>
    <row r="1678" spans="1:48" ht="15" customHeight="1" x14ac:dyDescent="0.25">
      <c r="A1678" s="1"/>
      <c r="B1678" s="825">
        <v>21349</v>
      </c>
      <c r="C1678" s="523">
        <v>7930142450346</v>
      </c>
      <c r="D1678" s="534" t="s">
        <v>6922</v>
      </c>
      <c r="E1678" s="524">
        <v>40</v>
      </c>
      <c r="F1678" s="223"/>
      <c r="G1678" s="525">
        <v>478.26</v>
      </c>
      <c r="H1678" s="526">
        <v>497.39</v>
      </c>
      <c r="I1678" s="527">
        <v>547.13</v>
      </c>
      <c r="J1678" s="528" t="s">
        <v>6566</v>
      </c>
      <c r="K1678" s="529" t="s">
        <v>367</v>
      </c>
      <c r="L1678" s="530"/>
      <c r="M1678" s="531"/>
      <c r="N1678" s="1003" t="s">
        <v>1856</v>
      </c>
      <c r="O1678" s="532"/>
      <c r="P1678" s="533" t="s">
        <v>53</v>
      </c>
      <c r="Q1678" s="521">
        <f t="shared" si="884"/>
        <v>0</v>
      </c>
      <c r="R1678" s="13" t="str">
        <f t="shared" si="885"/>
        <v>Фото &gt;&gt;</v>
      </c>
      <c r="S1678" s="14" t="s">
        <v>6606</v>
      </c>
      <c r="AK1678">
        <v>0.12</v>
      </c>
      <c r="AL1678">
        <f t="shared" si="886"/>
        <v>0</v>
      </c>
      <c r="AM1678">
        <f t="shared" si="887"/>
        <v>0</v>
      </c>
      <c r="AN1678">
        <f t="shared" si="888"/>
        <v>0</v>
      </c>
      <c r="AO1678" t="s">
        <v>6615</v>
      </c>
      <c r="AV1678" t="str">
        <f>IF(F1678&gt;0,(COUNT($AV$1:AV1677)+1),"")</f>
        <v/>
      </c>
    </row>
    <row r="1679" spans="1:48" ht="15" customHeight="1" x14ac:dyDescent="0.25">
      <c r="A1679" s="1"/>
      <c r="B1679" s="37">
        <v>21350</v>
      </c>
      <c r="C1679" s="23">
        <v>7930142450377</v>
      </c>
      <c r="D1679" s="237" t="s">
        <v>6923</v>
      </c>
      <c r="E1679" s="75">
        <v>40</v>
      </c>
      <c r="F1679" s="223"/>
      <c r="G1679" s="111">
        <v>478.26</v>
      </c>
      <c r="H1679" s="5">
        <v>497.39</v>
      </c>
      <c r="I1679" s="24">
        <v>547.13</v>
      </c>
      <c r="J1679" s="115" t="s">
        <v>6566</v>
      </c>
      <c r="K1679" s="46" t="s">
        <v>367</v>
      </c>
      <c r="L1679" s="440"/>
      <c r="M1679" s="482"/>
      <c r="N1679" s="1002"/>
      <c r="O1679" s="211"/>
      <c r="P1679" s="74" t="s">
        <v>53</v>
      </c>
      <c r="Q1679" s="521">
        <f t="shared" si="884"/>
        <v>0</v>
      </c>
      <c r="R1679" s="13" t="str">
        <f t="shared" si="885"/>
        <v>Фото &gt;&gt;</v>
      </c>
      <c r="S1679" s="14" t="s">
        <v>6607</v>
      </c>
      <c r="AK1679">
        <v>0.12</v>
      </c>
      <c r="AL1679">
        <f t="shared" si="886"/>
        <v>0</v>
      </c>
      <c r="AM1679">
        <f t="shared" si="887"/>
        <v>0</v>
      </c>
      <c r="AN1679">
        <f t="shared" si="888"/>
        <v>0</v>
      </c>
      <c r="AO1679" t="s">
        <v>6616</v>
      </c>
      <c r="AV1679" t="str">
        <f>IF(F1679&gt;0,(COUNT($AV$1:AV1678)+1),"")</f>
        <v/>
      </c>
    </row>
    <row r="1680" spans="1:48" ht="15" customHeight="1" x14ac:dyDescent="0.25">
      <c r="A1680" s="1"/>
      <c r="B1680" s="825">
        <v>21351</v>
      </c>
      <c r="C1680" s="523">
        <v>7930142450360</v>
      </c>
      <c r="D1680" s="534" t="s">
        <v>6924</v>
      </c>
      <c r="E1680" s="524">
        <v>40</v>
      </c>
      <c r="F1680" s="223"/>
      <c r="G1680" s="525">
        <v>478.26</v>
      </c>
      <c r="H1680" s="526">
        <v>497.39</v>
      </c>
      <c r="I1680" s="527">
        <v>547.13</v>
      </c>
      <c r="J1680" s="528" t="s">
        <v>6566</v>
      </c>
      <c r="K1680" s="529" t="s">
        <v>367</v>
      </c>
      <c r="L1680" s="530"/>
      <c r="M1680" s="531"/>
      <c r="N1680" s="1003" t="s">
        <v>1856</v>
      </c>
      <c r="O1680" s="532"/>
      <c r="P1680" s="533" t="s">
        <v>53</v>
      </c>
      <c r="Q1680" s="521">
        <f t="shared" si="884"/>
        <v>0</v>
      </c>
      <c r="R1680" s="13" t="str">
        <f t="shared" si="885"/>
        <v>Фото &gt;&gt;</v>
      </c>
      <c r="S1680" s="14" t="s">
        <v>6608</v>
      </c>
      <c r="AK1680">
        <v>0.12</v>
      </c>
      <c r="AL1680">
        <f t="shared" si="886"/>
        <v>0</v>
      </c>
      <c r="AM1680">
        <f t="shared" si="887"/>
        <v>0</v>
      </c>
      <c r="AN1680">
        <f t="shared" si="888"/>
        <v>0</v>
      </c>
      <c r="AO1680" t="s">
        <v>6617</v>
      </c>
      <c r="AV1680" t="str">
        <f>IF(F1680&gt;0,(COUNT($AV$1:AV1679)+1),"")</f>
        <v/>
      </c>
    </row>
    <row r="1681" spans="1:48" ht="15" customHeight="1" x14ac:dyDescent="0.25">
      <c r="A1681" s="1"/>
      <c r="B1681" s="37">
        <v>21352</v>
      </c>
      <c r="C1681" s="23">
        <v>7930142450391</v>
      </c>
      <c r="D1681" s="237" t="s">
        <v>6925</v>
      </c>
      <c r="E1681" s="75">
        <v>40</v>
      </c>
      <c r="F1681" s="223"/>
      <c r="G1681" s="111">
        <v>478.26</v>
      </c>
      <c r="H1681" s="5">
        <v>497.39</v>
      </c>
      <c r="I1681" s="24">
        <v>547.13</v>
      </c>
      <c r="J1681" s="115" t="s">
        <v>6566</v>
      </c>
      <c r="K1681" s="46" t="s">
        <v>367</v>
      </c>
      <c r="L1681" s="440"/>
      <c r="M1681" s="482"/>
      <c r="N1681" s="1002"/>
      <c r="O1681" s="211"/>
      <c r="P1681" s="74" t="s">
        <v>53</v>
      </c>
      <c r="Q1681" s="521">
        <f t="shared" si="884"/>
        <v>0</v>
      </c>
      <c r="R1681" s="13" t="str">
        <f t="shared" si="885"/>
        <v>Фото &gt;&gt;</v>
      </c>
      <c r="S1681" s="14" t="s">
        <v>6609</v>
      </c>
      <c r="AK1681">
        <v>0.12</v>
      </c>
      <c r="AL1681">
        <f t="shared" si="886"/>
        <v>0</v>
      </c>
      <c r="AM1681">
        <f t="shared" si="887"/>
        <v>0</v>
      </c>
      <c r="AN1681">
        <f t="shared" si="888"/>
        <v>0</v>
      </c>
      <c r="AO1681" t="s">
        <v>6618</v>
      </c>
      <c r="AV1681" t="str">
        <f>IF(F1681&gt;0,(COUNT($AV$1:AV1680)+1),"")</f>
        <v/>
      </c>
    </row>
    <row r="1682" spans="1:48" ht="15" customHeight="1" x14ac:dyDescent="0.25">
      <c r="A1682" s="1"/>
      <c r="B1682" s="316">
        <v>21353</v>
      </c>
      <c r="C1682" s="317">
        <v>7930142450384</v>
      </c>
      <c r="D1682" s="513" t="s">
        <v>6926</v>
      </c>
      <c r="E1682" s="318">
        <v>40</v>
      </c>
      <c r="F1682" s="223"/>
      <c r="G1682" s="510">
        <v>478.26</v>
      </c>
      <c r="H1682" s="511">
        <v>497.39</v>
      </c>
      <c r="I1682" s="512">
        <v>547.13</v>
      </c>
      <c r="J1682" s="319" t="s">
        <v>6566</v>
      </c>
      <c r="K1682" s="320" t="s">
        <v>367</v>
      </c>
      <c r="L1682" s="432"/>
      <c r="M1682" s="493"/>
      <c r="N1682" s="1004" t="s">
        <v>1856</v>
      </c>
      <c r="O1682" s="322"/>
      <c r="P1682" s="321" t="s">
        <v>53</v>
      </c>
      <c r="Q1682" s="521">
        <f t="shared" si="884"/>
        <v>0</v>
      </c>
      <c r="R1682" s="13" t="str">
        <f t="shared" si="885"/>
        <v>Фото &gt;&gt;</v>
      </c>
      <c r="S1682" s="14" t="s">
        <v>6728</v>
      </c>
      <c r="AK1682">
        <v>0.12</v>
      </c>
      <c r="AL1682">
        <f t="shared" si="886"/>
        <v>0</v>
      </c>
      <c r="AM1682">
        <f t="shared" si="887"/>
        <v>0</v>
      </c>
      <c r="AN1682">
        <f t="shared" si="888"/>
        <v>0</v>
      </c>
      <c r="AO1682" t="s">
        <v>6619</v>
      </c>
      <c r="AV1682" t="str">
        <f>IF(F1682&gt;0,(COUNT($AV$1:AV1681)+1),"")</f>
        <v/>
      </c>
    </row>
    <row r="1683" spans="1:48" ht="15" customHeight="1" x14ac:dyDescent="0.25">
      <c r="A1683" s="1"/>
      <c r="B1683" s="866">
        <v>21450</v>
      </c>
      <c r="C1683" s="867">
        <v>7930142450421</v>
      </c>
      <c r="D1683" s="868" t="s">
        <v>6953</v>
      </c>
      <c r="E1683" s="869">
        <v>24</v>
      </c>
      <c r="F1683" s="870"/>
      <c r="G1683" s="949">
        <v>576.17999999999995</v>
      </c>
      <c r="H1683" s="872">
        <v>599.23</v>
      </c>
      <c r="I1683" s="873">
        <v>659.15</v>
      </c>
      <c r="J1683" s="888" t="s">
        <v>6566</v>
      </c>
      <c r="K1683" s="835" t="s">
        <v>367</v>
      </c>
      <c r="L1683" s="836"/>
      <c r="M1683" s="837"/>
      <c r="N1683" s="1005"/>
      <c r="O1683" s="838"/>
      <c r="P1683" s="839" t="s">
        <v>53</v>
      </c>
      <c r="Q1683" s="521">
        <f t="shared" si="884"/>
        <v>0</v>
      </c>
      <c r="R1683" s="13" t="str">
        <f t="shared" si="885"/>
        <v>Фото &gt;&gt;</v>
      </c>
      <c r="S1683" s="14" t="s">
        <v>6955</v>
      </c>
      <c r="AK1683">
        <v>0.18</v>
      </c>
      <c r="AL1683">
        <f t="shared" si="886"/>
        <v>0</v>
      </c>
      <c r="AM1683">
        <f t="shared" si="887"/>
        <v>0</v>
      </c>
      <c r="AN1683">
        <f t="shared" si="888"/>
        <v>0</v>
      </c>
      <c r="AO1683" t="s">
        <v>6620</v>
      </c>
      <c r="AV1683" t="str">
        <f>IF(F1683&gt;0,(COUNT($AV$1:AV1682)+1),"")</f>
        <v/>
      </c>
    </row>
    <row r="1684" spans="1:48" ht="15" customHeight="1" x14ac:dyDescent="0.25">
      <c r="A1684" s="1"/>
      <c r="B1684" s="825">
        <v>21451</v>
      </c>
      <c r="C1684" s="523">
        <v>7930142450438</v>
      </c>
      <c r="D1684" s="534" t="s">
        <v>6954</v>
      </c>
      <c r="E1684" s="524">
        <v>24</v>
      </c>
      <c r="F1684" s="223"/>
      <c r="G1684" s="865">
        <v>576.17999999999995</v>
      </c>
      <c r="H1684" s="526">
        <v>599.23</v>
      </c>
      <c r="I1684" s="527">
        <v>659.15</v>
      </c>
      <c r="J1684" s="528" t="s">
        <v>6566</v>
      </c>
      <c r="K1684" s="529" t="s">
        <v>367</v>
      </c>
      <c r="L1684" s="530"/>
      <c r="M1684" s="531"/>
      <c r="N1684" s="1003" t="s">
        <v>1856</v>
      </c>
      <c r="O1684" s="532"/>
      <c r="P1684" s="533" t="s">
        <v>53</v>
      </c>
      <c r="Q1684" s="521">
        <f t="shared" si="884"/>
        <v>0</v>
      </c>
      <c r="R1684" s="13" t="str">
        <f t="shared" si="885"/>
        <v>Фото &gt;&gt;</v>
      </c>
      <c r="S1684" s="14" t="s">
        <v>6956</v>
      </c>
      <c r="AK1684">
        <v>0.18</v>
      </c>
      <c r="AL1684">
        <f t="shared" si="886"/>
        <v>0</v>
      </c>
      <c r="AM1684">
        <f t="shared" si="887"/>
        <v>0</v>
      </c>
      <c r="AN1684">
        <f t="shared" si="888"/>
        <v>0</v>
      </c>
      <c r="AO1684" t="s">
        <v>6621</v>
      </c>
      <c r="AV1684" t="str">
        <f>IF(F1684&gt;0,(COUNT($AV$1:AV1683)+1),"")</f>
        <v/>
      </c>
    </row>
    <row r="1685" spans="1:48" ht="15" customHeight="1" x14ac:dyDescent="0.25">
      <c r="A1685" s="1"/>
      <c r="B1685" s="37">
        <v>21344</v>
      </c>
      <c r="C1685" s="23">
        <v>7930142450223</v>
      </c>
      <c r="D1685" s="237" t="s">
        <v>6927</v>
      </c>
      <c r="E1685" s="75">
        <v>24</v>
      </c>
      <c r="F1685" s="223"/>
      <c r="G1685" s="111">
        <v>567.34</v>
      </c>
      <c r="H1685" s="5">
        <v>589.75</v>
      </c>
      <c r="I1685" s="24">
        <v>648.73</v>
      </c>
      <c r="J1685" s="115" t="s">
        <v>6566</v>
      </c>
      <c r="K1685" s="46" t="s">
        <v>367</v>
      </c>
      <c r="L1685" s="440"/>
      <c r="M1685" s="482"/>
      <c r="N1685" s="1002"/>
      <c r="O1685" s="211"/>
      <c r="P1685" s="74" t="s">
        <v>53</v>
      </c>
      <c r="Q1685" s="521">
        <f t="shared" si="884"/>
        <v>0</v>
      </c>
      <c r="R1685" s="13" t="str">
        <f t="shared" si="885"/>
        <v>Фото &gt;&gt;</v>
      </c>
      <c r="S1685" s="14" t="s">
        <v>6611</v>
      </c>
      <c r="AK1685">
        <v>0.18</v>
      </c>
      <c r="AL1685">
        <f t="shared" si="886"/>
        <v>0</v>
      </c>
      <c r="AM1685">
        <f t="shared" si="887"/>
        <v>0</v>
      </c>
      <c r="AN1685">
        <f t="shared" si="888"/>
        <v>0</v>
      </c>
      <c r="AO1685" t="s">
        <v>6620</v>
      </c>
      <c r="AV1685" t="str">
        <f>IF(F1685&gt;0,(COUNT($AV$1:AV1684)+1),"")</f>
        <v/>
      </c>
    </row>
    <row r="1686" spans="1:48" ht="15" customHeight="1" x14ac:dyDescent="0.25">
      <c r="A1686" s="1"/>
      <c r="B1686" s="825">
        <v>21345</v>
      </c>
      <c r="C1686" s="523">
        <v>7930142450230</v>
      </c>
      <c r="D1686" s="534" t="s">
        <v>6928</v>
      </c>
      <c r="E1686" s="524">
        <v>24</v>
      </c>
      <c r="F1686" s="223"/>
      <c r="G1686" s="525">
        <v>567.34</v>
      </c>
      <c r="H1686" s="526">
        <v>589.75</v>
      </c>
      <c r="I1686" s="527">
        <v>648.73</v>
      </c>
      <c r="J1686" s="528" t="s">
        <v>6566</v>
      </c>
      <c r="K1686" s="529" t="s">
        <v>367</v>
      </c>
      <c r="L1686" s="530"/>
      <c r="M1686" s="531"/>
      <c r="N1686" s="1003" t="s">
        <v>1856</v>
      </c>
      <c r="O1686" s="532"/>
      <c r="P1686" s="533" t="s">
        <v>53</v>
      </c>
      <c r="Q1686" s="521">
        <f t="shared" si="884"/>
        <v>0</v>
      </c>
      <c r="R1686" s="13" t="str">
        <f t="shared" si="885"/>
        <v>Фото &gt;&gt;</v>
      </c>
      <c r="S1686" s="14" t="s">
        <v>6610</v>
      </c>
      <c r="AK1686">
        <v>0.18</v>
      </c>
      <c r="AL1686">
        <f t="shared" si="886"/>
        <v>0</v>
      </c>
      <c r="AM1686">
        <f t="shared" si="887"/>
        <v>0</v>
      </c>
      <c r="AN1686">
        <f t="shared" si="888"/>
        <v>0</v>
      </c>
      <c r="AO1686" t="s">
        <v>6621</v>
      </c>
      <c r="AV1686" t="str">
        <f>IF(F1686&gt;0,(COUNT($AV$1:AV1685)+1),"")</f>
        <v/>
      </c>
    </row>
    <row r="1687" spans="1:48" ht="15" customHeight="1" x14ac:dyDescent="0.25">
      <c r="A1687" s="1"/>
      <c r="B1687" s="125"/>
      <c r="C1687" s="126"/>
      <c r="D1687" s="127"/>
      <c r="E1687" s="134"/>
      <c r="F1687" s="189"/>
      <c r="G1687" s="130"/>
      <c r="H1687" s="131"/>
      <c r="I1687" s="132"/>
      <c r="J1687" s="128"/>
      <c r="K1687" s="129"/>
      <c r="L1687" s="433"/>
      <c r="M1687" s="481"/>
      <c r="N1687" s="471"/>
      <c r="O1687" s="181"/>
      <c r="P1687" s="133"/>
      <c r="Q1687" s="135"/>
      <c r="R1687" s="13"/>
      <c r="S1687" s="207"/>
      <c r="T1687" s="208"/>
      <c r="AV1687" t="str">
        <f>IF(F1687&gt;0,(COUNT($AV$1:AV1686)+1),"")</f>
        <v/>
      </c>
    </row>
    <row r="1688" spans="1:48" ht="15" customHeight="1" thickBot="1" x14ac:dyDescent="0.3">
      <c r="A1688" s="1"/>
      <c r="B1688" s="158"/>
      <c r="C1688" s="159"/>
      <c r="D1688" s="160"/>
      <c r="E1688" s="167"/>
      <c r="F1688" s="191"/>
      <c r="G1688" s="163"/>
      <c r="H1688" s="164"/>
      <c r="I1688" s="165"/>
      <c r="J1688" s="161"/>
      <c r="K1688" s="162"/>
      <c r="L1688" s="439"/>
      <c r="M1688" s="475"/>
      <c r="N1688" s="467"/>
      <c r="O1688" s="183"/>
      <c r="P1688" s="166"/>
      <c r="Q1688" s="168"/>
      <c r="R1688" s="13"/>
      <c r="S1688" s="207"/>
      <c r="T1688" s="208"/>
      <c r="AV1688" t="str">
        <f>IF(F1688&gt;0,(COUNT($AV$1:AV1687)+1),"")</f>
        <v/>
      </c>
    </row>
    <row r="1689" spans="1:48" ht="24.95" customHeight="1" thickBot="1" x14ac:dyDescent="0.3">
      <c r="A1689" s="1"/>
      <c r="B1689" s="169"/>
      <c r="C1689" s="170"/>
      <c r="D1689" s="171" t="str">
        <f>CONCATENATE("Пур-пур","     |     Сумма заказа: ",AK1689," руб.")</f>
        <v>Пур-пур     |     Сумма заказа: 0 руб.</v>
      </c>
      <c r="E1689" s="176"/>
      <c r="F1689" s="177"/>
      <c r="G1689" s="180" t="str">
        <f>CONCATENATE("Ценовая колонка: ",AO1689,"   |   До следующей скидки: ",AJ1689," руб.")</f>
        <v>Ценовая колонка: 3   |   До следующей скидки: 3000 руб.</v>
      </c>
      <c r="H1689" s="174"/>
      <c r="I1689" s="174"/>
      <c r="J1689" s="172" t="s">
        <v>2123</v>
      </c>
      <c r="K1689" s="173"/>
      <c r="L1689" s="444"/>
      <c r="M1689" s="486" t="s">
        <v>104</v>
      </c>
      <c r="N1689" s="717"/>
      <c r="O1689" s="184"/>
      <c r="P1689" s="175"/>
      <c r="Q1689" s="178"/>
      <c r="R1689" s="179" t="s">
        <v>1558</v>
      </c>
      <c r="S1689" s="14"/>
      <c r="AG1689" s="84"/>
      <c r="AH1689" s="84"/>
      <c r="AJ1689">
        <f>ROUND(IF(AL1689&gt;15000,"0", IF(AND(AL1689&lt;15000,AM1689&gt;3000),15000-AL1689,3000-AM1689)),2)</f>
        <v>3000</v>
      </c>
      <c r="AK1689">
        <f>SUM(Q1690:Q1729)</f>
        <v>0</v>
      </c>
      <c r="AL1689">
        <f>SUM(AL1690:AL1729)</f>
        <v>0</v>
      </c>
      <c r="AM1689">
        <f>SUM(AM1690:AM1729)</f>
        <v>0</v>
      </c>
      <c r="AO1689">
        <f>IF(AM1689&gt;5000,IF(AL1689&gt;20000,1,2),3)</f>
        <v>3</v>
      </c>
      <c r="AV1689" t="str">
        <f>IF(F1689&gt;0,(COUNT($AV$1:AV1688)+1),"")</f>
        <v/>
      </c>
    </row>
    <row r="1690" spans="1:48" ht="15" customHeight="1" x14ac:dyDescent="0.25">
      <c r="A1690" s="1"/>
      <c r="B1690" s="25"/>
      <c r="C1690" s="26"/>
      <c r="D1690" s="27" t="s">
        <v>6218</v>
      </c>
      <c r="E1690" s="80"/>
      <c r="F1690" s="96"/>
      <c r="G1690" s="28"/>
      <c r="H1690" s="29"/>
      <c r="I1690" s="29"/>
      <c r="J1690" s="51"/>
      <c r="K1690" s="47"/>
      <c r="L1690" s="447"/>
      <c r="M1690" s="489" t="s">
        <v>104</v>
      </c>
      <c r="N1690" s="716"/>
      <c r="O1690" s="186"/>
      <c r="P1690" s="79"/>
      <c r="Q1690" s="104"/>
      <c r="R1690" s="94"/>
      <c r="S1690" s="6"/>
      <c r="AV1690" t="str">
        <f>IF(F1690&gt;0,(COUNT($AV$1:AV1689)+1),"")</f>
        <v/>
      </c>
    </row>
    <row r="1691" spans="1:48" ht="15" customHeight="1" x14ac:dyDescent="0.25">
      <c r="A1691" s="1"/>
      <c r="B1691" s="30">
        <v>21167</v>
      </c>
      <c r="C1691" s="20">
        <v>4673756386061</v>
      </c>
      <c r="D1691" s="225" t="s">
        <v>7356</v>
      </c>
      <c r="E1691" s="67">
        <v>15</v>
      </c>
      <c r="F1691" s="222"/>
      <c r="G1691" s="107">
        <v>143.69999999999999</v>
      </c>
      <c r="H1691" s="21">
        <v>151</v>
      </c>
      <c r="I1691" s="22">
        <v>166</v>
      </c>
      <c r="J1691" s="112" t="s">
        <v>2123</v>
      </c>
      <c r="K1691" s="45" t="s">
        <v>96</v>
      </c>
      <c r="L1691" s="437" t="s">
        <v>2924</v>
      </c>
      <c r="M1691" s="474" t="s">
        <v>1856</v>
      </c>
      <c r="N1691" s="1013" t="s">
        <v>1856</v>
      </c>
      <c r="O1691" s="209"/>
      <c r="P1691" s="66" t="s">
        <v>72</v>
      </c>
      <c r="Q1691" s="100">
        <f t="shared" ref="Q1691:Q1696" si="889">IF($AO$1689=2,F1691*H1691,IF($AO$1689=1,F1691*G1691,F1691*I1691))</f>
        <v>0</v>
      </c>
      <c r="R1691" s="13" t="str">
        <f t="shared" ref="R1691:R1705" si="890">IF(AO1691&gt;0,HYPERLINK(AO1691,"Фото &gt;&gt;"),"")</f>
        <v>Фото &gt;&gt;</v>
      </c>
      <c r="S1691" s="14" t="s">
        <v>6191</v>
      </c>
      <c r="U1691" s="4"/>
      <c r="V1691" s="4"/>
      <c r="AG1691" s="84"/>
      <c r="AH1691" s="84"/>
      <c r="AK1691">
        <v>0.05</v>
      </c>
      <c r="AL1691">
        <f t="shared" ref="AL1691:AL1710" si="891">F1691*G1691</f>
        <v>0</v>
      </c>
      <c r="AM1691">
        <f t="shared" ref="AM1691:AM1710" si="892">F1691*H1691</f>
        <v>0</v>
      </c>
      <c r="AN1691">
        <f t="shared" ref="AN1691:AN1710" si="893">AK1691*F1691+IF(E1691&gt;1.01,F1691/E1691*0.2,0)</f>
        <v>0</v>
      </c>
      <c r="AO1691" t="s">
        <v>6196</v>
      </c>
      <c r="AV1691" t="str">
        <f>IF(F1691&gt;0,(COUNT($AV$1:AV1690)+1),"")</f>
        <v/>
      </c>
    </row>
    <row r="1692" spans="1:48" ht="15" customHeight="1" x14ac:dyDescent="0.25">
      <c r="A1692" s="1"/>
      <c r="B1692" s="32">
        <v>21168</v>
      </c>
      <c r="C1692" s="33">
        <v>4673756386078</v>
      </c>
      <c r="D1692" s="227" t="s">
        <v>7357</v>
      </c>
      <c r="E1692" s="71">
        <v>15</v>
      </c>
      <c r="F1692" s="223"/>
      <c r="G1692" s="109">
        <v>143.69999999999999</v>
      </c>
      <c r="H1692" s="34">
        <v>151</v>
      </c>
      <c r="I1692" s="35">
        <v>166</v>
      </c>
      <c r="J1692" s="114" t="s">
        <v>2123</v>
      </c>
      <c r="K1692" s="57" t="s">
        <v>96</v>
      </c>
      <c r="L1692" s="438" t="s">
        <v>2924</v>
      </c>
      <c r="M1692" s="484" t="s">
        <v>1856</v>
      </c>
      <c r="N1692" s="1008" t="s">
        <v>1856</v>
      </c>
      <c r="O1692" s="219"/>
      <c r="P1692" s="70" t="s">
        <v>72</v>
      </c>
      <c r="Q1692" s="100">
        <f t="shared" si="889"/>
        <v>0</v>
      </c>
      <c r="R1692" s="13" t="str">
        <f t="shared" si="890"/>
        <v>Фото &gt;&gt;</v>
      </c>
      <c r="S1692" s="14" t="s">
        <v>6192</v>
      </c>
      <c r="U1692" s="4"/>
      <c r="V1692" s="4"/>
      <c r="AG1692" s="84"/>
      <c r="AH1692" s="84"/>
      <c r="AK1692">
        <v>0.05</v>
      </c>
      <c r="AL1692">
        <f t="shared" si="891"/>
        <v>0</v>
      </c>
      <c r="AM1692">
        <f t="shared" si="892"/>
        <v>0</v>
      </c>
      <c r="AN1692">
        <f t="shared" si="893"/>
        <v>0</v>
      </c>
      <c r="AO1692" t="s">
        <v>6197</v>
      </c>
      <c r="AV1692" t="str">
        <f>IF(F1692&gt;0,(COUNT($AV$1:AV1691)+1),"")</f>
        <v/>
      </c>
    </row>
    <row r="1693" spans="1:48" ht="15" customHeight="1" x14ac:dyDescent="0.25">
      <c r="A1693" s="1"/>
      <c r="B1693" s="37">
        <v>21166</v>
      </c>
      <c r="C1693" s="23">
        <v>4673756386054</v>
      </c>
      <c r="D1693" s="237" t="s">
        <v>7358</v>
      </c>
      <c r="E1693" s="75">
        <v>15</v>
      </c>
      <c r="F1693" s="223"/>
      <c r="G1693" s="111">
        <v>143.69999999999999</v>
      </c>
      <c r="H1693" s="5">
        <v>151</v>
      </c>
      <c r="I1693" s="24">
        <v>166</v>
      </c>
      <c r="J1693" s="115" t="s">
        <v>2123</v>
      </c>
      <c r="K1693" s="46" t="s">
        <v>96</v>
      </c>
      <c r="L1693" s="440" t="s">
        <v>2924</v>
      </c>
      <c r="M1693" s="482" t="s">
        <v>1856</v>
      </c>
      <c r="N1693" s="1002" t="s">
        <v>1856</v>
      </c>
      <c r="O1693" s="211"/>
      <c r="P1693" s="74" t="s">
        <v>72</v>
      </c>
      <c r="Q1693" s="100">
        <f t="shared" si="889"/>
        <v>0</v>
      </c>
      <c r="R1693" s="13" t="str">
        <f t="shared" si="890"/>
        <v>Фото &gt;&gt;</v>
      </c>
      <c r="S1693" s="14" t="s">
        <v>6190</v>
      </c>
      <c r="U1693" s="4"/>
      <c r="V1693" s="4"/>
      <c r="AG1693" s="84"/>
      <c r="AH1693" s="84"/>
      <c r="AK1693">
        <v>0.05</v>
      </c>
      <c r="AL1693">
        <f t="shared" si="891"/>
        <v>0</v>
      </c>
      <c r="AM1693">
        <f t="shared" si="892"/>
        <v>0</v>
      </c>
      <c r="AN1693">
        <f t="shared" si="893"/>
        <v>0</v>
      </c>
      <c r="AO1693" t="s">
        <v>6198</v>
      </c>
      <c r="AV1693" t="str">
        <f>IF(F1693&gt;0,(COUNT($AV$1:AV1692)+1),"")</f>
        <v/>
      </c>
    </row>
    <row r="1694" spans="1:48" ht="15" customHeight="1" x14ac:dyDescent="0.25">
      <c r="A1694" s="1"/>
      <c r="B1694" s="846">
        <v>21163</v>
      </c>
      <c r="C1694" s="847" t="s">
        <v>104</v>
      </c>
      <c r="D1694" s="848" t="s">
        <v>7359</v>
      </c>
      <c r="E1694" s="849">
        <v>15</v>
      </c>
      <c r="F1694" s="870"/>
      <c r="G1694" s="850">
        <v>178.8</v>
      </c>
      <c r="H1694" s="851">
        <v>187.5</v>
      </c>
      <c r="I1694" s="852">
        <v>206</v>
      </c>
      <c r="J1694" s="853" t="s">
        <v>2123</v>
      </c>
      <c r="K1694" s="854" t="s">
        <v>96</v>
      </c>
      <c r="L1694" s="855" t="s">
        <v>2924</v>
      </c>
      <c r="M1694" s="856" t="s">
        <v>1856</v>
      </c>
      <c r="N1694" s="1010" t="s">
        <v>1856</v>
      </c>
      <c r="O1694" s="857"/>
      <c r="P1694" s="858" t="s">
        <v>72</v>
      </c>
      <c r="Q1694" s="100">
        <f t="shared" si="889"/>
        <v>0</v>
      </c>
      <c r="R1694" s="13" t="str">
        <f t="shared" si="890"/>
        <v>Фото &gt;&gt;</v>
      </c>
      <c r="S1694" s="14" t="s">
        <v>6194</v>
      </c>
      <c r="U1694" s="4"/>
      <c r="V1694" s="4"/>
      <c r="AG1694" s="84"/>
      <c r="AH1694" s="84"/>
      <c r="AK1694">
        <v>0.05</v>
      </c>
      <c r="AL1694">
        <f t="shared" si="891"/>
        <v>0</v>
      </c>
      <c r="AM1694">
        <f t="shared" si="892"/>
        <v>0</v>
      </c>
      <c r="AN1694">
        <f t="shared" si="893"/>
        <v>0</v>
      </c>
      <c r="AO1694" t="s">
        <v>6199</v>
      </c>
      <c r="AV1694" t="str">
        <f>IF(F1694&gt;0,(COUNT($AV$1:AV1693)+1),"")</f>
        <v/>
      </c>
    </row>
    <row r="1695" spans="1:48" ht="15" customHeight="1" x14ac:dyDescent="0.25">
      <c r="A1695" s="1"/>
      <c r="B1695" s="30">
        <v>21164</v>
      </c>
      <c r="C1695" s="20" t="s">
        <v>104</v>
      </c>
      <c r="D1695" s="225" t="s">
        <v>7360</v>
      </c>
      <c r="E1695" s="67">
        <v>15</v>
      </c>
      <c r="F1695" s="222"/>
      <c r="G1695" s="107">
        <v>178.8</v>
      </c>
      <c r="H1695" s="21">
        <v>187.5</v>
      </c>
      <c r="I1695" s="22">
        <v>206</v>
      </c>
      <c r="J1695" s="112" t="s">
        <v>2123</v>
      </c>
      <c r="K1695" s="45" t="s">
        <v>96</v>
      </c>
      <c r="L1695" s="437" t="s">
        <v>2924</v>
      </c>
      <c r="M1695" s="474" t="s">
        <v>1856</v>
      </c>
      <c r="N1695" s="1013" t="s">
        <v>1856</v>
      </c>
      <c r="O1695" s="209"/>
      <c r="P1695" s="66" t="s">
        <v>72</v>
      </c>
      <c r="Q1695" s="100">
        <f t="shared" si="889"/>
        <v>0</v>
      </c>
      <c r="R1695" s="13" t="str">
        <f t="shared" si="890"/>
        <v>Фото &gt;&gt;</v>
      </c>
      <c r="S1695" s="14" t="s">
        <v>6195</v>
      </c>
      <c r="U1695" s="4"/>
      <c r="V1695" s="4"/>
      <c r="AG1695" s="84"/>
      <c r="AH1695" s="84"/>
      <c r="AK1695">
        <v>0.05</v>
      </c>
      <c r="AL1695">
        <f t="shared" si="891"/>
        <v>0</v>
      </c>
      <c r="AM1695">
        <f t="shared" si="892"/>
        <v>0</v>
      </c>
      <c r="AN1695">
        <f t="shared" si="893"/>
        <v>0</v>
      </c>
      <c r="AO1695" t="s">
        <v>6200</v>
      </c>
      <c r="AV1695" t="str">
        <f>IF(F1695&gt;0,(COUNT($AV$1:AV1694)+1),"")</f>
        <v/>
      </c>
    </row>
    <row r="1696" spans="1:48" ht="15" customHeight="1" x14ac:dyDescent="0.25">
      <c r="A1696" s="1"/>
      <c r="B1696" s="32">
        <v>21165</v>
      </c>
      <c r="C1696" s="33">
        <v>4673756386085</v>
      </c>
      <c r="D1696" s="227" t="s">
        <v>7361</v>
      </c>
      <c r="E1696" s="71">
        <v>15</v>
      </c>
      <c r="F1696" s="223"/>
      <c r="G1696" s="109">
        <v>178.8</v>
      </c>
      <c r="H1696" s="34">
        <v>187.5</v>
      </c>
      <c r="I1696" s="35">
        <v>206</v>
      </c>
      <c r="J1696" s="114" t="s">
        <v>2123</v>
      </c>
      <c r="K1696" s="57" t="s">
        <v>96</v>
      </c>
      <c r="L1696" s="438" t="s">
        <v>2924</v>
      </c>
      <c r="M1696" s="484" t="s">
        <v>1856</v>
      </c>
      <c r="N1696" s="1008" t="s">
        <v>1856</v>
      </c>
      <c r="O1696" s="219"/>
      <c r="P1696" s="70" t="s">
        <v>72</v>
      </c>
      <c r="Q1696" s="100">
        <f t="shared" si="889"/>
        <v>0</v>
      </c>
      <c r="R1696" s="13" t="str">
        <f t="shared" si="890"/>
        <v>Фото &gt;&gt;</v>
      </c>
      <c r="S1696" s="14" t="s">
        <v>6193</v>
      </c>
      <c r="U1696" s="4"/>
      <c r="V1696" s="4"/>
      <c r="AG1696" s="84"/>
      <c r="AH1696" s="84"/>
      <c r="AK1696">
        <v>0.05</v>
      </c>
      <c r="AL1696">
        <f t="shared" si="891"/>
        <v>0</v>
      </c>
      <c r="AM1696">
        <f t="shared" si="892"/>
        <v>0</v>
      </c>
      <c r="AN1696">
        <f t="shared" si="893"/>
        <v>0</v>
      </c>
      <c r="AO1696" t="s">
        <v>6201</v>
      </c>
      <c r="AV1696" t="str">
        <f>IF(F1696&gt;0,(COUNT($AV$1:AV1695)+1),"")</f>
        <v/>
      </c>
    </row>
    <row r="1697" spans="1:48" ht="15" customHeight="1" x14ac:dyDescent="0.25">
      <c r="A1697" s="1"/>
      <c r="B1697" s="25"/>
      <c r="C1697" s="26"/>
      <c r="D1697" s="228" t="s">
        <v>6069</v>
      </c>
      <c r="E1697" s="80"/>
      <c r="F1697" s="96"/>
      <c r="G1697" s="28"/>
      <c r="H1697" s="29"/>
      <c r="I1697" s="29"/>
      <c r="J1697" s="51"/>
      <c r="K1697" s="47"/>
      <c r="L1697" s="447"/>
      <c r="M1697" s="489" t="s">
        <v>104</v>
      </c>
      <c r="N1697" s="716"/>
      <c r="O1697" s="186"/>
      <c r="P1697" s="79"/>
      <c r="Q1697" s="104"/>
      <c r="R1697" s="13" t="str">
        <f t="shared" si="890"/>
        <v/>
      </c>
      <c r="S1697" s="14"/>
      <c r="AG1697" s="84"/>
      <c r="AH1697" s="84"/>
      <c r="AL1697">
        <f t="shared" si="891"/>
        <v>0</v>
      </c>
      <c r="AM1697">
        <f t="shared" si="892"/>
        <v>0</v>
      </c>
      <c r="AN1697">
        <f t="shared" si="893"/>
        <v>0</v>
      </c>
      <c r="AV1697" t="str">
        <f>IF(F1697&gt;0,(COUNT($AV$1:AV1696)+1),"")</f>
        <v/>
      </c>
    </row>
    <row r="1698" spans="1:48" ht="15" customHeight="1" x14ac:dyDescent="0.25">
      <c r="A1698" s="1"/>
      <c r="B1698" s="30">
        <v>21171</v>
      </c>
      <c r="C1698" s="20">
        <v>4673756386153</v>
      </c>
      <c r="D1698" s="225" t="s">
        <v>7362</v>
      </c>
      <c r="E1698" s="67">
        <v>15</v>
      </c>
      <c r="F1698" s="222"/>
      <c r="G1698" s="107">
        <v>181.2</v>
      </c>
      <c r="H1698" s="21">
        <v>190</v>
      </c>
      <c r="I1698" s="22">
        <v>209</v>
      </c>
      <c r="J1698" s="112" t="s">
        <v>2123</v>
      </c>
      <c r="K1698" s="45" t="s">
        <v>367</v>
      </c>
      <c r="L1698" s="437" t="s">
        <v>2924</v>
      </c>
      <c r="M1698" s="474" t="s">
        <v>1856</v>
      </c>
      <c r="N1698" s="1013" t="s">
        <v>1856</v>
      </c>
      <c r="O1698" s="209"/>
      <c r="P1698" s="66" t="s">
        <v>72</v>
      </c>
      <c r="Q1698" s="100">
        <f t="shared" ref="Q1698:Q1710" si="894">IF($AO$1689=2,F1698*H1698,IF($AO$1689=1,F1698*G1698,F1698*I1698))</f>
        <v>0</v>
      </c>
      <c r="R1698" s="13" t="str">
        <f t="shared" si="890"/>
        <v>Фото &gt;&gt;</v>
      </c>
      <c r="S1698" s="14" t="s">
        <v>6206</v>
      </c>
      <c r="U1698" s="4"/>
      <c r="V1698" s="4"/>
      <c r="AG1698" s="84"/>
      <c r="AH1698" s="84"/>
      <c r="AK1698">
        <v>0.05</v>
      </c>
      <c r="AL1698">
        <f t="shared" si="891"/>
        <v>0</v>
      </c>
      <c r="AM1698">
        <f t="shared" si="892"/>
        <v>0</v>
      </c>
      <c r="AN1698">
        <f t="shared" si="893"/>
        <v>0</v>
      </c>
      <c r="AO1698" t="s">
        <v>6210</v>
      </c>
      <c r="AQ1698" s="520" t="str">
        <f>CONCATENATE("http://1.c8804.nichost.ru/pics/",B1698,".jpg")</f>
        <v>http://1.c8804.nichost.ru/pics/21171.jpg</v>
      </c>
      <c r="AV1698" t="str">
        <f>IF(F1698&gt;0,(COUNT($AV$1:AV1697)+1),"")</f>
        <v/>
      </c>
    </row>
    <row r="1699" spans="1:48" ht="15" customHeight="1" x14ac:dyDescent="0.25">
      <c r="A1699" s="1"/>
      <c r="B1699" s="32">
        <v>21170</v>
      </c>
      <c r="C1699" s="33" t="s">
        <v>104</v>
      </c>
      <c r="D1699" s="227" t="s">
        <v>7363</v>
      </c>
      <c r="E1699" s="71">
        <v>15</v>
      </c>
      <c r="F1699" s="223"/>
      <c r="G1699" s="109">
        <v>181.2</v>
      </c>
      <c r="H1699" s="34">
        <v>190</v>
      </c>
      <c r="I1699" s="35">
        <v>209</v>
      </c>
      <c r="J1699" s="114" t="s">
        <v>2123</v>
      </c>
      <c r="K1699" s="57" t="s">
        <v>367</v>
      </c>
      <c r="L1699" s="438" t="s">
        <v>2924</v>
      </c>
      <c r="M1699" s="484" t="s">
        <v>1856</v>
      </c>
      <c r="N1699" s="1008" t="s">
        <v>1856</v>
      </c>
      <c r="O1699" s="219"/>
      <c r="P1699" s="70" t="s">
        <v>72</v>
      </c>
      <c r="Q1699" s="100">
        <f t="shared" si="894"/>
        <v>0</v>
      </c>
      <c r="R1699" s="13" t="str">
        <f t="shared" si="890"/>
        <v>Фото &gt;&gt;</v>
      </c>
      <c r="S1699" s="14" t="s">
        <v>6208</v>
      </c>
      <c r="U1699" s="4"/>
      <c r="V1699" s="4"/>
      <c r="AG1699" s="84"/>
      <c r="AH1699" s="84"/>
      <c r="AK1699">
        <v>0.05</v>
      </c>
      <c r="AL1699">
        <f t="shared" si="891"/>
        <v>0</v>
      </c>
      <c r="AM1699">
        <f t="shared" si="892"/>
        <v>0</v>
      </c>
      <c r="AN1699">
        <f t="shared" si="893"/>
        <v>0</v>
      </c>
      <c r="AO1699" t="s">
        <v>6211</v>
      </c>
      <c r="AQ1699" s="520" t="str">
        <f t="shared" ref="AQ1699:AQ1705" si="895">CONCATENATE("http://1.c8804.nichost.ru/pics/",B1699,".jpg")</f>
        <v>http://1.c8804.nichost.ru/pics/21170.jpg</v>
      </c>
      <c r="AV1699" t="str">
        <f>IF(F1699&gt;0,(COUNT($AV$1:AV1698)+1),"")</f>
        <v/>
      </c>
    </row>
    <row r="1700" spans="1:48" ht="15" customHeight="1" x14ac:dyDescent="0.25">
      <c r="A1700" s="1"/>
      <c r="B1700" s="30">
        <v>21169</v>
      </c>
      <c r="C1700" s="20">
        <v>4673756386115</v>
      </c>
      <c r="D1700" s="225" t="s">
        <v>7364</v>
      </c>
      <c r="E1700" s="67">
        <v>15</v>
      </c>
      <c r="F1700" s="222"/>
      <c r="G1700" s="107">
        <v>147.5</v>
      </c>
      <c r="H1700" s="21">
        <v>154.80000000000001</v>
      </c>
      <c r="I1700" s="22">
        <v>170</v>
      </c>
      <c r="J1700" s="112" t="s">
        <v>2123</v>
      </c>
      <c r="K1700" s="45" t="s">
        <v>367</v>
      </c>
      <c r="L1700" s="437" t="s">
        <v>2924</v>
      </c>
      <c r="M1700" s="474" t="s">
        <v>1856</v>
      </c>
      <c r="N1700" s="1013" t="s">
        <v>1856</v>
      </c>
      <c r="O1700" s="209"/>
      <c r="P1700" s="66" t="s">
        <v>72</v>
      </c>
      <c r="Q1700" s="100">
        <f t="shared" si="894"/>
        <v>0</v>
      </c>
      <c r="R1700" s="13" t="str">
        <f t="shared" si="890"/>
        <v>Фото &gt;&gt;</v>
      </c>
      <c r="S1700" s="14" t="s">
        <v>6202</v>
      </c>
      <c r="U1700" s="4"/>
      <c r="V1700" s="4"/>
      <c r="AG1700" s="84"/>
      <c r="AH1700" s="84"/>
      <c r="AK1700">
        <v>0.05</v>
      </c>
      <c r="AL1700">
        <f t="shared" si="891"/>
        <v>0</v>
      </c>
      <c r="AM1700">
        <f t="shared" si="892"/>
        <v>0</v>
      </c>
      <c r="AN1700">
        <f t="shared" si="893"/>
        <v>0</v>
      </c>
      <c r="AO1700" t="s">
        <v>6212</v>
      </c>
      <c r="AQ1700" s="520" t="str">
        <f t="shared" si="895"/>
        <v>http://1.c8804.nichost.ru/pics/21169.jpg</v>
      </c>
      <c r="AV1700" t="str">
        <f>IF(F1700&gt;0,(COUNT($AV$1:AV1699)+1),"")</f>
        <v/>
      </c>
    </row>
    <row r="1701" spans="1:48" ht="15" customHeight="1" x14ac:dyDescent="0.25">
      <c r="A1701" s="1"/>
      <c r="B1701" s="32">
        <v>21172</v>
      </c>
      <c r="C1701" s="33">
        <v>4673756386177</v>
      </c>
      <c r="D1701" s="227" t="s">
        <v>7365</v>
      </c>
      <c r="E1701" s="71">
        <v>15</v>
      </c>
      <c r="F1701" s="223"/>
      <c r="G1701" s="109">
        <v>181.2</v>
      </c>
      <c r="H1701" s="34">
        <v>190</v>
      </c>
      <c r="I1701" s="35">
        <v>209</v>
      </c>
      <c r="J1701" s="114" t="s">
        <v>2123</v>
      </c>
      <c r="K1701" s="57" t="s">
        <v>367</v>
      </c>
      <c r="L1701" s="438" t="s">
        <v>2924</v>
      </c>
      <c r="M1701" s="484" t="s">
        <v>1856</v>
      </c>
      <c r="N1701" s="1008" t="s">
        <v>1856</v>
      </c>
      <c r="O1701" s="219"/>
      <c r="P1701" s="70" t="s">
        <v>72</v>
      </c>
      <c r="Q1701" s="100">
        <f t="shared" si="894"/>
        <v>0</v>
      </c>
      <c r="R1701" s="13" t="str">
        <f t="shared" si="890"/>
        <v>Фото &gt;&gt;</v>
      </c>
      <c r="S1701" s="14" t="s">
        <v>6209</v>
      </c>
      <c r="U1701" s="4"/>
      <c r="V1701" s="4"/>
      <c r="AG1701" s="84"/>
      <c r="AH1701" s="84"/>
      <c r="AK1701">
        <v>0.05</v>
      </c>
      <c r="AL1701">
        <f t="shared" si="891"/>
        <v>0</v>
      </c>
      <c r="AM1701">
        <f t="shared" si="892"/>
        <v>0</v>
      </c>
      <c r="AN1701">
        <f t="shared" si="893"/>
        <v>0</v>
      </c>
      <c r="AO1701" t="s">
        <v>6213</v>
      </c>
      <c r="AQ1701" s="520" t="str">
        <f t="shared" si="895"/>
        <v>http://1.c8804.nichost.ru/pics/21172.jpg</v>
      </c>
      <c r="AV1701" t="str">
        <f>IF(F1701&gt;0,(COUNT($AV$1:AV1700)+1),"")</f>
        <v/>
      </c>
    </row>
    <row r="1702" spans="1:48" ht="15" customHeight="1" x14ac:dyDescent="0.25">
      <c r="A1702" s="1"/>
      <c r="B1702" s="785">
        <v>21175</v>
      </c>
      <c r="C1702" s="786">
        <v>4673756386160</v>
      </c>
      <c r="D1702" s="787" t="s">
        <v>7366</v>
      </c>
      <c r="E1702" s="788">
        <v>15</v>
      </c>
      <c r="F1702" s="789"/>
      <c r="G1702" s="811">
        <v>206</v>
      </c>
      <c r="H1702" s="790">
        <v>216</v>
      </c>
      <c r="I1702" s="791">
        <v>238</v>
      </c>
      <c r="J1702" s="792" t="s">
        <v>2123</v>
      </c>
      <c r="K1702" s="793" t="s">
        <v>367</v>
      </c>
      <c r="L1702" s="781" t="s">
        <v>2924</v>
      </c>
      <c r="M1702" s="782" t="s">
        <v>1856</v>
      </c>
      <c r="N1702" s="1009" t="s">
        <v>1856</v>
      </c>
      <c r="O1702" s="794"/>
      <c r="P1702" s="784" t="s">
        <v>72</v>
      </c>
      <c r="Q1702" s="100">
        <f t="shared" si="894"/>
        <v>0</v>
      </c>
      <c r="R1702" s="13" t="str">
        <f t="shared" si="890"/>
        <v>Фото &gt;&gt;</v>
      </c>
      <c r="S1702" s="14" t="s">
        <v>6205</v>
      </c>
      <c r="U1702" s="4"/>
      <c r="V1702" s="4"/>
      <c r="AG1702" s="84"/>
      <c r="AH1702" s="84"/>
      <c r="AK1702">
        <v>0.05</v>
      </c>
      <c r="AL1702">
        <f t="shared" si="891"/>
        <v>0</v>
      </c>
      <c r="AM1702">
        <f t="shared" si="892"/>
        <v>0</v>
      </c>
      <c r="AN1702">
        <f t="shared" si="893"/>
        <v>0</v>
      </c>
      <c r="AO1702" t="s">
        <v>6214</v>
      </c>
      <c r="AQ1702" s="520" t="str">
        <f t="shared" si="895"/>
        <v>http://1.c8804.nichost.ru/pics/21175.jpg</v>
      </c>
      <c r="AV1702" t="str">
        <f>IF(F1702&gt;0,(COUNT($AV$1:AV1701)+1),"")</f>
        <v/>
      </c>
    </row>
    <row r="1703" spans="1:48" ht="15" customHeight="1" x14ac:dyDescent="0.25">
      <c r="A1703" s="1"/>
      <c r="B1703" s="32">
        <v>21174</v>
      </c>
      <c r="C1703" s="33" t="s">
        <v>104</v>
      </c>
      <c r="D1703" s="227" t="s">
        <v>7367</v>
      </c>
      <c r="E1703" s="71">
        <v>15</v>
      </c>
      <c r="F1703" s="223"/>
      <c r="G1703" s="109">
        <v>206</v>
      </c>
      <c r="H1703" s="34">
        <v>216</v>
      </c>
      <c r="I1703" s="35">
        <v>238</v>
      </c>
      <c r="J1703" s="114" t="s">
        <v>2123</v>
      </c>
      <c r="K1703" s="57" t="s">
        <v>367</v>
      </c>
      <c r="L1703" s="438" t="s">
        <v>2924</v>
      </c>
      <c r="M1703" s="484" t="s">
        <v>1856</v>
      </c>
      <c r="N1703" s="1008" t="s">
        <v>1856</v>
      </c>
      <c r="O1703" s="219"/>
      <c r="P1703" s="70" t="s">
        <v>72</v>
      </c>
      <c r="Q1703" s="100">
        <f t="shared" si="894"/>
        <v>0</v>
      </c>
      <c r="R1703" s="13" t="str">
        <f t="shared" si="890"/>
        <v>Фото &gt;&gt;</v>
      </c>
      <c r="S1703" s="14" t="s">
        <v>6203</v>
      </c>
      <c r="U1703" s="4"/>
      <c r="V1703" s="4"/>
      <c r="AG1703" s="84"/>
      <c r="AH1703" s="84"/>
      <c r="AK1703">
        <v>0.05</v>
      </c>
      <c r="AL1703">
        <f t="shared" si="891"/>
        <v>0</v>
      </c>
      <c r="AM1703">
        <f t="shared" si="892"/>
        <v>0</v>
      </c>
      <c r="AN1703">
        <f t="shared" si="893"/>
        <v>0</v>
      </c>
      <c r="AO1703" t="s">
        <v>6215</v>
      </c>
      <c r="AQ1703" s="520" t="str">
        <f t="shared" si="895"/>
        <v>http://1.c8804.nichost.ru/pics/21174.jpg</v>
      </c>
      <c r="AV1703" t="str">
        <f>IF(F1703&gt;0,(COUNT($AV$1:AV1702)+1),"")</f>
        <v/>
      </c>
    </row>
    <row r="1704" spans="1:48" ht="15" customHeight="1" x14ac:dyDescent="0.25">
      <c r="A1704" s="1"/>
      <c r="B1704" s="30">
        <v>21173</v>
      </c>
      <c r="C1704" s="20">
        <v>4673756386122</v>
      </c>
      <c r="D1704" s="225" t="s">
        <v>7368</v>
      </c>
      <c r="E1704" s="67">
        <v>15</v>
      </c>
      <c r="F1704" s="222"/>
      <c r="G1704" s="107">
        <v>200</v>
      </c>
      <c r="H1704" s="21">
        <v>210</v>
      </c>
      <c r="I1704" s="22">
        <v>231</v>
      </c>
      <c r="J1704" s="112" t="s">
        <v>2123</v>
      </c>
      <c r="K1704" s="45" t="s">
        <v>367</v>
      </c>
      <c r="L1704" s="437" t="s">
        <v>2924</v>
      </c>
      <c r="M1704" s="474" t="s">
        <v>1856</v>
      </c>
      <c r="N1704" s="1013" t="s">
        <v>1856</v>
      </c>
      <c r="O1704" s="209"/>
      <c r="P1704" s="66" t="s">
        <v>72</v>
      </c>
      <c r="Q1704" s="100">
        <f t="shared" si="894"/>
        <v>0</v>
      </c>
      <c r="R1704" s="13" t="str">
        <f t="shared" si="890"/>
        <v>Фото &gt;&gt;</v>
      </c>
      <c r="S1704" s="14" t="s">
        <v>6204</v>
      </c>
      <c r="U1704" s="4"/>
      <c r="V1704" s="4"/>
      <c r="AG1704" s="84"/>
      <c r="AH1704" s="84"/>
      <c r="AK1704">
        <v>0.05</v>
      </c>
      <c r="AL1704">
        <f t="shared" si="891"/>
        <v>0</v>
      </c>
      <c r="AM1704">
        <f t="shared" si="892"/>
        <v>0</v>
      </c>
      <c r="AN1704">
        <f t="shared" si="893"/>
        <v>0</v>
      </c>
      <c r="AO1704" t="s">
        <v>6216</v>
      </c>
      <c r="AQ1704" s="520" t="str">
        <f t="shared" si="895"/>
        <v>http://1.c8804.nichost.ru/pics/21173.jpg</v>
      </c>
      <c r="AV1704" t="str">
        <f>IF(F1704&gt;0,(COUNT($AV$1:AV1703)+1),"")</f>
        <v/>
      </c>
    </row>
    <row r="1705" spans="1:48" ht="15" customHeight="1" x14ac:dyDescent="0.25">
      <c r="A1705" s="1"/>
      <c r="B1705" s="32">
        <v>21176</v>
      </c>
      <c r="C1705" s="33">
        <v>4673756386184</v>
      </c>
      <c r="D1705" s="227" t="s">
        <v>7369</v>
      </c>
      <c r="E1705" s="71">
        <v>15</v>
      </c>
      <c r="F1705" s="223"/>
      <c r="G1705" s="109">
        <v>206</v>
      </c>
      <c r="H1705" s="34">
        <v>216</v>
      </c>
      <c r="I1705" s="35">
        <v>238</v>
      </c>
      <c r="J1705" s="114" t="s">
        <v>2123</v>
      </c>
      <c r="K1705" s="57" t="s">
        <v>367</v>
      </c>
      <c r="L1705" s="438" t="s">
        <v>2924</v>
      </c>
      <c r="M1705" s="484" t="s">
        <v>1856</v>
      </c>
      <c r="N1705" s="1008" t="s">
        <v>1856</v>
      </c>
      <c r="O1705" s="219"/>
      <c r="P1705" s="70" t="s">
        <v>72</v>
      </c>
      <c r="Q1705" s="100">
        <f t="shared" si="894"/>
        <v>0</v>
      </c>
      <c r="R1705" s="13" t="str">
        <f t="shared" si="890"/>
        <v>Фото &gt;&gt;</v>
      </c>
      <c r="S1705" s="14" t="s">
        <v>6207</v>
      </c>
      <c r="U1705" s="4"/>
      <c r="V1705" s="4"/>
      <c r="AG1705" s="84"/>
      <c r="AH1705" s="84"/>
      <c r="AK1705">
        <v>0.05</v>
      </c>
      <c r="AL1705">
        <f t="shared" si="891"/>
        <v>0</v>
      </c>
      <c r="AM1705">
        <f t="shared" si="892"/>
        <v>0</v>
      </c>
      <c r="AN1705">
        <f t="shared" si="893"/>
        <v>0</v>
      </c>
      <c r="AO1705" t="s">
        <v>6217</v>
      </c>
      <c r="AQ1705" s="520" t="str">
        <f t="shared" si="895"/>
        <v>http://1.c8804.nichost.ru/pics/21176.jpg</v>
      </c>
      <c r="AV1705" t="str">
        <f>IF(F1705&gt;0,(COUNT($AV$1:AV1704)+1),"")</f>
        <v/>
      </c>
    </row>
    <row r="1706" spans="1:48" ht="15" customHeight="1" x14ac:dyDescent="0.25">
      <c r="A1706" s="1"/>
      <c r="B1706" s="785">
        <v>19970</v>
      </c>
      <c r="C1706" s="786">
        <v>4603768370741</v>
      </c>
      <c r="D1706" s="787" t="s">
        <v>6080</v>
      </c>
      <c r="E1706" s="788">
        <v>12</v>
      </c>
      <c r="F1706" s="789"/>
      <c r="G1706" s="811">
        <v>91.3</v>
      </c>
      <c r="H1706" s="790">
        <v>95.8</v>
      </c>
      <c r="I1706" s="791">
        <v>105</v>
      </c>
      <c r="J1706" s="792" t="s">
        <v>2123</v>
      </c>
      <c r="K1706" s="793" t="s">
        <v>367</v>
      </c>
      <c r="L1706" s="781" t="s">
        <v>2924</v>
      </c>
      <c r="M1706" s="782" t="s">
        <v>104</v>
      </c>
      <c r="N1706" s="1009"/>
      <c r="O1706" s="794"/>
      <c r="P1706" s="784" t="s">
        <v>72</v>
      </c>
      <c r="Q1706" s="100">
        <f t="shared" si="894"/>
        <v>0</v>
      </c>
      <c r="R1706" s="1095" t="str">
        <f>IF(AO1706&gt;0,HYPERLINK(AO1706,"Фото &gt;&gt;"),"")</f>
        <v>Фото &gt;&gt;</v>
      </c>
      <c r="S1706" s="14" t="s">
        <v>6070</v>
      </c>
      <c r="U1706" s="4"/>
      <c r="V1706" s="4"/>
      <c r="AG1706" s="84"/>
      <c r="AH1706" s="84"/>
      <c r="AK1706">
        <v>0.05</v>
      </c>
      <c r="AL1706">
        <f t="shared" si="891"/>
        <v>0</v>
      </c>
      <c r="AM1706">
        <f t="shared" si="892"/>
        <v>0</v>
      </c>
      <c r="AN1706">
        <f t="shared" si="893"/>
        <v>0</v>
      </c>
      <c r="AO1706" t="s">
        <v>6071</v>
      </c>
      <c r="AV1706" t="str">
        <f>IF(F1706&gt;0,(COUNT($AV$1:AV1705)+1),"")</f>
        <v/>
      </c>
    </row>
    <row r="1707" spans="1:48" ht="15" customHeight="1" x14ac:dyDescent="0.25">
      <c r="A1707" s="1"/>
      <c r="B1707" s="32">
        <v>19971</v>
      </c>
      <c r="C1707" s="33">
        <v>4603768370772</v>
      </c>
      <c r="D1707" s="227" t="s">
        <v>6081</v>
      </c>
      <c r="E1707" s="71">
        <v>12</v>
      </c>
      <c r="F1707" s="223"/>
      <c r="G1707" s="109">
        <v>127.5</v>
      </c>
      <c r="H1707" s="34">
        <v>133.5</v>
      </c>
      <c r="I1707" s="35">
        <v>147</v>
      </c>
      <c r="J1707" s="114" t="s">
        <v>2123</v>
      </c>
      <c r="K1707" s="57" t="s">
        <v>367</v>
      </c>
      <c r="L1707" s="438" t="s">
        <v>2924</v>
      </c>
      <c r="M1707" s="484" t="s">
        <v>104</v>
      </c>
      <c r="N1707" s="1008"/>
      <c r="O1707" s="219"/>
      <c r="P1707" s="70" t="s">
        <v>72</v>
      </c>
      <c r="Q1707" s="100">
        <f t="shared" si="894"/>
        <v>0</v>
      </c>
      <c r="R1707" s="1095" t="str">
        <f t="shared" ref="R1707:R1729" si="896">IF(AO1707&gt;0,HYPERLINK(AO1707,"Фото &gt;&gt;"),"")</f>
        <v>Фото &gt;&gt;</v>
      </c>
      <c r="S1707" s="14" t="s">
        <v>6072</v>
      </c>
      <c r="U1707" s="4"/>
      <c r="V1707" s="4"/>
      <c r="AG1707" s="84"/>
      <c r="AH1707" s="84"/>
      <c r="AK1707">
        <v>0.05</v>
      </c>
      <c r="AL1707">
        <f t="shared" si="891"/>
        <v>0</v>
      </c>
      <c r="AM1707">
        <f t="shared" si="892"/>
        <v>0</v>
      </c>
      <c r="AN1707">
        <f t="shared" si="893"/>
        <v>0</v>
      </c>
      <c r="AO1707" t="s">
        <v>6073</v>
      </c>
      <c r="AV1707" t="str">
        <f>IF(F1707&gt;0,(COUNT($AV$1:AV1706)+1),"")</f>
        <v/>
      </c>
    </row>
    <row r="1708" spans="1:48" ht="15" customHeight="1" x14ac:dyDescent="0.25">
      <c r="A1708" s="1"/>
      <c r="B1708" s="30">
        <v>19972</v>
      </c>
      <c r="C1708" s="20">
        <v>4603768370727</v>
      </c>
      <c r="D1708" s="225" t="s">
        <v>6082</v>
      </c>
      <c r="E1708" s="67">
        <v>12</v>
      </c>
      <c r="F1708" s="222"/>
      <c r="G1708" s="107">
        <v>136.19999999999999</v>
      </c>
      <c r="H1708" s="21">
        <v>143</v>
      </c>
      <c r="I1708" s="22">
        <v>157</v>
      </c>
      <c r="J1708" s="112" t="s">
        <v>2123</v>
      </c>
      <c r="K1708" s="45" t="s">
        <v>367</v>
      </c>
      <c r="L1708" s="437" t="s">
        <v>2924</v>
      </c>
      <c r="M1708" s="474" t="s">
        <v>104</v>
      </c>
      <c r="N1708" s="1013"/>
      <c r="O1708" s="209"/>
      <c r="P1708" s="66" t="s">
        <v>72</v>
      </c>
      <c r="Q1708" s="100">
        <f t="shared" si="894"/>
        <v>0</v>
      </c>
      <c r="R1708" s="1095" t="str">
        <f t="shared" si="896"/>
        <v>Фото &gt;&gt;</v>
      </c>
      <c r="S1708" s="14" t="s">
        <v>6074</v>
      </c>
      <c r="U1708" s="4"/>
      <c r="V1708" s="4"/>
      <c r="AG1708" s="84"/>
      <c r="AH1708" s="84"/>
      <c r="AK1708">
        <v>0.05</v>
      </c>
      <c r="AL1708">
        <f t="shared" si="891"/>
        <v>0</v>
      </c>
      <c r="AM1708">
        <f t="shared" si="892"/>
        <v>0</v>
      </c>
      <c r="AN1708">
        <f t="shared" si="893"/>
        <v>0</v>
      </c>
      <c r="AO1708" t="s">
        <v>6075</v>
      </c>
      <c r="AV1708" t="str">
        <f>IF(F1708&gt;0,(COUNT($AV$1:AV1707)+1),"")</f>
        <v/>
      </c>
    </row>
    <row r="1709" spans="1:48" ht="15" customHeight="1" x14ac:dyDescent="0.25">
      <c r="A1709" s="1"/>
      <c r="B1709" s="32">
        <v>20410</v>
      </c>
      <c r="C1709" s="33">
        <v>4603768370611</v>
      </c>
      <c r="D1709" s="227" t="s">
        <v>6083</v>
      </c>
      <c r="E1709" s="71">
        <v>12</v>
      </c>
      <c r="F1709" s="223"/>
      <c r="G1709" s="109">
        <v>127.5</v>
      </c>
      <c r="H1709" s="34">
        <v>133.5</v>
      </c>
      <c r="I1709" s="35">
        <v>147</v>
      </c>
      <c r="J1709" s="114" t="s">
        <v>2123</v>
      </c>
      <c r="K1709" s="57" t="s">
        <v>367</v>
      </c>
      <c r="L1709" s="438" t="s">
        <v>2924</v>
      </c>
      <c r="M1709" s="484" t="s">
        <v>104</v>
      </c>
      <c r="N1709" s="1008"/>
      <c r="O1709" s="219"/>
      <c r="P1709" s="70" t="s">
        <v>72</v>
      </c>
      <c r="Q1709" s="100">
        <f t="shared" si="894"/>
        <v>0</v>
      </c>
      <c r="R1709" s="1095" t="str">
        <f t="shared" si="896"/>
        <v>Фото &gt;&gt;</v>
      </c>
      <c r="S1709" s="14" t="s">
        <v>6076</v>
      </c>
      <c r="U1709" s="4"/>
      <c r="V1709" s="4"/>
      <c r="AG1709" s="84"/>
      <c r="AH1709" s="84"/>
      <c r="AK1709">
        <v>0.05</v>
      </c>
      <c r="AL1709">
        <f t="shared" si="891"/>
        <v>0</v>
      </c>
      <c r="AM1709">
        <f t="shared" si="892"/>
        <v>0</v>
      </c>
      <c r="AN1709">
        <f t="shared" si="893"/>
        <v>0</v>
      </c>
      <c r="AO1709" t="s">
        <v>6077</v>
      </c>
      <c r="AV1709" t="str">
        <f>IF(F1709&gt;0,(COUNT($AV$1:AV1708)+1),"")</f>
        <v/>
      </c>
    </row>
    <row r="1710" spans="1:48" ht="15" customHeight="1" x14ac:dyDescent="0.25">
      <c r="A1710" s="1"/>
      <c r="B1710" s="30">
        <v>19973</v>
      </c>
      <c r="C1710" s="20">
        <v>4603768370581</v>
      </c>
      <c r="D1710" s="225" t="s">
        <v>6084</v>
      </c>
      <c r="E1710" s="67">
        <v>12</v>
      </c>
      <c r="F1710" s="222"/>
      <c r="G1710" s="107">
        <v>131.5</v>
      </c>
      <c r="H1710" s="21">
        <v>137.80000000000001</v>
      </c>
      <c r="I1710" s="22">
        <v>152</v>
      </c>
      <c r="J1710" s="112" t="s">
        <v>2123</v>
      </c>
      <c r="K1710" s="45" t="s">
        <v>367</v>
      </c>
      <c r="L1710" s="437" t="s">
        <v>2924</v>
      </c>
      <c r="M1710" s="474" t="s">
        <v>104</v>
      </c>
      <c r="N1710" s="1013"/>
      <c r="O1710" s="209"/>
      <c r="P1710" s="66" t="s">
        <v>72</v>
      </c>
      <c r="Q1710" s="100">
        <f t="shared" si="894"/>
        <v>0</v>
      </c>
      <c r="R1710" s="1095" t="str">
        <f t="shared" si="896"/>
        <v>Фото &gt;&gt;</v>
      </c>
      <c r="S1710" s="14" t="s">
        <v>6078</v>
      </c>
      <c r="U1710" s="4"/>
      <c r="V1710" s="4"/>
      <c r="AG1710" s="84"/>
      <c r="AH1710" s="84"/>
      <c r="AK1710">
        <v>0.05</v>
      </c>
      <c r="AL1710">
        <f t="shared" si="891"/>
        <v>0</v>
      </c>
      <c r="AM1710">
        <f t="shared" si="892"/>
        <v>0</v>
      </c>
      <c r="AN1710">
        <f t="shared" si="893"/>
        <v>0</v>
      </c>
      <c r="AO1710" t="s">
        <v>6079</v>
      </c>
      <c r="AV1710" t="str">
        <f>IF(F1710&gt;0,(COUNT($AV$1:AV1709)+1),"")</f>
        <v/>
      </c>
    </row>
    <row r="1711" spans="1:48" ht="15" customHeight="1" x14ac:dyDescent="0.25">
      <c r="A1711" s="1"/>
      <c r="B1711" s="25"/>
      <c r="C1711" s="26"/>
      <c r="D1711" s="27" t="s">
        <v>6806</v>
      </c>
      <c r="E1711" s="80"/>
      <c r="F1711" s="96"/>
      <c r="G1711" s="28"/>
      <c r="H1711" s="29"/>
      <c r="I1711" s="29"/>
      <c r="J1711" s="51"/>
      <c r="K1711" s="47"/>
      <c r="L1711" s="447"/>
      <c r="M1711" s="489" t="s">
        <v>104</v>
      </c>
      <c r="N1711" s="716"/>
      <c r="O1711" s="186"/>
      <c r="P1711" s="79"/>
      <c r="Q1711" s="104"/>
      <c r="R1711" s="1095" t="str">
        <f t="shared" si="896"/>
        <v/>
      </c>
      <c r="S1711" s="14"/>
      <c r="AG1711" s="84"/>
      <c r="AH1711" s="84"/>
      <c r="AV1711" t="str">
        <f>IF(F1711&gt;0,(COUNT($AV$1:AV1710)+1),"")</f>
        <v/>
      </c>
    </row>
    <row r="1712" spans="1:48" ht="15" customHeight="1" x14ac:dyDescent="0.25">
      <c r="A1712" s="1"/>
      <c r="B1712" s="30">
        <v>20778</v>
      </c>
      <c r="C1712" s="20">
        <v>4673756385552</v>
      </c>
      <c r="D1712" s="421" t="s">
        <v>7268</v>
      </c>
      <c r="E1712" s="67">
        <v>5</v>
      </c>
      <c r="F1712" s="222"/>
      <c r="G1712" s="419">
        <v>430.5</v>
      </c>
      <c r="H1712" s="417">
        <v>452</v>
      </c>
      <c r="I1712" s="418">
        <v>474.5</v>
      </c>
      <c r="J1712" s="112" t="s">
        <v>2123</v>
      </c>
      <c r="K1712" s="45" t="s">
        <v>367</v>
      </c>
      <c r="L1712" s="437" t="s">
        <v>2924</v>
      </c>
      <c r="M1712" s="474"/>
      <c r="N1712" s="1013"/>
      <c r="O1712" s="209" t="s">
        <v>7436</v>
      </c>
      <c r="P1712" s="66" t="s">
        <v>100</v>
      </c>
      <c r="Q1712" s="100">
        <f>IF($AO$1689=2,F1712*H1712,IF($AO$1689=1,F1712*G1712,F1712*I1712))</f>
        <v>0</v>
      </c>
      <c r="R1712" s="1095" t="str">
        <f t="shared" si="896"/>
        <v>Фото &gt;&gt;</v>
      </c>
      <c r="S1712" s="14" t="s">
        <v>4525</v>
      </c>
      <c r="U1712" s="4"/>
      <c r="V1712" s="4"/>
      <c r="AG1712" s="84"/>
      <c r="AH1712" s="84"/>
      <c r="AK1712">
        <v>0.15</v>
      </c>
      <c r="AL1712">
        <f t="shared" ref="AL1712:AL1715" si="897">F1712*G1712</f>
        <v>0</v>
      </c>
      <c r="AM1712">
        <f t="shared" ref="AM1712:AM1715" si="898">F1712*H1712</f>
        <v>0</v>
      </c>
      <c r="AN1712">
        <f t="shared" ref="AN1712:AN1715" si="899">AK1712*F1712+IF(E1712&gt;1.01,F1712/E1712*0.2,0)</f>
        <v>0</v>
      </c>
      <c r="AO1712" t="s">
        <v>4527</v>
      </c>
      <c r="AV1712" t="str">
        <f>IF(F1712&gt;0,(COUNT($AV$1:AV1711)+1),"")</f>
        <v/>
      </c>
    </row>
    <row r="1713" spans="1:48" ht="15" customHeight="1" x14ac:dyDescent="0.25">
      <c r="A1713" s="1"/>
      <c r="B1713" s="31">
        <v>20798</v>
      </c>
      <c r="C1713" s="16">
        <v>4673756385590</v>
      </c>
      <c r="D1713" s="154" t="s">
        <v>7267</v>
      </c>
      <c r="E1713" s="69">
        <v>5</v>
      </c>
      <c r="F1713" s="222"/>
      <c r="G1713" s="108">
        <v>811</v>
      </c>
      <c r="H1713" s="17">
        <v>852</v>
      </c>
      <c r="I1713" s="18">
        <v>895</v>
      </c>
      <c r="J1713" s="113" t="s">
        <v>2123</v>
      </c>
      <c r="K1713" s="44" t="s">
        <v>367</v>
      </c>
      <c r="L1713" s="442" t="s">
        <v>2924</v>
      </c>
      <c r="M1713" s="480"/>
      <c r="N1713" s="1015"/>
      <c r="O1713" s="210"/>
      <c r="P1713" s="68" t="s">
        <v>100</v>
      </c>
      <c r="Q1713" s="100">
        <f>IF($AO$1689=2,F1713*H1713,IF($AO$1689=1,F1713*G1713,F1713*I1713))</f>
        <v>0</v>
      </c>
      <c r="R1713" s="1095" t="str">
        <f t="shared" si="896"/>
        <v>Фото &gt;&gt;</v>
      </c>
      <c r="S1713" s="14" t="s">
        <v>6807</v>
      </c>
      <c r="U1713" s="4"/>
      <c r="V1713" s="4"/>
      <c r="AG1713" s="84"/>
      <c r="AH1713" s="84"/>
      <c r="AK1713">
        <v>0.15</v>
      </c>
      <c r="AL1713">
        <f t="shared" si="897"/>
        <v>0</v>
      </c>
      <c r="AM1713">
        <f t="shared" si="898"/>
        <v>0</v>
      </c>
      <c r="AN1713">
        <f t="shared" si="899"/>
        <v>0</v>
      </c>
      <c r="AO1713" t="s">
        <v>6808</v>
      </c>
      <c r="AV1713" t="str">
        <f>IF(F1713&gt;0,(COUNT($AV$1:AV1712)+1),"")</f>
        <v/>
      </c>
    </row>
    <row r="1714" spans="1:48" ht="15" customHeight="1" x14ac:dyDescent="0.25">
      <c r="A1714" s="1"/>
      <c r="B1714" s="30">
        <v>20805</v>
      </c>
      <c r="C1714" s="20">
        <v>4673756385583</v>
      </c>
      <c r="D1714" s="421" t="s">
        <v>7269</v>
      </c>
      <c r="E1714" s="67">
        <v>5</v>
      </c>
      <c r="F1714" s="222"/>
      <c r="G1714" s="419">
        <v>392.5</v>
      </c>
      <c r="H1714" s="417">
        <v>412.5</v>
      </c>
      <c r="I1714" s="418">
        <v>432.5</v>
      </c>
      <c r="J1714" s="112" t="s">
        <v>2123</v>
      </c>
      <c r="K1714" s="45" t="s">
        <v>367</v>
      </c>
      <c r="L1714" s="437" t="s">
        <v>2924</v>
      </c>
      <c r="M1714" s="474"/>
      <c r="N1714" s="1013"/>
      <c r="O1714" s="209" t="s">
        <v>7436</v>
      </c>
      <c r="P1714" s="66" t="s">
        <v>100</v>
      </c>
      <c r="Q1714" s="100">
        <f>IF($AO$1689=2,F1714*H1714,IF($AO$1689=1,F1714*G1714,F1714*I1714))</f>
        <v>0</v>
      </c>
      <c r="R1714" s="1095" t="str">
        <f t="shared" si="896"/>
        <v>Фото &gt;&gt;</v>
      </c>
      <c r="S1714" s="14" t="s">
        <v>4526</v>
      </c>
      <c r="U1714" s="4"/>
      <c r="V1714" s="4"/>
      <c r="AG1714" s="84"/>
      <c r="AH1714" s="84"/>
      <c r="AK1714">
        <v>0.15</v>
      </c>
      <c r="AL1714">
        <f t="shared" si="897"/>
        <v>0</v>
      </c>
      <c r="AM1714">
        <f t="shared" si="898"/>
        <v>0</v>
      </c>
      <c r="AN1714">
        <f t="shared" si="899"/>
        <v>0</v>
      </c>
      <c r="AO1714" t="s">
        <v>4528</v>
      </c>
      <c r="AV1714" t="str">
        <f>IF(F1714&gt;0,(COUNT($AV$1:AV1713)+1),"")</f>
        <v/>
      </c>
    </row>
    <row r="1715" spans="1:48" ht="15" customHeight="1" x14ac:dyDescent="0.25">
      <c r="A1715" s="1"/>
      <c r="B1715" s="31">
        <v>20794</v>
      </c>
      <c r="C1715" s="16">
        <v>4673756385439</v>
      </c>
      <c r="D1715" s="226" t="s">
        <v>6809</v>
      </c>
      <c r="E1715" s="69">
        <v>5</v>
      </c>
      <c r="F1715" s="222"/>
      <c r="G1715" s="108">
        <v>618</v>
      </c>
      <c r="H1715" s="17">
        <v>649</v>
      </c>
      <c r="I1715" s="18">
        <v>690</v>
      </c>
      <c r="J1715" s="113" t="s">
        <v>2123</v>
      </c>
      <c r="K1715" s="44" t="s">
        <v>367</v>
      </c>
      <c r="L1715" s="442" t="s">
        <v>2924</v>
      </c>
      <c r="M1715" s="480"/>
      <c r="N1715" s="1015"/>
      <c r="O1715" s="210"/>
      <c r="P1715" s="68" t="s">
        <v>100</v>
      </c>
      <c r="Q1715" s="100">
        <f>IF($AO$1689=2,F1715*H1715,IF($AO$1689=1,F1715*G1715,F1715*I1715))</f>
        <v>0</v>
      </c>
      <c r="R1715" s="1095" t="str">
        <f t="shared" si="896"/>
        <v>Фото &gt;&gt;</v>
      </c>
      <c r="S1715" s="14" t="s">
        <v>6086</v>
      </c>
      <c r="U1715" s="4"/>
      <c r="V1715" s="4"/>
      <c r="AG1715" s="84"/>
      <c r="AH1715" s="84"/>
      <c r="AK1715">
        <v>0.15</v>
      </c>
      <c r="AL1715">
        <f t="shared" si="897"/>
        <v>0</v>
      </c>
      <c r="AM1715">
        <f t="shared" si="898"/>
        <v>0</v>
      </c>
      <c r="AN1715">
        <f t="shared" si="899"/>
        <v>0</v>
      </c>
      <c r="AO1715" t="s">
        <v>6087</v>
      </c>
      <c r="AV1715" t="str">
        <f>IF(F1715&gt;0,(COUNT($AV$1:AV1714)+1),"")</f>
        <v/>
      </c>
    </row>
    <row r="1716" spans="1:48" ht="15" customHeight="1" x14ac:dyDescent="0.25">
      <c r="A1716" s="1"/>
      <c r="B1716" s="25"/>
      <c r="C1716" s="26"/>
      <c r="D1716" s="27" t="s">
        <v>3867</v>
      </c>
      <c r="E1716" s="80"/>
      <c r="F1716" s="96"/>
      <c r="G1716" s="28"/>
      <c r="H1716" s="29"/>
      <c r="I1716" s="29"/>
      <c r="J1716" s="51"/>
      <c r="K1716" s="47"/>
      <c r="L1716" s="447"/>
      <c r="M1716" s="489"/>
      <c r="N1716" s="716"/>
      <c r="O1716" s="186"/>
      <c r="P1716" s="79"/>
      <c r="Q1716" s="104"/>
      <c r="R1716" s="1095" t="str">
        <f t="shared" si="896"/>
        <v/>
      </c>
      <c r="S1716" s="14"/>
      <c r="AG1716" s="84"/>
      <c r="AH1716" s="84"/>
      <c r="AV1716" t="str">
        <f>IF(F1716&gt;0,(COUNT($AV$1:AV1715)+1),"")</f>
        <v/>
      </c>
    </row>
    <row r="1717" spans="1:48" ht="15" customHeight="1" x14ac:dyDescent="0.25">
      <c r="A1717" s="1"/>
      <c r="B1717" s="30">
        <v>20329</v>
      </c>
      <c r="C1717" s="20">
        <v>4603768370536</v>
      </c>
      <c r="D1717" s="225" t="s">
        <v>6812</v>
      </c>
      <c r="E1717" s="67">
        <v>5</v>
      </c>
      <c r="F1717" s="222"/>
      <c r="G1717" s="107">
        <v>831.6</v>
      </c>
      <c r="H1717" s="21">
        <v>866</v>
      </c>
      <c r="I1717" s="22">
        <v>956</v>
      </c>
      <c r="J1717" s="112" t="s">
        <v>2123</v>
      </c>
      <c r="K1717" s="45" t="s">
        <v>367</v>
      </c>
      <c r="L1717" s="437" t="s">
        <v>2924</v>
      </c>
      <c r="M1717" s="474"/>
      <c r="N1717" s="1013"/>
      <c r="O1717" s="209"/>
      <c r="P1717" s="66" t="s">
        <v>53</v>
      </c>
      <c r="Q1717" s="100">
        <f t="shared" ref="Q1717:Q1722" si="900">IF($AO$1689=2,F1717*H1717,IF($AO$1689=1,F1717*G1717,F1717*I1717))</f>
        <v>0</v>
      </c>
      <c r="R1717" s="1095" t="str">
        <f t="shared" si="896"/>
        <v>Фото &gt;&gt;</v>
      </c>
      <c r="S1717" s="14" t="s">
        <v>6601</v>
      </c>
      <c r="U1717" s="4"/>
      <c r="V1717" s="4"/>
      <c r="AG1717" s="84"/>
      <c r="AH1717" s="84"/>
      <c r="AK1717">
        <v>0.17</v>
      </c>
      <c r="AL1717">
        <f t="shared" ref="AL1717:AL1722" si="901">F1717*G1717</f>
        <v>0</v>
      </c>
      <c r="AM1717">
        <f t="shared" ref="AM1717:AM1722" si="902">F1717*H1717</f>
        <v>0</v>
      </c>
      <c r="AN1717">
        <f t="shared" ref="AN1717:AN1722" si="903">AK1717*F1717+IF(E1717&gt;1.01,F1717/E1717*0.2,0)</f>
        <v>0</v>
      </c>
      <c r="AO1717" t="s">
        <v>6602</v>
      </c>
      <c r="AV1717" t="str">
        <f>IF(F1717&gt;0,(COUNT($AV$1:AV1716)+1),"")</f>
        <v/>
      </c>
    </row>
    <row r="1718" spans="1:48" ht="15" customHeight="1" x14ac:dyDescent="0.25">
      <c r="A1718" s="1"/>
      <c r="B1718" s="31">
        <v>19968</v>
      </c>
      <c r="C1718" s="16">
        <v>4603768370345</v>
      </c>
      <c r="D1718" s="226" t="s">
        <v>6799</v>
      </c>
      <c r="E1718" s="69">
        <v>5</v>
      </c>
      <c r="F1718" s="222"/>
      <c r="G1718" s="108">
        <v>654</v>
      </c>
      <c r="H1718" s="17">
        <v>686</v>
      </c>
      <c r="I1718" s="18">
        <v>755</v>
      </c>
      <c r="J1718" s="113" t="s">
        <v>2123</v>
      </c>
      <c r="K1718" s="44" t="s">
        <v>367</v>
      </c>
      <c r="L1718" s="442" t="s">
        <v>2924</v>
      </c>
      <c r="M1718" s="480" t="s">
        <v>104</v>
      </c>
      <c r="N1718" s="1015"/>
      <c r="O1718" s="210"/>
      <c r="P1718" s="68" t="s">
        <v>100</v>
      </c>
      <c r="Q1718" s="100">
        <f t="shared" si="900"/>
        <v>0</v>
      </c>
      <c r="R1718" s="1095" t="str">
        <f t="shared" si="896"/>
        <v>Фото &gt;&gt;</v>
      </c>
      <c r="S1718" s="14" t="s">
        <v>2124</v>
      </c>
      <c r="U1718" s="4"/>
      <c r="V1718" s="4"/>
      <c r="AG1718" s="84"/>
      <c r="AH1718" s="84"/>
      <c r="AK1718">
        <v>0.17</v>
      </c>
      <c r="AL1718">
        <f t="shared" si="901"/>
        <v>0</v>
      </c>
      <c r="AM1718">
        <f t="shared" si="902"/>
        <v>0</v>
      </c>
      <c r="AN1718">
        <f t="shared" si="903"/>
        <v>0</v>
      </c>
      <c r="AO1718" t="s">
        <v>2633</v>
      </c>
      <c r="AV1718" t="str">
        <f>IF(F1718&gt;0,(COUNT($AV$1:AV1717)+1),"")</f>
        <v/>
      </c>
    </row>
    <row r="1719" spans="1:48" ht="15" customHeight="1" x14ac:dyDescent="0.25">
      <c r="A1719" s="1"/>
      <c r="B1719" s="30">
        <v>19969</v>
      </c>
      <c r="C1719" s="20">
        <v>4603768370352</v>
      </c>
      <c r="D1719" s="225" t="s">
        <v>6800</v>
      </c>
      <c r="E1719" s="67">
        <v>5</v>
      </c>
      <c r="F1719" s="222"/>
      <c r="G1719" s="107">
        <v>666</v>
      </c>
      <c r="H1719" s="21">
        <v>700</v>
      </c>
      <c r="I1719" s="22">
        <v>770</v>
      </c>
      <c r="J1719" s="112" t="s">
        <v>2123</v>
      </c>
      <c r="K1719" s="45" t="s">
        <v>367</v>
      </c>
      <c r="L1719" s="437" t="s">
        <v>2924</v>
      </c>
      <c r="M1719" s="474" t="s">
        <v>104</v>
      </c>
      <c r="N1719" s="1013"/>
      <c r="O1719" s="209"/>
      <c r="P1719" s="66" t="s">
        <v>100</v>
      </c>
      <c r="Q1719" s="100">
        <f t="shared" si="900"/>
        <v>0</v>
      </c>
      <c r="R1719" s="1095" t="str">
        <f t="shared" si="896"/>
        <v>Фото &gt;&gt;</v>
      </c>
      <c r="S1719" s="14" t="s">
        <v>3368</v>
      </c>
      <c r="U1719" s="4"/>
      <c r="V1719" s="4"/>
      <c r="AG1719" s="84"/>
      <c r="AH1719" s="84"/>
      <c r="AK1719">
        <v>0.17</v>
      </c>
      <c r="AL1719">
        <f t="shared" si="901"/>
        <v>0</v>
      </c>
      <c r="AM1719">
        <f t="shared" si="902"/>
        <v>0</v>
      </c>
      <c r="AN1719">
        <f t="shared" si="903"/>
        <v>0</v>
      </c>
      <c r="AO1719" t="s">
        <v>2634</v>
      </c>
      <c r="AV1719" t="str">
        <f>IF(F1719&gt;0,(COUNT($AV$1:AV1718)+1),"")</f>
        <v/>
      </c>
    </row>
    <row r="1720" spans="1:48" ht="15" customHeight="1" x14ac:dyDescent="0.25">
      <c r="A1720" s="1"/>
      <c r="B1720" s="31">
        <v>19995</v>
      </c>
      <c r="C1720" s="16">
        <v>4603768370376</v>
      </c>
      <c r="D1720" s="226" t="s">
        <v>6801</v>
      </c>
      <c r="E1720" s="69">
        <v>5</v>
      </c>
      <c r="F1720" s="222"/>
      <c r="G1720" s="108">
        <v>651</v>
      </c>
      <c r="H1720" s="17">
        <v>684</v>
      </c>
      <c r="I1720" s="18">
        <v>730</v>
      </c>
      <c r="J1720" s="113" t="s">
        <v>2123</v>
      </c>
      <c r="K1720" s="44" t="s">
        <v>367</v>
      </c>
      <c r="L1720" s="442" t="s">
        <v>2924</v>
      </c>
      <c r="M1720" s="480" t="s">
        <v>104</v>
      </c>
      <c r="N1720" s="1015"/>
      <c r="O1720" s="210"/>
      <c r="P1720" s="68" t="s">
        <v>100</v>
      </c>
      <c r="Q1720" s="100">
        <f t="shared" si="900"/>
        <v>0</v>
      </c>
      <c r="R1720" s="1095" t="str">
        <f t="shared" si="896"/>
        <v>Фото &gt;&gt;</v>
      </c>
      <c r="S1720" s="14" t="s">
        <v>2152</v>
      </c>
      <c r="U1720" s="4"/>
      <c r="V1720" s="4"/>
      <c r="AG1720" s="84"/>
      <c r="AH1720" s="84"/>
      <c r="AK1720">
        <v>0.17</v>
      </c>
      <c r="AL1720">
        <f t="shared" si="901"/>
        <v>0</v>
      </c>
      <c r="AM1720">
        <f t="shared" si="902"/>
        <v>0</v>
      </c>
      <c r="AN1720">
        <f t="shared" si="903"/>
        <v>0</v>
      </c>
      <c r="AO1720" t="s">
        <v>2635</v>
      </c>
      <c r="AV1720" t="str">
        <f>IF(F1720&gt;0,(COUNT($AV$1:AV1719)+1),"")</f>
        <v/>
      </c>
    </row>
    <row r="1721" spans="1:48" ht="15" customHeight="1" x14ac:dyDescent="0.25">
      <c r="A1721" s="1"/>
      <c r="B1721" s="30">
        <v>19964</v>
      </c>
      <c r="C1721" s="20">
        <v>4603768370963</v>
      </c>
      <c r="D1721" s="225" t="s">
        <v>6802</v>
      </c>
      <c r="E1721" s="67">
        <v>5</v>
      </c>
      <c r="F1721" s="222"/>
      <c r="G1721" s="107">
        <v>796.5</v>
      </c>
      <c r="H1721" s="21">
        <v>836</v>
      </c>
      <c r="I1721" s="22">
        <v>920</v>
      </c>
      <c r="J1721" s="112" t="s">
        <v>2123</v>
      </c>
      <c r="K1721" s="45" t="s">
        <v>367</v>
      </c>
      <c r="L1721" s="437" t="s">
        <v>2924</v>
      </c>
      <c r="M1721" s="474"/>
      <c r="N1721" s="1013"/>
      <c r="O1721" s="209"/>
      <c r="P1721" s="66" t="s">
        <v>100</v>
      </c>
      <c r="Q1721" s="100">
        <f t="shared" si="900"/>
        <v>0</v>
      </c>
      <c r="R1721" s="1095" t="str">
        <f t="shared" si="896"/>
        <v>Фото &gt;&gt;</v>
      </c>
      <c r="S1721" s="14" t="s">
        <v>2125</v>
      </c>
      <c r="U1721" s="4"/>
      <c r="V1721" s="4"/>
      <c r="AG1721" s="84"/>
      <c r="AH1721" s="84"/>
      <c r="AK1721">
        <v>0.2</v>
      </c>
      <c r="AL1721">
        <f t="shared" si="901"/>
        <v>0</v>
      </c>
      <c r="AM1721">
        <f t="shared" si="902"/>
        <v>0</v>
      </c>
      <c r="AN1721">
        <f t="shared" si="903"/>
        <v>0</v>
      </c>
      <c r="AO1721" t="s">
        <v>6085</v>
      </c>
      <c r="AV1721" t="str">
        <f>IF(F1721&gt;0,(COUNT($AV$1:AV1720)+1),"")</f>
        <v/>
      </c>
    </row>
    <row r="1722" spans="1:48" ht="15" customHeight="1" x14ac:dyDescent="0.25">
      <c r="A1722" s="1"/>
      <c r="B1722" s="31">
        <v>19997</v>
      </c>
      <c r="C1722" s="16">
        <v>4603768370284</v>
      </c>
      <c r="D1722" s="226" t="s">
        <v>6175</v>
      </c>
      <c r="E1722" s="69">
        <v>5</v>
      </c>
      <c r="F1722" s="222"/>
      <c r="G1722" s="108">
        <v>897</v>
      </c>
      <c r="H1722" s="17">
        <v>941</v>
      </c>
      <c r="I1722" s="18">
        <v>1035</v>
      </c>
      <c r="J1722" s="113" t="s">
        <v>2123</v>
      </c>
      <c r="K1722" s="44" t="s">
        <v>367</v>
      </c>
      <c r="L1722" s="442" t="s">
        <v>2924</v>
      </c>
      <c r="M1722" s="480"/>
      <c r="N1722" s="1015" t="s">
        <v>1856</v>
      </c>
      <c r="O1722" s="210"/>
      <c r="P1722" s="68" t="s">
        <v>72</v>
      </c>
      <c r="Q1722" s="100">
        <f t="shared" si="900"/>
        <v>0</v>
      </c>
      <c r="R1722" s="1095" t="str">
        <f t="shared" si="896"/>
        <v>Фото &gt;&gt;</v>
      </c>
      <c r="S1722" s="14" t="s">
        <v>6176</v>
      </c>
      <c r="U1722" s="4"/>
      <c r="V1722" s="4"/>
      <c r="AG1722" s="84"/>
      <c r="AH1722" s="84"/>
      <c r="AK1722">
        <v>0.17</v>
      </c>
      <c r="AL1722">
        <f t="shared" si="901"/>
        <v>0</v>
      </c>
      <c r="AM1722">
        <f t="shared" si="902"/>
        <v>0</v>
      </c>
      <c r="AN1722">
        <f t="shared" si="903"/>
        <v>0</v>
      </c>
      <c r="AO1722" t="s">
        <v>6177</v>
      </c>
      <c r="AV1722" t="str">
        <f>IF(F1722&gt;0,(COUNT($AV$1:AV1721)+1),"")</f>
        <v/>
      </c>
    </row>
    <row r="1723" spans="1:48" ht="15" customHeight="1" x14ac:dyDescent="0.25">
      <c r="A1723" s="1"/>
      <c r="B1723" s="25"/>
      <c r="C1723" s="26"/>
      <c r="D1723" s="27" t="s">
        <v>2153</v>
      </c>
      <c r="E1723" s="80"/>
      <c r="F1723" s="96"/>
      <c r="G1723" s="28"/>
      <c r="H1723" s="29"/>
      <c r="I1723" s="29"/>
      <c r="J1723" s="51"/>
      <c r="K1723" s="47"/>
      <c r="L1723" s="447"/>
      <c r="M1723" s="489" t="s">
        <v>104</v>
      </c>
      <c r="N1723" s="716"/>
      <c r="O1723" s="186"/>
      <c r="P1723" s="79"/>
      <c r="Q1723" s="104"/>
      <c r="R1723" s="1095" t="str">
        <f t="shared" si="896"/>
        <v/>
      </c>
      <c r="S1723" s="14"/>
      <c r="AG1723" s="84"/>
      <c r="AH1723" s="84"/>
      <c r="AV1723" t="str">
        <f>IF(F1723&gt;0,(COUNT($AV$1:AV1722)+1),"")</f>
        <v/>
      </c>
    </row>
    <row r="1724" spans="1:48" ht="15" customHeight="1" x14ac:dyDescent="0.25">
      <c r="A1724" s="1"/>
      <c r="B1724" s="31">
        <v>19963</v>
      </c>
      <c r="C1724" s="16">
        <v>4603726349802</v>
      </c>
      <c r="D1724" s="226" t="s">
        <v>4621</v>
      </c>
      <c r="E1724" s="69">
        <v>5</v>
      </c>
      <c r="F1724" s="222"/>
      <c r="G1724" s="108">
        <v>879</v>
      </c>
      <c r="H1724" s="17">
        <v>923</v>
      </c>
      <c r="I1724" s="18">
        <v>1015</v>
      </c>
      <c r="J1724" s="113" t="s">
        <v>2123</v>
      </c>
      <c r="K1724" s="44" t="s">
        <v>367</v>
      </c>
      <c r="L1724" s="442" t="s">
        <v>2924</v>
      </c>
      <c r="M1724" s="480"/>
      <c r="N1724" s="1015"/>
      <c r="O1724" s="210"/>
      <c r="P1724" s="68" t="s">
        <v>100</v>
      </c>
      <c r="Q1724" s="100">
        <f t="shared" ref="Q1724:Q1729" si="904">IF($AO$1689=2,F1724*H1724,IF($AO$1689=1,F1724*G1724,F1724*I1724))</f>
        <v>0</v>
      </c>
      <c r="R1724" s="1095" t="str">
        <f t="shared" si="896"/>
        <v>Фото &gt;&gt;</v>
      </c>
      <c r="S1724" s="14" t="s">
        <v>2126</v>
      </c>
      <c r="U1724" s="4"/>
      <c r="V1724" s="4"/>
      <c r="AG1724" s="84"/>
      <c r="AH1724" s="84"/>
      <c r="AK1724">
        <v>0.2</v>
      </c>
      <c r="AL1724">
        <f t="shared" ref="AL1724:AL1729" si="905">F1724*G1724</f>
        <v>0</v>
      </c>
      <c r="AM1724">
        <f t="shared" ref="AM1724:AM1729" si="906">F1724*H1724</f>
        <v>0</v>
      </c>
      <c r="AN1724">
        <f t="shared" ref="AN1724:AN1726" si="907">AK1724*F1724+IF(E1724&gt;1.01,F1724/E1724*0.2,0)</f>
        <v>0</v>
      </c>
      <c r="AO1724" t="s">
        <v>2637</v>
      </c>
      <c r="AV1724" t="str">
        <f>IF(F1724&gt;0,(COUNT($AV$1:AV1723)+1),"")</f>
        <v/>
      </c>
    </row>
    <row r="1725" spans="1:48" ht="15" customHeight="1" x14ac:dyDescent="0.25">
      <c r="A1725" s="1"/>
      <c r="B1725" s="30">
        <v>19960</v>
      </c>
      <c r="C1725" s="20">
        <v>4603726349901</v>
      </c>
      <c r="D1725" s="225" t="s">
        <v>7035</v>
      </c>
      <c r="E1725" s="67">
        <v>5</v>
      </c>
      <c r="F1725" s="222"/>
      <c r="G1725" s="107">
        <v>956</v>
      </c>
      <c r="H1725" s="21">
        <v>1004</v>
      </c>
      <c r="I1725" s="22">
        <v>1054</v>
      </c>
      <c r="J1725" s="112" t="s">
        <v>2123</v>
      </c>
      <c r="K1725" s="45" t="s">
        <v>367</v>
      </c>
      <c r="L1725" s="437" t="s">
        <v>2924</v>
      </c>
      <c r="M1725" s="474"/>
      <c r="N1725" s="1013"/>
      <c r="O1725" s="897"/>
      <c r="P1725" s="66" t="s">
        <v>100</v>
      </c>
      <c r="Q1725" s="100">
        <f t="shared" si="904"/>
        <v>0</v>
      </c>
      <c r="R1725" s="1095" t="str">
        <f t="shared" si="896"/>
        <v>Фото &gt;&gt;</v>
      </c>
      <c r="S1725" s="14" t="s">
        <v>2125</v>
      </c>
      <c r="U1725" s="4"/>
      <c r="V1725" s="4"/>
      <c r="AG1725" s="84"/>
      <c r="AH1725" s="84"/>
      <c r="AK1725">
        <v>0.2</v>
      </c>
      <c r="AL1725">
        <f t="shared" si="905"/>
        <v>0</v>
      </c>
      <c r="AM1725">
        <f t="shared" si="906"/>
        <v>0</v>
      </c>
      <c r="AN1725">
        <f t="shared" si="907"/>
        <v>0</v>
      </c>
      <c r="AO1725" t="s">
        <v>2638</v>
      </c>
      <c r="AV1725" t="str">
        <f>IF(F1725&gt;0,(COUNT($AV$1:AV1724)+1),"")</f>
        <v/>
      </c>
    </row>
    <row r="1726" spans="1:48" ht="15" customHeight="1" x14ac:dyDescent="0.25">
      <c r="A1726" s="1"/>
      <c r="B1726" s="31">
        <v>19961</v>
      </c>
      <c r="C1726" s="16">
        <v>4603726349918</v>
      </c>
      <c r="D1726" s="226" t="s">
        <v>7036</v>
      </c>
      <c r="E1726" s="69">
        <v>5</v>
      </c>
      <c r="F1726" s="222"/>
      <c r="G1726" s="108">
        <v>860</v>
      </c>
      <c r="H1726" s="17">
        <v>903</v>
      </c>
      <c r="I1726" s="18">
        <v>950</v>
      </c>
      <c r="J1726" s="113" t="s">
        <v>2123</v>
      </c>
      <c r="K1726" s="44" t="s">
        <v>367</v>
      </c>
      <c r="L1726" s="442" t="s">
        <v>2924</v>
      </c>
      <c r="M1726" s="480"/>
      <c r="N1726" s="1015"/>
      <c r="O1726" s="210"/>
      <c r="P1726" s="68" t="s">
        <v>100</v>
      </c>
      <c r="Q1726" s="100">
        <f t="shared" si="904"/>
        <v>0</v>
      </c>
      <c r="R1726" s="1095" t="str">
        <f t="shared" si="896"/>
        <v>Фото &gt;&gt;</v>
      </c>
      <c r="S1726" s="14" t="s">
        <v>2127</v>
      </c>
      <c r="U1726" s="4"/>
      <c r="V1726" s="4"/>
      <c r="AG1726" s="84"/>
      <c r="AH1726" s="84"/>
      <c r="AK1726">
        <v>0.2</v>
      </c>
      <c r="AL1726">
        <f t="shared" si="905"/>
        <v>0</v>
      </c>
      <c r="AM1726">
        <f t="shared" si="906"/>
        <v>0</v>
      </c>
      <c r="AN1726">
        <f t="shared" si="907"/>
        <v>0</v>
      </c>
      <c r="AO1726" t="s">
        <v>2639</v>
      </c>
      <c r="AV1726" t="str">
        <f>IF(F1726&gt;0,(COUNT($AV$1:AV1725)+1),"")</f>
        <v/>
      </c>
    </row>
    <row r="1727" spans="1:48" ht="15" customHeight="1" x14ac:dyDescent="0.25">
      <c r="A1727" s="1"/>
      <c r="B1727" s="30">
        <v>19967</v>
      </c>
      <c r="C1727" s="20">
        <v>4603768370338</v>
      </c>
      <c r="D1727" s="225" t="s">
        <v>6803</v>
      </c>
      <c r="E1727" s="67">
        <v>5</v>
      </c>
      <c r="F1727" s="222"/>
      <c r="G1727" s="107">
        <v>644</v>
      </c>
      <c r="H1727" s="21">
        <v>676</v>
      </c>
      <c r="I1727" s="22">
        <v>744</v>
      </c>
      <c r="J1727" s="112" t="s">
        <v>2123</v>
      </c>
      <c r="K1727" s="45" t="s">
        <v>367</v>
      </c>
      <c r="L1727" s="437" t="s">
        <v>2924</v>
      </c>
      <c r="M1727" s="474" t="s">
        <v>104</v>
      </c>
      <c r="N1727" s="1013"/>
      <c r="O1727" s="209"/>
      <c r="P1727" s="66" t="s">
        <v>100</v>
      </c>
      <c r="Q1727" s="100">
        <f t="shared" si="904"/>
        <v>0</v>
      </c>
      <c r="R1727" s="1095" t="str">
        <f t="shared" si="896"/>
        <v>Фото &gt;&gt;</v>
      </c>
      <c r="S1727" s="14" t="s">
        <v>2129</v>
      </c>
      <c r="U1727" s="4"/>
      <c r="V1727" s="4"/>
      <c r="AG1727" s="84"/>
      <c r="AH1727" s="84"/>
      <c r="AK1727">
        <v>0.17</v>
      </c>
      <c r="AL1727">
        <f t="shared" si="905"/>
        <v>0</v>
      </c>
      <c r="AM1727">
        <f t="shared" si="906"/>
        <v>0</v>
      </c>
      <c r="AN1727">
        <f t="shared" ref="AN1727:AN1729" si="908">AK1727*F1727</f>
        <v>0</v>
      </c>
      <c r="AO1727" t="s">
        <v>2636</v>
      </c>
      <c r="AV1727" t="str">
        <f>IF(F1727&gt;0,(COUNT($AV$1:AV1726)+1),"")</f>
        <v/>
      </c>
    </row>
    <row r="1728" spans="1:48" ht="15" customHeight="1" x14ac:dyDescent="0.25">
      <c r="A1728" s="1"/>
      <c r="B1728" s="31">
        <v>19962</v>
      </c>
      <c r="C1728" s="16">
        <v>4603726349536</v>
      </c>
      <c r="D1728" s="226" t="s">
        <v>4622</v>
      </c>
      <c r="E1728" s="69">
        <v>5</v>
      </c>
      <c r="F1728" s="222"/>
      <c r="G1728" s="108">
        <v>864</v>
      </c>
      <c r="H1728" s="17">
        <v>907</v>
      </c>
      <c r="I1728" s="18">
        <v>998</v>
      </c>
      <c r="J1728" s="113" t="s">
        <v>2123</v>
      </c>
      <c r="K1728" s="44" t="s">
        <v>367</v>
      </c>
      <c r="L1728" s="442" t="s">
        <v>2924</v>
      </c>
      <c r="M1728" s="480"/>
      <c r="N1728" s="1015"/>
      <c r="O1728" s="210"/>
      <c r="P1728" s="68" t="s">
        <v>100</v>
      </c>
      <c r="Q1728" s="100">
        <f t="shared" si="904"/>
        <v>0</v>
      </c>
      <c r="R1728" s="1095" t="str">
        <f t="shared" si="896"/>
        <v>Фото &gt;&gt;</v>
      </c>
      <c r="S1728" s="14" t="s">
        <v>2128</v>
      </c>
      <c r="U1728" s="4"/>
      <c r="V1728" s="4"/>
      <c r="AG1728" s="84"/>
      <c r="AH1728" s="84"/>
      <c r="AK1728">
        <v>0.2</v>
      </c>
      <c r="AL1728">
        <f t="shared" si="905"/>
        <v>0</v>
      </c>
      <c r="AM1728">
        <f t="shared" si="906"/>
        <v>0</v>
      </c>
      <c r="AN1728">
        <f t="shared" si="908"/>
        <v>0</v>
      </c>
      <c r="AO1728" t="s">
        <v>2640</v>
      </c>
      <c r="AV1728" t="str">
        <f>IF(F1728&gt;0,(COUNT($AV$1:AV1727)+1),"")</f>
        <v/>
      </c>
    </row>
    <row r="1729" spans="1:48" ht="15" customHeight="1" x14ac:dyDescent="0.25">
      <c r="A1729" s="1"/>
      <c r="B1729" s="30">
        <v>19965</v>
      </c>
      <c r="C1729" s="20">
        <v>4603768370000</v>
      </c>
      <c r="D1729" s="225" t="s">
        <v>4623</v>
      </c>
      <c r="E1729" s="67">
        <v>5</v>
      </c>
      <c r="F1729" s="222"/>
      <c r="G1729" s="107">
        <v>768</v>
      </c>
      <c r="H1729" s="21">
        <v>806</v>
      </c>
      <c r="I1729" s="22">
        <v>887</v>
      </c>
      <c r="J1729" s="112" t="s">
        <v>2123</v>
      </c>
      <c r="K1729" s="45" t="s">
        <v>367</v>
      </c>
      <c r="L1729" s="437" t="s">
        <v>2924</v>
      </c>
      <c r="M1729" s="474"/>
      <c r="N1729" s="1013"/>
      <c r="O1729" s="209"/>
      <c r="P1729" s="66" t="s">
        <v>100</v>
      </c>
      <c r="Q1729" s="100">
        <f t="shared" si="904"/>
        <v>0</v>
      </c>
      <c r="R1729" s="1095" t="str">
        <f t="shared" si="896"/>
        <v>Фото &gt;&gt;</v>
      </c>
      <c r="S1729" s="14" t="s">
        <v>2130</v>
      </c>
      <c r="U1729" s="4"/>
      <c r="V1729" s="4"/>
      <c r="AG1729" s="84"/>
      <c r="AH1729" s="84"/>
      <c r="AK1729">
        <v>0.2</v>
      </c>
      <c r="AL1729">
        <f t="shared" si="905"/>
        <v>0</v>
      </c>
      <c r="AM1729">
        <f t="shared" si="906"/>
        <v>0</v>
      </c>
      <c r="AN1729">
        <f t="shared" si="908"/>
        <v>0</v>
      </c>
      <c r="AO1729" t="s">
        <v>2641</v>
      </c>
      <c r="AV1729" t="str">
        <f>IF(F1729&gt;0,(COUNT($AV$1:AV1728)+1),"")</f>
        <v/>
      </c>
    </row>
    <row r="1730" spans="1:48" ht="15" customHeight="1" x14ac:dyDescent="0.25">
      <c r="A1730" s="1"/>
      <c r="B1730" s="125"/>
      <c r="C1730" s="126"/>
      <c r="D1730" s="127"/>
      <c r="E1730" s="134"/>
      <c r="F1730" s="189"/>
      <c r="G1730" s="130"/>
      <c r="H1730" s="131"/>
      <c r="I1730" s="132"/>
      <c r="J1730" s="128"/>
      <c r="K1730" s="129"/>
      <c r="L1730" s="433"/>
      <c r="M1730" s="481"/>
      <c r="N1730" s="471"/>
      <c r="O1730" s="181"/>
      <c r="P1730" s="133"/>
      <c r="Q1730" s="135"/>
      <c r="R1730" s="13"/>
      <c r="S1730" s="14"/>
      <c r="AG1730" s="400"/>
      <c r="AH1730" s="400"/>
      <c r="AV1730" t="str">
        <f>IF(F1730&gt;0,(COUNT($AV$1:AV1729)+1),"")</f>
        <v/>
      </c>
    </row>
    <row r="1731" spans="1:48" ht="15" customHeight="1" thickBot="1" x14ac:dyDescent="0.3">
      <c r="A1731" s="1"/>
      <c r="B1731" s="158"/>
      <c r="C1731" s="159"/>
      <c r="D1731" s="160"/>
      <c r="E1731" s="167"/>
      <c r="F1731" s="191"/>
      <c r="G1731" s="163"/>
      <c r="H1731" s="164"/>
      <c r="I1731" s="165"/>
      <c r="J1731" s="161"/>
      <c r="K1731" s="162"/>
      <c r="L1731" s="439"/>
      <c r="M1731" s="475"/>
      <c r="N1731" s="467"/>
      <c r="O1731" s="183"/>
      <c r="P1731" s="166"/>
      <c r="Q1731" s="168"/>
      <c r="R1731" s="13"/>
      <c r="S1731" s="14"/>
      <c r="AG1731" s="400"/>
      <c r="AH1731" s="400"/>
      <c r="AV1731" t="str">
        <f>IF(F1731&gt;0,(COUNT($AV$1:AV1730)+1),"")</f>
        <v/>
      </c>
    </row>
    <row r="1732" spans="1:48" ht="24.95" customHeight="1" thickBot="1" x14ac:dyDescent="0.3">
      <c r="A1732" s="1"/>
      <c r="B1732" s="266"/>
      <c r="C1732" s="267"/>
      <c r="D1732" s="268" t="str">
        <f>CONCATENATE("Здороведа","     |     Сумма заказа: ",AK1732," руб.")</f>
        <v>Здороведа     |     Сумма заказа: 0 руб.</v>
      </c>
      <c r="E1732" s="269"/>
      <c r="F1732" s="270"/>
      <c r="G1732" s="271" t="str">
        <f>CONCATENATE("Ценовая колонка: ",AO1732,"   |   До следующей скидки: ",AJ1732," руб.")</f>
        <v>Ценовая колонка: 3   |   До следующей скидки: 5000 руб.</v>
      </c>
      <c r="H1732" s="272"/>
      <c r="I1732" s="272"/>
      <c r="J1732" s="273"/>
      <c r="K1732" s="274"/>
      <c r="L1732" s="451"/>
      <c r="M1732" s="495" t="s">
        <v>104</v>
      </c>
      <c r="N1732" s="571"/>
      <c r="O1732" s="275"/>
      <c r="P1732" s="276"/>
      <c r="Q1732" s="277"/>
      <c r="R1732" s="265" t="s">
        <v>1558</v>
      </c>
      <c r="S1732" s="6"/>
      <c r="AG1732" s="400"/>
      <c r="AH1732" s="400"/>
      <c r="AJ1732">
        <f>ROUND(IF(AL1732&gt;20000,"0", IF(AND(AL1732&lt;20000,AM1732&gt;5000),20000-AL1732,5000-AM1732)),2)</f>
        <v>5000</v>
      </c>
      <c r="AK1732">
        <f>SUM(Q1734:Q1781)</f>
        <v>0</v>
      </c>
      <c r="AL1732">
        <f>SUM(AL1734:AL1781)</f>
        <v>0</v>
      </c>
      <c r="AM1732">
        <f>SUM(AM1734:AM1781)</f>
        <v>0</v>
      </c>
      <c r="AO1732">
        <f>IF(AM1732&gt;5000,IF(AL1732&gt;20000,1,2),3)</f>
        <v>3</v>
      </c>
      <c r="AV1732" t="str">
        <f>IF(F1732&gt;0,(COUNT($AV$1:AV1731)+1),"")</f>
        <v/>
      </c>
    </row>
    <row r="1733" spans="1:48" ht="27.95" customHeight="1" x14ac:dyDescent="0.25">
      <c r="A1733" s="1"/>
      <c r="B1733" s="296"/>
      <c r="C1733" s="38"/>
      <c r="D1733" s="39" t="s">
        <v>1440</v>
      </c>
      <c r="E1733" s="82"/>
      <c r="F1733" s="97"/>
      <c r="G1733" s="1227" t="s">
        <v>7587</v>
      </c>
      <c r="H1733" s="41" t="s">
        <v>16</v>
      </c>
      <c r="I1733" s="41"/>
      <c r="J1733" s="52"/>
      <c r="K1733" s="48"/>
      <c r="L1733" s="448"/>
      <c r="M1733" s="491" t="s">
        <v>104</v>
      </c>
      <c r="N1733" s="715"/>
      <c r="O1733" s="187"/>
      <c r="P1733" s="81"/>
      <c r="Q1733" s="105"/>
      <c r="R1733" s="13"/>
      <c r="S1733" s="14"/>
      <c r="AV1733" t="str">
        <f>IF(F1733&gt;0,(COUNT($AV$1:AV1732)+1),"")</f>
        <v/>
      </c>
    </row>
    <row r="1734" spans="1:48" ht="15" customHeight="1" x14ac:dyDescent="0.25">
      <c r="A1734" s="1"/>
      <c r="B1734" s="31">
        <v>16060</v>
      </c>
      <c r="C1734" s="16">
        <v>4670009621696</v>
      </c>
      <c r="D1734" s="154" t="s">
        <v>619</v>
      </c>
      <c r="E1734" s="69">
        <v>14</v>
      </c>
      <c r="F1734" s="222"/>
      <c r="G1734" s="108">
        <v>107.5</v>
      </c>
      <c r="H1734" s="17">
        <v>111.8</v>
      </c>
      <c r="I1734" s="18">
        <v>121</v>
      </c>
      <c r="J1734" s="113" t="s">
        <v>620</v>
      </c>
      <c r="K1734" s="44" t="s">
        <v>49</v>
      </c>
      <c r="L1734" s="442"/>
      <c r="M1734" s="480" t="s">
        <v>1856</v>
      </c>
      <c r="N1734" s="1015" t="s">
        <v>1856</v>
      </c>
      <c r="O1734" s="210"/>
      <c r="P1734" s="68" t="s">
        <v>72</v>
      </c>
      <c r="Q1734" s="100">
        <f t="shared" ref="Q1734:Q1739" si="909">IF(AND($AO$1732=1,MOD(F1734,E1734)=0),F1734*G1734,IF($AO$1732&lt;=2,F1734*H1734,F1734*I1734))</f>
        <v>0</v>
      </c>
      <c r="R1734" s="13" t="str">
        <f t="shared" ref="R1734:R1739" si="910">IF(AO1734&gt;0,HYPERLINK(AO1734,"Фото &gt;&gt;"),"")</f>
        <v>Фото &gt;&gt;</v>
      </c>
      <c r="S1734" s="14" t="s">
        <v>621</v>
      </c>
      <c r="AK1734">
        <v>0.42</v>
      </c>
      <c r="AL1734">
        <f t="shared" ref="AL1734:AL1739" si="911">F1734*G1734</f>
        <v>0</v>
      </c>
      <c r="AM1734">
        <f t="shared" ref="AM1734:AM1739" si="912">F1734*H1734</f>
        <v>0</v>
      </c>
      <c r="AN1734">
        <f t="shared" ref="AN1734:AN1739" si="913">AK1734*F1734+IF(E1734&gt;1.01,F1734/E1734*0.2,0)</f>
        <v>0</v>
      </c>
      <c r="AO1734" t="s">
        <v>4930</v>
      </c>
      <c r="AV1734" t="str">
        <f>IF(F1734&gt;0,(COUNT($AV$1:AV1733)+1),"")</f>
        <v/>
      </c>
    </row>
    <row r="1735" spans="1:48" ht="15" customHeight="1" x14ac:dyDescent="0.25">
      <c r="A1735" s="1"/>
      <c r="B1735" s="30">
        <v>17605</v>
      </c>
      <c r="C1735" s="20">
        <v>4670009620569</v>
      </c>
      <c r="D1735" s="225" t="s">
        <v>636</v>
      </c>
      <c r="E1735" s="67">
        <v>14</v>
      </c>
      <c r="F1735" s="222"/>
      <c r="G1735" s="107">
        <v>118.5</v>
      </c>
      <c r="H1735" s="21">
        <v>123.6</v>
      </c>
      <c r="I1735" s="22">
        <v>129</v>
      </c>
      <c r="J1735" s="112" t="s">
        <v>620</v>
      </c>
      <c r="K1735" s="45" t="s">
        <v>49</v>
      </c>
      <c r="L1735" s="437"/>
      <c r="M1735" s="474" t="s">
        <v>1856</v>
      </c>
      <c r="N1735" s="1013" t="s">
        <v>1856</v>
      </c>
      <c r="O1735" s="209"/>
      <c r="P1735" s="66" t="s">
        <v>72</v>
      </c>
      <c r="Q1735" s="100">
        <f t="shared" si="909"/>
        <v>0</v>
      </c>
      <c r="R1735" s="13" t="str">
        <f t="shared" si="910"/>
        <v>Фото &gt;&gt;</v>
      </c>
      <c r="S1735" s="14" t="s">
        <v>637</v>
      </c>
      <c r="AK1735">
        <v>0.42</v>
      </c>
      <c r="AL1735">
        <f t="shared" si="911"/>
        <v>0</v>
      </c>
      <c r="AM1735">
        <f t="shared" si="912"/>
        <v>0</v>
      </c>
      <c r="AN1735">
        <f t="shared" si="913"/>
        <v>0</v>
      </c>
      <c r="AO1735" t="s">
        <v>2696</v>
      </c>
      <c r="AV1735" t="str">
        <f>IF(F1735&gt;0,(COUNT($AV$1:AV1734)+1),"")</f>
        <v/>
      </c>
    </row>
    <row r="1736" spans="1:48" ht="15" customHeight="1" x14ac:dyDescent="0.25">
      <c r="A1736" s="1"/>
      <c r="B1736" s="31">
        <v>15973</v>
      </c>
      <c r="C1736" s="16">
        <v>4670009620644</v>
      </c>
      <c r="D1736" s="154" t="s">
        <v>343</v>
      </c>
      <c r="E1736" s="69">
        <v>14</v>
      </c>
      <c r="F1736" s="222"/>
      <c r="G1736" s="108">
        <v>121.4</v>
      </c>
      <c r="H1736" s="17">
        <v>127.5</v>
      </c>
      <c r="I1736" s="18">
        <v>134</v>
      </c>
      <c r="J1736" s="113" t="s">
        <v>620</v>
      </c>
      <c r="K1736" s="44" t="s">
        <v>49</v>
      </c>
      <c r="L1736" s="442"/>
      <c r="M1736" s="480" t="s">
        <v>1856</v>
      </c>
      <c r="N1736" s="1015" t="s">
        <v>1856</v>
      </c>
      <c r="O1736" s="210"/>
      <c r="P1736" s="68" t="s">
        <v>72</v>
      </c>
      <c r="Q1736" s="100">
        <f t="shared" si="909"/>
        <v>0</v>
      </c>
      <c r="R1736" s="13" t="str">
        <f t="shared" si="910"/>
        <v>Фото &gt;&gt;</v>
      </c>
      <c r="S1736" s="14" t="s">
        <v>622</v>
      </c>
      <c r="AK1736">
        <v>0.21</v>
      </c>
      <c r="AL1736">
        <f t="shared" si="911"/>
        <v>0</v>
      </c>
      <c r="AM1736">
        <f t="shared" si="912"/>
        <v>0</v>
      </c>
      <c r="AN1736">
        <f t="shared" si="913"/>
        <v>0</v>
      </c>
      <c r="AO1736" t="s">
        <v>4931</v>
      </c>
      <c r="AV1736" t="str">
        <f>IF(F1736&gt;0,(COUNT($AV$1:AV1735)+1),"")</f>
        <v/>
      </c>
    </row>
    <row r="1737" spans="1:48" ht="15" customHeight="1" x14ac:dyDescent="0.25">
      <c r="A1737" s="1"/>
      <c r="B1737" s="30">
        <v>19129</v>
      </c>
      <c r="C1737" s="20">
        <v>4670009623218</v>
      </c>
      <c r="D1737" s="225" t="s">
        <v>1773</v>
      </c>
      <c r="E1737" s="67">
        <v>14</v>
      </c>
      <c r="F1737" s="222"/>
      <c r="G1737" s="107">
        <v>108.6</v>
      </c>
      <c r="H1737" s="21">
        <v>113</v>
      </c>
      <c r="I1737" s="22">
        <v>122</v>
      </c>
      <c r="J1737" s="112" t="s">
        <v>620</v>
      </c>
      <c r="K1737" s="45" t="s">
        <v>49</v>
      </c>
      <c r="L1737" s="437"/>
      <c r="M1737" s="474" t="s">
        <v>1856</v>
      </c>
      <c r="N1737" s="1013" t="s">
        <v>1856</v>
      </c>
      <c r="O1737" s="209"/>
      <c r="P1737" s="66" t="s">
        <v>72</v>
      </c>
      <c r="Q1737" s="100">
        <f t="shared" si="909"/>
        <v>0</v>
      </c>
      <c r="R1737" s="13" t="str">
        <f t="shared" si="910"/>
        <v>Фото &gt;&gt;</v>
      </c>
      <c r="S1737" s="14" t="s">
        <v>3153</v>
      </c>
      <c r="AK1737">
        <v>0.37</v>
      </c>
      <c r="AL1737">
        <f t="shared" si="911"/>
        <v>0</v>
      </c>
      <c r="AM1737">
        <f t="shared" si="912"/>
        <v>0</v>
      </c>
      <c r="AN1737">
        <f t="shared" si="913"/>
        <v>0</v>
      </c>
      <c r="AO1737" t="s">
        <v>3154</v>
      </c>
      <c r="AV1737" t="str">
        <f>IF(F1737&gt;0,(COUNT($AV$1:AV1736)+1),"")</f>
        <v/>
      </c>
    </row>
    <row r="1738" spans="1:48" ht="15" customHeight="1" x14ac:dyDescent="0.25">
      <c r="A1738" s="1"/>
      <c r="B1738" s="31">
        <v>19128</v>
      </c>
      <c r="C1738" s="16">
        <v>4670009623232</v>
      </c>
      <c r="D1738" s="154" t="s">
        <v>1794</v>
      </c>
      <c r="E1738" s="69">
        <v>14</v>
      </c>
      <c r="F1738" s="222"/>
      <c r="G1738" s="108">
        <v>123.8</v>
      </c>
      <c r="H1738" s="17">
        <v>128.69999999999999</v>
      </c>
      <c r="I1738" s="18">
        <v>139</v>
      </c>
      <c r="J1738" s="113" t="s">
        <v>620</v>
      </c>
      <c r="K1738" s="44" t="s">
        <v>49</v>
      </c>
      <c r="L1738" s="442"/>
      <c r="M1738" s="480" t="s">
        <v>1856</v>
      </c>
      <c r="N1738" s="1015" t="s">
        <v>1856</v>
      </c>
      <c r="O1738" s="210"/>
      <c r="P1738" s="68" t="s">
        <v>72</v>
      </c>
      <c r="Q1738" s="100">
        <f t="shared" si="909"/>
        <v>0</v>
      </c>
      <c r="R1738" s="13" t="str">
        <f t="shared" si="910"/>
        <v>Фото &gt;&gt;</v>
      </c>
      <c r="S1738" s="14" t="s">
        <v>3148</v>
      </c>
      <c r="AK1738">
        <v>0.33</v>
      </c>
      <c r="AL1738">
        <f t="shared" si="911"/>
        <v>0</v>
      </c>
      <c r="AM1738">
        <f t="shared" si="912"/>
        <v>0</v>
      </c>
      <c r="AN1738">
        <f t="shared" si="913"/>
        <v>0</v>
      </c>
      <c r="AO1738" t="s">
        <v>3150</v>
      </c>
      <c r="AV1738" t="str">
        <f>IF(F1738&gt;0,(COUNT($AV$1:AV1737)+1),"")</f>
        <v/>
      </c>
    </row>
    <row r="1739" spans="1:48" ht="15" customHeight="1" x14ac:dyDescent="0.25">
      <c r="A1739" s="1"/>
      <c r="B1739" s="30">
        <v>15972</v>
      </c>
      <c r="C1739" s="20">
        <v>4670009620538</v>
      </c>
      <c r="D1739" s="225" t="s">
        <v>623</v>
      </c>
      <c r="E1739" s="67">
        <v>14</v>
      </c>
      <c r="F1739" s="222"/>
      <c r="G1739" s="107">
        <v>95.5</v>
      </c>
      <c r="H1739" s="21">
        <v>99.3</v>
      </c>
      <c r="I1739" s="22">
        <v>107</v>
      </c>
      <c r="J1739" s="112" t="s">
        <v>620</v>
      </c>
      <c r="K1739" s="45" t="s">
        <v>49</v>
      </c>
      <c r="L1739" s="437"/>
      <c r="M1739" s="474" t="s">
        <v>1856</v>
      </c>
      <c r="N1739" s="1013" t="s">
        <v>1856</v>
      </c>
      <c r="O1739" s="209"/>
      <c r="P1739" s="66" t="s">
        <v>72</v>
      </c>
      <c r="Q1739" s="100">
        <f t="shared" si="909"/>
        <v>0</v>
      </c>
      <c r="R1739" s="13" t="str">
        <f t="shared" si="910"/>
        <v>Фото &gt;&gt;</v>
      </c>
      <c r="S1739" s="14" t="s">
        <v>624</v>
      </c>
      <c r="AK1739">
        <v>0.42</v>
      </c>
      <c r="AL1739">
        <f t="shared" si="911"/>
        <v>0</v>
      </c>
      <c r="AM1739">
        <f t="shared" si="912"/>
        <v>0</v>
      </c>
      <c r="AN1739">
        <f t="shared" si="913"/>
        <v>0</v>
      </c>
      <c r="AO1739" t="s">
        <v>4932</v>
      </c>
      <c r="AV1739" t="str">
        <f>IF(F1739&gt;0,(COUNT($AV$1:AV1738)+1),"")</f>
        <v/>
      </c>
    </row>
    <row r="1740" spans="1:48" ht="15" customHeight="1" x14ac:dyDescent="0.25">
      <c r="A1740" s="1"/>
      <c r="B1740" s="25"/>
      <c r="C1740" s="26"/>
      <c r="D1740" s="27" t="s">
        <v>1441</v>
      </c>
      <c r="E1740" s="80"/>
      <c r="F1740" s="96"/>
      <c r="G1740" s="28"/>
      <c r="H1740" s="29"/>
      <c r="I1740" s="29"/>
      <c r="J1740" s="51"/>
      <c r="K1740" s="47"/>
      <c r="L1740" s="447"/>
      <c r="M1740" s="489" t="s">
        <v>104</v>
      </c>
      <c r="N1740" s="716"/>
      <c r="O1740" s="186"/>
      <c r="P1740" s="79"/>
      <c r="Q1740" s="79"/>
      <c r="R1740" s="13"/>
      <c r="S1740" s="14"/>
      <c r="AL1740">
        <f t="shared" ref="AL1740:AL1742" si="914">F1740*G1740</f>
        <v>0</v>
      </c>
      <c r="AM1740">
        <f t="shared" ref="AM1740:AM1742" si="915">F1740*H1740</f>
        <v>0</v>
      </c>
      <c r="AN1740">
        <f t="shared" ref="AN1740:AN1756" si="916">AK1740*F1740+IF(E1740&gt;1.01,F1740/E1740*0.2,0)</f>
        <v>0</v>
      </c>
      <c r="AO1740" t="s">
        <v>104</v>
      </c>
      <c r="AV1740" t="str">
        <f>IF(F1740&gt;0,(COUNT($AV$1:AV1739)+1),"")</f>
        <v/>
      </c>
    </row>
    <row r="1741" spans="1:48" ht="15" customHeight="1" x14ac:dyDescent="0.25">
      <c r="A1741" s="1"/>
      <c r="B1741" s="30">
        <v>16173</v>
      </c>
      <c r="C1741" s="20">
        <v>4670009621740</v>
      </c>
      <c r="D1741" s="225" t="s">
        <v>4096</v>
      </c>
      <c r="E1741" s="67">
        <v>12</v>
      </c>
      <c r="F1741" s="222"/>
      <c r="G1741" s="107">
        <v>164.5</v>
      </c>
      <c r="H1741" s="21">
        <v>173</v>
      </c>
      <c r="I1741" s="22">
        <v>182</v>
      </c>
      <c r="J1741" s="112" t="s">
        <v>620</v>
      </c>
      <c r="K1741" s="45" t="s">
        <v>5519</v>
      </c>
      <c r="L1741" s="437"/>
      <c r="M1741" s="474" t="s">
        <v>104</v>
      </c>
      <c r="N1741" s="1013" t="s">
        <v>1856</v>
      </c>
      <c r="O1741" s="212"/>
      <c r="P1741" s="66" t="s">
        <v>55</v>
      </c>
      <c r="Q1741" s="100">
        <f>IF(AND($AO$1732=1,MOD(F1741,E1741)=0),F1741*G1741,IF($AO$1732&lt;=2,F1741*H1741,F1741*I1741))</f>
        <v>0</v>
      </c>
      <c r="R1741" s="13" t="str">
        <f>IF(AO1741&gt;0,HYPERLINK(AO1741,"Фото &gt;&gt;"),"")</f>
        <v>Фото &gt;&gt;</v>
      </c>
      <c r="S1741" s="14" t="s">
        <v>625</v>
      </c>
      <c r="AK1741">
        <v>0.47</v>
      </c>
      <c r="AL1741">
        <f t="shared" si="914"/>
        <v>0</v>
      </c>
      <c r="AM1741">
        <f t="shared" si="915"/>
        <v>0</v>
      </c>
      <c r="AN1741">
        <f t="shared" si="916"/>
        <v>0</v>
      </c>
      <c r="AO1741" t="s">
        <v>4933</v>
      </c>
      <c r="AV1741" t="str">
        <f>IF(F1741&gt;0,(COUNT($AV$1:AV1740)+1),"")</f>
        <v/>
      </c>
    </row>
    <row r="1742" spans="1:48" ht="15" customHeight="1" x14ac:dyDescent="0.25">
      <c r="A1742" s="1"/>
      <c r="B1742" s="25"/>
      <c r="C1742" s="26"/>
      <c r="D1742" s="27" t="s">
        <v>106</v>
      </c>
      <c r="E1742" s="80"/>
      <c r="F1742" s="96"/>
      <c r="G1742" s="28"/>
      <c r="H1742" s="29"/>
      <c r="I1742" s="29"/>
      <c r="J1742" s="51"/>
      <c r="K1742" s="47"/>
      <c r="L1742" s="447"/>
      <c r="M1742" s="489" t="s">
        <v>104</v>
      </c>
      <c r="N1742" s="716"/>
      <c r="O1742" s="186"/>
      <c r="P1742" s="79"/>
      <c r="Q1742" s="79"/>
      <c r="R1742" s="13"/>
      <c r="S1742" s="14"/>
      <c r="AL1742">
        <f t="shared" si="914"/>
        <v>0</v>
      </c>
      <c r="AM1742">
        <f t="shared" si="915"/>
        <v>0</v>
      </c>
      <c r="AN1742">
        <f t="shared" si="916"/>
        <v>0</v>
      </c>
      <c r="AO1742" t="s">
        <v>104</v>
      </c>
      <c r="AV1742" t="str">
        <f>IF(F1742&gt;0,(COUNT($AV$1:AV1741)+1),"")</f>
        <v/>
      </c>
    </row>
    <row r="1743" spans="1:48" ht="15" customHeight="1" x14ac:dyDescent="0.25">
      <c r="A1743" s="1"/>
      <c r="B1743" s="30">
        <v>16476</v>
      </c>
      <c r="C1743" s="20">
        <v>4670009622044</v>
      </c>
      <c r="D1743" s="225" t="s">
        <v>4368</v>
      </c>
      <c r="E1743" s="67">
        <v>9</v>
      </c>
      <c r="F1743" s="222"/>
      <c r="G1743" s="107">
        <v>103</v>
      </c>
      <c r="H1743" s="21">
        <v>107.2</v>
      </c>
      <c r="I1743" s="22">
        <v>115.9</v>
      </c>
      <c r="J1743" s="112" t="s">
        <v>620</v>
      </c>
      <c r="K1743" s="45" t="s">
        <v>106</v>
      </c>
      <c r="L1743" s="437"/>
      <c r="M1743" s="474" t="s">
        <v>1856</v>
      </c>
      <c r="N1743" s="1013" t="s">
        <v>1856</v>
      </c>
      <c r="O1743" s="209"/>
      <c r="P1743" s="66" t="s">
        <v>40</v>
      </c>
      <c r="Q1743" s="100">
        <f t="shared" ref="Q1743:Q1755" si="917">IF(AND($AO$1732=1,MOD(F1743,E1743)=0),F1743*G1743,IF($AO$1732&lt;=2,F1743*H1743,F1743*I1743))</f>
        <v>0</v>
      </c>
      <c r="R1743" s="13" t="str">
        <f t="shared" ref="R1743:R1755" si="918">IF(AO1743&gt;0,HYPERLINK(AO1743,"Фото &gt;&gt;"),"")</f>
        <v>Фото &gt;&gt;</v>
      </c>
      <c r="S1743" s="14" t="s">
        <v>2022</v>
      </c>
      <c r="AK1743">
        <v>0.26</v>
      </c>
      <c r="AL1743">
        <f t="shared" ref="AL1743:AL1755" si="919">F1743*G1743</f>
        <v>0</v>
      </c>
      <c r="AM1743">
        <f t="shared" ref="AM1743:AM1755" si="920">F1743*H1743</f>
        <v>0</v>
      </c>
      <c r="AN1743">
        <f t="shared" ref="AN1743:AN1755" si="921">AK1743*F1743+IF(E1743&gt;1.01,F1743/E1743*0.2,0)</f>
        <v>0</v>
      </c>
      <c r="AO1743" t="s">
        <v>4934</v>
      </c>
      <c r="AV1743" t="str">
        <f>IF(F1743&gt;0,(COUNT($AV$1:AV1742)+1),"")</f>
        <v/>
      </c>
    </row>
    <row r="1744" spans="1:48" ht="15" customHeight="1" x14ac:dyDescent="0.25">
      <c r="A1744" s="1"/>
      <c r="B1744" s="31">
        <v>16479</v>
      </c>
      <c r="C1744" s="16">
        <v>4670009622013</v>
      </c>
      <c r="D1744" s="226" t="s">
        <v>4369</v>
      </c>
      <c r="E1744" s="69">
        <v>9</v>
      </c>
      <c r="F1744" s="222"/>
      <c r="G1744" s="108">
        <v>87.7</v>
      </c>
      <c r="H1744" s="17">
        <v>91.2</v>
      </c>
      <c r="I1744" s="18">
        <v>98.7</v>
      </c>
      <c r="J1744" s="113" t="s">
        <v>620</v>
      </c>
      <c r="K1744" s="44" t="s">
        <v>106</v>
      </c>
      <c r="L1744" s="442"/>
      <c r="M1744" s="480" t="s">
        <v>1856</v>
      </c>
      <c r="N1744" s="1015" t="s">
        <v>1856</v>
      </c>
      <c r="O1744" s="210"/>
      <c r="P1744" s="68" t="s">
        <v>40</v>
      </c>
      <c r="Q1744" s="100">
        <f t="shared" si="917"/>
        <v>0</v>
      </c>
      <c r="R1744" s="13" t="str">
        <f t="shared" si="918"/>
        <v>Фото &gt;&gt;</v>
      </c>
      <c r="S1744" s="14" t="s">
        <v>627</v>
      </c>
      <c r="AK1744">
        <v>0.26</v>
      </c>
      <c r="AL1744">
        <f t="shared" si="919"/>
        <v>0</v>
      </c>
      <c r="AM1744">
        <f t="shared" si="920"/>
        <v>0</v>
      </c>
      <c r="AN1744">
        <f t="shared" si="921"/>
        <v>0</v>
      </c>
      <c r="AO1744" t="s">
        <v>4936</v>
      </c>
      <c r="AV1744" t="str">
        <f>IF(F1744&gt;0,(COUNT($AV$1:AV1743)+1),"")</f>
        <v/>
      </c>
    </row>
    <row r="1745" spans="1:48" ht="15" customHeight="1" x14ac:dyDescent="0.25">
      <c r="A1745" s="1"/>
      <c r="B1745" s="30">
        <v>19121</v>
      </c>
      <c r="C1745" s="20">
        <v>4670009622969</v>
      </c>
      <c r="D1745" s="225" t="s">
        <v>4370</v>
      </c>
      <c r="E1745" s="67">
        <v>9</v>
      </c>
      <c r="F1745" s="222"/>
      <c r="G1745" s="107">
        <v>95.8</v>
      </c>
      <c r="H1745" s="21">
        <v>99.7</v>
      </c>
      <c r="I1745" s="22">
        <v>107.3</v>
      </c>
      <c r="J1745" s="112" t="s">
        <v>620</v>
      </c>
      <c r="K1745" s="45" t="s">
        <v>106</v>
      </c>
      <c r="L1745" s="437"/>
      <c r="M1745" s="474" t="s">
        <v>1856</v>
      </c>
      <c r="N1745" s="1013"/>
      <c r="O1745" s="209"/>
      <c r="P1745" s="66" t="s">
        <v>72</v>
      </c>
      <c r="Q1745" s="100">
        <f t="shared" si="917"/>
        <v>0</v>
      </c>
      <c r="R1745" s="13" t="str">
        <f t="shared" si="918"/>
        <v>Фото &gt;&gt;</v>
      </c>
      <c r="S1745" s="14" t="s">
        <v>3135</v>
      </c>
      <c r="AK1745">
        <v>0.26</v>
      </c>
      <c r="AL1745">
        <f t="shared" si="919"/>
        <v>0</v>
      </c>
      <c r="AM1745">
        <f t="shared" si="920"/>
        <v>0</v>
      </c>
      <c r="AN1745">
        <f t="shared" si="921"/>
        <v>0</v>
      </c>
      <c r="AO1745" t="s">
        <v>3136</v>
      </c>
      <c r="AV1745" t="str">
        <f>IF(F1745&gt;0,(COUNT($AV$1:AV1744)+1),"")</f>
        <v/>
      </c>
    </row>
    <row r="1746" spans="1:48" ht="15" customHeight="1" x14ac:dyDescent="0.25">
      <c r="A1746" s="1"/>
      <c r="B1746" s="31">
        <v>16477</v>
      </c>
      <c r="C1746" s="16">
        <v>4670009622037</v>
      </c>
      <c r="D1746" s="226" t="s">
        <v>4371</v>
      </c>
      <c r="E1746" s="69">
        <v>9</v>
      </c>
      <c r="F1746" s="222"/>
      <c r="G1746" s="108">
        <v>117</v>
      </c>
      <c r="H1746" s="17">
        <v>121.5</v>
      </c>
      <c r="I1746" s="18">
        <v>131.19999999999999</v>
      </c>
      <c r="J1746" s="113" t="s">
        <v>620</v>
      </c>
      <c r="K1746" s="44" t="s">
        <v>106</v>
      </c>
      <c r="L1746" s="442"/>
      <c r="M1746" s="480" t="s">
        <v>1856</v>
      </c>
      <c r="N1746" s="1015" t="s">
        <v>1856</v>
      </c>
      <c r="O1746" s="210"/>
      <c r="P1746" s="68" t="s">
        <v>40</v>
      </c>
      <c r="Q1746" s="100">
        <f t="shared" si="917"/>
        <v>0</v>
      </c>
      <c r="R1746" s="13" t="str">
        <f t="shared" si="918"/>
        <v>Фото &gt;&gt;</v>
      </c>
      <c r="S1746" s="14" t="s">
        <v>628</v>
      </c>
      <c r="AK1746">
        <v>0.26</v>
      </c>
      <c r="AL1746">
        <f t="shared" si="919"/>
        <v>0</v>
      </c>
      <c r="AM1746">
        <f t="shared" si="920"/>
        <v>0</v>
      </c>
      <c r="AN1746">
        <f t="shared" si="921"/>
        <v>0</v>
      </c>
      <c r="AO1746" t="s">
        <v>4937</v>
      </c>
      <c r="AV1746" t="str">
        <f>IF(F1746&gt;0,(COUNT($AV$1:AV1745)+1),"")</f>
        <v/>
      </c>
    </row>
    <row r="1747" spans="1:48" ht="15" customHeight="1" x14ac:dyDescent="0.25">
      <c r="A1747" s="1"/>
      <c r="B1747" s="30">
        <v>16481</v>
      </c>
      <c r="C1747" s="20">
        <v>4670009621962</v>
      </c>
      <c r="D1747" s="225" t="s">
        <v>4372</v>
      </c>
      <c r="E1747" s="67">
        <v>9</v>
      </c>
      <c r="F1747" s="222"/>
      <c r="G1747" s="107">
        <v>113.8</v>
      </c>
      <c r="H1747" s="21">
        <v>118.4</v>
      </c>
      <c r="I1747" s="22">
        <v>127.5</v>
      </c>
      <c r="J1747" s="112" t="s">
        <v>620</v>
      </c>
      <c r="K1747" s="45" t="s">
        <v>106</v>
      </c>
      <c r="L1747" s="437"/>
      <c r="M1747" s="474" t="s">
        <v>1856</v>
      </c>
      <c r="N1747" s="1013" t="s">
        <v>1856</v>
      </c>
      <c r="O1747" s="209"/>
      <c r="P1747" s="66" t="s">
        <v>40</v>
      </c>
      <c r="Q1747" s="100">
        <f t="shared" si="917"/>
        <v>0</v>
      </c>
      <c r="R1747" s="13" t="str">
        <f t="shared" si="918"/>
        <v>Фото &gt;&gt;</v>
      </c>
      <c r="S1747" s="14" t="s">
        <v>629</v>
      </c>
      <c r="AK1747">
        <v>0.26</v>
      </c>
      <c r="AL1747">
        <f t="shared" si="919"/>
        <v>0</v>
      </c>
      <c r="AM1747">
        <f t="shared" si="920"/>
        <v>0</v>
      </c>
      <c r="AN1747">
        <f t="shared" si="921"/>
        <v>0</v>
      </c>
      <c r="AO1747" t="s">
        <v>4938</v>
      </c>
      <c r="AV1747" t="str">
        <f>IF(F1747&gt;0,(COUNT($AV$1:AV1746)+1),"")</f>
        <v/>
      </c>
    </row>
    <row r="1748" spans="1:48" ht="15" customHeight="1" x14ac:dyDescent="0.25">
      <c r="A1748" s="1"/>
      <c r="B1748" s="31">
        <v>16478</v>
      </c>
      <c r="C1748" s="16">
        <v>4670009622020</v>
      </c>
      <c r="D1748" s="226" t="s">
        <v>4373</v>
      </c>
      <c r="E1748" s="69">
        <v>9</v>
      </c>
      <c r="F1748" s="222"/>
      <c r="G1748" s="108">
        <v>104.7</v>
      </c>
      <c r="H1748" s="17">
        <v>108.8</v>
      </c>
      <c r="I1748" s="18">
        <v>117.2</v>
      </c>
      <c r="J1748" s="113" t="s">
        <v>620</v>
      </c>
      <c r="K1748" s="44" t="s">
        <v>106</v>
      </c>
      <c r="L1748" s="442"/>
      <c r="M1748" s="480" t="s">
        <v>1856</v>
      </c>
      <c r="N1748" s="1015" t="s">
        <v>1856</v>
      </c>
      <c r="O1748" s="210"/>
      <c r="P1748" s="68" t="s">
        <v>40</v>
      </c>
      <c r="Q1748" s="100">
        <f t="shared" si="917"/>
        <v>0</v>
      </c>
      <c r="R1748" s="13" t="str">
        <f t="shared" si="918"/>
        <v>Фото &gt;&gt;</v>
      </c>
      <c r="S1748" s="14" t="s">
        <v>630</v>
      </c>
      <c r="AK1748">
        <v>0.26</v>
      </c>
      <c r="AL1748">
        <f t="shared" si="919"/>
        <v>0</v>
      </c>
      <c r="AM1748">
        <f t="shared" si="920"/>
        <v>0</v>
      </c>
      <c r="AN1748">
        <f t="shared" si="921"/>
        <v>0</v>
      </c>
      <c r="AO1748" t="s">
        <v>4939</v>
      </c>
      <c r="AV1748" t="str">
        <f>IF(F1748&gt;0,(COUNT($AV$1:AV1747)+1),"")</f>
        <v/>
      </c>
    </row>
    <row r="1749" spans="1:48" ht="15" customHeight="1" x14ac:dyDescent="0.25">
      <c r="A1749" s="1"/>
      <c r="B1749" s="30">
        <v>18686</v>
      </c>
      <c r="C1749" s="20">
        <v>4670009622952</v>
      </c>
      <c r="D1749" s="225" t="s">
        <v>4062</v>
      </c>
      <c r="E1749" s="67">
        <v>9</v>
      </c>
      <c r="F1749" s="222"/>
      <c r="G1749" s="107">
        <v>159.5</v>
      </c>
      <c r="H1749" s="21">
        <v>165.8</v>
      </c>
      <c r="I1749" s="22">
        <v>178.6</v>
      </c>
      <c r="J1749" s="112" t="s">
        <v>620</v>
      </c>
      <c r="K1749" s="45" t="s">
        <v>106</v>
      </c>
      <c r="L1749" s="437"/>
      <c r="M1749" s="474" t="s">
        <v>1856</v>
      </c>
      <c r="N1749" s="1013"/>
      <c r="O1749" s="209"/>
      <c r="P1749" s="66" t="s">
        <v>40</v>
      </c>
      <c r="Q1749" s="100">
        <f t="shared" si="917"/>
        <v>0</v>
      </c>
      <c r="R1749" s="13" t="str">
        <f t="shared" si="918"/>
        <v>Фото &gt;&gt;</v>
      </c>
      <c r="S1749" s="14" t="s">
        <v>3141</v>
      </c>
      <c r="AK1749">
        <v>0.26</v>
      </c>
      <c r="AL1749">
        <f t="shared" si="919"/>
        <v>0</v>
      </c>
      <c r="AM1749">
        <f t="shared" si="920"/>
        <v>0</v>
      </c>
      <c r="AN1749">
        <f t="shared" si="921"/>
        <v>0</v>
      </c>
      <c r="AO1749" t="s">
        <v>3142</v>
      </c>
      <c r="AV1749" t="str">
        <f>IF(F1749&gt;0,(COUNT($AV$1:AV1748)+1),"")</f>
        <v/>
      </c>
    </row>
    <row r="1750" spans="1:48" ht="15" customHeight="1" x14ac:dyDescent="0.25">
      <c r="A1750" s="1"/>
      <c r="B1750" s="31">
        <v>16475</v>
      </c>
      <c r="C1750" s="16">
        <v>4670009621986</v>
      </c>
      <c r="D1750" s="226" t="s">
        <v>4374</v>
      </c>
      <c r="E1750" s="69">
        <v>9</v>
      </c>
      <c r="F1750" s="222"/>
      <c r="G1750" s="108">
        <v>117</v>
      </c>
      <c r="H1750" s="17">
        <v>121.5</v>
      </c>
      <c r="I1750" s="18">
        <v>131.19999999999999</v>
      </c>
      <c r="J1750" s="113" t="s">
        <v>620</v>
      </c>
      <c r="K1750" s="44" t="s">
        <v>106</v>
      </c>
      <c r="L1750" s="442"/>
      <c r="M1750" s="480" t="s">
        <v>1856</v>
      </c>
      <c r="N1750" s="1015" t="s">
        <v>1856</v>
      </c>
      <c r="O1750" s="210"/>
      <c r="P1750" s="68" t="s">
        <v>40</v>
      </c>
      <c r="Q1750" s="100">
        <f t="shared" si="917"/>
        <v>0</v>
      </c>
      <c r="R1750" s="13" t="str">
        <f t="shared" si="918"/>
        <v>Фото &gt;&gt;</v>
      </c>
      <c r="S1750" s="14" t="s">
        <v>632</v>
      </c>
      <c r="AK1750">
        <v>0.26</v>
      </c>
      <c r="AL1750">
        <f t="shared" si="919"/>
        <v>0</v>
      </c>
      <c r="AM1750">
        <f t="shared" si="920"/>
        <v>0</v>
      </c>
      <c r="AN1750">
        <f t="shared" si="921"/>
        <v>0</v>
      </c>
      <c r="AO1750" t="s">
        <v>4941</v>
      </c>
      <c r="AV1750" t="str">
        <f>IF(F1750&gt;0,(COUNT($AV$1:AV1749)+1),"")</f>
        <v/>
      </c>
    </row>
    <row r="1751" spans="1:48" ht="15" customHeight="1" x14ac:dyDescent="0.25">
      <c r="A1751" s="1"/>
      <c r="B1751" s="30">
        <v>19123</v>
      </c>
      <c r="C1751" s="20">
        <v>4670009622976</v>
      </c>
      <c r="D1751" s="225" t="s">
        <v>4375</v>
      </c>
      <c r="E1751" s="67">
        <v>9</v>
      </c>
      <c r="F1751" s="222"/>
      <c r="G1751" s="107">
        <v>118.5</v>
      </c>
      <c r="H1751" s="21">
        <v>123.2</v>
      </c>
      <c r="I1751" s="22">
        <v>133.19999999999999</v>
      </c>
      <c r="J1751" s="112" t="s">
        <v>620</v>
      </c>
      <c r="K1751" s="45" t="s">
        <v>106</v>
      </c>
      <c r="L1751" s="437"/>
      <c r="M1751" s="474" t="s">
        <v>1856</v>
      </c>
      <c r="N1751" s="1013"/>
      <c r="O1751" s="209"/>
      <c r="P1751" s="66" t="s">
        <v>72</v>
      </c>
      <c r="Q1751" s="100">
        <f t="shared" si="917"/>
        <v>0</v>
      </c>
      <c r="R1751" s="13" t="str">
        <f t="shared" si="918"/>
        <v>Фото &gt;&gt;</v>
      </c>
      <c r="S1751" s="14" t="s">
        <v>3143</v>
      </c>
      <c r="AK1751">
        <v>0.26</v>
      </c>
      <c r="AL1751">
        <f t="shared" si="919"/>
        <v>0</v>
      </c>
      <c r="AM1751">
        <f t="shared" si="920"/>
        <v>0</v>
      </c>
      <c r="AN1751">
        <f t="shared" si="921"/>
        <v>0</v>
      </c>
      <c r="AO1751" t="s">
        <v>3144</v>
      </c>
      <c r="AV1751" t="str">
        <f>IF(F1751&gt;0,(COUNT($AV$1:AV1750)+1),"")</f>
        <v/>
      </c>
    </row>
    <row r="1752" spans="1:48" ht="15" customHeight="1" x14ac:dyDescent="0.25">
      <c r="A1752" s="1"/>
      <c r="B1752" s="31">
        <v>16480</v>
      </c>
      <c r="C1752" s="16">
        <v>4670009622006</v>
      </c>
      <c r="D1752" s="226" t="s">
        <v>4433</v>
      </c>
      <c r="E1752" s="69">
        <v>9</v>
      </c>
      <c r="F1752" s="222"/>
      <c r="G1752" s="108">
        <v>118.5</v>
      </c>
      <c r="H1752" s="17">
        <v>123.2</v>
      </c>
      <c r="I1752" s="18">
        <v>133.19999999999999</v>
      </c>
      <c r="J1752" s="113" t="s">
        <v>620</v>
      </c>
      <c r="K1752" s="44" t="s">
        <v>106</v>
      </c>
      <c r="L1752" s="442"/>
      <c r="M1752" s="480" t="s">
        <v>1856</v>
      </c>
      <c r="N1752" s="1015" t="s">
        <v>1856</v>
      </c>
      <c r="O1752" s="210"/>
      <c r="P1752" s="68" t="s">
        <v>40</v>
      </c>
      <c r="Q1752" s="100">
        <f t="shared" si="917"/>
        <v>0</v>
      </c>
      <c r="R1752" s="13" t="str">
        <f t="shared" si="918"/>
        <v>Фото &gt;&gt;</v>
      </c>
      <c r="S1752" s="14" t="s">
        <v>626</v>
      </c>
      <c r="AK1752">
        <v>0.26</v>
      </c>
      <c r="AL1752">
        <f t="shared" si="919"/>
        <v>0</v>
      </c>
      <c r="AM1752">
        <f t="shared" si="920"/>
        <v>0</v>
      </c>
      <c r="AN1752">
        <f t="shared" si="921"/>
        <v>0</v>
      </c>
      <c r="AO1752" t="s">
        <v>4935</v>
      </c>
      <c r="AV1752" t="str">
        <f>IF(F1752&gt;0,(COUNT($AV$1:AV1751)+1),"")</f>
        <v/>
      </c>
    </row>
    <row r="1753" spans="1:48" ht="15" customHeight="1" x14ac:dyDescent="0.25">
      <c r="A1753" s="1"/>
      <c r="B1753" s="30">
        <v>19124</v>
      </c>
      <c r="C1753" s="20">
        <v>4670009622983</v>
      </c>
      <c r="D1753" s="225" t="s">
        <v>4434</v>
      </c>
      <c r="E1753" s="67">
        <v>9</v>
      </c>
      <c r="F1753" s="222"/>
      <c r="G1753" s="107">
        <v>113.8</v>
      </c>
      <c r="H1753" s="21">
        <v>118.4</v>
      </c>
      <c r="I1753" s="22">
        <v>128.1</v>
      </c>
      <c r="J1753" s="112" t="s">
        <v>620</v>
      </c>
      <c r="K1753" s="45" t="s">
        <v>106</v>
      </c>
      <c r="L1753" s="437"/>
      <c r="M1753" s="474" t="s">
        <v>1856</v>
      </c>
      <c r="N1753" s="1013" t="s">
        <v>1856</v>
      </c>
      <c r="O1753" s="209"/>
      <c r="P1753" s="66" t="s">
        <v>72</v>
      </c>
      <c r="Q1753" s="100">
        <f t="shared" si="917"/>
        <v>0</v>
      </c>
      <c r="R1753" s="13" t="str">
        <f t="shared" si="918"/>
        <v>Фото &gt;&gt;</v>
      </c>
      <c r="S1753" s="14" t="s">
        <v>3137</v>
      </c>
      <c r="AK1753">
        <v>0.26</v>
      </c>
      <c r="AL1753">
        <f t="shared" si="919"/>
        <v>0</v>
      </c>
      <c r="AM1753">
        <f t="shared" si="920"/>
        <v>0</v>
      </c>
      <c r="AN1753">
        <f t="shared" si="921"/>
        <v>0</v>
      </c>
      <c r="AO1753" t="s">
        <v>3138</v>
      </c>
      <c r="AV1753" t="str">
        <f>IF(F1753&gt;0,(COUNT($AV$1:AV1752)+1),"")</f>
        <v/>
      </c>
    </row>
    <row r="1754" spans="1:48" ht="15" customHeight="1" x14ac:dyDescent="0.25">
      <c r="A1754" s="1"/>
      <c r="B1754" s="31">
        <v>19122</v>
      </c>
      <c r="C1754" s="16">
        <v>4670009622990</v>
      </c>
      <c r="D1754" s="226" t="s">
        <v>4547</v>
      </c>
      <c r="E1754" s="69">
        <v>9</v>
      </c>
      <c r="F1754" s="222"/>
      <c r="G1754" s="108">
        <v>152.5</v>
      </c>
      <c r="H1754" s="17">
        <v>158.6</v>
      </c>
      <c r="I1754" s="18">
        <v>170.9</v>
      </c>
      <c r="J1754" s="113" t="s">
        <v>620</v>
      </c>
      <c r="K1754" s="44" t="s">
        <v>106</v>
      </c>
      <c r="L1754" s="442"/>
      <c r="M1754" s="480" t="s">
        <v>1856</v>
      </c>
      <c r="N1754" s="1015" t="s">
        <v>1856</v>
      </c>
      <c r="O1754" s="210"/>
      <c r="P1754" s="68" t="s">
        <v>72</v>
      </c>
      <c r="Q1754" s="100">
        <f t="shared" si="917"/>
        <v>0</v>
      </c>
      <c r="R1754" s="13" t="str">
        <f t="shared" si="918"/>
        <v>Фото &gt;&gt;</v>
      </c>
      <c r="S1754" s="14" t="s">
        <v>3139</v>
      </c>
      <c r="AK1754">
        <v>0.26</v>
      </c>
      <c r="AL1754">
        <f t="shared" si="919"/>
        <v>0</v>
      </c>
      <c r="AM1754">
        <f t="shared" si="920"/>
        <v>0</v>
      </c>
      <c r="AN1754">
        <f t="shared" si="921"/>
        <v>0</v>
      </c>
      <c r="AO1754" t="s">
        <v>3140</v>
      </c>
      <c r="AV1754" t="str">
        <f>IF(F1754&gt;0,(COUNT($AV$1:AV1753)+1),"")</f>
        <v/>
      </c>
    </row>
    <row r="1755" spans="1:48" ht="15" customHeight="1" x14ac:dyDescent="0.25">
      <c r="A1755" s="1"/>
      <c r="B1755" s="30">
        <v>16482</v>
      </c>
      <c r="C1755" s="20">
        <v>4670009621979</v>
      </c>
      <c r="D1755" s="225" t="s">
        <v>4548</v>
      </c>
      <c r="E1755" s="67">
        <v>9</v>
      </c>
      <c r="F1755" s="222"/>
      <c r="G1755" s="107">
        <v>103</v>
      </c>
      <c r="H1755" s="21">
        <v>107.2</v>
      </c>
      <c r="I1755" s="22">
        <v>115.9</v>
      </c>
      <c r="J1755" s="112" t="s">
        <v>620</v>
      </c>
      <c r="K1755" s="45" t="s">
        <v>106</v>
      </c>
      <c r="L1755" s="437"/>
      <c r="M1755" s="474" t="s">
        <v>1856</v>
      </c>
      <c r="N1755" s="1013" t="s">
        <v>1856</v>
      </c>
      <c r="O1755" s="209"/>
      <c r="P1755" s="66" t="s">
        <v>40</v>
      </c>
      <c r="Q1755" s="100">
        <f t="shared" si="917"/>
        <v>0</v>
      </c>
      <c r="R1755" s="13" t="str">
        <f t="shared" si="918"/>
        <v>Фото &gt;&gt;</v>
      </c>
      <c r="S1755" s="14" t="s">
        <v>631</v>
      </c>
      <c r="AK1755">
        <v>0.26</v>
      </c>
      <c r="AL1755">
        <f t="shared" si="919"/>
        <v>0</v>
      </c>
      <c r="AM1755">
        <f t="shared" si="920"/>
        <v>0</v>
      </c>
      <c r="AN1755">
        <f t="shared" si="921"/>
        <v>0</v>
      </c>
      <c r="AO1755" t="s">
        <v>4940</v>
      </c>
      <c r="AV1755" t="str">
        <f>IF(F1755&gt;0,(COUNT($AV$1:AV1754)+1),"")</f>
        <v/>
      </c>
    </row>
    <row r="1756" spans="1:48" ht="15" customHeight="1" x14ac:dyDescent="0.25">
      <c r="A1756" s="1"/>
      <c r="B1756" s="25"/>
      <c r="C1756" s="26"/>
      <c r="D1756" s="27" t="s">
        <v>413</v>
      </c>
      <c r="E1756" s="80"/>
      <c r="F1756" s="96"/>
      <c r="G1756" s="28"/>
      <c r="H1756" s="29"/>
      <c r="I1756" s="29"/>
      <c r="J1756" s="51"/>
      <c r="K1756" s="47"/>
      <c r="L1756" s="447"/>
      <c r="M1756" s="489" t="s">
        <v>104</v>
      </c>
      <c r="N1756" s="716"/>
      <c r="O1756" s="186"/>
      <c r="P1756" s="79"/>
      <c r="Q1756" s="79"/>
      <c r="R1756" s="13"/>
      <c r="S1756" s="14"/>
      <c r="AK1756">
        <v>0.26</v>
      </c>
      <c r="AL1756">
        <f t="shared" ref="AL1756:AL1775" si="922">F1756*G1756</f>
        <v>0</v>
      </c>
      <c r="AM1756">
        <f t="shared" ref="AM1756:AM1775" si="923">F1756*H1756</f>
        <v>0</v>
      </c>
      <c r="AN1756">
        <f t="shared" si="916"/>
        <v>0</v>
      </c>
      <c r="AO1756" t="s">
        <v>104</v>
      </c>
      <c r="AV1756" t="str">
        <f>IF(F1756&gt;0,(COUNT($AV$1:AV1755)+1),"")</f>
        <v/>
      </c>
    </row>
    <row r="1757" spans="1:48" ht="15" customHeight="1" x14ac:dyDescent="0.25">
      <c r="A1757" s="1"/>
      <c r="B1757" s="30">
        <v>16488</v>
      </c>
      <c r="C1757" s="20">
        <v>4670009621900</v>
      </c>
      <c r="D1757" s="225" t="s">
        <v>635</v>
      </c>
      <c r="E1757" s="67">
        <v>9</v>
      </c>
      <c r="F1757" s="222"/>
      <c r="G1757" s="107">
        <v>123.1</v>
      </c>
      <c r="H1757" s="21">
        <v>127.9</v>
      </c>
      <c r="I1757" s="22">
        <v>138.30000000000001</v>
      </c>
      <c r="J1757" s="112" t="s">
        <v>620</v>
      </c>
      <c r="K1757" s="45" t="s">
        <v>413</v>
      </c>
      <c r="L1757" s="437"/>
      <c r="M1757" s="474" t="s">
        <v>1856</v>
      </c>
      <c r="N1757" s="1013" t="s">
        <v>1856</v>
      </c>
      <c r="O1757" s="209"/>
      <c r="P1757" s="66" t="s">
        <v>40</v>
      </c>
      <c r="Q1757" s="100">
        <f t="shared" ref="Q1757:Q1768" si="924">IF(AND($AO$1732=1,MOD(F1757,E1757)=0),F1757*G1757,IF($AO$1732&lt;=2,F1757*H1757,F1757*I1757))</f>
        <v>0</v>
      </c>
      <c r="R1757" s="13" t="str">
        <f t="shared" ref="R1757:R1768" si="925">IF(AO1757&gt;0,HYPERLINK(AO1757,"Фото &gt;&gt;"),"")</f>
        <v>Фото &gt;&gt;</v>
      </c>
      <c r="S1757" s="14" t="s">
        <v>1775</v>
      </c>
      <c r="AK1757">
        <v>0.26</v>
      </c>
      <c r="AL1757">
        <f t="shared" ref="AL1757:AL1768" si="926">F1757*G1757</f>
        <v>0</v>
      </c>
      <c r="AM1757">
        <f t="shared" ref="AM1757:AM1768" si="927">F1757*H1757</f>
        <v>0</v>
      </c>
      <c r="AN1757">
        <f t="shared" ref="AN1757:AN1768" si="928">AK1757*F1757+IF(E1757&gt;1.01,F1757/E1757*0.2,0)</f>
        <v>0</v>
      </c>
      <c r="AO1757" t="s">
        <v>4943</v>
      </c>
      <c r="AV1757" t="str">
        <f>IF(F1757&gt;0,(COUNT($AV$1:AV1756)+1),"")</f>
        <v/>
      </c>
    </row>
    <row r="1758" spans="1:48" ht="15" customHeight="1" x14ac:dyDescent="0.25">
      <c r="A1758" s="1"/>
      <c r="B1758" s="31">
        <v>19125</v>
      </c>
      <c r="C1758" s="16">
        <v>4670009623010</v>
      </c>
      <c r="D1758" s="226" t="s">
        <v>1774</v>
      </c>
      <c r="E1758" s="69">
        <v>9</v>
      </c>
      <c r="F1758" s="222"/>
      <c r="G1758" s="108">
        <v>123.1</v>
      </c>
      <c r="H1758" s="17">
        <v>127.9</v>
      </c>
      <c r="I1758" s="18">
        <v>138.30000000000001</v>
      </c>
      <c r="J1758" s="113" t="s">
        <v>620</v>
      </c>
      <c r="K1758" s="44" t="s">
        <v>413</v>
      </c>
      <c r="L1758" s="442"/>
      <c r="M1758" s="480" t="s">
        <v>1856</v>
      </c>
      <c r="N1758" s="1015" t="s">
        <v>1856</v>
      </c>
      <c r="O1758" s="210"/>
      <c r="P1758" s="68" t="s">
        <v>72</v>
      </c>
      <c r="Q1758" s="100">
        <f t="shared" si="924"/>
        <v>0</v>
      </c>
      <c r="R1758" s="13" t="str">
        <f t="shared" ref="R1758" si="929">IF(AO1758&gt;0,HYPERLINK(AO1758,"Фото &gt;&gt;"),"")</f>
        <v>Фото &gt;&gt;</v>
      </c>
      <c r="S1758" s="14" t="s">
        <v>3145</v>
      </c>
      <c r="AK1758">
        <v>0.42</v>
      </c>
      <c r="AL1758">
        <f t="shared" ref="AL1758" si="930">F1758*G1758</f>
        <v>0</v>
      </c>
      <c r="AM1758">
        <f t="shared" ref="AM1758" si="931">F1758*H1758</f>
        <v>0</v>
      </c>
      <c r="AN1758">
        <f t="shared" ref="AN1758" si="932">AK1758*F1758+IF(E1758&gt;1.01,F1758/E1758*0.2,0)</f>
        <v>0</v>
      </c>
      <c r="AO1758" t="s">
        <v>3146</v>
      </c>
      <c r="AV1758" t="str">
        <f>IF(F1758&gt;0,(COUNT($AV$1:AV1757)+1),"")</f>
        <v/>
      </c>
    </row>
    <row r="1759" spans="1:48" ht="15" customHeight="1" x14ac:dyDescent="0.25">
      <c r="A1759" s="1"/>
      <c r="B1759" s="30">
        <v>16487</v>
      </c>
      <c r="C1759" s="20">
        <v>4670009621863</v>
      </c>
      <c r="D1759" s="225" t="s">
        <v>638</v>
      </c>
      <c r="E1759" s="67">
        <v>9</v>
      </c>
      <c r="F1759" s="222"/>
      <c r="G1759" s="107">
        <v>118.5</v>
      </c>
      <c r="H1759" s="21">
        <v>123.2</v>
      </c>
      <c r="I1759" s="22">
        <v>133.19999999999999</v>
      </c>
      <c r="J1759" s="112" t="s">
        <v>620</v>
      </c>
      <c r="K1759" s="45" t="s">
        <v>413</v>
      </c>
      <c r="L1759" s="437"/>
      <c r="M1759" s="474" t="s">
        <v>1856</v>
      </c>
      <c r="N1759" s="1013" t="s">
        <v>1856</v>
      </c>
      <c r="O1759" s="209"/>
      <c r="P1759" s="66" t="s">
        <v>40</v>
      </c>
      <c r="Q1759" s="100">
        <f t="shared" si="924"/>
        <v>0</v>
      </c>
      <c r="R1759" s="13" t="str">
        <f t="shared" si="925"/>
        <v>Фото &gt;&gt;</v>
      </c>
      <c r="S1759" s="14" t="s">
        <v>639</v>
      </c>
      <c r="AK1759">
        <v>0.26</v>
      </c>
      <c r="AL1759">
        <f t="shared" si="926"/>
        <v>0</v>
      </c>
      <c r="AM1759">
        <f t="shared" si="927"/>
        <v>0</v>
      </c>
      <c r="AN1759">
        <f t="shared" si="928"/>
        <v>0</v>
      </c>
      <c r="AO1759" t="s">
        <v>4944</v>
      </c>
      <c r="AV1759" t="str">
        <f>IF(F1759&gt;0,(COUNT($AV$1:AV1758)+1),"")</f>
        <v/>
      </c>
    </row>
    <row r="1760" spans="1:48" ht="15" customHeight="1" x14ac:dyDescent="0.25">
      <c r="A1760" s="1"/>
      <c r="B1760" s="31">
        <v>16483</v>
      </c>
      <c r="C1760" s="16">
        <v>4670009621894</v>
      </c>
      <c r="D1760" s="226" t="s">
        <v>640</v>
      </c>
      <c r="E1760" s="69">
        <v>9</v>
      </c>
      <c r="F1760" s="222"/>
      <c r="G1760" s="108">
        <v>117</v>
      </c>
      <c r="H1760" s="17">
        <v>121.5</v>
      </c>
      <c r="I1760" s="18">
        <v>131.19999999999999</v>
      </c>
      <c r="J1760" s="113" t="s">
        <v>620</v>
      </c>
      <c r="K1760" s="44" t="s">
        <v>413</v>
      </c>
      <c r="L1760" s="442"/>
      <c r="M1760" s="480" t="s">
        <v>1856</v>
      </c>
      <c r="N1760" s="1015" t="s">
        <v>1856</v>
      </c>
      <c r="O1760" s="210"/>
      <c r="P1760" s="68" t="s">
        <v>40</v>
      </c>
      <c r="Q1760" s="100">
        <f t="shared" si="924"/>
        <v>0</v>
      </c>
      <c r="R1760" s="13" t="str">
        <f t="shared" si="925"/>
        <v>Фото &gt;&gt;</v>
      </c>
      <c r="S1760" s="14" t="s">
        <v>641</v>
      </c>
      <c r="AK1760">
        <v>0.26</v>
      </c>
      <c r="AL1760">
        <f t="shared" si="926"/>
        <v>0</v>
      </c>
      <c r="AM1760">
        <f t="shared" si="927"/>
        <v>0</v>
      </c>
      <c r="AN1760">
        <f t="shared" si="928"/>
        <v>0</v>
      </c>
      <c r="AO1760" t="s">
        <v>4945</v>
      </c>
      <c r="AV1760" t="str">
        <f>IF(F1760&gt;0,(COUNT($AV$1:AV1759)+1),"")</f>
        <v/>
      </c>
    </row>
    <row r="1761" spans="1:48" ht="15" customHeight="1" x14ac:dyDescent="0.25">
      <c r="A1761" s="1"/>
      <c r="B1761" s="30">
        <v>19127</v>
      </c>
      <c r="C1761" s="20">
        <v>4670009623034</v>
      </c>
      <c r="D1761" s="225" t="s">
        <v>1776</v>
      </c>
      <c r="E1761" s="67">
        <v>9</v>
      </c>
      <c r="F1761" s="222"/>
      <c r="G1761" s="107">
        <v>117</v>
      </c>
      <c r="H1761" s="21">
        <v>121.5</v>
      </c>
      <c r="I1761" s="22">
        <v>131.19999999999999</v>
      </c>
      <c r="J1761" s="112" t="s">
        <v>620</v>
      </c>
      <c r="K1761" s="45" t="s">
        <v>413</v>
      </c>
      <c r="L1761" s="437"/>
      <c r="M1761" s="474" t="s">
        <v>1856</v>
      </c>
      <c r="N1761" s="1013" t="s">
        <v>1856</v>
      </c>
      <c r="O1761" s="209"/>
      <c r="P1761" s="66" t="s">
        <v>72</v>
      </c>
      <c r="Q1761" s="100">
        <f t="shared" si="924"/>
        <v>0</v>
      </c>
      <c r="R1761" s="13" t="str">
        <f t="shared" si="925"/>
        <v>Фото &gt;&gt;</v>
      </c>
      <c r="S1761" s="14" t="s">
        <v>3149</v>
      </c>
      <c r="AK1761">
        <v>0.28000000000000003</v>
      </c>
      <c r="AL1761">
        <f t="shared" si="926"/>
        <v>0</v>
      </c>
      <c r="AM1761">
        <f t="shared" si="927"/>
        <v>0</v>
      </c>
      <c r="AN1761">
        <f t="shared" si="928"/>
        <v>0</v>
      </c>
      <c r="AO1761" t="s">
        <v>3152</v>
      </c>
      <c r="AV1761" t="str">
        <f>IF(F1761&gt;0,(COUNT($AV$1:AV1760)+1),"")</f>
        <v/>
      </c>
    </row>
    <row r="1762" spans="1:48" ht="15" customHeight="1" x14ac:dyDescent="0.25">
      <c r="A1762" s="1"/>
      <c r="B1762" s="31">
        <v>16485</v>
      </c>
      <c r="C1762" s="16">
        <v>4670009621870</v>
      </c>
      <c r="D1762" s="226" t="s">
        <v>642</v>
      </c>
      <c r="E1762" s="69">
        <v>9</v>
      </c>
      <c r="F1762" s="222"/>
      <c r="G1762" s="108">
        <v>123.1</v>
      </c>
      <c r="H1762" s="17">
        <v>127.9</v>
      </c>
      <c r="I1762" s="18">
        <v>138.30000000000001</v>
      </c>
      <c r="J1762" s="113" t="s">
        <v>620</v>
      </c>
      <c r="K1762" s="44" t="s">
        <v>413</v>
      </c>
      <c r="L1762" s="442"/>
      <c r="M1762" s="480" t="s">
        <v>1856</v>
      </c>
      <c r="N1762" s="1015" t="s">
        <v>1856</v>
      </c>
      <c r="O1762" s="210"/>
      <c r="P1762" s="68" t="s">
        <v>40</v>
      </c>
      <c r="Q1762" s="100">
        <f t="shared" si="924"/>
        <v>0</v>
      </c>
      <c r="R1762" s="13" t="str">
        <f t="shared" si="925"/>
        <v>Фото &gt;&gt;</v>
      </c>
      <c r="S1762" s="14" t="s">
        <v>643</v>
      </c>
      <c r="AK1762">
        <v>0.26</v>
      </c>
      <c r="AL1762">
        <f t="shared" si="926"/>
        <v>0</v>
      </c>
      <c r="AM1762">
        <f t="shared" si="927"/>
        <v>0</v>
      </c>
      <c r="AN1762">
        <f t="shared" si="928"/>
        <v>0</v>
      </c>
      <c r="AO1762" t="s">
        <v>4946</v>
      </c>
      <c r="AV1762" t="str">
        <f>IF(F1762&gt;0,(COUNT($AV$1:AV1761)+1),"")</f>
        <v/>
      </c>
    </row>
    <row r="1763" spans="1:48" ht="15" customHeight="1" x14ac:dyDescent="0.25">
      <c r="A1763" s="1"/>
      <c r="B1763" s="30">
        <v>16489</v>
      </c>
      <c r="C1763" s="20">
        <v>4670009621856</v>
      </c>
      <c r="D1763" s="225" t="s">
        <v>644</v>
      </c>
      <c r="E1763" s="67">
        <v>9</v>
      </c>
      <c r="F1763" s="222"/>
      <c r="G1763" s="107">
        <v>123.1</v>
      </c>
      <c r="H1763" s="21">
        <v>127.9</v>
      </c>
      <c r="I1763" s="22">
        <v>138.30000000000001</v>
      </c>
      <c r="J1763" s="112" t="s">
        <v>620</v>
      </c>
      <c r="K1763" s="45" t="s">
        <v>413</v>
      </c>
      <c r="L1763" s="437"/>
      <c r="M1763" s="474" t="s">
        <v>1856</v>
      </c>
      <c r="N1763" s="1013" t="s">
        <v>1856</v>
      </c>
      <c r="O1763" s="209"/>
      <c r="P1763" s="66" t="s">
        <v>40</v>
      </c>
      <c r="Q1763" s="100">
        <f t="shared" si="924"/>
        <v>0</v>
      </c>
      <c r="R1763" s="13" t="str">
        <f t="shared" ref="R1763" si="933">IF(AO1763&gt;0,HYPERLINK(AO1763,"Фото &gt;&gt;"),"")</f>
        <v>Фото &gt;&gt;</v>
      </c>
      <c r="S1763" s="14" t="s">
        <v>645</v>
      </c>
      <c r="AK1763">
        <v>0.26</v>
      </c>
      <c r="AL1763">
        <f t="shared" ref="AL1763" si="934">F1763*G1763</f>
        <v>0</v>
      </c>
      <c r="AM1763">
        <f t="shared" ref="AM1763" si="935">F1763*H1763</f>
        <v>0</v>
      </c>
      <c r="AN1763">
        <f t="shared" ref="AN1763" si="936">AK1763*F1763+IF(E1763&gt;1.01,F1763/E1763*0.2,0)</f>
        <v>0</v>
      </c>
      <c r="AO1763" t="s">
        <v>4947</v>
      </c>
      <c r="AV1763" t="str">
        <f>IF(F1763&gt;0,(COUNT($AV$1:AV1762)+1),"")</f>
        <v/>
      </c>
    </row>
    <row r="1764" spans="1:48" ht="15" customHeight="1" x14ac:dyDescent="0.25">
      <c r="A1764" s="1"/>
      <c r="B1764" s="31">
        <v>16490</v>
      </c>
      <c r="C1764" s="16">
        <v>4670009621917</v>
      </c>
      <c r="D1764" s="226" t="s">
        <v>648</v>
      </c>
      <c r="E1764" s="69">
        <v>9</v>
      </c>
      <c r="F1764" s="222"/>
      <c r="G1764" s="108">
        <v>120</v>
      </c>
      <c r="H1764" s="17">
        <v>124.8</v>
      </c>
      <c r="I1764" s="18">
        <v>134.19999999999999</v>
      </c>
      <c r="J1764" s="113" t="s">
        <v>620</v>
      </c>
      <c r="K1764" s="44" t="s">
        <v>413</v>
      </c>
      <c r="L1764" s="442"/>
      <c r="M1764" s="480" t="s">
        <v>1856</v>
      </c>
      <c r="N1764" s="1015" t="s">
        <v>1856</v>
      </c>
      <c r="O1764" s="210"/>
      <c r="P1764" s="68" t="s">
        <v>40</v>
      </c>
      <c r="Q1764" s="100">
        <f t="shared" si="924"/>
        <v>0</v>
      </c>
      <c r="R1764" s="13" t="str">
        <f t="shared" si="925"/>
        <v>Фото &gt;&gt;</v>
      </c>
      <c r="S1764" s="14" t="s">
        <v>649</v>
      </c>
      <c r="AK1764">
        <v>0.26</v>
      </c>
      <c r="AL1764">
        <f t="shared" ref="AL1764:AL1767" si="937">F1764*G1764</f>
        <v>0</v>
      </c>
      <c r="AM1764">
        <f t="shared" ref="AM1764:AM1767" si="938">F1764*H1764</f>
        <v>0</v>
      </c>
      <c r="AN1764">
        <f t="shared" ref="AN1764:AN1767" si="939">AK1764*F1764+IF(E1764&gt;1.01,F1764/E1764*0.2,0)</f>
        <v>0</v>
      </c>
      <c r="AO1764" t="s">
        <v>4059</v>
      </c>
      <c r="AV1764" t="str">
        <f>IF(F1764&gt;0,(COUNT($AV$1:AV1763)+1),"")</f>
        <v/>
      </c>
    </row>
    <row r="1765" spans="1:48" ht="15" customHeight="1" x14ac:dyDescent="0.25">
      <c r="A1765" s="1"/>
      <c r="B1765" s="578">
        <v>16491</v>
      </c>
      <c r="C1765" s="579">
        <v>4670009621948</v>
      </c>
      <c r="D1765" s="595" t="s">
        <v>6968</v>
      </c>
      <c r="E1765" s="580">
        <v>9</v>
      </c>
      <c r="F1765" s="581"/>
      <c r="G1765" s="582">
        <v>104.7</v>
      </c>
      <c r="H1765" s="583">
        <v>108.8</v>
      </c>
      <c r="I1765" s="584">
        <v>117.2</v>
      </c>
      <c r="J1765" s="585" t="s">
        <v>620</v>
      </c>
      <c r="K1765" s="586" t="s">
        <v>413</v>
      </c>
      <c r="L1765" s="437"/>
      <c r="M1765" s="474" t="s">
        <v>1856</v>
      </c>
      <c r="N1765" s="1013" t="s">
        <v>1856</v>
      </c>
      <c r="O1765" s="212" t="s">
        <v>1690</v>
      </c>
      <c r="P1765" s="66" t="s">
        <v>40</v>
      </c>
      <c r="Q1765" s="100">
        <f t="shared" si="924"/>
        <v>0</v>
      </c>
      <c r="R1765" s="13" t="str">
        <f t="shared" si="925"/>
        <v>Фото &gt;&gt;</v>
      </c>
      <c r="S1765" s="14" t="s">
        <v>6969</v>
      </c>
      <c r="AK1765">
        <v>0.26</v>
      </c>
      <c r="AL1765">
        <f t="shared" si="937"/>
        <v>0</v>
      </c>
      <c r="AM1765">
        <f t="shared" si="938"/>
        <v>0</v>
      </c>
      <c r="AN1765">
        <f t="shared" si="939"/>
        <v>0</v>
      </c>
      <c r="AO1765" t="s">
        <v>6970</v>
      </c>
      <c r="AV1765" t="str">
        <f>IF(F1765&gt;0,(COUNT($AV$1:AV1764)+1),"")</f>
        <v/>
      </c>
    </row>
    <row r="1766" spans="1:48" ht="15" customHeight="1" x14ac:dyDescent="0.25">
      <c r="A1766" s="1"/>
      <c r="B1766" s="31">
        <v>16484</v>
      </c>
      <c r="C1766" s="16">
        <v>4670009621887</v>
      </c>
      <c r="D1766" s="226" t="s">
        <v>633</v>
      </c>
      <c r="E1766" s="69">
        <v>9</v>
      </c>
      <c r="F1766" s="222"/>
      <c r="G1766" s="108">
        <v>117</v>
      </c>
      <c r="H1766" s="17">
        <v>121.5</v>
      </c>
      <c r="I1766" s="18">
        <v>131.19999999999999</v>
      </c>
      <c r="J1766" s="113" t="s">
        <v>620</v>
      </c>
      <c r="K1766" s="44" t="s">
        <v>413</v>
      </c>
      <c r="L1766" s="442"/>
      <c r="M1766" s="480" t="s">
        <v>1856</v>
      </c>
      <c r="N1766" s="1015" t="s">
        <v>1856</v>
      </c>
      <c r="O1766" s="210"/>
      <c r="P1766" s="68" t="s">
        <v>40</v>
      </c>
      <c r="Q1766" s="100">
        <f t="shared" si="924"/>
        <v>0</v>
      </c>
      <c r="R1766" s="13" t="str">
        <f t="shared" si="925"/>
        <v>Фото &gt;&gt;</v>
      </c>
      <c r="S1766" s="14" t="s">
        <v>634</v>
      </c>
      <c r="AK1766">
        <v>0.26</v>
      </c>
      <c r="AL1766">
        <f t="shared" si="937"/>
        <v>0</v>
      </c>
      <c r="AM1766">
        <f t="shared" si="938"/>
        <v>0</v>
      </c>
      <c r="AN1766">
        <f t="shared" si="939"/>
        <v>0</v>
      </c>
      <c r="AO1766" t="s">
        <v>4942</v>
      </c>
      <c r="AV1766" t="str">
        <f>IF(F1766&gt;0,(COUNT($AV$1:AV1765)+1),"")</f>
        <v/>
      </c>
    </row>
    <row r="1767" spans="1:48" ht="15" customHeight="1" x14ac:dyDescent="0.25">
      <c r="A1767" s="1"/>
      <c r="B1767" s="30">
        <v>19126</v>
      </c>
      <c r="C1767" s="20">
        <v>4670009623003</v>
      </c>
      <c r="D1767" s="225" t="s">
        <v>1793</v>
      </c>
      <c r="E1767" s="67">
        <v>9</v>
      </c>
      <c r="F1767" s="222"/>
      <c r="G1767" s="107">
        <v>116</v>
      </c>
      <c r="H1767" s="21">
        <v>120.7</v>
      </c>
      <c r="I1767" s="22">
        <v>130.19999999999999</v>
      </c>
      <c r="J1767" s="112" t="s">
        <v>620</v>
      </c>
      <c r="K1767" s="45" t="s">
        <v>413</v>
      </c>
      <c r="L1767" s="437"/>
      <c r="M1767" s="474" t="s">
        <v>1856</v>
      </c>
      <c r="N1767" s="1013" t="s">
        <v>1856</v>
      </c>
      <c r="O1767" s="209"/>
      <c r="P1767" s="66" t="s">
        <v>72</v>
      </c>
      <c r="Q1767" s="100">
        <f t="shared" si="924"/>
        <v>0</v>
      </c>
      <c r="R1767" s="13" t="str">
        <f t="shared" si="925"/>
        <v>Фото &gt;&gt;</v>
      </c>
      <c r="S1767" s="14" t="s">
        <v>3147</v>
      </c>
      <c r="AK1767">
        <v>0.22</v>
      </c>
      <c r="AL1767">
        <f t="shared" si="937"/>
        <v>0</v>
      </c>
      <c r="AM1767">
        <f t="shared" si="938"/>
        <v>0</v>
      </c>
      <c r="AN1767">
        <f t="shared" si="939"/>
        <v>0</v>
      </c>
      <c r="AO1767" t="s">
        <v>3151</v>
      </c>
      <c r="AV1767" t="str">
        <f>IF(F1767&gt;0,(COUNT($AV$1:AV1766)+1),"")</f>
        <v/>
      </c>
    </row>
    <row r="1768" spans="1:48" ht="15" customHeight="1" x14ac:dyDescent="0.25">
      <c r="A1768" s="1"/>
      <c r="B1768" s="31">
        <v>16486</v>
      </c>
      <c r="C1768" s="16">
        <v>4670009621924</v>
      </c>
      <c r="D1768" s="226" t="s">
        <v>646</v>
      </c>
      <c r="E1768" s="69">
        <v>9</v>
      </c>
      <c r="F1768" s="222"/>
      <c r="G1768" s="108">
        <v>100</v>
      </c>
      <c r="H1768" s="17">
        <v>104</v>
      </c>
      <c r="I1768" s="18">
        <v>111.9</v>
      </c>
      <c r="J1768" s="113" t="s">
        <v>620</v>
      </c>
      <c r="K1768" s="44" t="s">
        <v>413</v>
      </c>
      <c r="L1768" s="442"/>
      <c r="M1768" s="480" t="s">
        <v>1856</v>
      </c>
      <c r="N1768" s="1015" t="s">
        <v>1856</v>
      </c>
      <c r="O1768" s="210"/>
      <c r="P1768" s="68" t="s">
        <v>40</v>
      </c>
      <c r="Q1768" s="100">
        <f t="shared" si="924"/>
        <v>0</v>
      </c>
      <c r="R1768" s="13" t="str">
        <f t="shared" si="925"/>
        <v>Фото &gt;&gt;</v>
      </c>
      <c r="S1768" s="14" t="s">
        <v>647</v>
      </c>
      <c r="AK1768">
        <v>0.26</v>
      </c>
      <c r="AL1768">
        <f t="shared" si="926"/>
        <v>0</v>
      </c>
      <c r="AM1768">
        <f t="shared" si="927"/>
        <v>0</v>
      </c>
      <c r="AN1768">
        <f t="shared" si="928"/>
        <v>0</v>
      </c>
      <c r="AO1768" t="s">
        <v>4948</v>
      </c>
      <c r="AV1768" t="str">
        <f>IF(F1768&gt;0,(COUNT($AV$1:AV1767)+1),"")</f>
        <v/>
      </c>
    </row>
    <row r="1769" spans="1:48" ht="15" customHeight="1" x14ac:dyDescent="0.25">
      <c r="A1769" s="1"/>
      <c r="B1769" s="25"/>
      <c r="C1769" s="26"/>
      <c r="D1769" s="27"/>
      <c r="E1769" s="80"/>
      <c r="F1769" s="96"/>
      <c r="G1769" s="28"/>
      <c r="H1769" s="29"/>
      <c r="I1769" s="29"/>
      <c r="J1769" s="51"/>
      <c r="K1769" s="47"/>
      <c r="L1769" s="447"/>
      <c r="M1769" s="489" t="s">
        <v>104</v>
      </c>
      <c r="N1769" s="716"/>
      <c r="O1769" s="186"/>
      <c r="P1769" s="79"/>
      <c r="Q1769" s="79"/>
      <c r="R1769" s="13"/>
      <c r="S1769" s="14"/>
      <c r="AL1769">
        <f t="shared" si="922"/>
        <v>0</v>
      </c>
      <c r="AM1769">
        <f t="shared" si="923"/>
        <v>0</v>
      </c>
      <c r="AN1769">
        <f t="shared" ref="AN1769:AN1781" si="940">AK1769*F1769+IF(E1769&gt;1.01,F1769/E1769*0.2,0)</f>
        <v>0</v>
      </c>
      <c r="AO1769" t="s">
        <v>104</v>
      </c>
      <c r="AV1769" t="str">
        <f>IF(F1769&gt;0,(COUNT($AV$1:AV1768)+1),"")</f>
        <v/>
      </c>
    </row>
    <row r="1770" spans="1:48" ht="15" customHeight="1" x14ac:dyDescent="0.25">
      <c r="A1770" s="1"/>
      <c r="B1770" s="30">
        <v>16469</v>
      </c>
      <c r="C1770" s="20">
        <v>4670009621795</v>
      </c>
      <c r="D1770" s="225" t="s">
        <v>6286</v>
      </c>
      <c r="E1770" s="67">
        <v>9</v>
      </c>
      <c r="F1770" s="222"/>
      <c r="G1770" s="107">
        <v>76.400000000000006</v>
      </c>
      <c r="H1770" s="21">
        <v>79.5</v>
      </c>
      <c r="I1770" s="22">
        <v>85.6</v>
      </c>
      <c r="J1770" s="112" t="s">
        <v>620</v>
      </c>
      <c r="K1770" s="45" t="s">
        <v>105</v>
      </c>
      <c r="L1770" s="437"/>
      <c r="M1770" s="474" t="s">
        <v>1856</v>
      </c>
      <c r="N1770" s="1013" t="s">
        <v>1856</v>
      </c>
      <c r="O1770" s="209"/>
      <c r="P1770" s="66" t="s">
        <v>50</v>
      </c>
      <c r="Q1770" s="100">
        <f>IF(AND($AO$1732=1,MOD(F1770,E1770)=0),F1770*G1770,IF($AO$1732&lt;=2,F1770*H1770,F1770*I1770))</f>
        <v>0</v>
      </c>
      <c r="R1770" s="13" t="str">
        <f t="shared" ref="R1770:R1772" si="941">IF(AO1770&gt;0,HYPERLINK(AO1770,"Фото &gt;&gt;"),"")</f>
        <v>Фото &gt;&gt;</v>
      </c>
      <c r="S1770" s="14" t="s">
        <v>650</v>
      </c>
      <c r="AK1770">
        <v>0.37</v>
      </c>
      <c r="AL1770">
        <f t="shared" si="922"/>
        <v>0</v>
      </c>
      <c r="AM1770">
        <f t="shared" si="923"/>
        <v>0</v>
      </c>
      <c r="AN1770">
        <f t="shared" si="940"/>
        <v>0</v>
      </c>
      <c r="AO1770" t="s">
        <v>5399</v>
      </c>
      <c r="AV1770" t="str">
        <f>IF(F1770&gt;0,(COUNT($AV$1:AV1769)+1),"")</f>
        <v/>
      </c>
    </row>
    <row r="1771" spans="1:48" ht="15" customHeight="1" x14ac:dyDescent="0.25">
      <c r="A1771" s="1"/>
      <c r="B1771" s="31">
        <v>16472</v>
      </c>
      <c r="C1771" s="16">
        <v>4670009621757</v>
      </c>
      <c r="D1771" s="226" t="s">
        <v>4082</v>
      </c>
      <c r="E1771" s="69">
        <v>9</v>
      </c>
      <c r="F1771" s="222"/>
      <c r="G1771" s="108">
        <v>76.400000000000006</v>
      </c>
      <c r="H1771" s="17">
        <v>79.5</v>
      </c>
      <c r="I1771" s="18">
        <v>85.6</v>
      </c>
      <c r="J1771" s="113" t="s">
        <v>620</v>
      </c>
      <c r="K1771" s="44" t="s">
        <v>105</v>
      </c>
      <c r="L1771" s="442"/>
      <c r="M1771" s="480" t="s">
        <v>1856</v>
      </c>
      <c r="N1771" s="1015" t="s">
        <v>1856</v>
      </c>
      <c r="O1771" s="217"/>
      <c r="P1771" s="68" t="s">
        <v>50</v>
      </c>
      <c r="Q1771" s="100">
        <f>IF(AND($AO$1732=1,MOD(F1771,E1771)=0),F1771*G1771,IF($AO$1732&lt;=2,F1771*H1771,F1771*I1771))</f>
        <v>0</v>
      </c>
      <c r="R1771" s="13" t="str">
        <f t="shared" si="941"/>
        <v>Фото &gt;&gt;</v>
      </c>
      <c r="S1771" s="14" t="s">
        <v>650</v>
      </c>
      <c r="AK1771">
        <v>0.37</v>
      </c>
      <c r="AL1771">
        <f t="shared" si="922"/>
        <v>0</v>
      </c>
      <c r="AM1771">
        <f t="shared" si="923"/>
        <v>0</v>
      </c>
      <c r="AN1771">
        <f t="shared" si="940"/>
        <v>0</v>
      </c>
      <c r="AO1771" t="s">
        <v>5400</v>
      </c>
      <c r="AV1771" t="str">
        <f>IF(F1771&gt;0,(COUNT($AV$1:AV1770)+1),"")</f>
        <v/>
      </c>
    </row>
    <row r="1772" spans="1:48" ht="15" customHeight="1" x14ac:dyDescent="0.25">
      <c r="A1772" s="1"/>
      <c r="B1772" s="30">
        <v>16473</v>
      </c>
      <c r="C1772" s="20">
        <v>4670009621788</v>
      </c>
      <c r="D1772" s="225" t="s">
        <v>4083</v>
      </c>
      <c r="E1772" s="67">
        <v>9</v>
      </c>
      <c r="F1772" s="222"/>
      <c r="G1772" s="107">
        <v>76.400000000000006</v>
      </c>
      <c r="H1772" s="21">
        <v>79.5</v>
      </c>
      <c r="I1772" s="22">
        <v>85.6</v>
      </c>
      <c r="J1772" s="112" t="s">
        <v>620</v>
      </c>
      <c r="K1772" s="45" t="s">
        <v>105</v>
      </c>
      <c r="L1772" s="437"/>
      <c r="M1772" s="474" t="s">
        <v>1856</v>
      </c>
      <c r="N1772" s="1013" t="s">
        <v>1856</v>
      </c>
      <c r="O1772" s="209"/>
      <c r="P1772" s="66" t="s">
        <v>50</v>
      </c>
      <c r="Q1772" s="100">
        <f>IF(AND($AO$1732=1,MOD(F1772,E1772)=0),F1772*G1772,IF($AO$1732&lt;=2,F1772*H1772,F1772*I1772))</f>
        <v>0</v>
      </c>
      <c r="R1772" s="13" t="str">
        <f t="shared" si="941"/>
        <v>Фото &gt;&gt;</v>
      </c>
      <c r="S1772" s="14" t="s">
        <v>650</v>
      </c>
      <c r="AK1772">
        <v>0.37</v>
      </c>
      <c r="AL1772">
        <f t="shared" si="922"/>
        <v>0</v>
      </c>
      <c r="AM1772">
        <f t="shared" si="923"/>
        <v>0</v>
      </c>
      <c r="AN1772">
        <f t="shared" si="940"/>
        <v>0</v>
      </c>
      <c r="AO1772" t="s">
        <v>5401</v>
      </c>
      <c r="AV1772" t="str">
        <f>IF(F1772&gt;0,(COUNT($AV$1:AV1771)+1),"")</f>
        <v/>
      </c>
    </row>
    <row r="1773" spans="1:48" ht="15" customHeight="1" x14ac:dyDescent="0.25">
      <c r="A1773" s="1"/>
      <c r="B1773" s="25"/>
      <c r="C1773" s="26"/>
      <c r="D1773" s="27" t="s">
        <v>7425</v>
      </c>
      <c r="E1773" s="80"/>
      <c r="F1773" s="96"/>
      <c r="G1773" s="28"/>
      <c r="H1773" s="29"/>
      <c r="I1773" s="29"/>
      <c r="J1773" s="51"/>
      <c r="K1773" s="47"/>
      <c r="L1773" s="447"/>
      <c r="M1773" s="489" t="s">
        <v>104</v>
      </c>
      <c r="N1773" s="716"/>
      <c r="O1773" s="186"/>
      <c r="P1773" s="79"/>
      <c r="Q1773" s="79"/>
      <c r="R1773" s="13"/>
      <c r="S1773" s="14"/>
      <c r="AL1773">
        <f t="shared" ref="AL1773" si="942">F1773*G1773</f>
        <v>0</v>
      </c>
      <c r="AM1773">
        <f t="shared" ref="AM1773" si="943">F1773*H1773</f>
        <v>0</v>
      </c>
      <c r="AN1773">
        <f t="shared" ref="AN1773" si="944">AK1773*F1773+IF(E1773&gt;1.01,F1773/E1773*0.2,0)</f>
        <v>0</v>
      </c>
      <c r="AO1773" t="s">
        <v>104</v>
      </c>
      <c r="AV1773" t="str">
        <f>IF(F1773&gt;0,(COUNT($AV$1:AV1772)+1),"")</f>
        <v/>
      </c>
    </row>
    <row r="1774" spans="1:48" ht="15" customHeight="1" x14ac:dyDescent="0.25">
      <c r="A1774" s="1"/>
      <c r="B1774" s="30">
        <v>16499</v>
      </c>
      <c r="C1774" s="20">
        <v>4670009622129</v>
      </c>
      <c r="D1774" s="225" t="s">
        <v>7574</v>
      </c>
      <c r="E1774" s="67">
        <v>10</v>
      </c>
      <c r="F1774" s="222"/>
      <c r="G1774" s="107">
        <v>109.1</v>
      </c>
      <c r="H1774" s="21">
        <v>113.4</v>
      </c>
      <c r="I1774" s="22">
        <v>122</v>
      </c>
      <c r="J1774" s="112" t="s">
        <v>620</v>
      </c>
      <c r="K1774" s="45" t="s">
        <v>478</v>
      </c>
      <c r="L1774" s="437"/>
      <c r="M1774" s="474" t="s">
        <v>1856</v>
      </c>
      <c r="N1774" s="1013" t="s">
        <v>1856</v>
      </c>
      <c r="O1774" s="209"/>
      <c r="P1774" s="66" t="s">
        <v>100</v>
      </c>
      <c r="Q1774" s="100">
        <f t="shared" ref="Q1774:Q1781" si="945">IF(AND($AO$1732=1,MOD(F1774,E1774)=0),F1774*G1774,IF($AO$1732&lt;=2,F1774*H1774,F1774*I1774))</f>
        <v>0</v>
      </c>
      <c r="R1774" s="13" t="str">
        <f t="shared" ref="R1774:R1781" si="946">IF(AO1774&gt;0,HYPERLINK(AO1774,"Фото &gt;&gt;"),"")</f>
        <v>Фото &gt;&gt;</v>
      </c>
      <c r="S1774" s="14" t="s">
        <v>651</v>
      </c>
      <c r="AK1774">
        <v>0.11</v>
      </c>
      <c r="AL1774">
        <f t="shared" si="922"/>
        <v>0</v>
      </c>
      <c r="AM1774">
        <f t="shared" si="923"/>
        <v>0</v>
      </c>
      <c r="AN1774">
        <f t="shared" si="940"/>
        <v>0</v>
      </c>
      <c r="AO1774" t="s">
        <v>4949</v>
      </c>
      <c r="AV1774" t="str">
        <f>IF(F1774&gt;0,(COUNT($AV$1:AV1773)+1),"")</f>
        <v/>
      </c>
    </row>
    <row r="1775" spans="1:48" ht="15" customHeight="1" x14ac:dyDescent="0.25">
      <c r="A1775" s="1"/>
      <c r="B1775" s="31">
        <v>16496</v>
      </c>
      <c r="C1775" s="16">
        <v>4670009622099</v>
      </c>
      <c r="D1775" s="226" t="s">
        <v>7575</v>
      </c>
      <c r="E1775" s="69">
        <v>10</v>
      </c>
      <c r="F1775" s="222"/>
      <c r="G1775" s="108">
        <v>109.1</v>
      </c>
      <c r="H1775" s="17">
        <v>113.4</v>
      </c>
      <c r="I1775" s="18">
        <v>122</v>
      </c>
      <c r="J1775" s="113" t="s">
        <v>620</v>
      </c>
      <c r="K1775" s="44" t="s">
        <v>478</v>
      </c>
      <c r="L1775" s="442"/>
      <c r="M1775" s="480" t="s">
        <v>1856</v>
      </c>
      <c r="N1775" s="1015" t="s">
        <v>1856</v>
      </c>
      <c r="O1775" s="210"/>
      <c r="P1775" s="68" t="s">
        <v>100</v>
      </c>
      <c r="Q1775" s="100">
        <f t="shared" si="945"/>
        <v>0</v>
      </c>
      <c r="R1775" s="13" t="str">
        <f t="shared" si="946"/>
        <v>Фото &gt;&gt;</v>
      </c>
      <c r="S1775" s="14" t="s">
        <v>652</v>
      </c>
      <c r="AK1775">
        <v>0.11</v>
      </c>
      <c r="AL1775">
        <f t="shared" si="922"/>
        <v>0</v>
      </c>
      <c r="AM1775">
        <f t="shared" si="923"/>
        <v>0</v>
      </c>
      <c r="AN1775">
        <f t="shared" si="940"/>
        <v>0</v>
      </c>
      <c r="AO1775" t="s">
        <v>4950</v>
      </c>
      <c r="AV1775" t="str">
        <f>IF(F1775&gt;0,(COUNT($AV$1:AV1774)+1),"")</f>
        <v/>
      </c>
    </row>
    <row r="1776" spans="1:48" ht="15" customHeight="1" x14ac:dyDescent="0.25">
      <c r="A1776" s="1"/>
      <c r="B1776" s="30">
        <v>16498</v>
      </c>
      <c r="C1776" s="20">
        <v>4670009622112</v>
      </c>
      <c r="D1776" s="225" t="s">
        <v>7576</v>
      </c>
      <c r="E1776" s="67">
        <v>10</v>
      </c>
      <c r="F1776" s="222"/>
      <c r="G1776" s="107">
        <v>109.1</v>
      </c>
      <c r="H1776" s="21">
        <v>113.4</v>
      </c>
      <c r="I1776" s="22">
        <v>122</v>
      </c>
      <c r="J1776" s="112" t="s">
        <v>620</v>
      </c>
      <c r="K1776" s="45" t="s">
        <v>478</v>
      </c>
      <c r="L1776" s="437"/>
      <c r="M1776" s="474" t="s">
        <v>1856</v>
      </c>
      <c r="N1776" s="1013" t="s">
        <v>1856</v>
      </c>
      <c r="O1776" s="209"/>
      <c r="P1776" s="66" t="s">
        <v>100</v>
      </c>
      <c r="Q1776" s="100">
        <f t="shared" si="945"/>
        <v>0</v>
      </c>
      <c r="R1776" s="13" t="str">
        <f t="shared" si="946"/>
        <v>Фото &gt;&gt;</v>
      </c>
      <c r="S1776" s="14" t="s">
        <v>653</v>
      </c>
      <c r="AK1776">
        <v>0.11</v>
      </c>
      <c r="AL1776">
        <f t="shared" ref="AL1776:AL1781" si="947">F1776*G1776</f>
        <v>0</v>
      </c>
      <c r="AM1776">
        <f t="shared" ref="AM1776:AM1781" si="948">F1776*H1776</f>
        <v>0</v>
      </c>
      <c r="AN1776">
        <f t="shared" si="940"/>
        <v>0</v>
      </c>
      <c r="AO1776" t="s">
        <v>4950</v>
      </c>
      <c r="AV1776" t="str">
        <f>IF(F1776&gt;0,(COUNT($AV$1:AV1775)+1),"")</f>
        <v/>
      </c>
    </row>
    <row r="1777" spans="1:48" ht="15" customHeight="1" x14ac:dyDescent="0.25">
      <c r="A1777" s="1"/>
      <c r="B1777" s="31">
        <v>16497</v>
      </c>
      <c r="C1777" s="16">
        <v>4670009622105</v>
      </c>
      <c r="D1777" s="226" t="s">
        <v>654</v>
      </c>
      <c r="E1777" s="69">
        <v>10</v>
      </c>
      <c r="F1777" s="222"/>
      <c r="G1777" s="108">
        <v>109.1</v>
      </c>
      <c r="H1777" s="17">
        <v>113.4</v>
      </c>
      <c r="I1777" s="18">
        <v>122</v>
      </c>
      <c r="J1777" s="113" t="s">
        <v>620</v>
      </c>
      <c r="K1777" s="44" t="s">
        <v>478</v>
      </c>
      <c r="L1777" s="442"/>
      <c r="M1777" s="480" t="s">
        <v>1856</v>
      </c>
      <c r="N1777" s="1015" t="s">
        <v>1856</v>
      </c>
      <c r="O1777" s="210"/>
      <c r="P1777" s="68" t="s">
        <v>100</v>
      </c>
      <c r="Q1777" s="100">
        <f t="shared" si="945"/>
        <v>0</v>
      </c>
      <c r="R1777" s="13" t="str">
        <f t="shared" si="946"/>
        <v>Фото &gt;&gt;</v>
      </c>
      <c r="S1777" s="14" t="s">
        <v>655</v>
      </c>
      <c r="AK1777">
        <v>0.11</v>
      </c>
      <c r="AL1777">
        <f t="shared" si="947"/>
        <v>0</v>
      </c>
      <c r="AM1777">
        <f t="shared" si="948"/>
        <v>0</v>
      </c>
      <c r="AN1777">
        <f t="shared" si="940"/>
        <v>0</v>
      </c>
      <c r="AO1777" t="s">
        <v>4951</v>
      </c>
      <c r="AV1777" t="str">
        <f>IF(F1777&gt;0,(COUNT($AV$1:AV1776)+1),"")</f>
        <v/>
      </c>
    </row>
    <row r="1778" spans="1:48" ht="15" customHeight="1" x14ac:dyDescent="0.25">
      <c r="A1778" s="1"/>
      <c r="B1778" s="30">
        <v>16494</v>
      </c>
      <c r="C1778" s="20">
        <v>4670009622075</v>
      </c>
      <c r="D1778" s="225" t="s">
        <v>7577</v>
      </c>
      <c r="E1778" s="67">
        <v>10</v>
      </c>
      <c r="F1778" s="222"/>
      <c r="G1778" s="107">
        <v>109.1</v>
      </c>
      <c r="H1778" s="21">
        <v>113.4</v>
      </c>
      <c r="I1778" s="22">
        <v>122</v>
      </c>
      <c r="J1778" s="112" t="s">
        <v>620</v>
      </c>
      <c r="K1778" s="45" t="s">
        <v>478</v>
      </c>
      <c r="L1778" s="437"/>
      <c r="M1778" s="474" t="s">
        <v>1856</v>
      </c>
      <c r="N1778" s="1013" t="s">
        <v>1856</v>
      </c>
      <c r="O1778" s="209"/>
      <c r="P1778" s="66" t="s">
        <v>100</v>
      </c>
      <c r="Q1778" s="100">
        <f t="shared" si="945"/>
        <v>0</v>
      </c>
      <c r="R1778" s="13" t="str">
        <f t="shared" si="946"/>
        <v>Фото &gt;&gt;</v>
      </c>
      <c r="S1778" s="14" t="s">
        <v>656</v>
      </c>
      <c r="AK1778">
        <v>0.11</v>
      </c>
      <c r="AL1778">
        <f t="shared" si="947"/>
        <v>0</v>
      </c>
      <c r="AM1778">
        <f t="shared" si="948"/>
        <v>0</v>
      </c>
      <c r="AN1778">
        <f t="shared" si="940"/>
        <v>0</v>
      </c>
      <c r="AO1778" t="s">
        <v>4952</v>
      </c>
      <c r="AV1778" t="str">
        <f>IF(F1778&gt;0,(COUNT($AV$1:AV1777)+1),"")</f>
        <v/>
      </c>
    </row>
    <row r="1779" spans="1:48" ht="15" customHeight="1" x14ac:dyDescent="0.25">
      <c r="A1779" s="1"/>
      <c r="B1779" s="31">
        <v>16495</v>
      </c>
      <c r="C1779" s="16">
        <v>4670009622082</v>
      </c>
      <c r="D1779" s="226" t="s">
        <v>7578</v>
      </c>
      <c r="E1779" s="69">
        <v>10</v>
      </c>
      <c r="F1779" s="222"/>
      <c r="G1779" s="108">
        <v>109.1</v>
      </c>
      <c r="H1779" s="17">
        <v>113.4</v>
      </c>
      <c r="I1779" s="18">
        <v>122</v>
      </c>
      <c r="J1779" s="113" t="s">
        <v>620</v>
      </c>
      <c r="K1779" s="44" t="s">
        <v>478</v>
      </c>
      <c r="L1779" s="442"/>
      <c r="M1779" s="480" t="s">
        <v>1856</v>
      </c>
      <c r="N1779" s="1015" t="s">
        <v>1856</v>
      </c>
      <c r="O1779" s="210"/>
      <c r="P1779" s="68" t="s">
        <v>100</v>
      </c>
      <c r="Q1779" s="100">
        <f t="shared" si="945"/>
        <v>0</v>
      </c>
      <c r="R1779" s="13" t="str">
        <f t="shared" si="946"/>
        <v>Фото &gt;&gt;</v>
      </c>
      <c r="S1779" s="14" t="s">
        <v>657</v>
      </c>
      <c r="AK1779">
        <v>0.11</v>
      </c>
      <c r="AL1779">
        <f t="shared" si="947"/>
        <v>0</v>
      </c>
      <c r="AM1779">
        <f t="shared" si="948"/>
        <v>0</v>
      </c>
      <c r="AN1779">
        <f t="shared" si="940"/>
        <v>0</v>
      </c>
      <c r="AO1779" t="s">
        <v>4953</v>
      </c>
      <c r="AV1779" t="str">
        <f>IF(F1779&gt;0,(COUNT($AV$1:AV1778)+1),"")</f>
        <v/>
      </c>
    </row>
    <row r="1780" spans="1:48" ht="15" customHeight="1" x14ac:dyDescent="0.25">
      <c r="A1780" s="1"/>
      <c r="B1780" s="30">
        <v>16493</v>
      </c>
      <c r="C1780" s="20">
        <v>4670009622068</v>
      </c>
      <c r="D1780" s="225" t="s">
        <v>7579</v>
      </c>
      <c r="E1780" s="67">
        <v>10</v>
      </c>
      <c r="F1780" s="222"/>
      <c r="G1780" s="107">
        <v>109.1</v>
      </c>
      <c r="H1780" s="21">
        <v>113.4</v>
      </c>
      <c r="I1780" s="22">
        <v>122</v>
      </c>
      <c r="J1780" s="112" t="s">
        <v>620</v>
      </c>
      <c r="K1780" s="45" t="s">
        <v>478</v>
      </c>
      <c r="L1780" s="437"/>
      <c r="M1780" s="474" t="s">
        <v>1856</v>
      </c>
      <c r="N1780" s="1013" t="s">
        <v>1856</v>
      </c>
      <c r="O1780" s="209"/>
      <c r="P1780" s="66" t="s">
        <v>100</v>
      </c>
      <c r="Q1780" s="100">
        <f t="shared" si="945"/>
        <v>0</v>
      </c>
      <c r="R1780" s="13" t="str">
        <f t="shared" si="946"/>
        <v>Фото &gt;&gt;</v>
      </c>
      <c r="S1780" s="14" t="s">
        <v>658</v>
      </c>
      <c r="AK1780">
        <v>0.11</v>
      </c>
      <c r="AL1780">
        <f t="shared" si="947"/>
        <v>0</v>
      </c>
      <c r="AM1780">
        <f t="shared" si="948"/>
        <v>0</v>
      </c>
      <c r="AN1780">
        <f t="shared" si="940"/>
        <v>0</v>
      </c>
      <c r="AO1780" t="s">
        <v>4954</v>
      </c>
      <c r="AV1780" t="str">
        <f>IF(F1780&gt;0,(COUNT($AV$1:AV1779)+1),"")</f>
        <v/>
      </c>
    </row>
    <row r="1781" spans="1:48" ht="15" customHeight="1" x14ac:dyDescent="0.25">
      <c r="A1781" s="1"/>
      <c r="B1781" s="31">
        <v>16492</v>
      </c>
      <c r="C1781" s="16">
        <v>4670009622051</v>
      </c>
      <c r="D1781" s="226" t="s">
        <v>7580</v>
      </c>
      <c r="E1781" s="69">
        <v>10</v>
      </c>
      <c r="F1781" s="222"/>
      <c r="G1781" s="108">
        <v>109.1</v>
      </c>
      <c r="H1781" s="17">
        <v>113.4</v>
      </c>
      <c r="I1781" s="18">
        <v>122</v>
      </c>
      <c r="J1781" s="113" t="s">
        <v>620</v>
      </c>
      <c r="K1781" s="44" t="s">
        <v>478</v>
      </c>
      <c r="L1781" s="442"/>
      <c r="M1781" s="480" t="s">
        <v>1856</v>
      </c>
      <c r="N1781" s="1015" t="s">
        <v>1856</v>
      </c>
      <c r="O1781" s="210"/>
      <c r="P1781" s="68" t="s">
        <v>100</v>
      </c>
      <c r="Q1781" s="100">
        <f t="shared" si="945"/>
        <v>0</v>
      </c>
      <c r="R1781" s="13" t="str">
        <f t="shared" si="946"/>
        <v>Фото &gt;&gt;</v>
      </c>
      <c r="S1781" s="14" t="s">
        <v>659</v>
      </c>
      <c r="AK1781">
        <v>0.11</v>
      </c>
      <c r="AL1781">
        <f t="shared" si="947"/>
        <v>0</v>
      </c>
      <c r="AM1781">
        <f t="shared" si="948"/>
        <v>0</v>
      </c>
      <c r="AN1781">
        <f t="shared" si="940"/>
        <v>0</v>
      </c>
      <c r="AO1781" t="s">
        <v>4955</v>
      </c>
      <c r="AV1781" t="str">
        <f>IF(F1781&gt;0,(COUNT($AV$1:AV1780)+1),"")</f>
        <v/>
      </c>
    </row>
    <row r="1782" spans="1:48" ht="15" customHeight="1" x14ac:dyDescent="0.25">
      <c r="A1782" s="1"/>
      <c r="B1782" s="125"/>
      <c r="C1782" s="126"/>
      <c r="D1782" s="127"/>
      <c r="E1782" s="134"/>
      <c r="F1782" s="189"/>
      <c r="G1782" s="130"/>
      <c r="H1782" s="131"/>
      <c r="I1782" s="132"/>
      <c r="J1782" s="128"/>
      <c r="K1782" s="129"/>
      <c r="L1782" s="433"/>
      <c r="M1782" s="481" t="s">
        <v>104</v>
      </c>
      <c r="N1782" s="471"/>
      <c r="O1782" s="181"/>
      <c r="P1782" s="133"/>
      <c r="Q1782" s="135"/>
      <c r="R1782" s="13"/>
      <c r="S1782" s="14"/>
      <c r="AO1782" t="s">
        <v>104</v>
      </c>
      <c r="AV1782" t="str">
        <f>IF(F1782&gt;0,(COUNT($AV$1:AV1781)+1),"")</f>
        <v/>
      </c>
    </row>
    <row r="1783" spans="1:48" ht="15" customHeight="1" thickBot="1" x14ac:dyDescent="0.3">
      <c r="A1783" s="1"/>
      <c r="B1783" s="136"/>
      <c r="C1783" s="137"/>
      <c r="D1783" s="138"/>
      <c r="E1783" s="145"/>
      <c r="F1783" s="190"/>
      <c r="G1783" s="141"/>
      <c r="H1783" s="142"/>
      <c r="I1783" s="143"/>
      <c r="J1783" s="139"/>
      <c r="K1783" s="140"/>
      <c r="L1783" s="434"/>
      <c r="M1783" s="477" t="s">
        <v>104</v>
      </c>
      <c r="N1783" s="468"/>
      <c r="O1783" s="182"/>
      <c r="P1783" s="144"/>
      <c r="Q1783" s="146"/>
      <c r="R1783" s="13"/>
      <c r="S1783" s="14"/>
      <c r="AV1783" t="str">
        <f>IF(F1783&gt;0,(COUNT($AV$1:AV1782)+1),"")</f>
        <v/>
      </c>
    </row>
    <row r="1784" spans="1:48" ht="24.95" customHeight="1" thickBot="1" x14ac:dyDescent="0.3">
      <c r="A1784" s="1"/>
      <c r="B1784" s="266"/>
      <c r="C1784" s="267"/>
      <c r="D1784" s="268" t="str">
        <f>CONCATENATE("Тай стайл (Thai Style)","     |     Сумма заказа: ",AK1784," руб.")</f>
        <v>Тай стайл (Thai Style)     |     Сумма заказа: 0 руб.</v>
      </c>
      <c r="E1784" s="269"/>
      <c r="F1784" s="270"/>
      <c r="G1784" s="271" t="str">
        <f>CONCATENATE("Ценовая колонка: ",AO1784,"   |   До следующей скидки: ",AJ1784," руб.")</f>
        <v>Ценовая колонка: 3   |   До следующей скидки: 5000 руб.</v>
      </c>
      <c r="H1784" s="272"/>
      <c r="I1784" s="272"/>
      <c r="J1784" s="273" t="s">
        <v>1662</v>
      </c>
      <c r="K1784" s="274"/>
      <c r="L1784" s="451"/>
      <c r="M1784" s="495" t="s">
        <v>104</v>
      </c>
      <c r="N1784" s="571"/>
      <c r="O1784" s="275"/>
      <c r="P1784" s="276"/>
      <c r="Q1784" s="277"/>
      <c r="R1784" s="265" t="s">
        <v>1558</v>
      </c>
      <c r="S1784" s="6"/>
      <c r="AG1784" s="400"/>
      <c r="AH1784" s="400"/>
      <c r="AJ1784">
        <f>ROUND(IF(AL1784&gt;30000,"0", IF(AND(AL1784&lt;30000,AM1784&gt;5000),30000-AL1784,5000-AM1784)),2)</f>
        <v>5000</v>
      </c>
      <c r="AK1784">
        <f>SUM(Q1787:Q1829)</f>
        <v>0</v>
      </c>
      <c r="AL1784">
        <f>SUM(AL1787:AL1829)</f>
        <v>0</v>
      </c>
      <c r="AM1784">
        <f>SUM(AM1787:AM1829)</f>
        <v>0</v>
      </c>
      <c r="AO1784">
        <f>IF(AM1784&gt;5000,IF(AL1784&gt;30000,1,2),3)</f>
        <v>3</v>
      </c>
      <c r="AV1784" t="str">
        <f>IF(F1784&gt;0,(COUNT($AV$1:AV1783)+1),"")</f>
        <v/>
      </c>
    </row>
    <row r="1785" spans="1:48" ht="19.5" customHeight="1" thickBot="1" x14ac:dyDescent="0.3">
      <c r="A1785" s="1"/>
      <c r="B1785" s="337" t="s">
        <v>5678</v>
      </c>
      <c r="C1785" s="338"/>
      <c r="D1785" s="339"/>
      <c r="E1785" s="340"/>
      <c r="F1785" s="341"/>
      <c r="G1785" s="342"/>
      <c r="H1785" s="343"/>
      <c r="I1785" s="343"/>
      <c r="J1785" s="344"/>
      <c r="K1785" s="345"/>
      <c r="L1785" s="453"/>
      <c r="M1785" s="498"/>
      <c r="N1785" s="1028"/>
      <c r="O1785" s="346"/>
      <c r="P1785" s="347"/>
      <c r="Q1785" s="348"/>
      <c r="R1785" s="14"/>
      <c r="S1785" s="14"/>
      <c r="AV1785" t="str">
        <f>IF(F1785&gt;0,(COUNT($AV$1:AV1784)+1),"")</f>
        <v/>
      </c>
    </row>
    <row r="1786" spans="1:48" ht="15" customHeight="1" x14ac:dyDescent="0.25">
      <c r="A1786" s="1"/>
      <c r="B1786" s="296"/>
      <c r="C1786" s="38"/>
      <c r="D1786" s="39" t="s">
        <v>121</v>
      </c>
      <c r="E1786" s="82"/>
      <c r="F1786" s="97"/>
      <c r="G1786" s="40" t="s">
        <v>1426</v>
      </c>
      <c r="H1786" s="41" t="s">
        <v>16</v>
      </c>
      <c r="I1786" s="41" t="s">
        <v>221</v>
      </c>
      <c r="J1786" s="52"/>
      <c r="K1786" s="48"/>
      <c r="L1786" s="448"/>
      <c r="M1786" s="491" t="s">
        <v>104</v>
      </c>
      <c r="N1786" s="715"/>
      <c r="O1786" s="187"/>
      <c r="P1786" s="81"/>
      <c r="Q1786" s="105"/>
      <c r="R1786" s="13"/>
      <c r="S1786" s="14"/>
      <c r="AV1786" t="str">
        <f>IF(F1786&gt;0,(COUNT($AV$1:AV1785)+1),"")</f>
        <v/>
      </c>
    </row>
    <row r="1787" spans="1:48" ht="15" customHeight="1" x14ac:dyDescent="0.25">
      <c r="A1787" s="1"/>
      <c r="B1787" s="30">
        <v>19862</v>
      </c>
      <c r="C1787" s="20">
        <v>8850367100101</v>
      </c>
      <c r="D1787" s="225" t="s">
        <v>3424</v>
      </c>
      <c r="E1787" s="67">
        <v>48</v>
      </c>
      <c r="F1787" s="222"/>
      <c r="G1787" s="107">
        <v>116.5</v>
      </c>
      <c r="H1787" s="21">
        <v>121</v>
      </c>
      <c r="I1787" s="22">
        <v>130.19999999999999</v>
      </c>
      <c r="J1787" s="112" t="s">
        <v>1662</v>
      </c>
      <c r="K1787" s="45" t="s">
        <v>121</v>
      </c>
      <c r="L1787" s="437"/>
      <c r="M1787" s="474" t="s">
        <v>1856</v>
      </c>
      <c r="N1787" s="1013" t="s">
        <v>1856</v>
      </c>
      <c r="O1787" s="618"/>
      <c r="P1787" s="66" t="s">
        <v>55</v>
      </c>
      <c r="Q1787" s="100">
        <f t="shared" ref="Q1787:Q1797" si="949">IF($AO$1784=2,F1787*H1787,IF($AO$1784=1,F1787*G1787,F1787*I1787))</f>
        <v>0</v>
      </c>
      <c r="R1787" s="13" t="str">
        <f t="shared" ref="R1787:R1797" si="950">IF(AO1787&gt;0,HYPERLINK(AO1787,"Фото &gt;&gt;"),"")</f>
        <v>Фото &gt;&gt;</v>
      </c>
      <c r="S1787" s="14" t="s">
        <v>2034</v>
      </c>
      <c r="T1787" s="311"/>
      <c r="U1787" s="311"/>
      <c r="V1787" s="311"/>
      <c r="AK1787">
        <v>0.25</v>
      </c>
      <c r="AL1787">
        <f t="shared" ref="AL1787:AL1795" si="951">F1787*G1787</f>
        <v>0</v>
      </c>
      <c r="AM1787">
        <f t="shared" ref="AM1787:AM1795" si="952">F1787*H1787</f>
        <v>0</v>
      </c>
      <c r="AN1787">
        <f t="shared" ref="AN1787:AN1795" si="953">AK1787*F1787+IF(E1787&gt;1.01,F1787/E1787*0.2,0)</f>
        <v>0</v>
      </c>
      <c r="AO1787" t="s">
        <v>5523</v>
      </c>
      <c r="AV1787" t="str">
        <f>IF(F1787&gt;0,(COUNT($AV$1:AV1786)+1),"")</f>
        <v/>
      </c>
    </row>
    <row r="1788" spans="1:48" ht="15" customHeight="1" x14ac:dyDescent="0.25">
      <c r="A1788" s="1"/>
      <c r="B1788" s="31">
        <v>16332</v>
      </c>
      <c r="C1788" s="16">
        <v>8850367100149</v>
      </c>
      <c r="D1788" s="226" t="s">
        <v>1653</v>
      </c>
      <c r="E1788" s="69">
        <v>8</v>
      </c>
      <c r="F1788" s="222"/>
      <c r="G1788" s="108">
        <v>51.9</v>
      </c>
      <c r="H1788" s="17">
        <v>53.9</v>
      </c>
      <c r="I1788" s="18">
        <v>58</v>
      </c>
      <c r="J1788" s="113" t="s">
        <v>1662</v>
      </c>
      <c r="K1788" s="44" t="s">
        <v>121</v>
      </c>
      <c r="L1788" s="442"/>
      <c r="M1788" s="480" t="s">
        <v>1856</v>
      </c>
      <c r="N1788" s="1015" t="s">
        <v>1856</v>
      </c>
      <c r="O1788" s="619"/>
      <c r="P1788" s="68" t="s">
        <v>40</v>
      </c>
      <c r="Q1788" s="100">
        <f t="shared" si="949"/>
        <v>0</v>
      </c>
      <c r="R1788" s="13" t="str">
        <f t="shared" si="950"/>
        <v>Фото &gt;&gt;</v>
      </c>
      <c r="S1788" s="14" t="s">
        <v>660</v>
      </c>
      <c r="T1788" s="311"/>
      <c r="U1788" s="311"/>
      <c r="V1788" s="311"/>
      <c r="AK1788">
        <v>0.6</v>
      </c>
      <c r="AL1788">
        <f t="shared" si="951"/>
        <v>0</v>
      </c>
      <c r="AM1788">
        <f t="shared" si="952"/>
        <v>0</v>
      </c>
      <c r="AN1788">
        <f t="shared" si="953"/>
        <v>0</v>
      </c>
      <c r="AO1788" t="s">
        <v>4956</v>
      </c>
      <c r="AV1788" t="str">
        <f>IF(F1788&gt;0,(COUNT($AV$1:AV1787)+1),"")</f>
        <v/>
      </c>
    </row>
    <row r="1789" spans="1:48" ht="15" customHeight="1" x14ac:dyDescent="0.25">
      <c r="A1789" s="1"/>
      <c r="B1789" s="30">
        <v>16334</v>
      </c>
      <c r="C1789" s="20">
        <v>8850367992980</v>
      </c>
      <c r="D1789" s="225" t="s">
        <v>1649</v>
      </c>
      <c r="E1789" s="67">
        <v>24</v>
      </c>
      <c r="F1789" s="222"/>
      <c r="G1789" s="107">
        <v>154.6</v>
      </c>
      <c r="H1789" s="21">
        <v>160.69999999999999</v>
      </c>
      <c r="I1789" s="22">
        <v>139.30000000000001</v>
      </c>
      <c r="J1789" s="112" t="s">
        <v>1662</v>
      </c>
      <c r="K1789" s="45" t="s">
        <v>121</v>
      </c>
      <c r="L1789" s="437"/>
      <c r="M1789" s="474" t="s">
        <v>1856</v>
      </c>
      <c r="N1789" s="1013" t="s">
        <v>1856</v>
      </c>
      <c r="O1789" s="618"/>
      <c r="P1789" s="66" t="s">
        <v>55</v>
      </c>
      <c r="Q1789" s="100">
        <f t="shared" si="949"/>
        <v>0</v>
      </c>
      <c r="R1789" s="13" t="str">
        <f t="shared" si="950"/>
        <v>Фото &gt;&gt;</v>
      </c>
      <c r="S1789" s="14" t="s">
        <v>661</v>
      </c>
      <c r="T1789" s="311"/>
      <c r="U1789" s="311"/>
      <c r="V1789" s="311"/>
      <c r="AK1789">
        <v>0.48</v>
      </c>
      <c r="AL1789">
        <f t="shared" si="951"/>
        <v>0</v>
      </c>
      <c r="AM1789">
        <f t="shared" si="952"/>
        <v>0</v>
      </c>
      <c r="AN1789">
        <f t="shared" si="953"/>
        <v>0</v>
      </c>
      <c r="AO1789" t="s">
        <v>4959</v>
      </c>
      <c r="AV1789" t="str">
        <f>IF(F1789&gt;0,(COUNT($AV$1:AV1788)+1),"")</f>
        <v/>
      </c>
    </row>
    <row r="1790" spans="1:48" ht="15" customHeight="1" x14ac:dyDescent="0.25">
      <c r="A1790" s="1"/>
      <c r="B1790" s="31">
        <v>16333</v>
      </c>
      <c r="C1790" s="16">
        <v>8850813507003</v>
      </c>
      <c r="D1790" s="226" t="s">
        <v>662</v>
      </c>
      <c r="E1790" s="69">
        <v>36</v>
      </c>
      <c r="F1790" s="222"/>
      <c r="G1790" s="108">
        <v>140.5</v>
      </c>
      <c r="H1790" s="17">
        <v>146.4</v>
      </c>
      <c r="I1790" s="18">
        <v>157.6</v>
      </c>
      <c r="J1790" s="113" t="s">
        <v>1662</v>
      </c>
      <c r="K1790" s="44" t="s">
        <v>121</v>
      </c>
      <c r="L1790" s="442"/>
      <c r="M1790" s="480" t="s">
        <v>1856</v>
      </c>
      <c r="N1790" s="1015" t="s">
        <v>1856</v>
      </c>
      <c r="O1790" s="619"/>
      <c r="P1790" s="68" t="s">
        <v>40</v>
      </c>
      <c r="Q1790" s="100">
        <f t="shared" si="949"/>
        <v>0</v>
      </c>
      <c r="R1790" s="13" t="str">
        <f t="shared" si="950"/>
        <v>Фото &gt;&gt;</v>
      </c>
      <c r="S1790" s="14" t="s">
        <v>663</v>
      </c>
      <c r="T1790" s="311"/>
      <c r="U1790" s="311"/>
      <c r="V1790" s="311"/>
      <c r="AK1790">
        <v>0.26</v>
      </c>
      <c r="AL1790">
        <f t="shared" si="951"/>
        <v>0</v>
      </c>
      <c r="AM1790">
        <f t="shared" si="952"/>
        <v>0</v>
      </c>
      <c r="AN1790">
        <f t="shared" si="953"/>
        <v>0</v>
      </c>
      <c r="AO1790" t="s">
        <v>4958</v>
      </c>
      <c r="AV1790" t="str">
        <f>IF(F1790&gt;0,(COUNT($AV$1:AV1789)+1),"")</f>
        <v/>
      </c>
    </row>
    <row r="1791" spans="1:48" ht="15" customHeight="1" x14ac:dyDescent="0.25">
      <c r="A1791" s="1"/>
      <c r="B1791" s="30">
        <v>16962</v>
      </c>
      <c r="C1791" s="20">
        <v>8854761951406</v>
      </c>
      <c r="D1791" s="225" t="s">
        <v>4133</v>
      </c>
      <c r="E1791" s="67">
        <v>36</v>
      </c>
      <c r="F1791" s="222"/>
      <c r="G1791" s="107">
        <v>150.5</v>
      </c>
      <c r="H1791" s="21">
        <v>156.6</v>
      </c>
      <c r="I1791" s="22">
        <v>168.8</v>
      </c>
      <c r="J1791" s="112" t="s">
        <v>1662</v>
      </c>
      <c r="K1791" s="45" t="s">
        <v>121</v>
      </c>
      <c r="L1791" s="437"/>
      <c r="M1791" s="474" t="s">
        <v>1856</v>
      </c>
      <c r="N1791" s="1013" t="s">
        <v>1856</v>
      </c>
      <c r="O1791" s="618"/>
      <c r="P1791" s="66" t="s">
        <v>72</v>
      </c>
      <c r="Q1791" s="100">
        <f t="shared" si="949"/>
        <v>0</v>
      </c>
      <c r="R1791" s="13" t="str">
        <f t="shared" si="950"/>
        <v>Фото &gt;&gt;</v>
      </c>
      <c r="S1791" s="14" t="s">
        <v>665</v>
      </c>
      <c r="T1791" s="311"/>
      <c r="U1791" s="311"/>
      <c r="V1791" s="311"/>
      <c r="AK1791">
        <v>0.2</v>
      </c>
      <c r="AL1791">
        <f t="shared" si="951"/>
        <v>0</v>
      </c>
      <c r="AM1791">
        <f t="shared" si="952"/>
        <v>0</v>
      </c>
      <c r="AN1791">
        <f t="shared" si="953"/>
        <v>0</v>
      </c>
      <c r="AO1791" t="s">
        <v>5524</v>
      </c>
      <c r="AV1791" t="str">
        <f>IF(F1791&gt;0,(COUNT($AV$1:AV1790)+1),"")</f>
        <v/>
      </c>
    </row>
    <row r="1792" spans="1:48" ht="15" customHeight="1" x14ac:dyDescent="0.25">
      <c r="A1792" s="1"/>
      <c r="B1792" s="31">
        <v>18232</v>
      </c>
      <c r="C1792" s="16">
        <v>8854761951383</v>
      </c>
      <c r="D1792" s="226" t="s">
        <v>7330</v>
      </c>
      <c r="E1792" s="69">
        <v>12</v>
      </c>
      <c r="F1792" s="222"/>
      <c r="G1792" s="108">
        <v>594.79999999999995</v>
      </c>
      <c r="H1792" s="17">
        <v>618.6</v>
      </c>
      <c r="I1792" s="18">
        <v>666</v>
      </c>
      <c r="J1792" s="113" t="s">
        <v>1662</v>
      </c>
      <c r="K1792" s="44" t="s">
        <v>121</v>
      </c>
      <c r="L1792" s="442"/>
      <c r="M1792" s="480" t="s">
        <v>1856</v>
      </c>
      <c r="N1792" s="1015" t="s">
        <v>1856</v>
      </c>
      <c r="O1792" s="619"/>
      <c r="P1792" s="68" t="s">
        <v>72</v>
      </c>
      <c r="Q1792" s="100">
        <f t="shared" si="949"/>
        <v>0</v>
      </c>
      <c r="R1792" s="13" t="str">
        <f t="shared" si="950"/>
        <v>Фото &gt;&gt;</v>
      </c>
      <c r="S1792" s="14" t="s">
        <v>664</v>
      </c>
      <c r="T1792" s="311"/>
      <c r="U1792" s="311"/>
      <c r="V1792" s="311"/>
      <c r="AK1792">
        <v>1.1000000000000001</v>
      </c>
      <c r="AL1792">
        <f t="shared" si="951"/>
        <v>0</v>
      </c>
      <c r="AM1792">
        <f t="shared" si="952"/>
        <v>0</v>
      </c>
      <c r="AN1792">
        <f t="shared" si="953"/>
        <v>0</v>
      </c>
      <c r="AO1792" t="s">
        <v>4549</v>
      </c>
      <c r="AV1792" t="str">
        <f>IF(F1792&gt;0,(COUNT($AV$1:AV1791)+1),"")</f>
        <v/>
      </c>
    </row>
    <row r="1793" spans="1:48" ht="15" customHeight="1" x14ac:dyDescent="0.25">
      <c r="A1793" s="1"/>
      <c r="B1793" s="30">
        <v>16961</v>
      </c>
      <c r="C1793" s="20">
        <v>8854761951345</v>
      </c>
      <c r="D1793" s="225" t="s">
        <v>7045</v>
      </c>
      <c r="E1793" s="67">
        <v>36</v>
      </c>
      <c r="F1793" s="222"/>
      <c r="G1793" s="107">
        <v>150.5</v>
      </c>
      <c r="H1793" s="21">
        <v>156.6</v>
      </c>
      <c r="I1793" s="22">
        <v>168.8</v>
      </c>
      <c r="J1793" s="112" t="s">
        <v>1662</v>
      </c>
      <c r="K1793" s="45" t="s">
        <v>121</v>
      </c>
      <c r="L1793" s="437"/>
      <c r="M1793" s="474" t="s">
        <v>1856</v>
      </c>
      <c r="N1793" s="1013" t="s">
        <v>1856</v>
      </c>
      <c r="O1793" s="618"/>
      <c r="P1793" s="66" t="s">
        <v>72</v>
      </c>
      <c r="Q1793" s="100">
        <f t="shared" si="949"/>
        <v>0</v>
      </c>
      <c r="R1793" s="13" t="str">
        <f t="shared" si="950"/>
        <v>Фото &gt;&gt;</v>
      </c>
      <c r="S1793" s="14" t="s">
        <v>664</v>
      </c>
      <c r="T1793" s="311"/>
      <c r="U1793" s="311"/>
      <c r="V1793" s="311"/>
      <c r="AK1793">
        <v>0.2</v>
      </c>
      <c r="AL1793">
        <f t="shared" si="951"/>
        <v>0</v>
      </c>
      <c r="AM1793">
        <f t="shared" si="952"/>
        <v>0</v>
      </c>
      <c r="AN1793">
        <f t="shared" si="953"/>
        <v>0</v>
      </c>
      <c r="AO1793" t="s">
        <v>5511</v>
      </c>
      <c r="AV1793" t="str">
        <f>IF(F1793&gt;0,(COUNT($AV$1:AV1792)+1),"")</f>
        <v/>
      </c>
    </row>
    <row r="1794" spans="1:48" ht="15" customHeight="1" x14ac:dyDescent="0.25">
      <c r="A1794" s="1"/>
      <c r="B1794" s="31">
        <v>20701</v>
      </c>
      <c r="C1794" s="16">
        <v>8859636810918</v>
      </c>
      <c r="D1794" s="226" t="s">
        <v>7265</v>
      </c>
      <c r="E1794" s="69">
        <v>12</v>
      </c>
      <c r="F1794" s="222"/>
      <c r="G1794" s="108">
        <v>704.6</v>
      </c>
      <c r="H1794" s="17">
        <v>732.1</v>
      </c>
      <c r="I1794" s="18">
        <v>788</v>
      </c>
      <c r="J1794" s="113" t="s">
        <v>1662</v>
      </c>
      <c r="K1794" s="44" t="s">
        <v>121</v>
      </c>
      <c r="L1794" s="442"/>
      <c r="M1794" s="480" t="s">
        <v>1856</v>
      </c>
      <c r="N1794" s="1015" t="s">
        <v>1856</v>
      </c>
      <c r="O1794" s="619"/>
      <c r="P1794" s="68" t="s">
        <v>72</v>
      </c>
      <c r="Q1794" s="100">
        <f t="shared" si="949"/>
        <v>0</v>
      </c>
      <c r="R1794" s="13" t="str">
        <f t="shared" si="950"/>
        <v>Фото &gt;&gt;</v>
      </c>
      <c r="S1794" s="14" t="s">
        <v>3079</v>
      </c>
      <c r="T1794" s="311"/>
      <c r="U1794" s="311"/>
      <c r="V1794" s="311"/>
      <c r="AK1794">
        <v>1.1000000000000001</v>
      </c>
      <c r="AL1794">
        <f t="shared" si="951"/>
        <v>0</v>
      </c>
      <c r="AM1794">
        <f t="shared" si="952"/>
        <v>0</v>
      </c>
      <c r="AN1794">
        <f t="shared" si="953"/>
        <v>0</v>
      </c>
      <c r="AO1794" t="s">
        <v>4358</v>
      </c>
      <c r="AV1794" t="str">
        <f>IF(F1794&gt;0,(COUNT($AV$1:AV1793)+1),"")</f>
        <v/>
      </c>
    </row>
    <row r="1795" spans="1:48" ht="15" customHeight="1" x14ac:dyDescent="0.25">
      <c r="A1795" s="1"/>
      <c r="B1795" s="578">
        <v>17598</v>
      </c>
      <c r="C1795" s="579">
        <v>8850367100019</v>
      </c>
      <c r="D1795" s="595" t="s">
        <v>1654</v>
      </c>
      <c r="E1795" s="580">
        <v>36</v>
      </c>
      <c r="F1795" s="581"/>
      <c r="G1795" s="582">
        <v>140.5</v>
      </c>
      <c r="H1795" s="583">
        <v>146.4</v>
      </c>
      <c r="I1795" s="584">
        <v>157.6</v>
      </c>
      <c r="J1795" s="585" t="s">
        <v>1662</v>
      </c>
      <c r="K1795" s="586" t="s">
        <v>121</v>
      </c>
      <c r="L1795" s="437"/>
      <c r="M1795" s="474" t="s">
        <v>1856</v>
      </c>
      <c r="N1795" s="1013" t="s">
        <v>1856</v>
      </c>
      <c r="O1795" s="550" t="s">
        <v>1690</v>
      </c>
      <c r="P1795" s="66" t="s">
        <v>40</v>
      </c>
      <c r="Q1795" s="100">
        <f t="shared" si="949"/>
        <v>0</v>
      </c>
      <c r="R1795" s="13" t="str">
        <f t="shared" si="950"/>
        <v>Фото &gt;&gt;</v>
      </c>
      <c r="S1795" s="14" t="s">
        <v>660</v>
      </c>
      <c r="T1795" s="311"/>
      <c r="U1795" s="311"/>
      <c r="V1795" s="311"/>
      <c r="AK1795">
        <v>0.27</v>
      </c>
      <c r="AL1795">
        <f t="shared" si="951"/>
        <v>0</v>
      </c>
      <c r="AM1795">
        <f t="shared" si="952"/>
        <v>0</v>
      </c>
      <c r="AN1795">
        <f t="shared" si="953"/>
        <v>0</v>
      </c>
      <c r="AO1795" t="s">
        <v>4957</v>
      </c>
      <c r="AV1795" t="str">
        <f>IF(F1795&gt;0,(COUNT($AV$1:AV1794)+1),"")</f>
        <v/>
      </c>
    </row>
    <row r="1796" spans="1:48" ht="15" customHeight="1" x14ac:dyDescent="0.25">
      <c r="A1796" s="1"/>
      <c r="B1796" s="587">
        <v>20705</v>
      </c>
      <c r="C1796" s="588">
        <v>8859636810567</v>
      </c>
      <c r="D1796" s="596" t="s">
        <v>4359</v>
      </c>
      <c r="E1796" s="589">
        <v>36</v>
      </c>
      <c r="F1796" s="581"/>
      <c r="G1796" s="590">
        <v>151.5</v>
      </c>
      <c r="H1796" s="591">
        <v>157.6</v>
      </c>
      <c r="I1796" s="592">
        <v>172.9</v>
      </c>
      <c r="J1796" s="593" t="s">
        <v>1662</v>
      </c>
      <c r="K1796" s="594" t="s">
        <v>121</v>
      </c>
      <c r="L1796" s="442"/>
      <c r="M1796" s="480" t="s">
        <v>1856</v>
      </c>
      <c r="N1796" s="1015" t="s">
        <v>1856</v>
      </c>
      <c r="O1796" s="551" t="s">
        <v>1690</v>
      </c>
      <c r="P1796" s="68" t="s">
        <v>72</v>
      </c>
      <c r="Q1796" s="100">
        <f t="shared" si="949"/>
        <v>0</v>
      </c>
      <c r="R1796" s="13" t="str">
        <f t="shared" si="950"/>
        <v>Фото &gt;&gt;</v>
      </c>
      <c r="S1796" s="14" t="s">
        <v>4360</v>
      </c>
      <c r="T1796" s="311"/>
      <c r="U1796" s="311"/>
      <c r="V1796" s="311"/>
      <c r="AK1796">
        <v>0.2</v>
      </c>
      <c r="AL1796">
        <v>0</v>
      </c>
      <c r="AM1796">
        <v>0</v>
      </c>
      <c r="AN1796">
        <v>0</v>
      </c>
      <c r="AO1796" t="s">
        <v>4361</v>
      </c>
      <c r="AV1796" t="str">
        <f>IF(F1796&gt;0,(COUNT($AV$1:AV1795)+1),"")</f>
        <v/>
      </c>
    </row>
    <row r="1797" spans="1:48" ht="15" customHeight="1" x14ac:dyDescent="0.25">
      <c r="A1797" s="1"/>
      <c r="B1797" s="578">
        <v>20278</v>
      </c>
      <c r="C1797" s="579">
        <v>8859636810888</v>
      </c>
      <c r="D1797" s="595" t="s">
        <v>6600</v>
      </c>
      <c r="E1797" s="580">
        <v>36</v>
      </c>
      <c r="F1797" s="581"/>
      <c r="G1797" s="582">
        <v>169.8</v>
      </c>
      <c r="H1797" s="583">
        <v>178</v>
      </c>
      <c r="I1797" s="584">
        <v>193.2</v>
      </c>
      <c r="J1797" s="585" t="s">
        <v>1662</v>
      </c>
      <c r="K1797" s="586" t="s">
        <v>121</v>
      </c>
      <c r="L1797" s="437"/>
      <c r="M1797" s="474" t="s">
        <v>1856</v>
      </c>
      <c r="N1797" s="1013" t="s">
        <v>1856</v>
      </c>
      <c r="O1797" s="550" t="s">
        <v>1690</v>
      </c>
      <c r="P1797" s="66" t="s">
        <v>72</v>
      </c>
      <c r="Q1797" s="100">
        <f t="shared" si="949"/>
        <v>0</v>
      </c>
      <c r="R1797" s="13" t="str">
        <f t="shared" si="950"/>
        <v>Фото &gt;&gt;</v>
      </c>
      <c r="S1797" s="14" t="s">
        <v>3079</v>
      </c>
      <c r="T1797" s="311"/>
      <c r="U1797" s="311"/>
      <c r="V1797" s="311"/>
      <c r="AK1797">
        <v>0.2</v>
      </c>
      <c r="AL1797">
        <v>0</v>
      </c>
      <c r="AM1797">
        <v>0</v>
      </c>
      <c r="AN1797">
        <v>0</v>
      </c>
      <c r="AO1797" t="s">
        <v>3078</v>
      </c>
      <c r="AV1797" t="str">
        <f>IF(F1797&gt;0,(COUNT($AV$1:AV1796)+1),"")</f>
        <v/>
      </c>
    </row>
    <row r="1798" spans="1:48" ht="15" customHeight="1" x14ac:dyDescent="0.25">
      <c r="A1798" s="1"/>
      <c r="B1798" s="25"/>
      <c r="C1798" s="26"/>
      <c r="D1798" s="27" t="s">
        <v>116</v>
      </c>
      <c r="E1798" s="80"/>
      <c r="F1798" s="96"/>
      <c r="G1798" s="28"/>
      <c r="H1798" s="29"/>
      <c r="I1798" s="29"/>
      <c r="J1798" s="51"/>
      <c r="K1798" s="47"/>
      <c r="L1798" s="447"/>
      <c r="M1798" s="489" t="s">
        <v>104</v>
      </c>
      <c r="N1798" s="716"/>
      <c r="O1798" s="186"/>
      <c r="P1798" s="79"/>
      <c r="Q1798" s="104"/>
      <c r="R1798" s="13"/>
      <c r="S1798" s="14"/>
      <c r="T1798" s="311"/>
      <c r="U1798" s="311"/>
      <c r="V1798" s="311"/>
      <c r="AL1798">
        <f t="shared" ref="AL1798:AL1811" si="954">F1798*G1798</f>
        <v>0</v>
      </c>
      <c r="AM1798">
        <f t="shared" ref="AM1798:AM1811" si="955">F1798*H1798</f>
        <v>0</v>
      </c>
      <c r="AN1798">
        <f t="shared" ref="AN1798:AN1828" si="956">AK1798*F1798+IF(E1798&gt;1.01,F1798/E1798*0.2,0)</f>
        <v>0</v>
      </c>
      <c r="AO1798" t="s">
        <v>104</v>
      </c>
      <c r="AV1798" t="str">
        <f>IF(F1798&gt;0,(COUNT($AV$1:AV1797)+1),"")</f>
        <v/>
      </c>
    </row>
    <row r="1799" spans="1:48" ht="15" customHeight="1" x14ac:dyDescent="0.25">
      <c r="A1799" s="1"/>
      <c r="B1799" s="30">
        <v>18734</v>
      </c>
      <c r="C1799" s="20">
        <v>8850813300000</v>
      </c>
      <c r="D1799" s="225" t="s">
        <v>1650</v>
      </c>
      <c r="E1799" s="67">
        <v>36</v>
      </c>
      <c r="F1799" s="222"/>
      <c r="G1799" s="107">
        <v>74.099999999999994</v>
      </c>
      <c r="H1799" s="21">
        <v>78.3</v>
      </c>
      <c r="I1799" s="22">
        <v>86.5</v>
      </c>
      <c r="J1799" s="112" t="s">
        <v>1662</v>
      </c>
      <c r="K1799" s="45" t="s">
        <v>116</v>
      </c>
      <c r="L1799" s="437"/>
      <c r="M1799" s="474" t="s">
        <v>1856</v>
      </c>
      <c r="N1799" s="1013" t="s">
        <v>1856</v>
      </c>
      <c r="O1799" s="618"/>
      <c r="P1799" s="66" t="s">
        <v>72</v>
      </c>
      <c r="Q1799" s="100">
        <f>IF($AO$1784=2,F1799*H1799,IF($AO$1784=1,F1799*G1799,F1799*I1799))</f>
        <v>0</v>
      </c>
      <c r="R1799" s="13" t="str">
        <f t="shared" ref="R1799:R1800" si="957">IF(AO1799&gt;0,HYPERLINK(AO1799,"Фото &gt;&gt;"),"")</f>
        <v>Фото &gt;&gt;</v>
      </c>
      <c r="S1799" s="14" t="s">
        <v>666</v>
      </c>
      <c r="T1799" s="311"/>
      <c r="U1799" s="311"/>
      <c r="V1799" s="311"/>
      <c r="AK1799">
        <v>0.27</v>
      </c>
      <c r="AL1799">
        <f t="shared" si="954"/>
        <v>0</v>
      </c>
      <c r="AM1799">
        <f t="shared" si="955"/>
        <v>0</v>
      </c>
      <c r="AN1799">
        <f t="shared" si="956"/>
        <v>0</v>
      </c>
      <c r="AO1799" t="s">
        <v>2697</v>
      </c>
      <c r="AV1799" t="str">
        <f>IF(F1799&gt;0,(COUNT($AV$1:AV1798)+1),"")</f>
        <v/>
      </c>
    </row>
    <row r="1800" spans="1:48" ht="15" customHeight="1" x14ac:dyDescent="0.25">
      <c r="A1800" s="1"/>
      <c r="B1800" s="587">
        <v>16331</v>
      </c>
      <c r="C1800" s="588">
        <v>8850813300048</v>
      </c>
      <c r="D1800" s="596" t="s">
        <v>1651</v>
      </c>
      <c r="E1800" s="589">
        <v>12</v>
      </c>
      <c r="F1800" s="581"/>
      <c r="G1800" s="590">
        <v>132.19999999999999</v>
      </c>
      <c r="H1800" s="591">
        <v>139.30000000000001</v>
      </c>
      <c r="I1800" s="592">
        <v>160.69999999999999</v>
      </c>
      <c r="J1800" s="593" t="s">
        <v>1662</v>
      </c>
      <c r="K1800" s="594" t="s">
        <v>116</v>
      </c>
      <c r="L1800" s="442"/>
      <c r="M1800" s="480" t="s">
        <v>1856</v>
      </c>
      <c r="N1800" s="1015" t="s">
        <v>1856</v>
      </c>
      <c r="O1800" s="551" t="s">
        <v>1690</v>
      </c>
      <c r="P1800" s="68" t="s">
        <v>412</v>
      </c>
      <c r="Q1800" s="100">
        <f>IF($AO$1784=2,F1800*H1800,IF($AO$1784=1,F1800*G1800,F1800*I1800))</f>
        <v>0</v>
      </c>
      <c r="R1800" s="13" t="str">
        <f t="shared" si="957"/>
        <v>Фото &gt;&gt;</v>
      </c>
      <c r="S1800" s="14" t="s">
        <v>666</v>
      </c>
      <c r="T1800" s="311"/>
      <c r="U1800" s="311"/>
      <c r="V1800" s="311"/>
      <c r="AK1800">
        <v>0.53</v>
      </c>
      <c r="AL1800">
        <f t="shared" si="954"/>
        <v>0</v>
      </c>
      <c r="AM1800">
        <f t="shared" si="955"/>
        <v>0</v>
      </c>
      <c r="AN1800">
        <f t="shared" si="956"/>
        <v>0</v>
      </c>
      <c r="AO1800" t="s">
        <v>4960</v>
      </c>
      <c r="AV1800" t="str">
        <f>IF(F1800&gt;0,(COUNT($AV$1:AV1799)+1),"")</f>
        <v/>
      </c>
    </row>
    <row r="1801" spans="1:48" ht="15" customHeight="1" x14ac:dyDescent="0.25">
      <c r="A1801" s="1"/>
      <c r="B1801" s="30">
        <v>18228</v>
      </c>
      <c r="C1801" s="20">
        <v>8850813300031</v>
      </c>
      <c r="D1801" s="225" t="s">
        <v>4214</v>
      </c>
      <c r="E1801" s="67">
        <v>12</v>
      </c>
      <c r="F1801" s="222"/>
      <c r="G1801" s="107">
        <v>264.39999999999998</v>
      </c>
      <c r="H1801" s="21">
        <v>275</v>
      </c>
      <c r="I1801" s="22">
        <v>295.89999999999998</v>
      </c>
      <c r="J1801" s="112" t="s">
        <v>1662</v>
      </c>
      <c r="K1801" s="45" t="s">
        <v>116</v>
      </c>
      <c r="L1801" s="437"/>
      <c r="M1801" s="474" t="s">
        <v>1856</v>
      </c>
      <c r="N1801" s="1013" t="s">
        <v>1856</v>
      </c>
      <c r="O1801" s="618"/>
      <c r="P1801" s="66" t="s">
        <v>40</v>
      </c>
      <c r="Q1801" s="100">
        <f>IF($AO$1784=2,F1801*H1801,IF($AO$1784=1,F1801*G1801,F1801*I1801))</f>
        <v>0</v>
      </c>
      <c r="R1801" s="13" t="str">
        <f t="shared" ref="R1801" si="958">IF(AO1801&gt;0,HYPERLINK(AO1801,"Фото &gt;&gt;"),"")</f>
        <v>Фото &gt;&gt;</v>
      </c>
      <c r="S1801" s="14" t="s">
        <v>666</v>
      </c>
      <c r="T1801" s="311"/>
      <c r="U1801" s="311"/>
      <c r="V1801" s="311"/>
      <c r="AK1801">
        <v>1.05</v>
      </c>
      <c r="AL1801">
        <f t="shared" si="954"/>
        <v>0</v>
      </c>
      <c r="AM1801">
        <f t="shared" si="955"/>
        <v>0</v>
      </c>
      <c r="AN1801">
        <f t="shared" si="956"/>
        <v>0</v>
      </c>
      <c r="AO1801" t="s">
        <v>2698</v>
      </c>
      <c r="AV1801" t="str">
        <f>IF(F1801&gt;0,(COUNT($AV$1:AV1800)+1),"")</f>
        <v/>
      </c>
    </row>
    <row r="1802" spans="1:48" ht="15" customHeight="1" x14ac:dyDescent="0.25">
      <c r="A1802" s="1"/>
      <c r="B1802" s="25"/>
      <c r="C1802" s="26"/>
      <c r="D1802" s="228" t="s">
        <v>19</v>
      </c>
      <c r="E1802" s="80"/>
      <c r="F1802" s="96"/>
      <c r="G1802" s="28"/>
      <c r="H1802" s="29"/>
      <c r="I1802" s="29"/>
      <c r="J1802" s="51"/>
      <c r="K1802" s="47"/>
      <c r="L1802" s="447"/>
      <c r="M1802" s="489"/>
      <c r="N1802" s="716"/>
      <c r="O1802" s="186"/>
      <c r="P1802" s="79"/>
      <c r="Q1802" s="104"/>
      <c r="R1802" s="13"/>
      <c r="S1802" s="14"/>
      <c r="T1802" s="311"/>
      <c r="U1802" s="311"/>
      <c r="V1802" s="311"/>
      <c r="AL1802">
        <f t="shared" si="954"/>
        <v>0</v>
      </c>
      <c r="AM1802">
        <f t="shared" si="955"/>
        <v>0</v>
      </c>
      <c r="AN1802">
        <f t="shared" si="956"/>
        <v>0</v>
      </c>
      <c r="AO1802" t="s">
        <v>104</v>
      </c>
      <c r="AV1802" t="str">
        <f>IF(F1802&gt;0,(COUNT($AV$1:AV1801)+1),"")</f>
        <v/>
      </c>
    </row>
    <row r="1803" spans="1:48" ht="15" customHeight="1" x14ac:dyDescent="0.25">
      <c r="A1803" s="1"/>
      <c r="B1803" s="578">
        <v>18905</v>
      </c>
      <c r="C1803" s="579">
        <v>8850813512038</v>
      </c>
      <c r="D1803" s="595" t="s">
        <v>1747</v>
      </c>
      <c r="E1803" s="580">
        <v>12</v>
      </c>
      <c r="F1803" s="581"/>
      <c r="G1803" s="582">
        <v>353</v>
      </c>
      <c r="H1803" s="583">
        <v>367</v>
      </c>
      <c r="I1803" s="584">
        <v>395</v>
      </c>
      <c r="J1803" s="585" t="s">
        <v>1662</v>
      </c>
      <c r="K1803" s="586" t="s">
        <v>19</v>
      </c>
      <c r="L1803" s="437"/>
      <c r="M1803" s="474" t="s">
        <v>1856</v>
      </c>
      <c r="N1803" s="1013" t="s">
        <v>1856</v>
      </c>
      <c r="O1803" s="550" t="s">
        <v>1690</v>
      </c>
      <c r="P1803" s="66" t="s">
        <v>50</v>
      </c>
      <c r="Q1803" s="100">
        <f>IF($AO$1784=2,F1803*H1803,IF($AO$1784=1,F1803*G1803,F1803*I1803))</f>
        <v>0</v>
      </c>
      <c r="R1803" s="13" t="str">
        <f t="shared" ref="R1803:R1933" si="959">IF(AO1803&gt;0,HYPERLINK(AO1803,"Фото &gt;&gt;"),"")</f>
        <v>Фото &gt;&gt;</v>
      </c>
      <c r="S1803" s="14" t="s">
        <v>667</v>
      </c>
      <c r="T1803" s="311"/>
      <c r="U1803" s="311"/>
      <c r="V1803" s="311"/>
      <c r="AK1803">
        <v>0.9</v>
      </c>
      <c r="AL1803">
        <f t="shared" si="954"/>
        <v>0</v>
      </c>
      <c r="AM1803">
        <f t="shared" si="955"/>
        <v>0</v>
      </c>
      <c r="AN1803">
        <f t="shared" si="956"/>
        <v>0</v>
      </c>
      <c r="AO1803" t="s">
        <v>3814</v>
      </c>
      <c r="AV1803" t="str">
        <f>IF(F1803&gt;0,(COUNT($AV$1:AV1802)+1),"")</f>
        <v/>
      </c>
    </row>
    <row r="1804" spans="1:48" ht="15" customHeight="1" x14ac:dyDescent="0.25">
      <c r="A1804" s="1"/>
      <c r="B1804" s="31">
        <v>16345</v>
      </c>
      <c r="C1804" s="16">
        <v>8850813512045</v>
      </c>
      <c r="D1804" s="226" t="s">
        <v>1652</v>
      </c>
      <c r="E1804" s="69">
        <v>12</v>
      </c>
      <c r="F1804" s="222"/>
      <c r="G1804" s="108">
        <v>512</v>
      </c>
      <c r="H1804" s="17">
        <v>532</v>
      </c>
      <c r="I1804" s="18">
        <v>573</v>
      </c>
      <c r="J1804" s="113" t="s">
        <v>1662</v>
      </c>
      <c r="K1804" s="44" t="s">
        <v>19</v>
      </c>
      <c r="L1804" s="442"/>
      <c r="M1804" s="480" t="s">
        <v>1856</v>
      </c>
      <c r="N1804" s="1015" t="s">
        <v>1856</v>
      </c>
      <c r="O1804" s="619"/>
      <c r="P1804" s="68" t="s">
        <v>50</v>
      </c>
      <c r="Q1804" s="100">
        <f>IF($AO$1784=2,F1804*H1804,IF($AO$1784=1,F1804*G1804,F1804*I1804))</f>
        <v>0</v>
      </c>
      <c r="R1804" s="13" t="str">
        <f t="shared" si="959"/>
        <v>Фото &gt;&gt;</v>
      </c>
      <c r="S1804" s="14" t="s">
        <v>667</v>
      </c>
      <c r="T1804" s="311"/>
      <c r="U1804" s="311"/>
      <c r="V1804" s="311"/>
      <c r="AK1804">
        <v>1</v>
      </c>
      <c r="AL1804">
        <f t="shared" si="954"/>
        <v>0</v>
      </c>
      <c r="AM1804">
        <f t="shared" si="955"/>
        <v>0</v>
      </c>
      <c r="AN1804">
        <f t="shared" si="956"/>
        <v>0</v>
      </c>
      <c r="AO1804" t="s">
        <v>2699</v>
      </c>
      <c r="AV1804" t="str">
        <f>IF(F1804&gt;0,(COUNT($AV$1:AV1803)+1),"")</f>
        <v/>
      </c>
    </row>
    <row r="1805" spans="1:48" ht="15" customHeight="1" x14ac:dyDescent="0.25">
      <c r="A1805" s="1"/>
      <c r="B1805" s="30">
        <v>18097</v>
      </c>
      <c r="C1805" s="20">
        <v>8850282191031</v>
      </c>
      <c r="D1805" s="225" t="s">
        <v>668</v>
      </c>
      <c r="E1805" s="67">
        <v>24</v>
      </c>
      <c r="F1805" s="222"/>
      <c r="G1805" s="107">
        <v>259.2</v>
      </c>
      <c r="H1805" s="21">
        <v>270</v>
      </c>
      <c r="I1805" s="22">
        <v>291</v>
      </c>
      <c r="J1805" s="112" t="s">
        <v>1662</v>
      </c>
      <c r="K1805" s="45" t="s">
        <v>19</v>
      </c>
      <c r="L1805" s="437"/>
      <c r="M1805" s="474" t="s">
        <v>1856</v>
      </c>
      <c r="N1805" s="1013" t="s">
        <v>1856</v>
      </c>
      <c r="O1805" s="618"/>
      <c r="P1805" s="66" t="s">
        <v>50</v>
      </c>
      <c r="Q1805" s="100">
        <f>IF($AO$1784=2,F1805*H1805,IF($AO$1784=1,F1805*G1805,F1805*I1805))</f>
        <v>0</v>
      </c>
      <c r="R1805" s="13" t="str">
        <f t="shared" si="959"/>
        <v>Фото &gt;&gt;</v>
      </c>
      <c r="S1805" s="14" t="s">
        <v>3553</v>
      </c>
      <c r="T1805" s="311"/>
      <c r="U1805" s="311"/>
      <c r="V1805" s="311"/>
      <c r="AK1805">
        <v>0.53</v>
      </c>
      <c r="AL1805">
        <f t="shared" si="954"/>
        <v>0</v>
      </c>
      <c r="AM1805">
        <f t="shared" si="955"/>
        <v>0</v>
      </c>
      <c r="AN1805">
        <f t="shared" si="956"/>
        <v>0</v>
      </c>
      <c r="AO1805" t="s">
        <v>5525</v>
      </c>
      <c r="AV1805" t="str">
        <f>IF(F1805&gt;0,(COUNT($AV$1:AV1804)+1),"")</f>
        <v/>
      </c>
    </row>
    <row r="1806" spans="1:48" ht="15" customHeight="1" x14ac:dyDescent="0.25">
      <c r="A1806" s="1"/>
      <c r="B1806" s="31">
        <v>18098</v>
      </c>
      <c r="C1806" s="16">
        <v>8850282191017</v>
      </c>
      <c r="D1806" s="226" t="s">
        <v>1905</v>
      </c>
      <c r="E1806" s="69">
        <v>12</v>
      </c>
      <c r="F1806" s="222"/>
      <c r="G1806" s="108">
        <v>483</v>
      </c>
      <c r="H1806" s="17">
        <v>502.3</v>
      </c>
      <c r="I1806" s="18">
        <v>541</v>
      </c>
      <c r="J1806" s="113" t="s">
        <v>1662</v>
      </c>
      <c r="K1806" s="44" t="s">
        <v>19</v>
      </c>
      <c r="L1806" s="442"/>
      <c r="M1806" s="480" t="s">
        <v>1856</v>
      </c>
      <c r="N1806" s="1015" t="s">
        <v>1856</v>
      </c>
      <c r="O1806" s="619"/>
      <c r="P1806" s="68" t="s">
        <v>50</v>
      </c>
      <c r="Q1806" s="100">
        <f>IF($AO$1784=2,F1806*H1806,IF($AO$1784=1,F1806*G1806,F1806*I1806))</f>
        <v>0</v>
      </c>
      <c r="R1806" s="13" t="str">
        <f t="shared" si="959"/>
        <v>Фото &gt;&gt;</v>
      </c>
      <c r="S1806" s="14" t="s">
        <v>3553</v>
      </c>
      <c r="T1806" s="311"/>
      <c r="U1806" s="311"/>
      <c r="V1806" s="311"/>
      <c r="AK1806">
        <v>1.05</v>
      </c>
      <c r="AL1806">
        <f t="shared" ref="AL1806" si="960">F1806*G1806</f>
        <v>0</v>
      </c>
      <c r="AM1806">
        <f t="shared" ref="AM1806" si="961">F1806*H1806</f>
        <v>0</v>
      </c>
      <c r="AN1806">
        <f t="shared" si="956"/>
        <v>0</v>
      </c>
      <c r="AO1806" t="s">
        <v>4961</v>
      </c>
      <c r="AV1806" t="str">
        <f>IF(F1806&gt;0,(COUNT($AV$1:AV1805)+1),"")</f>
        <v/>
      </c>
    </row>
    <row r="1807" spans="1:48" ht="15" customHeight="1" x14ac:dyDescent="0.25">
      <c r="A1807" s="1"/>
      <c r="B1807" s="25"/>
      <c r="C1807" s="26"/>
      <c r="D1807" s="228" t="s">
        <v>6088</v>
      </c>
      <c r="E1807" s="80"/>
      <c r="F1807" s="96"/>
      <c r="G1807" s="28"/>
      <c r="H1807" s="29"/>
      <c r="I1807" s="29"/>
      <c r="J1807" s="51"/>
      <c r="K1807" s="47"/>
      <c r="L1807" s="447"/>
      <c r="M1807" s="489" t="s">
        <v>104</v>
      </c>
      <c r="N1807" s="716"/>
      <c r="O1807" s="186"/>
      <c r="P1807" s="79"/>
      <c r="Q1807" s="104"/>
      <c r="R1807" s="13"/>
      <c r="S1807" s="14"/>
      <c r="T1807" s="311"/>
      <c r="U1807" s="311"/>
      <c r="V1807" s="311"/>
      <c r="AL1807">
        <f t="shared" ref="AL1807:AL1810" si="962">F1807*G1807</f>
        <v>0</v>
      </c>
      <c r="AM1807">
        <f t="shared" ref="AM1807:AM1810" si="963">F1807*H1807</f>
        <v>0</v>
      </c>
      <c r="AN1807">
        <f t="shared" ref="AN1807:AN1810" si="964">AK1807*F1807+IF(E1807&gt;1.01,F1807/E1807*0.2,0)</f>
        <v>0</v>
      </c>
      <c r="AO1807" t="s">
        <v>104</v>
      </c>
      <c r="AV1807" t="str">
        <f>IF(F1807&gt;0,(COUNT($AV$1:AV1806)+1),"")</f>
        <v/>
      </c>
    </row>
    <row r="1808" spans="1:48" ht="15" customHeight="1" x14ac:dyDescent="0.25">
      <c r="A1808" s="1"/>
      <c r="B1808" s="30">
        <v>16571</v>
      </c>
      <c r="C1808" s="20">
        <v>8850813900606</v>
      </c>
      <c r="D1808" s="421" t="s">
        <v>6089</v>
      </c>
      <c r="E1808" s="67">
        <v>24</v>
      </c>
      <c r="F1808" s="222"/>
      <c r="G1808" s="107">
        <v>99.1</v>
      </c>
      <c r="H1808" s="21">
        <v>103</v>
      </c>
      <c r="I1808" s="22">
        <v>111.9</v>
      </c>
      <c r="J1808" s="112" t="s">
        <v>1662</v>
      </c>
      <c r="K1808" s="45" t="s">
        <v>478</v>
      </c>
      <c r="L1808" s="437"/>
      <c r="M1808" s="474" t="s">
        <v>104</v>
      </c>
      <c r="N1808" s="1013" t="s">
        <v>1856</v>
      </c>
      <c r="O1808" s="618" t="s">
        <v>5594</v>
      </c>
      <c r="P1808" s="66" t="s">
        <v>40</v>
      </c>
      <c r="Q1808" s="100">
        <f>IF($AO$1784=2,F1808*H1808,IF($AO$1784=1,F1808*G1808,F1808*I1808))</f>
        <v>0</v>
      </c>
      <c r="R1808" s="13" t="str">
        <f t="shared" si="959"/>
        <v>Фото &gt;&gt;</v>
      </c>
      <c r="S1808" s="14" t="s">
        <v>6090</v>
      </c>
      <c r="T1808" s="311"/>
      <c r="U1808" s="311"/>
      <c r="V1808" s="311"/>
      <c r="AK1808">
        <v>0.05</v>
      </c>
      <c r="AL1808">
        <f t="shared" si="962"/>
        <v>0</v>
      </c>
      <c r="AM1808">
        <f t="shared" si="963"/>
        <v>0</v>
      </c>
      <c r="AN1808">
        <f t="shared" si="964"/>
        <v>0</v>
      </c>
      <c r="AO1808" t="s">
        <v>6091</v>
      </c>
      <c r="AV1808" t="str">
        <f>IF(F1808&gt;0,(COUNT($AV$1:AV1807)+1),"")</f>
        <v/>
      </c>
    </row>
    <row r="1809" spans="1:48" ht="15" customHeight="1" x14ac:dyDescent="0.25">
      <c r="A1809" s="1"/>
      <c r="B1809" s="25"/>
      <c r="C1809" s="26"/>
      <c r="D1809" s="228" t="s">
        <v>1442</v>
      </c>
      <c r="E1809" s="80"/>
      <c r="F1809" s="96"/>
      <c r="G1809" s="28"/>
      <c r="H1809" s="29"/>
      <c r="I1809" s="29"/>
      <c r="J1809" s="51"/>
      <c r="K1809" s="47"/>
      <c r="L1809" s="447"/>
      <c r="M1809" s="489" t="s">
        <v>104</v>
      </c>
      <c r="N1809" s="716"/>
      <c r="O1809" s="186"/>
      <c r="P1809" s="79"/>
      <c r="Q1809" s="104"/>
      <c r="R1809" s="13"/>
      <c r="S1809" s="14"/>
      <c r="T1809" s="311"/>
      <c r="U1809" s="311"/>
      <c r="V1809" s="311"/>
      <c r="AL1809">
        <f t="shared" si="962"/>
        <v>0</v>
      </c>
      <c r="AM1809">
        <f t="shared" si="963"/>
        <v>0</v>
      </c>
      <c r="AN1809">
        <f t="shared" si="964"/>
        <v>0</v>
      </c>
      <c r="AO1809" t="s">
        <v>104</v>
      </c>
      <c r="AV1809" t="str">
        <f>IF(F1809&gt;0,(COUNT($AV$1:AV1808)+1),"")</f>
        <v/>
      </c>
    </row>
    <row r="1810" spans="1:48" ht="15" customHeight="1" x14ac:dyDescent="0.25">
      <c r="A1810" s="1"/>
      <c r="B1810" s="30">
        <v>16794</v>
      </c>
      <c r="C1810" s="20">
        <v>8855912000516</v>
      </c>
      <c r="D1810" s="225" t="s">
        <v>1655</v>
      </c>
      <c r="E1810" s="67">
        <v>10</v>
      </c>
      <c r="F1810" s="222"/>
      <c r="G1810" s="107">
        <v>259.2</v>
      </c>
      <c r="H1810" s="21">
        <v>270</v>
      </c>
      <c r="I1810" s="22">
        <v>290</v>
      </c>
      <c r="J1810" s="112" t="s">
        <v>1662</v>
      </c>
      <c r="K1810" s="45" t="s">
        <v>49</v>
      </c>
      <c r="L1810" s="437"/>
      <c r="M1810" s="474" t="s">
        <v>1856</v>
      </c>
      <c r="N1810" s="1013" t="s">
        <v>1856</v>
      </c>
      <c r="O1810" s="618"/>
      <c r="P1810" s="66" t="s">
        <v>50</v>
      </c>
      <c r="Q1810" s="100">
        <f>IF($AO$1784=2,F1810*H1810,IF($AO$1784=1,F1810*G1810,F1810*I1810))</f>
        <v>0</v>
      </c>
      <c r="R1810" s="13" t="str">
        <f t="shared" si="959"/>
        <v>Фото &gt;&gt;</v>
      </c>
      <c r="S1810" s="14" t="s">
        <v>669</v>
      </c>
      <c r="T1810" s="311"/>
      <c r="U1810" s="311"/>
      <c r="V1810" s="311"/>
      <c r="AK1810">
        <v>1.05</v>
      </c>
      <c r="AL1810">
        <f t="shared" si="962"/>
        <v>0</v>
      </c>
      <c r="AM1810">
        <f t="shared" si="963"/>
        <v>0</v>
      </c>
      <c r="AN1810">
        <f t="shared" si="964"/>
        <v>0</v>
      </c>
      <c r="AO1810" t="s">
        <v>4962</v>
      </c>
      <c r="AV1810" t="str">
        <f>IF(F1810&gt;0,(COUNT($AV$1:AV1809)+1),"")</f>
        <v/>
      </c>
    </row>
    <row r="1811" spans="1:48" ht="15" customHeight="1" x14ac:dyDescent="0.25">
      <c r="A1811" s="1"/>
      <c r="B1811" s="31">
        <v>16793</v>
      </c>
      <c r="C1811" s="16">
        <v>8855912003050</v>
      </c>
      <c r="D1811" s="226" t="s">
        <v>1656</v>
      </c>
      <c r="E1811" s="69">
        <v>10</v>
      </c>
      <c r="F1811" s="222"/>
      <c r="G1811" s="108">
        <v>189.3</v>
      </c>
      <c r="H1811" s="17">
        <v>197</v>
      </c>
      <c r="I1811" s="18">
        <v>212</v>
      </c>
      <c r="J1811" s="113" t="s">
        <v>1662</v>
      </c>
      <c r="K1811" s="44" t="s">
        <v>49</v>
      </c>
      <c r="L1811" s="442"/>
      <c r="M1811" s="480" t="s">
        <v>1856</v>
      </c>
      <c r="N1811" s="1015" t="s">
        <v>1856</v>
      </c>
      <c r="O1811" s="619"/>
      <c r="P1811" s="68" t="s">
        <v>50</v>
      </c>
      <c r="Q1811" s="100">
        <f>IF($AO$1784=2,F1811*H1811,IF($AO$1784=1,F1811*G1811,F1811*I1811))</f>
        <v>0</v>
      </c>
      <c r="R1811" s="13" t="str">
        <f t="shared" si="959"/>
        <v>Фото &gt;&gt;</v>
      </c>
      <c r="S1811" s="14" t="s">
        <v>670</v>
      </c>
      <c r="T1811" s="311"/>
      <c r="U1811" s="311"/>
      <c r="V1811" s="311"/>
      <c r="AK1811">
        <v>1.05</v>
      </c>
      <c r="AL1811">
        <f t="shared" si="954"/>
        <v>0</v>
      </c>
      <c r="AM1811">
        <f t="shared" si="955"/>
        <v>0</v>
      </c>
      <c r="AN1811">
        <f t="shared" si="956"/>
        <v>0</v>
      </c>
      <c r="AO1811" t="s">
        <v>2700</v>
      </c>
      <c r="AV1811" t="str">
        <f>IF(F1811&gt;0,(COUNT($AV$1:AV1810)+1),"")</f>
        <v/>
      </c>
    </row>
    <row r="1812" spans="1:48" ht="15" customHeight="1" x14ac:dyDescent="0.25">
      <c r="A1812" s="1"/>
      <c r="B1812" s="25"/>
      <c r="C1812" s="26"/>
      <c r="D1812" s="228" t="s">
        <v>1443</v>
      </c>
      <c r="E1812" s="80"/>
      <c r="F1812" s="96"/>
      <c r="G1812" s="28"/>
      <c r="H1812" s="29"/>
      <c r="I1812" s="29"/>
      <c r="J1812" s="51"/>
      <c r="K1812" s="47"/>
      <c r="L1812" s="447"/>
      <c r="M1812" s="489" t="s">
        <v>104</v>
      </c>
      <c r="N1812" s="716"/>
      <c r="O1812" s="186"/>
      <c r="P1812" s="79"/>
      <c r="Q1812" s="104"/>
      <c r="R1812" s="13"/>
      <c r="S1812" s="14"/>
      <c r="T1812" s="311"/>
      <c r="U1812" s="311"/>
      <c r="V1812" s="311"/>
      <c r="AL1812">
        <f t="shared" ref="AL1812:AL1827" si="965">F1812*G1812</f>
        <v>0</v>
      </c>
      <c r="AM1812">
        <f t="shared" ref="AM1812:AM1827" si="966">F1812*H1812</f>
        <v>0</v>
      </c>
      <c r="AN1812">
        <f t="shared" si="956"/>
        <v>0</v>
      </c>
      <c r="AO1812" t="s">
        <v>104</v>
      </c>
      <c r="AV1812" t="str">
        <f>IF(F1812&gt;0,(COUNT($AV$1:AV1811)+1),"")</f>
        <v/>
      </c>
    </row>
    <row r="1813" spans="1:48" ht="15" customHeight="1" x14ac:dyDescent="0.25">
      <c r="A1813" s="1"/>
      <c r="B1813" s="30">
        <v>19861</v>
      </c>
      <c r="C1813" s="20">
        <v>8850367990443</v>
      </c>
      <c r="D1813" s="225" t="s">
        <v>5945</v>
      </c>
      <c r="E1813" s="67">
        <v>24</v>
      </c>
      <c r="F1813" s="222"/>
      <c r="G1813" s="107">
        <v>200.3</v>
      </c>
      <c r="H1813" s="21">
        <v>208.5</v>
      </c>
      <c r="I1813" s="22">
        <v>223.7</v>
      </c>
      <c r="J1813" s="112" t="s">
        <v>1662</v>
      </c>
      <c r="K1813" s="45" t="s">
        <v>556</v>
      </c>
      <c r="L1813" s="437"/>
      <c r="M1813" s="474" t="s">
        <v>104</v>
      </c>
      <c r="N1813" s="1013"/>
      <c r="O1813" s="618"/>
      <c r="P1813" s="66" t="s">
        <v>50</v>
      </c>
      <c r="Q1813" s="100">
        <f t="shared" ref="Q1813:Q1824" si="967">IF($AO$1784=2,F1813*H1813,IF($AO$1784=1,F1813*G1813,F1813*I1813))</f>
        <v>0</v>
      </c>
      <c r="R1813" s="13" t="str">
        <f t="shared" ref="R1813:R1824" si="968">IF(AO1813&gt;0,HYPERLINK(AO1813,"Фото &gt;&gt;"),"")</f>
        <v>Фото &gt;&gt;</v>
      </c>
      <c r="S1813" s="14" t="s">
        <v>2033</v>
      </c>
      <c r="T1813" s="311"/>
      <c r="U1813" s="311"/>
      <c r="V1813" s="311"/>
      <c r="AK1813">
        <v>0.4</v>
      </c>
      <c r="AL1813">
        <f t="shared" ref="AL1813:AL1824" si="969">F1813*G1813</f>
        <v>0</v>
      </c>
      <c r="AM1813">
        <f t="shared" ref="AM1813:AM1824" si="970">F1813*H1813</f>
        <v>0</v>
      </c>
      <c r="AN1813">
        <f t="shared" ref="AN1813:AN1824" si="971">AK1813*F1813+IF(E1813&gt;1.01,F1813/E1813*0.2,0)</f>
        <v>0</v>
      </c>
      <c r="AO1813" t="s">
        <v>5527</v>
      </c>
      <c r="AV1813" t="str">
        <f>IF(F1813&gt;0,(COUNT($AV$1:AV1812)+1),"")</f>
        <v/>
      </c>
    </row>
    <row r="1814" spans="1:48" ht="15" customHeight="1" x14ac:dyDescent="0.25">
      <c r="A1814" s="1"/>
      <c r="B1814" s="31">
        <v>17505</v>
      </c>
      <c r="C1814" s="16">
        <v>8850813328103</v>
      </c>
      <c r="D1814" s="226" t="s">
        <v>671</v>
      </c>
      <c r="E1814" s="69">
        <v>12</v>
      </c>
      <c r="F1814" s="222"/>
      <c r="G1814" s="108">
        <v>170.7</v>
      </c>
      <c r="H1814" s="17">
        <v>178.4</v>
      </c>
      <c r="I1814" s="18">
        <v>193.2</v>
      </c>
      <c r="J1814" s="113" t="s">
        <v>1662</v>
      </c>
      <c r="K1814" s="44" t="s">
        <v>556</v>
      </c>
      <c r="L1814" s="442"/>
      <c r="M1814" s="480" t="s">
        <v>104</v>
      </c>
      <c r="N1814" s="1015" t="s">
        <v>1856</v>
      </c>
      <c r="O1814" s="619"/>
      <c r="P1814" s="68" t="s">
        <v>40</v>
      </c>
      <c r="Q1814" s="100">
        <f t="shared" si="967"/>
        <v>0</v>
      </c>
      <c r="R1814" s="13" t="str">
        <f t="shared" si="968"/>
        <v>Фото &gt;&gt;</v>
      </c>
      <c r="S1814" s="14" t="s">
        <v>672</v>
      </c>
      <c r="T1814" s="311"/>
      <c r="U1814" s="311"/>
      <c r="V1814" s="311"/>
      <c r="AK1814">
        <v>0.2</v>
      </c>
      <c r="AL1814">
        <f t="shared" si="969"/>
        <v>0</v>
      </c>
      <c r="AM1814">
        <f t="shared" si="970"/>
        <v>0</v>
      </c>
      <c r="AN1814">
        <f t="shared" si="971"/>
        <v>0</v>
      </c>
      <c r="AO1814" t="s">
        <v>2701</v>
      </c>
      <c r="AV1814" t="str">
        <f>IF(F1814&gt;0,(COUNT($AV$1:AV1813)+1),"")</f>
        <v/>
      </c>
    </row>
    <row r="1815" spans="1:48" ht="15" customHeight="1" x14ac:dyDescent="0.25">
      <c r="A1815" s="1"/>
      <c r="B1815" s="30">
        <v>16347</v>
      </c>
      <c r="C1815" s="20">
        <v>8850813102000</v>
      </c>
      <c r="D1815" s="225" t="s">
        <v>1657</v>
      </c>
      <c r="E1815" s="67">
        <v>36</v>
      </c>
      <c r="F1815" s="222"/>
      <c r="G1815" s="107">
        <v>161.69999999999999</v>
      </c>
      <c r="H1815" s="21">
        <v>167.8</v>
      </c>
      <c r="I1815" s="22">
        <v>180</v>
      </c>
      <c r="J1815" s="112" t="s">
        <v>1662</v>
      </c>
      <c r="K1815" s="45" t="s">
        <v>556</v>
      </c>
      <c r="L1815" s="437"/>
      <c r="M1815" s="474" t="s">
        <v>1856</v>
      </c>
      <c r="N1815" s="1013" t="s">
        <v>1856</v>
      </c>
      <c r="O1815" s="618"/>
      <c r="P1815" s="66" t="s">
        <v>40</v>
      </c>
      <c r="Q1815" s="100">
        <f t="shared" si="967"/>
        <v>0</v>
      </c>
      <c r="R1815" s="13" t="str">
        <f t="shared" si="968"/>
        <v>Фото &gt;&gt;</v>
      </c>
      <c r="S1815" s="14" t="s">
        <v>673</v>
      </c>
      <c r="T1815" s="311"/>
      <c r="U1815" s="311"/>
      <c r="V1815" s="311"/>
      <c r="AK1815">
        <v>0.26</v>
      </c>
      <c r="AL1815">
        <f t="shared" si="969"/>
        <v>0</v>
      </c>
      <c r="AM1815">
        <f t="shared" si="970"/>
        <v>0</v>
      </c>
      <c r="AN1815">
        <f t="shared" si="971"/>
        <v>0</v>
      </c>
      <c r="AO1815" t="s">
        <v>4963</v>
      </c>
      <c r="AV1815" t="str">
        <f>IF(F1815&gt;0,(COUNT($AV$1:AV1814)+1),"")</f>
        <v/>
      </c>
    </row>
    <row r="1816" spans="1:48" ht="15" customHeight="1" x14ac:dyDescent="0.25">
      <c r="A1816" s="1"/>
      <c r="B1816" s="31">
        <v>21135</v>
      </c>
      <c r="C1816" s="16">
        <v>8850813322026</v>
      </c>
      <c r="D1816" s="226" t="s">
        <v>7000</v>
      </c>
      <c r="E1816" s="69">
        <v>12</v>
      </c>
      <c r="F1816" s="222"/>
      <c r="G1816" s="108">
        <v>179.7</v>
      </c>
      <c r="H1816" s="17">
        <v>188.6</v>
      </c>
      <c r="I1816" s="18">
        <v>207.5</v>
      </c>
      <c r="J1816" s="113" t="s">
        <v>1662</v>
      </c>
      <c r="K1816" s="44" t="s">
        <v>556</v>
      </c>
      <c r="L1816" s="442"/>
      <c r="M1816" s="480" t="s">
        <v>104</v>
      </c>
      <c r="N1816" s="1015"/>
      <c r="O1816" s="619"/>
      <c r="P1816" s="68" t="s">
        <v>50</v>
      </c>
      <c r="Q1816" s="100">
        <f t="shared" si="967"/>
        <v>0</v>
      </c>
      <c r="R1816" s="13" t="str">
        <f t="shared" si="968"/>
        <v>Фото &gt;&gt;</v>
      </c>
      <c r="S1816" s="14" t="s">
        <v>6056</v>
      </c>
      <c r="T1816" s="311"/>
      <c r="U1816" s="311"/>
      <c r="V1816" s="311"/>
      <c r="AK1816">
        <v>0.25</v>
      </c>
      <c r="AL1816">
        <f t="shared" si="969"/>
        <v>0</v>
      </c>
      <c r="AM1816">
        <f t="shared" si="970"/>
        <v>0</v>
      </c>
      <c r="AN1816">
        <f t="shared" si="971"/>
        <v>0</v>
      </c>
      <c r="AO1816" t="s">
        <v>6055</v>
      </c>
      <c r="AV1816" t="str">
        <f>IF(F1816&gt;0,(COUNT($AV$1:AV1815)+1),"")</f>
        <v/>
      </c>
    </row>
    <row r="1817" spans="1:48" ht="15" customHeight="1" x14ac:dyDescent="0.25">
      <c r="A1817" s="1"/>
      <c r="B1817" s="30">
        <v>16582</v>
      </c>
      <c r="C1817" s="20">
        <v>8850367992874</v>
      </c>
      <c r="D1817" s="225" t="s">
        <v>5946</v>
      </c>
      <c r="E1817" s="67">
        <v>24</v>
      </c>
      <c r="F1817" s="222"/>
      <c r="G1817" s="107">
        <v>200</v>
      </c>
      <c r="H1817" s="21">
        <v>208.1</v>
      </c>
      <c r="I1817" s="22">
        <v>224</v>
      </c>
      <c r="J1817" s="112" t="s">
        <v>1662</v>
      </c>
      <c r="K1817" s="45" t="s">
        <v>556</v>
      </c>
      <c r="L1817" s="437"/>
      <c r="M1817" s="474" t="s">
        <v>104</v>
      </c>
      <c r="N1817" s="1013" t="s">
        <v>1856</v>
      </c>
      <c r="O1817" s="618"/>
      <c r="P1817" s="66" t="s">
        <v>50</v>
      </c>
      <c r="Q1817" s="100">
        <f t="shared" si="967"/>
        <v>0</v>
      </c>
      <c r="R1817" s="13" t="str">
        <f t="shared" si="968"/>
        <v>Фото &gt;&gt;</v>
      </c>
      <c r="S1817" s="14" t="s">
        <v>4095</v>
      </c>
      <c r="T1817" s="311"/>
      <c r="U1817" s="311"/>
      <c r="V1817" s="311"/>
      <c r="AK1817">
        <v>0.3</v>
      </c>
      <c r="AL1817">
        <f t="shared" si="969"/>
        <v>0</v>
      </c>
      <c r="AM1817">
        <f t="shared" si="970"/>
        <v>0</v>
      </c>
      <c r="AN1817">
        <f t="shared" si="971"/>
        <v>0</v>
      </c>
      <c r="AO1817" t="s">
        <v>4964</v>
      </c>
      <c r="AV1817" t="str">
        <f>IF(F1817&gt;0,(COUNT($AV$1:AV1816)+1),"")</f>
        <v/>
      </c>
    </row>
    <row r="1818" spans="1:48" ht="15" customHeight="1" x14ac:dyDescent="0.25">
      <c r="A1818" s="1"/>
      <c r="B1818" s="31">
        <v>21134</v>
      </c>
      <c r="C1818" s="16">
        <v>8850813925050</v>
      </c>
      <c r="D1818" s="226" t="s">
        <v>6057</v>
      </c>
      <c r="E1818" s="69">
        <v>24</v>
      </c>
      <c r="F1818" s="222"/>
      <c r="G1818" s="108">
        <v>249.7</v>
      </c>
      <c r="H1818" s="17">
        <v>261.8</v>
      </c>
      <c r="I1818" s="18">
        <v>287.8</v>
      </c>
      <c r="J1818" s="113" t="s">
        <v>1662</v>
      </c>
      <c r="K1818" s="44" t="s">
        <v>556</v>
      </c>
      <c r="L1818" s="442" t="s">
        <v>4258</v>
      </c>
      <c r="M1818" s="480"/>
      <c r="N1818" s="1015"/>
      <c r="O1818" s="619"/>
      <c r="P1818" s="68" t="s">
        <v>50</v>
      </c>
      <c r="Q1818" s="100">
        <f t="shared" si="967"/>
        <v>0</v>
      </c>
      <c r="R1818" s="13" t="str">
        <f t="shared" si="968"/>
        <v>Фото &gt;&gt;</v>
      </c>
      <c r="S1818" s="14" t="s">
        <v>6058</v>
      </c>
      <c r="T1818" s="311"/>
      <c r="U1818" s="311"/>
      <c r="V1818" s="311"/>
      <c r="AK1818">
        <v>0.42</v>
      </c>
      <c r="AL1818">
        <f t="shared" si="969"/>
        <v>0</v>
      </c>
      <c r="AM1818">
        <f t="shared" si="970"/>
        <v>0</v>
      </c>
      <c r="AN1818">
        <f t="shared" si="971"/>
        <v>0</v>
      </c>
      <c r="AO1818" t="s">
        <v>6059</v>
      </c>
      <c r="AV1818" t="str">
        <f>IF(F1818&gt;0,(COUNT($AV$1:AV1817)+1),"")</f>
        <v/>
      </c>
    </row>
    <row r="1819" spans="1:48" ht="15" customHeight="1" x14ac:dyDescent="0.25">
      <c r="A1819" s="1"/>
      <c r="B1819" s="30">
        <v>16581</v>
      </c>
      <c r="C1819" s="20">
        <v>8850367992881</v>
      </c>
      <c r="D1819" s="225" t="s">
        <v>5947</v>
      </c>
      <c r="E1819" s="67">
        <v>24</v>
      </c>
      <c r="F1819" s="222"/>
      <c r="G1819" s="107">
        <v>200</v>
      </c>
      <c r="H1819" s="21">
        <v>208.1</v>
      </c>
      <c r="I1819" s="22">
        <v>224</v>
      </c>
      <c r="J1819" s="112" t="s">
        <v>1662</v>
      </c>
      <c r="K1819" s="45" t="s">
        <v>556</v>
      </c>
      <c r="L1819" s="437"/>
      <c r="M1819" s="474" t="s">
        <v>104</v>
      </c>
      <c r="N1819" s="1013" t="s">
        <v>1856</v>
      </c>
      <c r="O1819" s="618"/>
      <c r="P1819" s="66" t="s">
        <v>50</v>
      </c>
      <c r="Q1819" s="100">
        <f t="shared" si="967"/>
        <v>0</v>
      </c>
      <c r="R1819" s="13" t="str">
        <f t="shared" si="968"/>
        <v>Фото &gt;&gt;</v>
      </c>
      <c r="S1819" s="14" t="s">
        <v>4094</v>
      </c>
      <c r="T1819" s="311"/>
      <c r="U1819" s="311"/>
      <c r="V1819" s="311"/>
      <c r="AK1819">
        <v>0.3</v>
      </c>
      <c r="AL1819">
        <f t="shared" si="969"/>
        <v>0</v>
      </c>
      <c r="AM1819">
        <f t="shared" si="970"/>
        <v>0</v>
      </c>
      <c r="AN1819">
        <f t="shared" si="971"/>
        <v>0</v>
      </c>
      <c r="AO1819" t="s">
        <v>4965</v>
      </c>
      <c r="AV1819" t="str">
        <f>IF(F1819&gt;0,(COUNT($AV$1:AV1818)+1),"")</f>
        <v/>
      </c>
    </row>
    <row r="1820" spans="1:48" ht="15" customHeight="1" x14ac:dyDescent="0.25">
      <c r="A1820" s="1"/>
      <c r="B1820" s="31">
        <v>21133</v>
      </c>
      <c r="C1820" s="16">
        <v>8850813546095</v>
      </c>
      <c r="D1820" s="226" t="s">
        <v>7001</v>
      </c>
      <c r="E1820" s="69">
        <v>24</v>
      </c>
      <c r="F1820" s="222"/>
      <c r="G1820" s="108">
        <v>238</v>
      </c>
      <c r="H1820" s="17">
        <v>249.6</v>
      </c>
      <c r="I1820" s="18">
        <v>274.60000000000002</v>
      </c>
      <c r="J1820" s="113" t="s">
        <v>1662</v>
      </c>
      <c r="K1820" s="44" t="s">
        <v>556</v>
      </c>
      <c r="L1820" s="442"/>
      <c r="M1820" s="480"/>
      <c r="N1820" s="1015" t="s">
        <v>1856</v>
      </c>
      <c r="O1820" s="619"/>
      <c r="P1820" s="68" t="s">
        <v>50</v>
      </c>
      <c r="Q1820" s="100">
        <f t="shared" si="967"/>
        <v>0</v>
      </c>
      <c r="R1820" s="13" t="str">
        <f t="shared" si="968"/>
        <v>Фото &gt;&gt;</v>
      </c>
      <c r="S1820" s="14" t="s">
        <v>6060</v>
      </c>
      <c r="T1820" s="311"/>
      <c r="U1820" s="311"/>
      <c r="V1820" s="311"/>
      <c r="AK1820">
        <v>0.23</v>
      </c>
      <c r="AL1820">
        <f t="shared" si="969"/>
        <v>0</v>
      </c>
      <c r="AM1820">
        <f t="shared" si="970"/>
        <v>0</v>
      </c>
      <c r="AN1820">
        <f t="shared" si="971"/>
        <v>0</v>
      </c>
      <c r="AO1820" t="s">
        <v>6061</v>
      </c>
      <c r="AV1820" t="str">
        <f>IF(F1820&gt;0,(COUNT($AV$1:AV1819)+1),"")</f>
        <v/>
      </c>
    </row>
    <row r="1821" spans="1:48" ht="15" customHeight="1" x14ac:dyDescent="0.25">
      <c r="A1821" s="1"/>
      <c r="B1821" s="30">
        <v>16330</v>
      </c>
      <c r="C1821" s="20">
        <v>8850813200706</v>
      </c>
      <c r="D1821" s="225" t="s">
        <v>5948</v>
      </c>
      <c r="E1821" s="67">
        <v>24</v>
      </c>
      <c r="F1821" s="222"/>
      <c r="G1821" s="107">
        <v>209.6</v>
      </c>
      <c r="H1821" s="21">
        <v>217.9</v>
      </c>
      <c r="I1821" s="22">
        <v>233.9</v>
      </c>
      <c r="J1821" s="112" t="s">
        <v>1662</v>
      </c>
      <c r="K1821" s="45" t="s">
        <v>556</v>
      </c>
      <c r="L1821" s="437"/>
      <c r="M1821" s="474" t="s">
        <v>104</v>
      </c>
      <c r="N1821" s="1013"/>
      <c r="O1821" s="618"/>
      <c r="P1821" s="66" t="s">
        <v>50</v>
      </c>
      <c r="Q1821" s="100">
        <f t="shared" si="967"/>
        <v>0</v>
      </c>
      <c r="R1821" s="13" t="str">
        <f t="shared" si="968"/>
        <v>Фото &gt;&gt;</v>
      </c>
      <c r="S1821" s="14" t="s">
        <v>675</v>
      </c>
      <c r="T1821" s="311"/>
      <c r="U1821" s="311"/>
      <c r="V1821" s="311"/>
      <c r="AK1821">
        <v>0.42</v>
      </c>
      <c r="AL1821">
        <f t="shared" si="969"/>
        <v>0</v>
      </c>
      <c r="AM1821">
        <f t="shared" si="970"/>
        <v>0</v>
      </c>
      <c r="AN1821">
        <f t="shared" si="971"/>
        <v>0</v>
      </c>
      <c r="AO1821" t="s">
        <v>4967</v>
      </c>
      <c r="AV1821" t="str">
        <f>IF(F1821&gt;0,(COUNT($AV$1:AV1820)+1),"")</f>
        <v/>
      </c>
    </row>
    <row r="1822" spans="1:48" ht="15" customHeight="1" x14ac:dyDescent="0.25">
      <c r="A1822" s="1"/>
      <c r="B1822" s="31">
        <v>16329</v>
      </c>
      <c r="C1822" s="16">
        <v>8850813200300</v>
      </c>
      <c r="D1822" s="226" t="s">
        <v>5949</v>
      </c>
      <c r="E1822" s="69">
        <v>24</v>
      </c>
      <c r="F1822" s="222"/>
      <c r="G1822" s="108">
        <v>192.8</v>
      </c>
      <c r="H1822" s="17">
        <v>200.5</v>
      </c>
      <c r="I1822" s="18">
        <v>216</v>
      </c>
      <c r="J1822" s="113" t="s">
        <v>1662</v>
      </c>
      <c r="K1822" s="44" t="s">
        <v>556</v>
      </c>
      <c r="L1822" s="442"/>
      <c r="M1822" s="480" t="s">
        <v>104</v>
      </c>
      <c r="N1822" s="1015" t="s">
        <v>1856</v>
      </c>
      <c r="O1822" s="619"/>
      <c r="P1822" s="68" t="s">
        <v>50</v>
      </c>
      <c r="Q1822" s="100">
        <f t="shared" si="967"/>
        <v>0</v>
      </c>
      <c r="R1822" s="13" t="str">
        <f t="shared" si="968"/>
        <v>Фото &gt;&gt;</v>
      </c>
      <c r="S1822" s="14" t="s">
        <v>676</v>
      </c>
      <c r="T1822" s="311"/>
      <c r="U1822" s="311"/>
      <c r="V1822" s="311"/>
      <c r="AK1822">
        <v>0.3</v>
      </c>
      <c r="AL1822">
        <f t="shared" si="969"/>
        <v>0</v>
      </c>
      <c r="AM1822">
        <f t="shared" si="970"/>
        <v>0</v>
      </c>
      <c r="AN1822">
        <f t="shared" si="971"/>
        <v>0</v>
      </c>
      <c r="AO1822" t="s">
        <v>4968</v>
      </c>
      <c r="AV1822" t="str">
        <f>IF(F1822&gt;0,(COUNT($AV$1:AV1821)+1),"")</f>
        <v/>
      </c>
    </row>
    <row r="1823" spans="1:48" ht="15" customHeight="1" x14ac:dyDescent="0.25">
      <c r="A1823" s="1"/>
      <c r="B1823" s="30">
        <v>19687</v>
      </c>
      <c r="C1823" s="20">
        <v>8850367992898</v>
      </c>
      <c r="D1823" s="225" t="s">
        <v>6838</v>
      </c>
      <c r="E1823" s="67">
        <v>24</v>
      </c>
      <c r="F1823" s="222"/>
      <c r="G1823" s="107">
        <v>200.9</v>
      </c>
      <c r="H1823" s="21">
        <v>208.1</v>
      </c>
      <c r="I1823" s="22">
        <v>224</v>
      </c>
      <c r="J1823" s="112" t="s">
        <v>1662</v>
      </c>
      <c r="K1823" s="45" t="s">
        <v>556</v>
      </c>
      <c r="L1823" s="437"/>
      <c r="M1823" s="474" t="s">
        <v>104</v>
      </c>
      <c r="N1823" s="1013" t="s">
        <v>1856</v>
      </c>
      <c r="O1823" s="618"/>
      <c r="P1823" s="66" t="s">
        <v>50</v>
      </c>
      <c r="Q1823" s="100">
        <f t="shared" si="967"/>
        <v>0</v>
      </c>
      <c r="R1823" s="13" t="str">
        <f t="shared" si="968"/>
        <v>Фото &gt;&gt;</v>
      </c>
      <c r="S1823" s="14" t="s">
        <v>1930</v>
      </c>
      <c r="T1823" s="311"/>
      <c r="U1823" s="311"/>
      <c r="V1823" s="311"/>
      <c r="AK1823">
        <v>0.42</v>
      </c>
      <c r="AL1823">
        <f t="shared" si="969"/>
        <v>0</v>
      </c>
      <c r="AM1823">
        <f t="shared" si="970"/>
        <v>0</v>
      </c>
      <c r="AN1823">
        <f t="shared" si="971"/>
        <v>0</v>
      </c>
      <c r="AO1823" t="s">
        <v>5526</v>
      </c>
      <c r="AV1823" t="str">
        <f>IF(F1823&gt;0,(COUNT($AV$1:AV1822)+1),"")</f>
        <v/>
      </c>
    </row>
    <row r="1824" spans="1:48" ht="15" customHeight="1" x14ac:dyDescent="0.25">
      <c r="A1824" s="1"/>
      <c r="B1824" s="31">
        <v>16421</v>
      </c>
      <c r="C1824" s="16">
        <v>8850813200201</v>
      </c>
      <c r="D1824" s="226" t="s">
        <v>7046</v>
      </c>
      <c r="E1824" s="69">
        <v>24</v>
      </c>
      <c r="F1824" s="222"/>
      <c r="G1824" s="108">
        <v>192.8</v>
      </c>
      <c r="H1824" s="17">
        <v>200.5</v>
      </c>
      <c r="I1824" s="18">
        <v>215.6</v>
      </c>
      <c r="J1824" s="113" t="s">
        <v>1662</v>
      </c>
      <c r="K1824" s="44" t="s">
        <v>556</v>
      </c>
      <c r="L1824" s="442"/>
      <c r="M1824" s="480" t="s">
        <v>104</v>
      </c>
      <c r="N1824" s="1015"/>
      <c r="O1824" s="619"/>
      <c r="P1824" s="68" t="s">
        <v>50</v>
      </c>
      <c r="Q1824" s="100">
        <f t="shared" si="967"/>
        <v>0</v>
      </c>
      <c r="R1824" s="13" t="str">
        <f t="shared" si="968"/>
        <v>Фото &gt;&gt;</v>
      </c>
      <c r="S1824" s="14" t="s">
        <v>674</v>
      </c>
      <c r="T1824" s="311"/>
      <c r="U1824" s="311"/>
      <c r="V1824" s="311"/>
      <c r="AK1824">
        <v>0.42</v>
      </c>
      <c r="AL1824">
        <f t="shared" si="969"/>
        <v>0</v>
      </c>
      <c r="AM1824">
        <f t="shared" si="970"/>
        <v>0</v>
      </c>
      <c r="AN1824">
        <f t="shared" si="971"/>
        <v>0</v>
      </c>
      <c r="AO1824" t="s">
        <v>4966</v>
      </c>
      <c r="AV1824" t="str">
        <f>IF(F1824&gt;0,(COUNT($AV$1:AV1823)+1),"")</f>
        <v/>
      </c>
    </row>
    <row r="1825" spans="1:48" ht="15" customHeight="1" x14ac:dyDescent="0.25">
      <c r="A1825" s="1"/>
      <c r="B1825" s="25"/>
      <c r="C1825" s="26"/>
      <c r="D1825" s="228" t="s">
        <v>106</v>
      </c>
      <c r="E1825" s="80"/>
      <c r="F1825" s="96"/>
      <c r="G1825" s="28">
        <v>0</v>
      </c>
      <c r="H1825" s="29">
        <v>0</v>
      </c>
      <c r="I1825" s="29">
        <v>0</v>
      </c>
      <c r="J1825" s="51"/>
      <c r="K1825" s="47"/>
      <c r="L1825" s="447"/>
      <c r="M1825" s="489" t="s">
        <v>104</v>
      </c>
      <c r="N1825" s="716"/>
      <c r="O1825" s="186"/>
      <c r="P1825" s="79"/>
      <c r="Q1825" s="104"/>
      <c r="R1825" s="13"/>
      <c r="S1825" s="14"/>
      <c r="T1825" s="311"/>
      <c r="U1825" s="311"/>
      <c r="V1825" s="311"/>
      <c r="AL1825">
        <f t="shared" ref="AL1825:AL1826" si="972">F1825*G1825</f>
        <v>0</v>
      </c>
      <c r="AM1825">
        <f t="shared" ref="AM1825:AM1826" si="973">F1825*H1825</f>
        <v>0</v>
      </c>
      <c r="AN1825">
        <f t="shared" si="956"/>
        <v>0</v>
      </c>
      <c r="AO1825" t="s">
        <v>104</v>
      </c>
      <c r="AV1825" t="str">
        <f>IF(F1825&gt;0,(COUNT($AV$1:AV1824)+1),"")</f>
        <v/>
      </c>
    </row>
    <row r="1826" spans="1:48" ht="15" customHeight="1" x14ac:dyDescent="0.25">
      <c r="A1826" s="1"/>
      <c r="B1826" s="31">
        <v>16567</v>
      </c>
      <c r="C1826" s="16">
        <v>8850813506006</v>
      </c>
      <c r="D1826" s="226" t="s">
        <v>1658</v>
      </c>
      <c r="E1826" s="69">
        <v>36</v>
      </c>
      <c r="F1826" s="281"/>
      <c r="G1826" s="108">
        <v>168.3</v>
      </c>
      <c r="H1826" s="17">
        <v>175</v>
      </c>
      <c r="I1826" s="18">
        <v>188.4</v>
      </c>
      <c r="J1826" s="113" t="s">
        <v>1662</v>
      </c>
      <c r="K1826" s="44" t="s">
        <v>106</v>
      </c>
      <c r="L1826" s="442"/>
      <c r="M1826" s="480" t="s">
        <v>104</v>
      </c>
      <c r="N1826" s="1015"/>
      <c r="O1826" s="569"/>
      <c r="P1826" s="68" t="s">
        <v>40</v>
      </c>
      <c r="Q1826" s="100">
        <f>IF($AO$1784=2,F1826*H1826,IF($AO$1784=1,F1826*G1826,F1826*I1826))</f>
        <v>0</v>
      </c>
      <c r="R1826" s="13" t="str">
        <f t="shared" si="959"/>
        <v>Фото &gt;&gt;</v>
      </c>
      <c r="S1826" s="14" t="s">
        <v>1660</v>
      </c>
      <c r="T1826" s="311"/>
      <c r="U1826" s="311"/>
      <c r="V1826" s="311"/>
      <c r="AK1826">
        <v>0.27</v>
      </c>
      <c r="AL1826">
        <f t="shared" si="972"/>
        <v>0</v>
      </c>
      <c r="AM1826">
        <f t="shared" si="973"/>
        <v>0</v>
      </c>
      <c r="AN1826">
        <f t="shared" si="956"/>
        <v>0</v>
      </c>
      <c r="AO1826" t="s">
        <v>4969</v>
      </c>
      <c r="AV1826" t="str">
        <f>IF(F1826&gt;0,(COUNT($AV$1:AV1825)+1),"")</f>
        <v/>
      </c>
    </row>
    <row r="1827" spans="1:48" ht="15" customHeight="1" x14ac:dyDescent="0.25">
      <c r="A1827" s="1"/>
      <c r="B1827" s="30">
        <v>16569</v>
      </c>
      <c r="C1827" s="20">
        <v>8850813508000</v>
      </c>
      <c r="D1827" s="225" t="s">
        <v>1659</v>
      </c>
      <c r="E1827" s="67">
        <v>36</v>
      </c>
      <c r="F1827" s="281"/>
      <c r="G1827" s="107">
        <v>168.3</v>
      </c>
      <c r="H1827" s="21">
        <v>174.9</v>
      </c>
      <c r="I1827" s="22">
        <v>188.1</v>
      </c>
      <c r="J1827" s="112" t="s">
        <v>1662</v>
      </c>
      <c r="K1827" s="45" t="s">
        <v>106</v>
      </c>
      <c r="L1827" s="437"/>
      <c r="M1827" s="474" t="s">
        <v>104</v>
      </c>
      <c r="N1827" s="1013"/>
      <c r="O1827" s="576"/>
      <c r="P1827" s="66" t="s">
        <v>40</v>
      </c>
      <c r="Q1827" s="100">
        <f>IF($AO$1784=2,F1827*H1827,IF($AO$1784=1,F1827*G1827,F1827*I1827))</f>
        <v>0</v>
      </c>
      <c r="R1827" s="13" t="str">
        <f t="shared" si="959"/>
        <v>Фото &gt;&gt;</v>
      </c>
      <c r="S1827" s="14" t="s">
        <v>1661</v>
      </c>
      <c r="T1827" s="311"/>
      <c r="U1827" s="311"/>
      <c r="V1827" s="311"/>
      <c r="AK1827">
        <v>0.27</v>
      </c>
      <c r="AL1827">
        <f t="shared" si="965"/>
        <v>0</v>
      </c>
      <c r="AM1827">
        <f t="shared" si="966"/>
        <v>0</v>
      </c>
      <c r="AN1827">
        <f t="shared" si="956"/>
        <v>0</v>
      </c>
      <c r="AO1827" t="s">
        <v>4970</v>
      </c>
      <c r="AV1827" t="str">
        <f>IF(F1827&gt;0,(COUNT($AV$1:AV1826)+1),"")</f>
        <v/>
      </c>
    </row>
    <row r="1828" spans="1:48" ht="15" customHeight="1" x14ac:dyDescent="0.25">
      <c r="A1828" s="1"/>
      <c r="B1828" s="25"/>
      <c r="C1828" s="26"/>
      <c r="D1828" s="228" t="s">
        <v>2215</v>
      </c>
      <c r="E1828" s="80"/>
      <c r="F1828" s="96"/>
      <c r="G1828" s="28"/>
      <c r="H1828" s="29"/>
      <c r="I1828" s="29"/>
      <c r="J1828" s="51"/>
      <c r="K1828" s="47"/>
      <c r="L1828" s="447"/>
      <c r="M1828" s="489" t="s">
        <v>104</v>
      </c>
      <c r="N1828" s="716"/>
      <c r="O1828" s="186"/>
      <c r="P1828" s="79"/>
      <c r="Q1828" s="104"/>
      <c r="R1828" s="13"/>
      <c r="S1828" s="14"/>
      <c r="T1828" s="311"/>
      <c r="U1828" s="311"/>
      <c r="V1828" s="311"/>
      <c r="AL1828">
        <f t="shared" ref="AL1828" si="974">F1828*G1828</f>
        <v>0</v>
      </c>
      <c r="AM1828">
        <f t="shared" ref="AM1828" si="975">F1828*H1828</f>
        <v>0</v>
      </c>
      <c r="AN1828">
        <f t="shared" si="956"/>
        <v>0</v>
      </c>
      <c r="AO1828" t="s">
        <v>104</v>
      </c>
      <c r="AV1828" t="str">
        <f>IF(F1828&gt;0,(COUNT($AV$1:AV1827)+1),"")</f>
        <v/>
      </c>
    </row>
    <row r="1829" spans="1:48" ht="15" customHeight="1" x14ac:dyDescent="0.25">
      <c r="A1829" s="1"/>
      <c r="B1829" s="30">
        <v>18775</v>
      </c>
      <c r="C1829" s="20">
        <v>8856848000199</v>
      </c>
      <c r="D1829" s="421" t="s">
        <v>7047</v>
      </c>
      <c r="E1829" s="67">
        <v>6</v>
      </c>
      <c r="F1829" s="281"/>
      <c r="G1829" s="107">
        <v>257</v>
      </c>
      <c r="H1829" s="21">
        <v>267.3</v>
      </c>
      <c r="I1829" s="22">
        <v>288</v>
      </c>
      <c r="J1829" s="112" t="s">
        <v>1662</v>
      </c>
      <c r="K1829" s="45" t="s">
        <v>105</v>
      </c>
      <c r="L1829" s="437"/>
      <c r="M1829" s="474" t="s">
        <v>1856</v>
      </c>
      <c r="N1829" s="1013" t="s">
        <v>1856</v>
      </c>
      <c r="O1829" s="576" t="s">
        <v>5594</v>
      </c>
      <c r="P1829" s="66" t="s">
        <v>50</v>
      </c>
      <c r="Q1829" s="100">
        <f>IF($AO$1784=2,F1829*H1829,IF($AO$1784=1,F1829*G1829,F1829*I1829))</f>
        <v>0</v>
      </c>
      <c r="R1829" s="13" t="str">
        <f t="shared" si="959"/>
        <v>Фото &gt;&gt;</v>
      </c>
      <c r="S1829" s="14" t="s">
        <v>4328</v>
      </c>
      <c r="T1829" s="311"/>
      <c r="U1829" s="311"/>
      <c r="V1829" s="311"/>
      <c r="AK1829">
        <v>0.25</v>
      </c>
      <c r="AL1829">
        <f t="shared" ref="AL1829" si="976">F1829*G1829</f>
        <v>0</v>
      </c>
      <c r="AM1829">
        <f t="shared" ref="AM1829" si="977">F1829*H1829</f>
        <v>0</v>
      </c>
      <c r="AN1829">
        <f t="shared" ref="AN1829" si="978">AK1829*F1829+IF(E1829&gt;1.01,F1829/E1829*0.2,0)</f>
        <v>0</v>
      </c>
      <c r="AO1829" t="s">
        <v>4327</v>
      </c>
      <c r="AV1829" t="str">
        <f>IF(F1829&gt;0,(COUNT($AV$1:AV1828)+1),"")</f>
        <v/>
      </c>
    </row>
    <row r="1830" spans="1:48" ht="15" customHeight="1" x14ac:dyDescent="0.25">
      <c r="A1830" s="1"/>
      <c r="B1830" s="125"/>
      <c r="C1830" s="126"/>
      <c r="D1830" s="127"/>
      <c r="E1830" s="134"/>
      <c r="F1830" s="189"/>
      <c r="G1830" s="130"/>
      <c r="H1830" s="131"/>
      <c r="I1830" s="132"/>
      <c r="J1830" s="128"/>
      <c r="K1830" s="129"/>
      <c r="L1830" s="433"/>
      <c r="M1830" s="481" t="s">
        <v>104</v>
      </c>
      <c r="N1830" s="471"/>
      <c r="O1830" s="181"/>
      <c r="P1830" s="133"/>
      <c r="Q1830" s="135"/>
      <c r="R1830" s="13"/>
      <c r="S1830" s="14"/>
      <c r="AV1830" t="str">
        <f>IF(F1830&gt;0,(COUNT($AV$1:AV1829)+1),"")</f>
        <v/>
      </c>
    </row>
    <row r="1831" spans="1:48" ht="15" customHeight="1" thickBot="1" x14ac:dyDescent="0.3">
      <c r="A1831" s="1"/>
      <c r="B1831" s="136"/>
      <c r="C1831" s="137"/>
      <c r="D1831" s="138"/>
      <c r="E1831" s="145"/>
      <c r="F1831" s="190"/>
      <c r="G1831" s="141"/>
      <c r="H1831" s="142"/>
      <c r="I1831" s="143"/>
      <c r="J1831" s="139"/>
      <c r="K1831" s="140"/>
      <c r="L1831" s="434"/>
      <c r="M1831" s="477" t="s">
        <v>104</v>
      </c>
      <c r="N1831" s="468"/>
      <c r="O1831" s="182"/>
      <c r="P1831" s="144"/>
      <c r="Q1831" s="146"/>
      <c r="R1831" s="13"/>
      <c r="S1831" s="14"/>
      <c r="AV1831" t="str">
        <f>IF(F1831&gt;0,(COUNT($AV$1:AV1830)+1),"")</f>
        <v/>
      </c>
    </row>
    <row r="1832" spans="1:48" ht="24.95" customHeight="1" thickBot="1" x14ac:dyDescent="0.3">
      <c r="A1832" s="1"/>
      <c r="B1832" s="266"/>
      <c r="C1832" s="267"/>
      <c r="D1832" s="268" t="str">
        <f>CONCATENATE("Радоград","     |     Сумма заказа: ",AK1832," руб.")</f>
        <v>Радоград     |     Сумма заказа: 0 руб.</v>
      </c>
      <c r="E1832" s="269"/>
      <c r="F1832" s="270"/>
      <c r="G1832" s="271" t="str">
        <f>CONCATENATE("Ценовая колонка: ",AO1832,"   |   До следующей скидки: ",AJ1832," руб.")</f>
        <v>Ценовая колонка: 3   |   До следующей скидки: 5000 руб.</v>
      </c>
      <c r="H1832" s="272"/>
      <c r="I1832" s="272"/>
      <c r="J1832" s="273" t="s">
        <v>380</v>
      </c>
      <c r="K1832" s="274"/>
      <c r="L1832" s="451"/>
      <c r="M1832" s="495" t="s">
        <v>104</v>
      </c>
      <c r="N1832" s="571"/>
      <c r="O1832" s="275"/>
      <c r="P1832" s="276"/>
      <c r="Q1832" s="277"/>
      <c r="R1832" s="265" t="s">
        <v>1558</v>
      </c>
      <c r="S1832" s="6"/>
      <c r="AG1832" s="400"/>
      <c r="AH1832" s="400"/>
      <c r="AJ1832">
        <f>ROUND(IF(AL1832&gt;15000,"0", IF(AND(AL1832&lt;15000,AM1832&gt;5000),15000-AL1832,5000-AM1832)),2)</f>
        <v>5000</v>
      </c>
      <c r="AK1832">
        <f>SUM(Q1845:Q1890)</f>
        <v>0</v>
      </c>
      <c r="AL1832">
        <f>SUM(AL1845:AL1890)</f>
        <v>0</v>
      </c>
      <c r="AM1832">
        <f>SUM(AM1845:AM1890)</f>
        <v>0</v>
      </c>
      <c r="AO1832">
        <f>IF(AM1832&gt;5000,IF(AL1832&gt;15000,1,2),3)</f>
        <v>3</v>
      </c>
      <c r="AV1832" t="str">
        <f>IF(F1832&gt;0,(COUNT($AV$1:AV1831)+1),"")</f>
        <v/>
      </c>
    </row>
    <row r="1833" spans="1:48" ht="15" customHeight="1" x14ac:dyDescent="0.25">
      <c r="A1833" s="1"/>
      <c r="B1833" s="296"/>
      <c r="C1833" s="38"/>
      <c r="D1833" s="39" t="s">
        <v>4512</v>
      </c>
      <c r="E1833" s="82"/>
      <c r="F1833" s="97"/>
      <c r="G1833" s="40" t="s">
        <v>170</v>
      </c>
      <c r="H1833" s="41" t="s">
        <v>16</v>
      </c>
      <c r="I1833" s="41" t="s">
        <v>221</v>
      </c>
      <c r="J1833" s="52"/>
      <c r="K1833" s="48"/>
      <c r="L1833" s="448"/>
      <c r="M1833" s="491" t="s">
        <v>104</v>
      </c>
      <c r="N1833" s="715"/>
      <c r="O1833" s="187"/>
      <c r="P1833" s="81"/>
      <c r="Q1833" s="105"/>
      <c r="R1833" s="13"/>
      <c r="S1833" s="14"/>
      <c r="AG1833" s="84"/>
      <c r="AH1833" s="84"/>
      <c r="AV1833" t="str">
        <f>IF(F1833&gt;0,(COUNT($AV$1:AV1832)+1),"")</f>
        <v/>
      </c>
    </row>
    <row r="1834" spans="1:48" ht="15" customHeight="1" x14ac:dyDescent="0.25">
      <c r="A1834" s="1"/>
      <c r="B1834" s="30">
        <v>20784</v>
      </c>
      <c r="C1834" s="20">
        <v>4620761306157</v>
      </c>
      <c r="D1834" s="225" t="s">
        <v>5762</v>
      </c>
      <c r="E1834" s="67">
        <v>12</v>
      </c>
      <c r="F1834" s="222"/>
      <c r="G1834" s="107">
        <v>728</v>
      </c>
      <c r="H1834" s="21">
        <v>756.4</v>
      </c>
      <c r="I1834" s="22">
        <v>794.1</v>
      </c>
      <c r="J1834" s="112" t="s">
        <v>380</v>
      </c>
      <c r="K1834" s="45" t="s">
        <v>5530</v>
      </c>
      <c r="L1834" s="437"/>
      <c r="M1834" s="474" t="s">
        <v>1856</v>
      </c>
      <c r="N1834" s="1013"/>
      <c r="O1834" s="209"/>
      <c r="P1834" s="66" t="s">
        <v>50</v>
      </c>
      <c r="Q1834" s="100">
        <f t="shared" ref="Q1834:Q1844" si="979">IF($AO$1832=2,F1834*H1834,IF($AO$1832=1,F1834*G1834,F1834*I1834))</f>
        <v>0</v>
      </c>
      <c r="R1834" s="13" t="str">
        <f t="shared" ref="R1834:R1844" si="980">IF(AO1834&gt;0,HYPERLINK(AO1834,"Фото &gt;&gt;"),"")</f>
        <v>Фото &gt;&gt;</v>
      </c>
      <c r="S1834" s="14" t="s">
        <v>4513</v>
      </c>
      <c r="U1834" s="4"/>
      <c r="V1834" s="405"/>
      <c r="AG1834" s="84"/>
      <c r="AH1834" s="84"/>
      <c r="AK1834">
        <v>0.21</v>
      </c>
      <c r="AL1834">
        <f t="shared" ref="AL1834:AL1845" si="981">F1834*G1834</f>
        <v>0</v>
      </c>
      <c r="AM1834">
        <f t="shared" ref="AM1834:AM1845" si="982">F1834*H1834</f>
        <v>0</v>
      </c>
      <c r="AN1834">
        <f t="shared" ref="AN1834:AN1845" si="983">AK1834*F1834+IF(E1834&gt;1.01,F1834/E1834*0.2,0)</f>
        <v>0</v>
      </c>
      <c r="AO1834" t="s">
        <v>4516</v>
      </c>
      <c r="AV1834" t="str">
        <f>IF(F1834&gt;0,(COUNT($AV$1:AV1833)+1),"")</f>
        <v/>
      </c>
    </row>
    <row r="1835" spans="1:48" ht="15" customHeight="1" x14ac:dyDescent="0.25">
      <c r="A1835" s="1"/>
      <c r="B1835" s="31">
        <v>20785</v>
      </c>
      <c r="C1835" s="16">
        <v>4620761306195</v>
      </c>
      <c r="D1835" s="226" t="s">
        <v>5763</v>
      </c>
      <c r="E1835" s="69">
        <v>12</v>
      </c>
      <c r="F1835" s="222"/>
      <c r="G1835" s="108">
        <v>728</v>
      </c>
      <c r="H1835" s="17">
        <v>756.4</v>
      </c>
      <c r="I1835" s="18">
        <v>794.1</v>
      </c>
      <c r="J1835" s="113" t="s">
        <v>380</v>
      </c>
      <c r="K1835" s="44" t="s">
        <v>5530</v>
      </c>
      <c r="L1835" s="442"/>
      <c r="M1835" s="480" t="s">
        <v>1856</v>
      </c>
      <c r="N1835" s="1015"/>
      <c r="O1835" s="210"/>
      <c r="P1835" s="68" t="s">
        <v>50</v>
      </c>
      <c r="Q1835" s="100">
        <f t="shared" si="979"/>
        <v>0</v>
      </c>
      <c r="R1835" s="13" t="str">
        <f t="shared" si="980"/>
        <v>Фото &gt;&gt;</v>
      </c>
      <c r="S1835" s="14" t="s">
        <v>4514</v>
      </c>
      <c r="U1835" s="4"/>
      <c r="V1835" s="405"/>
      <c r="AG1835" s="84"/>
      <c r="AH1835" s="84"/>
      <c r="AK1835">
        <v>0.21</v>
      </c>
      <c r="AL1835">
        <f t="shared" si="981"/>
        <v>0</v>
      </c>
      <c r="AM1835">
        <f t="shared" si="982"/>
        <v>0</v>
      </c>
      <c r="AN1835">
        <f t="shared" si="983"/>
        <v>0</v>
      </c>
      <c r="AO1835" t="s">
        <v>4517</v>
      </c>
      <c r="AV1835" t="str">
        <f>IF(F1835&gt;0,(COUNT($AV$1:AV1834)+1),"")</f>
        <v/>
      </c>
    </row>
    <row r="1836" spans="1:48" ht="15" customHeight="1" x14ac:dyDescent="0.25">
      <c r="A1836" s="1"/>
      <c r="B1836" s="30">
        <v>21090</v>
      </c>
      <c r="C1836" s="20">
        <v>4620761306201</v>
      </c>
      <c r="D1836" s="225" t="s">
        <v>6390</v>
      </c>
      <c r="E1836" s="67">
        <v>12</v>
      </c>
      <c r="F1836" s="222"/>
      <c r="G1836" s="107">
        <v>728</v>
      </c>
      <c r="H1836" s="21">
        <v>756.4</v>
      </c>
      <c r="I1836" s="22">
        <v>794.1</v>
      </c>
      <c r="J1836" s="112" t="s">
        <v>380</v>
      </c>
      <c r="K1836" s="45" t="s">
        <v>5530</v>
      </c>
      <c r="L1836" s="437"/>
      <c r="M1836" s="474" t="s">
        <v>1856</v>
      </c>
      <c r="N1836" s="1013"/>
      <c r="O1836" s="209"/>
      <c r="P1836" s="66" t="s">
        <v>50</v>
      </c>
      <c r="Q1836" s="100">
        <f t="shared" si="979"/>
        <v>0</v>
      </c>
      <c r="R1836" s="13" t="str">
        <f t="shared" si="980"/>
        <v>Фото &gt;&gt;</v>
      </c>
      <c r="S1836" s="14" t="s">
        <v>5990</v>
      </c>
      <c r="U1836" s="4"/>
      <c r="V1836" s="405"/>
      <c r="AG1836" s="84"/>
      <c r="AH1836" s="84"/>
      <c r="AK1836">
        <v>0.21</v>
      </c>
      <c r="AL1836">
        <f t="shared" ref="AL1836" si="984">F1836*G1836</f>
        <v>0</v>
      </c>
      <c r="AM1836">
        <f t="shared" ref="AM1836" si="985">F1836*H1836</f>
        <v>0</v>
      </c>
      <c r="AN1836">
        <f t="shared" ref="AN1836" si="986">AK1836*F1836+IF(E1836&gt;1.01,F1836/E1836*0.2,0)</f>
        <v>0</v>
      </c>
      <c r="AO1836" t="s">
        <v>5991</v>
      </c>
      <c r="AV1836" t="str">
        <f>IF(F1836&gt;0,(COUNT($AV$1:AV1835)+1),"")</f>
        <v/>
      </c>
    </row>
    <row r="1837" spans="1:48" ht="15" customHeight="1" x14ac:dyDescent="0.25">
      <c r="A1837" s="1"/>
      <c r="B1837" s="31">
        <v>20786</v>
      </c>
      <c r="C1837" s="16">
        <v>4620761306171</v>
      </c>
      <c r="D1837" s="226" t="s">
        <v>5764</v>
      </c>
      <c r="E1837" s="69">
        <v>12</v>
      </c>
      <c r="F1837" s="222"/>
      <c r="G1837" s="108">
        <v>701</v>
      </c>
      <c r="H1837" s="17">
        <v>728</v>
      </c>
      <c r="I1837" s="18">
        <v>767.6</v>
      </c>
      <c r="J1837" s="113" t="s">
        <v>380</v>
      </c>
      <c r="K1837" s="44" t="s">
        <v>5530</v>
      </c>
      <c r="L1837" s="442"/>
      <c r="M1837" s="480" t="s">
        <v>1856</v>
      </c>
      <c r="N1837" s="1015"/>
      <c r="O1837" s="210"/>
      <c r="P1837" s="68" t="s">
        <v>50</v>
      </c>
      <c r="Q1837" s="100">
        <f t="shared" si="979"/>
        <v>0</v>
      </c>
      <c r="R1837" s="13" t="str">
        <f t="shared" si="980"/>
        <v>Фото &gt;&gt;</v>
      </c>
      <c r="S1837" s="14"/>
      <c r="U1837" s="4"/>
      <c r="V1837" s="405"/>
      <c r="AG1837" s="84"/>
      <c r="AH1837" s="84"/>
      <c r="AK1837">
        <v>0.21</v>
      </c>
      <c r="AL1837">
        <f t="shared" si="981"/>
        <v>0</v>
      </c>
      <c r="AM1837">
        <f t="shared" si="982"/>
        <v>0</v>
      </c>
      <c r="AN1837">
        <f t="shared" si="983"/>
        <v>0</v>
      </c>
      <c r="AO1837" t="s">
        <v>4518</v>
      </c>
      <c r="AV1837" t="str">
        <f>IF(F1837&gt;0,(COUNT($AV$1:AV1836)+1),"")</f>
        <v/>
      </c>
    </row>
    <row r="1838" spans="1:48" ht="15" customHeight="1" x14ac:dyDescent="0.25">
      <c r="A1838" s="1"/>
      <c r="B1838" s="30">
        <v>20787</v>
      </c>
      <c r="C1838" s="20">
        <v>4620761306164</v>
      </c>
      <c r="D1838" s="225" t="s">
        <v>4515</v>
      </c>
      <c r="E1838" s="67">
        <v>12</v>
      </c>
      <c r="F1838" s="222"/>
      <c r="G1838" s="107">
        <v>701</v>
      </c>
      <c r="H1838" s="21">
        <v>728</v>
      </c>
      <c r="I1838" s="22">
        <v>767.6</v>
      </c>
      <c r="J1838" s="112" t="s">
        <v>380</v>
      </c>
      <c r="K1838" s="45" t="s">
        <v>5530</v>
      </c>
      <c r="L1838" s="437"/>
      <c r="M1838" s="474" t="s">
        <v>1856</v>
      </c>
      <c r="N1838" s="1013"/>
      <c r="O1838" s="209"/>
      <c r="P1838" s="66" t="s">
        <v>50</v>
      </c>
      <c r="Q1838" s="100">
        <f t="shared" si="979"/>
        <v>0</v>
      </c>
      <c r="R1838" s="13" t="str">
        <f t="shared" si="980"/>
        <v>Фото &gt;&gt;</v>
      </c>
      <c r="S1838" s="14"/>
      <c r="U1838" s="4"/>
      <c r="V1838" s="405"/>
      <c r="AG1838" s="84"/>
      <c r="AH1838" s="84"/>
      <c r="AK1838">
        <v>0.21</v>
      </c>
      <c r="AL1838">
        <f t="shared" si="981"/>
        <v>0</v>
      </c>
      <c r="AM1838">
        <f t="shared" si="982"/>
        <v>0</v>
      </c>
      <c r="AN1838">
        <f t="shared" si="983"/>
        <v>0</v>
      </c>
      <c r="AO1838" t="s">
        <v>4519</v>
      </c>
      <c r="AV1838" t="str">
        <f>IF(F1838&gt;0,(COUNT($AV$1:AV1837)+1),"")</f>
        <v/>
      </c>
    </row>
    <row r="1839" spans="1:48" ht="15" customHeight="1" x14ac:dyDescent="0.25">
      <c r="A1839" s="1"/>
      <c r="B1839" s="31">
        <v>20788</v>
      </c>
      <c r="C1839" s="16">
        <v>4620761306225</v>
      </c>
      <c r="D1839" s="226" t="s">
        <v>5765</v>
      </c>
      <c r="E1839" s="69">
        <v>12</v>
      </c>
      <c r="F1839" s="222"/>
      <c r="G1839" s="108">
        <v>781.9</v>
      </c>
      <c r="H1839" s="17">
        <v>812.4</v>
      </c>
      <c r="I1839" s="18">
        <v>854</v>
      </c>
      <c r="J1839" s="113" t="s">
        <v>380</v>
      </c>
      <c r="K1839" s="44" t="s">
        <v>5530</v>
      </c>
      <c r="L1839" s="442"/>
      <c r="M1839" s="480" t="s">
        <v>1856</v>
      </c>
      <c r="N1839" s="1015"/>
      <c r="O1839" s="210"/>
      <c r="P1839" s="68" t="s">
        <v>50</v>
      </c>
      <c r="Q1839" s="100">
        <f t="shared" si="979"/>
        <v>0</v>
      </c>
      <c r="R1839" s="13" t="str">
        <f t="shared" si="980"/>
        <v>Фото &gt;&gt;</v>
      </c>
      <c r="S1839" s="14"/>
      <c r="U1839" s="4"/>
      <c r="V1839" s="405"/>
      <c r="AG1839" s="84"/>
      <c r="AH1839" s="84"/>
      <c r="AK1839">
        <v>0.21</v>
      </c>
      <c r="AL1839">
        <f t="shared" si="981"/>
        <v>0</v>
      </c>
      <c r="AM1839">
        <f t="shared" si="982"/>
        <v>0</v>
      </c>
      <c r="AN1839">
        <f t="shared" si="983"/>
        <v>0</v>
      </c>
      <c r="AO1839" t="s">
        <v>4520</v>
      </c>
      <c r="AV1839" t="str">
        <f>IF(F1839&gt;0,(COUNT($AV$1:AV1838)+1),"")</f>
        <v/>
      </c>
    </row>
    <row r="1840" spans="1:48" ht="15" customHeight="1" x14ac:dyDescent="0.25">
      <c r="A1840" s="1"/>
      <c r="B1840" s="30">
        <v>21230</v>
      </c>
      <c r="C1840" s="20">
        <v>4620761306218</v>
      </c>
      <c r="D1840" s="225" t="s">
        <v>7013</v>
      </c>
      <c r="E1840" s="67">
        <v>12</v>
      </c>
      <c r="F1840" s="222"/>
      <c r="G1840" s="107">
        <v>781.9</v>
      </c>
      <c r="H1840" s="21">
        <v>812.4</v>
      </c>
      <c r="I1840" s="22">
        <v>854</v>
      </c>
      <c r="J1840" s="112" t="s">
        <v>380</v>
      </c>
      <c r="K1840" s="45" t="s">
        <v>5530</v>
      </c>
      <c r="L1840" s="437"/>
      <c r="M1840" s="474" t="s">
        <v>1856</v>
      </c>
      <c r="N1840" s="1013"/>
      <c r="O1840" s="209"/>
      <c r="P1840" s="66" t="s">
        <v>50</v>
      </c>
      <c r="Q1840" s="100">
        <f t="shared" si="979"/>
        <v>0</v>
      </c>
      <c r="R1840" s="13" t="str">
        <f t="shared" si="980"/>
        <v>Фото &gt;&gt;</v>
      </c>
      <c r="S1840" s="14"/>
      <c r="U1840" s="4"/>
      <c r="V1840" s="405"/>
      <c r="AG1840" s="84"/>
      <c r="AH1840" s="84"/>
      <c r="AK1840">
        <v>0.21</v>
      </c>
      <c r="AL1840">
        <f t="shared" ref="AL1840:AL1841" si="987">F1840*G1840</f>
        <v>0</v>
      </c>
      <c r="AM1840">
        <f t="shared" ref="AM1840:AM1841" si="988">F1840*H1840</f>
        <v>0</v>
      </c>
      <c r="AN1840">
        <f t="shared" ref="AN1840:AN1841" si="989">AK1840*F1840+IF(E1840&gt;1.01,F1840/E1840*0.2,0)</f>
        <v>0</v>
      </c>
      <c r="AO1840" t="s">
        <v>6342</v>
      </c>
      <c r="AV1840" t="str">
        <f>IF(F1840&gt;0,(COUNT($AV$1:AV1839)+1),"")</f>
        <v/>
      </c>
    </row>
    <row r="1841" spans="1:48" ht="15" customHeight="1" x14ac:dyDescent="0.25">
      <c r="A1841" s="1"/>
      <c r="B1841" s="31">
        <v>20789</v>
      </c>
      <c r="C1841" s="16">
        <v>4620761306232</v>
      </c>
      <c r="D1841" s="226" t="s">
        <v>5766</v>
      </c>
      <c r="E1841" s="69">
        <v>12</v>
      </c>
      <c r="F1841" s="222"/>
      <c r="G1841" s="108">
        <v>781.9</v>
      </c>
      <c r="H1841" s="17">
        <v>812.4</v>
      </c>
      <c r="I1841" s="18">
        <v>854</v>
      </c>
      <c r="J1841" s="113" t="s">
        <v>380</v>
      </c>
      <c r="K1841" s="44" t="s">
        <v>5530</v>
      </c>
      <c r="L1841" s="442"/>
      <c r="M1841" s="480" t="s">
        <v>1856</v>
      </c>
      <c r="N1841" s="1015"/>
      <c r="O1841" s="210"/>
      <c r="P1841" s="68" t="s">
        <v>50</v>
      </c>
      <c r="Q1841" s="100">
        <f t="shared" si="979"/>
        <v>0</v>
      </c>
      <c r="R1841" s="13" t="str">
        <f t="shared" si="980"/>
        <v>Фото &gt;&gt;</v>
      </c>
      <c r="S1841" s="14"/>
      <c r="U1841" s="4"/>
      <c r="V1841" s="405"/>
      <c r="AG1841" s="84"/>
      <c r="AH1841" s="84"/>
      <c r="AK1841">
        <v>0.21</v>
      </c>
      <c r="AL1841">
        <f t="shared" si="987"/>
        <v>0</v>
      </c>
      <c r="AM1841">
        <f t="shared" si="988"/>
        <v>0</v>
      </c>
      <c r="AN1841">
        <f t="shared" si="989"/>
        <v>0</v>
      </c>
      <c r="AO1841" t="s">
        <v>4521</v>
      </c>
      <c r="AV1841" t="str">
        <f>IF(F1841&gt;0,(COUNT($AV$1:AV1840)+1),"")</f>
        <v/>
      </c>
    </row>
    <row r="1842" spans="1:48" ht="15" customHeight="1" x14ac:dyDescent="0.25">
      <c r="A1842" s="1"/>
      <c r="B1842" s="30">
        <v>21091</v>
      </c>
      <c r="C1842" s="20">
        <v>4607932010587</v>
      </c>
      <c r="D1842" s="225" t="s">
        <v>6391</v>
      </c>
      <c r="E1842" s="67">
        <v>12</v>
      </c>
      <c r="F1842" s="222"/>
      <c r="G1842" s="107">
        <v>947.6</v>
      </c>
      <c r="H1842" s="21">
        <v>994.3</v>
      </c>
      <c r="I1842" s="22">
        <v>1094</v>
      </c>
      <c r="J1842" s="112" t="s">
        <v>380</v>
      </c>
      <c r="K1842" s="45" t="s">
        <v>5530</v>
      </c>
      <c r="L1842" s="437"/>
      <c r="M1842" s="474" t="s">
        <v>1856</v>
      </c>
      <c r="N1842" s="1013"/>
      <c r="O1842" s="209"/>
      <c r="P1842" s="66" t="s">
        <v>50</v>
      </c>
      <c r="Q1842" s="100">
        <f t="shared" si="979"/>
        <v>0</v>
      </c>
      <c r="R1842" s="13" t="str">
        <f t="shared" si="980"/>
        <v>Фото &gt;&gt;</v>
      </c>
      <c r="S1842" s="14" t="s">
        <v>5984</v>
      </c>
      <c r="U1842" s="4"/>
      <c r="V1842" s="405"/>
      <c r="AG1842" s="84"/>
      <c r="AH1842" s="84"/>
      <c r="AK1842">
        <v>0.21</v>
      </c>
      <c r="AL1842">
        <f t="shared" ref="AL1842:AL1843" si="990">F1842*G1842</f>
        <v>0</v>
      </c>
      <c r="AM1842">
        <f t="shared" ref="AM1842:AM1843" si="991">F1842*H1842</f>
        <v>0</v>
      </c>
      <c r="AN1842">
        <f t="shared" ref="AN1842:AN1843" si="992">AK1842*F1842+IF(E1842&gt;1.01,F1842/E1842*0.2,0)</f>
        <v>0</v>
      </c>
      <c r="AO1842" t="s">
        <v>5986</v>
      </c>
      <c r="AV1842" t="str">
        <f>IF(F1842&gt;0,(COUNT($AV$1:AV1841)+1),"")</f>
        <v/>
      </c>
    </row>
    <row r="1843" spans="1:48" ht="15" customHeight="1" x14ac:dyDescent="0.25">
      <c r="A1843" s="1"/>
      <c r="B1843" s="31">
        <v>21092</v>
      </c>
      <c r="C1843" s="16">
        <v>4607932010594</v>
      </c>
      <c r="D1843" s="226" t="s">
        <v>6392</v>
      </c>
      <c r="E1843" s="69">
        <v>12</v>
      </c>
      <c r="F1843" s="222"/>
      <c r="G1843" s="108">
        <v>947.6</v>
      </c>
      <c r="H1843" s="17">
        <v>994.3</v>
      </c>
      <c r="I1843" s="18">
        <v>1094</v>
      </c>
      <c r="J1843" s="113" t="s">
        <v>380</v>
      </c>
      <c r="K1843" s="44" t="s">
        <v>5530</v>
      </c>
      <c r="L1843" s="442"/>
      <c r="M1843" s="480" t="s">
        <v>1856</v>
      </c>
      <c r="N1843" s="1015"/>
      <c r="O1843" s="210"/>
      <c r="P1843" s="68" t="s">
        <v>50</v>
      </c>
      <c r="Q1843" s="100">
        <f t="shared" si="979"/>
        <v>0</v>
      </c>
      <c r="R1843" s="13" t="str">
        <f t="shared" si="980"/>
        <v>Фото &gt;&gt;</v>
      </c>
      <c r="S1843" s="14" t="s">
        <v>5985</v>
      </c>
      <c r="U1843" s="4"/>
      <c r="V1843" s="405"/>
      <c r="AG1843" s="84"/>
      <c r="AH1843" s="84"/>
      <c r="AK1843">
        <v>0.21</v>
      </c>
      <c r="AL1843">
        <f t="shared" si="990"/>
        <v>0</v>
      </c>
      <c r="AM1843">
        <f t="shared" si="991"/>
        <v>0</v>
      </c>
      <c r="AN1843">
        <f t="shared" si="992"/>
        <v>0</v>
      </c>
      <c r="AO1843" t="s">
        <v>5987</v>
      </c>
      <c r="AV1843" t="str">
        <f>IF(F1843&gt;0,(COUNT($AV$1:AV1842)+1),"")</f>
        <v/>
      </c>
    </row>
    <row r="1844" spans="1:48" ht="15" customHeight="1" x14ac:dyDescent="0.25">
      <c r="A1844" s="1"/>
      <c r="B1844" s="30">
        <v>21089</v>
      </c>
      <c r="C1844" s="20">
        <v>4607932010419</v>
      </c>
      <c r="D1844" s="225" t="s">
        <v>6362</v>
      </c>
      <c r="E1844" s="67">
        <v>12</v>
      </c>
      <c r="F1844" s="222"/>
      <c r="G1844" s="107">
        <v>372.1</v>
      </c>
      <c r="H1844" s="21">
        <v>391.5</v>
      </c>
      <c r="I1844" s="22">
        <v>430.1</v>
      </c>
      <c r="J1844" s="112" t="s">
        <v>380</v>
      </c>
      <c r="K1844" s="45" t="s">
        <v>5530</v>
      </c>
      <c r="L1844" s="437"/>
      <c r="M1844" s="474" t="s">
        <v>1856</v>
      </c>
      <c r="N1844" s="1013"/>
      <c r="O1844" s="209"/>
      <c r="P1844" s="66" t="s">
        <v>50</v>
      </c>
      <c r="Q1844" s="100">
        <f t="shared" si="979"/>
        <v>0</v>
      </c>
      <c r="R1844" s="13" t="str">
        <f t="shared" si="980"/>
        <v>Фото &gt;&gt;</v>
      </c>
      <c r="S1844" s="14" t="s">
        <v>5989</v>
      </c>
      <c r="U1844" s="4"/>
      <c r="V1844" s="405"/>
      <c r="AG1844" s="84"/>
      <c r="AH1844" s="84"/>
      <c r="AK1844">
        <v>0.1</v>
      </c>
      <c r="AL1844">
        <f t="shared" ref="AL1844" si="993">F1844*G1844</f>
        <v>0</v>
      </c>
      <c r="AM1844">
        <f t="shared" ref="AM1844" si="994">F1844*H1844</f>
        <v>0</v>
      </c>
      <c r="AN1844">
        <f t="shared" ref="AN1844" si="995">AK1844*F1844+IF(E1844&gt;1.01,F1844/E1844*0.2,0)</f>
        <v>0</v>
      </c>
      <c r="AO1844" t="s">
        <v>5988</v>
      </c>
      <c r="AV1844" t="str">
        <f>IF(F1844&gt;0,(COUNT($AV$1:AV1843)+1),"")</f>
        <v/>
      </c>
    </row>
    <row r="1845" spans="1:48" ht="15" customHeight="1" x14ac:dyDescent="0.25">
      <c r="A1845" s="1"/>
      <c r="B1845" s="25"/>
      <c r="C1845" s="26"/>
      <c r="D1845" s="27" t="s">
        <v>19</v>
      </c>
      <c r="E1845" s="80"/>
      <c r="F1845" s="96"/>
      <c r="G1845" s="28"/>
      <c r="H1845" s="29"/>
      <c r="I1845" s="29"/>
      <c r="J1845" s="51"/>
      <c r="K1845" s="47"/>
      <c r="L1845" s="447"/>
      <c r="M1845" s="489" t="s">
        <v>104</v>
      </c>
      <c r="N1845" s="716"/>
      <c r="O1845" s="186"/>
      <c r="P1845" s="79"/>
      <c r="Q1845" s="104"/>
      <c r="R1845" s="13"/>
      <c r="S1845" s="14"/>
      <c r="U1845" s="4"/>
      <c r="V1845" s="405"/>
      <c r="AG1845" s="84"/>
      <c r="AH1845" s="84"/>
      <c r="AL1845">
        <f t="shared" si="981"/>
        <v>0</v>
      </c>
      <c r="AM1845">
        <f t="shared" si="982"/>
        <v>0</v>
      </c>
      <c r="AN1845">
        <f t="shared" si="983"/>
        <v>0</v>
      </c>
      <c r="AV1845" t="str">
        <f>IF(F1845&gt;0,(COUNT($AV$1:AV1844)+1),"")</f>
        <v/>
      </c>
    </row>
    <row r="1846" spans="1:48" ht="15" customHeight="1" x14ac:dyDescent="0.25">
      <c r="A1846" s="1"/>
      <c r="B1846" s="30">
        <v>10930</v>
      </c>
      <c r="C1846" s="20">
        <v>4620761300018</v>
      </c>
      <c r="D1846" s="225" t="s">
        <v>382</v>
      </c>
      <c r="E1846" s="67">
        <v>15</v>
      </c>
      <c r="F1846" s="222"/>
      <c r="G1846" s="107">
        <v>687</v>
      </c>
      <c r="H1846" s="21">
        <v>721</v>
      </c>
      <c r="I1846" s="22">
        <v>760</v>
      </c>
      <c r="J1846" s="112" t="s">
        <v>380</v>
      </c>
      <c r="K1846" s="45" t="s">
        <v>19</v>
      </c>
      <c r="L1846" s="437"/>
      <c r="M1846" s="474" t="s">
        <v>1856</v>
      </c>
      <c r="N1846" s="1013" t="s">
        <v>1856</v>
      </c>
      <c r="O1846" s="325"/>
      <c r="P1846" s="66" t="s">
        <v>72</v>
      </c>
      <c r="Q1846" s="100">
        <f t="shared" ref="Q1846:Q1858" si="996">IF($AO$1832=2,F1846*H1846,IF($AO$1832=1,F1846*G1846,F1846*I1846))</f>
        <v>0</v>
      </c>
      <c r="R1846" s="13" t="str">
        <f t="shared" ref="R1846:R1858" si="997">IF(AO1846&gt;0,HYPERLINK(AO1846,"Фото &gt;&gt;"),"")</f>
        <v>Фото &gt;&gt;</v>
      </c>
      <c r="S1846" s="14" t="s">
        <v>383</v>
      </c>
      <c r="U1846" s="4"/>
      <c r="V1846" s="405"/>
      <c r="AG1846" s="84"/>
      <c r="AH1846" s="84"/>
      <c r="AK1846">
        <v>0.26</v>
      </c>
      <c r="AL1846">
        <f t="shared" ref="AL1846:AL1860" si="998">F1846*G1846</f>
        <v>0</v>
      </c>
      <c r="AM1846">
        <f t="shared" ref="AM1846:AM1860" si="999">F1846*H1846</f>
        <v>0</v>
      </c>
      <c r="AN1846">
        <f t="shared" ref="AN1846:AN1858" si="1000">AK1846*F1846+IF(E1846&gt;1.01,F1846/E1846*0.2,0)</f>
        <v>0</v>
      </c>
      <c r="AO1846" t="s">
        <v>5402</v>
      </c>
      <c r="AV1846" t="str">
        <f>IF(F1846&gt;0,(COUNT($AV$1:AV1845)+1),"")</f>
        <v/>
      </c>
    </row>
    <row r="1847" spans="1:48" ht="15" customHeight="1" x14ac:dyDescent="0.25">
      <c r="A1847" s="1"/>
      <c r="B1847" s="31">
        <v>15255</v>
      </c>
      <c r="C1847" s="16">
        <v>4620761300544</v>
      </c>
      <c r="D1847" s="226" t="s">
        <v>392</v>
      </c>
      <c r="E1847" s="69">
        <v>20</v>
      </c>
      <c r="F1847" s="222"/>
      <c r="G1847" s="108">
        <v>1365</v>
      </c>
      <c r="H1847" s="17">
        <v>1433</v>
      </c>
      <c r="I1847" s="18">
        <v>1504</v>
      </c>
      <c r="J1847" s="113" t="s">
        <v>380</v>
      </c>
      <c r="K1847" s="44" t="s">
        <v>19</v>
      </c>
      <c r="L1847" s="442"/>
      <c r="M1847" s="480" t="s">
        <v>1856</v>
      </c>
      <c r="N1847" s="1015" t="s">
        <v>1856</v>
      </c>
      <c r="O1847" s="326"/>
      <c r="P1847" s="68" t="s">
        <v>72</v>
      </c>
      <c r="Q1847" s="100">
        <f t="shared" si="996"/>
        <v>0</v>
      </c>
      <c r="R1847" s="13" t="str">
        <f t="shared" si="997"/>
        <v>Фото &gt;&gt;</v>
      </c>
      <c r="S1847" s="14" t="s">
        <v>383</v>
      </c>
      <c r="U1847" s="4"/>
      <c r="V1847" s="405"/>
      <c r="AK1847">
        <v>0.5</v>
      </c>
      <c r="AL1847">
        <f t="shared" si="998"/>
        <v>0</v>
      </c>
      <c r="AM1847">
        <f t="shared" si="999"/>
        <v>0</v>
      </c>
      <c r="AN1847">
        <f t="shared" si="1000"/>
        <v>0</v>
      </c>
      <c r="AO1847" t="s">
        <v>5403</v>
      </c>
      <c r="AV1847" t="str">
        <f>IF(F1847&gt;0,(COUNT($AV$1:AV1846)+1),"")</f>
        <v/>
      </c>
    </row>
    <row r="1848" spans="1:48" ht="15" customHeight="1" x14ac:dyDescent="0.25">
      <c r="A1848" s="1"/>
      <c r="B1848" s="30">
        <v>14619</v>
      </c>
      <c r="C1848" s="20">
        <v>4620761300377</v>
      </c>
      <c r="D1848" s="225" t="s">
        <v>17</v>
      </c>
      <c r="E1848" s="67">
        <v>30</v>
      </c>
      <c r="F1848" s="222"/>
      <c r="G1848" s="107">
        <v>288.7</v>
      </c>
      <c r="H1848" s="21">
        <v>303</v>
      </c>
      <c r="I1848" s="22">
        <v>318</v>
      </c>
      <c r="J1848" s="112" t="s">
        <v>380</v>
      </c>
      <c r="K1848" s="45" t="s">
        <v>19</v>
      </c>
      <c r="L1848" s="437"/>
      <c r="M1848" s="474" t="s">
        <v>1856</v>
      </c>
      <c r="N1848" s="1013" t="s">
        <v>1856</v>
      </c>
      <c r="O1848" s="209"/>
      <c r="P1848" s="66" t="s">
        <v>72</v>
      </c>
      <c r="Q1848" s="100">
        <f t="shared" si="996"/>
        <v>0</v>
      </c>
      <c r="R1848" s="13" t="str">
        <f t="shared" si="997"/>
        <v>Фото &gt;&gt;</v>
      </c>
      <c r="S1848" s="14" t="s">
        <v>384</v>
      </c>
      <c r="U1848" s="4"/>
      <c r="V1848" s="405"/>
      <c r="AK1848">
        <v>0.2</v>
      </c>
      <c r="AL1848">
        <f t="shared" si="998"/>
        <v>0</v>
      </c>
      <c r="AM1848">
        <f t="shared" si="999"/>
        <v>0</v>
      </c>
      <c r="AN1848">
        <f t="shared" si="1000"/>
        <v>0</v>
      </c>
      <c r="AO1848" t="s">
        <v>5404</v>
      </c>
      <c r="AV1848" t="str">
        <f>IF(F1848&gt;0,(COUNT($AV$1:AV1847)+1),"")</f>
        <v/>
      </c>
    </row>
    <row r="1849" spans="1:48" ht="15" customHeight="1" x14ac:dyDescent="0.25">
      <c r="A1849" s="1"/>
      <c r="B1849" s="31">
        <v>15256</v>
      </c>
      <c r="C1849" s="16">
        <v>4620761300582</v>
      </c>
      <c r="D1849" s="226" t="s">
        <v>240</v>
      </c>
      <c r="E1849" s="69">
        <v>20</v>
      </c>
      <c r="F1849" s="222"/>
      <c r="G1849" s="108">
        <v>682.5</v>
      </c>
      <c r="H1849" s="17">
        <v>716</v>
      </c>
      <c r="I1849" s="18">
        <v>752</v>
      </c>
      <c r="J1849" s="113" t="s">
        <v>380</v>
      </c>
      <c r="K1849" s="44" t="s">
        <v>19</v>
      </c>
      <c r="L1849" s="442"/>
      <c r="M1849" s="480" t="s">
        <v>1856</v>
      </c>
      <c r="N1849" s="1015" t="s">
        <v>1856</v>
      </c>
      <c r="O1849" s="210"/>
      <c r="P1849" s="68" t="s">
        <v>72</v>
      </c>
      <c r="Q1849" s="100">
        <f t="shared" si="996"/>
        <v>0</v>
      </c>
      <c r="R1849" s="13" t="str">
        <f t="shared" si="997"/>
        <v>Фото &gt;&gt;</v>
      </c>
      <c r="S1849" s="14" t="s">
        <v>384</v>
      </c>
      <c r="U1849" s="4"/>
      <c r="V1849" s="405"/>
      <c r="AK1849">
        <v>0.5</v>
      </c>
      <c r="AL1849">
        <f t="shared" si="998"/>
        <v>0</v>
      </c>
      <c r="AM1849">
        <f t="shared" si="999"/>
        <v>0</v>
      </c>
      <c r="AN1849">
        <f t="shared" si="1000"/>
        <v>0</v>
      </c>
      <c r="AO1849" t="s">
        <v>5405</v>
      </c>
      <c r="AV1849" t="str">
        <f>IF(F1849&gt;0,(COUNT($AV$1:AV1848)+1),"")</f>
        <v/>
      </c>
    </row>
    <row r="1850" spans="1:48" ht="15" customHeight="1" x14ac:dyDescent="0.25">
      <c r="A1850" s="1"/>
      <c r="B1850" s="30">
        <v>10931</v>
      </c>
      <c r="C1850" s="20">
        <v>4620761300049</v>
      </c>
      <c r="D1850" s="225" t="s">
        <v>241</v>
      </c>
      <c r="E1850" s="67">
        <v>30</v>
      </c>
      <c r="F1850" s="222"/>
      <c r="G1850" s="107">
        <v>236.2</v>
      </c>
      <c r="H1850" s="21">
        <v>248</v>
      </c>
      <c r="I1850" s="22">
        <v>260</v>
      </c>
      <c r="J1850" s="112" t="s">
        <v>380</v>
      </c>
      <c r="K1850" s="45" t="s">
        <v>19</v>
      </c>
      <c r="L1850" s="437"/>
      <c r="M1850" s="474" t="s">
        <v>1856</v>
      </c>
      <c r="N1850" s="1013" t="s">
        <v>1856</v>
      </c>
      <c r="O1850" s="209"/>
      <c r="P1850" s="66" t="s">
        <v>72</v>
      </c>
      <c r="Q1850" s="100">
        <f t="shared" si="996"/>
        <v>0</v>
      </c>
      <c r="R1850" s="13" t="str">
        <f t="shared" si="997"/>
        <v>Фото &gt;&gt;</v>
      </c>
      <c r="S1850" s="14" t="s">
        <v>385</v>
      </c>
      <c r="U1850" s="4"/>
      <c r="V1850" s="405"/>
      <c r="AK1850">
        <v>0.26</v>
      </c>
      <c r="AL1850">
        <f t="shared" si="998"/>
        <v>0</v>
      </c>
      <c r="AM1850">
        <f t="shared" si="999"/>
        <v>0</v>
      </c>
      <c r="AN1850">
        <f t="shared" si="1000"/>
        <v>0</v>
      </c>
      <c r="AO1850" t="s">
        <v>5406</v>
      </c>
      <c r="AV1850" t="str">
        <f>IF(F1850&gt;0,(COUNT($AV$1:AV1849)+1),"")</f>
        <v/>
      </c>
    </row>
    <row r="1851" spans="1:48" ht="15" customHeight="1" x14ac:dyDescent="0.25">
      <c r="A1851" s="1"/>
      <c r="B1851" s="31">
        <v>15257</v>
      </c>
      <c r="C1851" s="16">
        <v>4620761300599</v>
      </c>
      <c r="D1851" s="226" t="s">
        <v>243</v>
      </c>
      <c r="E1851" s="69">
        <v>20</v>
      </c>
      <c r="F1851" s="222"/>
      <c r="G1851" s="108">
        <v>564.29999999999995</v>
      </c>
      <c r="H1851" s="17">
        <v>592</v>
      </c>
      <c r="I1851" s="18">
        <v>622</v>
      </c>
      <c r="J1851" s="113" t="s">
        <v>380</v>
      </c>
      <c r="K1851" s="44" t="s">
        <v>19</v>
      </c>
      <c r="L1851" s="442"/>
      <c r="M1851" s="480" t="s">
        <v>1856</v>
      </c>
      <c r="N1851" s="1015" t="s">
        <v>1856</v>
      </c>
      <c r="O1851" s="210"/>
      <c r="P1851" s="68" t="s">
        <v>72</v>
      </c>
      <c r="Q1851" s="100">
        <f t="shared" si="996"/>
        <v>0</v>
      </c>
      <c r="R1851" s="13" t="str">
        <f t="shared" si="997"/>
        <v>Фото &gt;&gt;</v>
      </c>
      <c r="S1851" s="14" t="s">
        <v>385</v>
      </c>
      <c r="U1851" s="4"/>
      <c r="V1851" s="405"/>
      <c r="AK1851">
        <v>0.5</v>
      </c>
      <c r="AL1851">
        <f t="shared" si="998"/>
        <v>0</v>
      </c>
      <c r="AM1851">
        <f t="shared" si="999"/>
        <v>0</v>
      </c>
      <c r="AN1851">
        <f t="shared" si="1000"/>
        <v>0</v>
      </c>
      <c r="AO1851" t="s">
        <v>5407</v>
      </c>
      <c r="AV1851" t="str">
        <f>IF(F1851&gt;0,(COUNT($AV$1:AV1850)+1),"")</f>
        <v/>
      </c>
    </row>
    <row r="1852" spans="1:48" ht="15" customHeight="1" x14ac:dyDescent="0.25">
      <c r="A1852" s="1"/>
      <c r="B1852" s="30">
        <v>16200</v>
      </c>
      <c r="C1852" s="20">
        <v>4620761300865</v>
      </c>
      <c r="D1852" s="225" t="s">
        <v>244</v>
      </c>
      <c r="E1852" s="67">
        <v>30</v>
      </c>
      <c r="F1852" s="222"/>
      <c r="G1852" s="107">
        <v>152.19999999999999</v>
      </c>
      <c r="H1852" s="21">
        <v>160</v>
      </c>
      <c r="I1852" s="22">
        <v>168</v>
      </c>
      <c r="J1852" s="112" t="s">
        <v>380</v>
      </c>
      <c r="K1852" s="45" t="s">
        <v>19</v>
      </c>
      <c r="L1852" s="437"/>
      <c r="M1852" s="474" t="s">
        <v>1856</v>
      </c>
      <c r="N1852" s="1013" t="s">
        <v>1856</v>
      </c>
      <c r="O1852" s="209"/>
      <c r="P1852" s="66" t="s">
        <v>72</v>
      </c>
      <c r="Q1852" s="100">
        <f t="shared" si="996"/>
        <v>0</v>
      </c>
      <c r="R1852" s="13" t="str">
        <f t="shared" si="997"/>
        <v>Фото &gt;&gt;</v>
      </c>
      <c r="S1852" s="14" t="s">
        <v>386</v>
      </c>
      <c r="U1852" s="4"/>
      <c r="V1852" s="405"/>
      <c r="AK1852">
        <v>0.26</v>
      </c>
      <c r="AL1852">
        <f t="shared" si="998"/>
        <v>0</v>
      </c>
      <c r="AM1852">
        <f t="shared" si="999"/>
        <v>0</v>
      </c>
      <c r="AN1852">
        <f t="shared" si="1000"/>
        <v>0</v>
      </c>
      <c r="AO1852" t="s">
        <v>5408</v>
      </c>
      <c r="AV1852" t="str">
        <f>IF(F1852&gt;0,(COUNT($AV$1:AV1851)+1),"")</f>
        <v/>
      </c>
    </row>
    <row r="1853" spans="1:48" ht="15" customHeight="1" x14ac:dyDescent="0.25">
      <c r="A1853" s="1"/>
      <c r="B1853" s="31">
        <v>15258</v>
      </c>
      <c r="C1853" s="16">
        <v>4620761300568</v>
      </c>
      <c r="D1853" s="226" t="s">
        <v>246</v>
      </c>
      <c r="E1853" s="69">
        <v>20</v>
      </c>
      <c r="F1853" s="222"/>
      <c r="G1853" s="108">
        <v>318.89999999999998</v>
      </c>
      <c r="H1853" s="17">
        <v>334.5</v>
      </c>
      <c r="I1853" s="18">
        <v>352</v>
      </c>
      <c r="J1853" s="113" t="s">
        <v>380</v>
      </c>
      <c r="K1853" s="44" t="s">
        <v>19</v>
      </c>
      <c r="L1853" s="442"/>
      <c r="M1853" s="480" t="s">
        <v>1856</v>
      </c>
      <c r="N1853" s="1015" t="s">
        <v>1856</v>
      </c>
      <c r="O1853" s="210"/>
      <c r="P1853" s="68" t="s">
        <v>72</v>
      </c>
      <c r="Q1853" s="100">
        <f t="shared" si="996"/>
        <v>0</v>
      </c>
      <c r="R1853" s="13" t="str">
        <f t="shared" si="997"/>
        <v>Фото &gt;&gt;</v>
      </c>
      <c r="S1853" s="14" t="s">
        <v>386</v>
      </c>
      <c r="U1853" s="4"/>
      <c r="V1853" s="405"/>
      <c r="AK1853">
        <v>0.5</v>
      </c>
      <c r="AL1853">
        <f t="shared" si="998"/>
        <v>0</v>
      </c>
      <c r="AM1853">
        <f t="shared" si="999"/>
        <v>0</v>
      </c>
      <c r="AN1853">
        <f t="shared" si="1000"/>
        <v>0</v>
      </c>
      <c r="AO1853" t="s">
        <v>5409</v>
      </c>
      <c r="AV1853" t="str">
        <f>IF(F1853&gt;0,(COUNT($AV$1:AV1852)+1),"")</f>
        <v/>
      </c>
    </row>
    <row r="1854" spans="1:48" ht="15" customHeight="1" x14ac:dyDescent="0.25">
      <c r="A1854" s="1"/>
      <c r="B1854" s="30">
        <v>13313</v>
      </c>
      <c r="C1854" s="20">
        <v>4620761300162</v>
      </c>
      <c r="D1854" s="225" t="s">
        <v>387</v>
      </c>
      <c r="E1854" s="67">
        <v>30</v>
      </c>
      <c r="F1854" s="222"/>
      <c r="G1854" s="107">
        <v>266</v>
      </c>
      <c r="H1854" s="21">
        <v>280</v>
      </c>
      <c r="I1854" s="22">
        <v>293</v>
      </c>
      <c r="J1854" s="112" t="s">
        <v>380</v>
      </c>
      <c r="K1854" s="45" t="s">
        <v>19</v>
      </c>
      <c r="L1854" s="437"/>
      <c r="M1854" s="474" t="s">
        <v>1856</v>
      </c>
      <c r="N1854" s="1013" t="s">
        <v>1856</v>
      </c>
      <c r="O1854" s="209"/>
      <c r="P1854" s="66" t="s">
        <v>72</v>
      </c>
      <c r="Q1854" s="100">
        <f t="shared" si="996"/>
        <v>0</v>
      </c>
      <c r="R1854" s="13" t="str">
        <f t="shared" si="997"/>
        <v>Фото &gt;&gt;</v>
      </c>
      <c r="S1854" s="14" t="s">
        <v>388</v>
      </c>
      <c r="U1854" s="4"/>
      <c r="V1854" s="405"/>
      <c r="AK1854">
        <v>0.26</v>
      </c>
      <c r="AL1854">
        <f t="shared" si="998"/>
        <v>0</v>
      </c>
      <c r="AM1854">
        <f t="shared" si="999"/>
        <v>0</v>
      </c>
      <c r="AN1854">
        <f t="shared" si="1000"/>
        <v>0</v>
      </c>
      <c r="AO1854" t="s">
        <v>5410</v>
      </c>
      <c r="AV1854" t="str">
        <f>IF(F1854&gt;0,(COUNT($AV$1:AV1853)+1),"")</f>
        <v/>
      </c>
    </row>
    <row r="1855" spans="1:48" ht="15" customHeight="1" x14ac:dyDescent="0.25">
      <c r="A1855" s="1"/>
      <c r="B1855" s="31">
        <v>15259</v>
      </c>
      <c r="C1855" s="16">
        <v>4620761300612</v>
      </c>
      <c r="D1855" s="226" t="s">
        <v>393</v>
      </c>
      <c r="E1855" s="69">
        <v>20</v>
      </c>
      <c r="F1855" s="222"/>
      <c r="G1855" s="108">
        <v>623.70000000000005</v>
      </c>
      <c r="H1855" s="17">
        <v>655</v>
      </c>
      <c r="I1855" s="18">
        <v>688</v>
      </c>
      <c r="J1855" s="113" t="s">
        <v>380</v>
      </c>
      <c r="K1855" s="44" t="s">
        <v>19</v>
      </c>
      <c r="L1855" s="442"/>
      <c r="M1855" s="480" t="s">
        <v>1856</v>
      </c>
      <c r="N1855" s="1015" t="s">
        <v>1856</v>
      </c>
      <c r="O1855" s="210"/>
      <c r="P1855" s="68" t="s">
        <v>72</v>
      </c>
      <c r="Q1855" s="100">
        <f t="shared" si="996"/>
        <v>0</v>
      </c>
      <c r="R1855" s="13" t="str">
        <f t="shared" si="997"/>
        <v>Фото &gt;&gt;</v>
      </c>
      <c r="S1855" s="14" t="s">
        <v>388</v>
      </c>
      <c r="U1855" s="4"/>
      <c r="V1855" s="405"/>
      <c r="AK1855">
        <v>0.5</v>
      </c>
      <c r="AL1855">
        <f t="shared" si="998"/>
        <v>0</v>
      </c>
      <c r="AM1855">
        <f t="shared" si="999"/>
        <v>0</v>
      </c>
      <c r="AN1855">
        <f t="shared" si="1000"/>
        <v>0</v>
      </c>
      <c r="AO1855" t="s">
        <v>5411</v>
      </c>
      <c r="AV1855" t="str">
        <f>IF(F1855&gt;0,(COUNT($AV$1:AV1854)+1),"")</f>
        <v/>
      </c>
    </row>
    <row r="1856" spans="1:48" ht="15" customHeight="1" x14ac:dyDescent="0.25">
      <c r="A1856" s="1"/>
      <c r="B1856" s="30">
        <v>16188</v>
      </c>
      <c r="C1856" s="20">
        <v>4620761300100</v>
      </c>
      <c r="D1856" s="225" t="s">
        <v>252</v>
      </c>
      <c r="E1856" s="67">
        <v>30</v>
      </c>
      <c r="F1856" s="222"/>
      <c r="G1856" s="107">
        <v>211.5</v>
      </c>
      <c r="H1856" s="21">
        <v>222</v>
      </c>
      <c r="I1856" s="22">
        <v>233</v>
      </c>
      <c r="J1856" s="112" t="s">
        <v>380</v>
      </c>
      <c r="K1856" s="45" t="s">
        <v>19</v>
      </c>
      <c r="L1856" s="437"/>
      <c r="M1856" s="474" t="s">
        <v>1856</v>
      </c>
      <c r="N1856" s="1013" t="s">
        <v>1856</v>
      </c>
      <c r="O1856" s="209"/>
      <c r="P1856" s="66" t="s">
        <v>72</v>
      </c>
      <c r="Q1856" s="100">
        <f t="shared" si="996"/>
        <v>0</v>
      </c>
      <c r="R1856" s="13" t="str">
        <f t="shared" si="997"/>
        <v>Фото &gt;&gt;</v>
      </c>
      <c r="S1856" s="14" t="s">
        <v>389</v>
      </c>
      <c r="U1856" s="4"/>
      <c r="V1856" s="405"/>
      <c r="AK1856">
        <v>0.25</v>
      </c>
      <c r="AL1856">
        <f t="shared" si="998"/>
        <v>0</v>
      </c>
      <c r="AM1856">
        <f t="shared" si="999"/>
        <v>0</v>
      </c>
      <c r="AN1856">
        <f t="shared" si="1000"/>
        <v>0</v>
      </c>
      <c r="AO1856" t="s">
        <v>5412</v>
      </c>
      <c r="AV1856" t="str">
        <f>IF(F1856&gt;0,(COUNT($AV$1:AV1855)+1),"")</f>
        <v/>
      </c>
    </row>
    <row r="1857" spans="1:48" ht="15" customHeight="1" x14ac:dyDescent="0.25">
      <c r="A1857" s="1"/>
      <c r="B1857" s="31">
        <v>16189</v>
      </c>
      <c r="C1857" s="16">
        <v>4620761300858</v>
      </c>
      <c r="D1857" s="226" t="s">
        <v>254</v>
      </c>
      <c r="E1857" s="69">
        <v>20</v>
      </c>
      <c r="F1857" s="222"/>
      <c r="G1857" s="108">
        <v>506</v>
      </c>
      <c r="H1857" s="17">
        <v>531.29999999999995</v>
      </c>
      <c r="I1857" s="18">
        <v>560</v>
      </c>
      <c r="J1857" s="113" t="s">
        <v>380</v>
      </c>
      <c r="K1857" s="44" t="s">
        <v>19</v>
      </c>
      <c r="L1857" s="442"/>
      <c r="M1857" s="480" t="s">
        <v>1856</v>
      </c>
      <c r="N1857" s="1015" t="s">
        <v>1856</v>
      </c>
      <c r="O1857" s="210"/>
      <c r="P1857" s="68" t="s">
        <v>72</v>
      </c>
      <c r="Q1857" s="100">
        <f t="shared" si="996"/>
        <v>0</v>
      </c>
      <c r="R1857" s="13" t="str">
        <f t="shared" si="997"/>
        <v>Фото &gt;&gt;</v>
      </c>
      <c r="S1857" s="14" t="s">
        <v>389</v>
      </c>
      <c r="U1857" s="4"/>
      <c r="V1857" s="405"/>
      <c r="AK1857">
        <v>0.45</v>
      </c>
      <c r="AL1857">
        <f t="shared" si="998"/>
        <v>0</v>
      </c>
      <c r="AM1857">
        <f t="shared" si="999"/>
        <v>0</v>
      </c>
      <c r="AN1857">
        <f t="shared" si="1000"/>
        <v>0</v>
      </c>
      <c r="AO1857" t="s">
        <v>5413</v>
      </c>
      <c r="AV1857" t="str">
        <f>IF(F1857&gt;0,(COUNT($AV$1:AV1856)+1),"")</f>
        <v/>
      </c>
    </row>
    <row r="1858" spans="1:48" ht="15" customHeight="1" x14ac:dyDescent="0.25">
      <c r="A1858" s="1"/>
      <c r="B1858" s="30">
        <v>14949</v>
      </c>
      <c r="C1858" s="20">
        <v>4620761300469</v>
      </c>
      <c r="D1858" s="225" t="s">
        <v>390</v>
      </c>
      <c r="E1858" s="67">
        <v>30</v>
      </c>
      <c r="F1858" s="222"/>
      <c r="G1858" s="107">
        <v>381.8</v>
      </c>
      <c r="H1858" s="21">
        <v>393</v>
      </c>
      <c r="I1858" s="22">
        <v>424</v>
      </c>
      <c r="J1858" s="112" t="s">
        <v>380</v>
      </c>
      <c r="K1858" s="45" t="s">
        <v>19</v>
      </c>
      <c r="L1858" s="437"/>
      <c r="M1858" s="474" t="s">
        <v>1856</v>
      </c>
      <c r="N1858" s="1013" t="s">
        <v>1856</v>
      </c>
      <c r="O1858" s="325"/>
      <c r="P1858" s="66" t="s">
        <v>72</v>
      </c>
      <c r="Q1858" s="100">
        <f t="shared" si="996"/>
        <v>0</v>
      </c>
      <c r="R1858" s="13" t="str">
        <f t="shared" si="997"/>
        <v>Фото &gt;&gt;</v>
      </c>
      <c r="S1858" s="14" t="s">
        <v>391</v>
      </c>
      <c r="U1858" s="4"/>
      <c r="V1858" s="405"/>
      <c r="AK1858">
        <v>0.26</v>
      </c>
      <c r="AL1858">
        <f t="shared" si="998"/>
        <v>0</v>
      </c>
      <c r="AM1858">
        <f t="shared" si="999"/>
        <v>0</v>
      </c>
      <c r="AN1858">
        <f t="shared" si="1000"/>
        <v>0</v>
      </c>
      <c r="AO1858" t="s">
        <v>5414</v>
      </c>
      <c r="AV1858" t="str">
        <f>IF(F1858&gt;0,(COUNT($AV$1:AV1857)+1),"")</f>
        <v/>
      </c>
    </row>
    <row r="1859" spans="1:48" ht="15" customHeight="1" x14ac:dyDescent="0.25">
      <c r="A1859" s="1"/>
      <c r="B1859" s="25"/>
      <c r="C1859" s="26"/>
      <c r="D1859" s="27" t="s">
        <v>1425</v>
      </c>
      <c r="E1859" s="80"/>
      <c r="F1859" s="96"/>
      <c r="G1859" s="28"/>
      <c r="H1859" s="29"/>
      <c r="I1859" s="29"/>
      <c r="J1859" s="51"/>
      <c r="K1859" s="47"/>
      <c r="L1859" s="447"/>
      <c r="M1859" s="489" t="s">
        <v>104</v>
      </c>
      <c r="N1859" s="716"/>
      <c r="O1859" s="186"/>
      <c r="P1859" s="79"/>
      <c r="Q1859" s="104"/>
      <c r="R1859" s="13"/>
      <c r="S1859" s="14"/>
      <c r="U1859" s="4"/>
      <c r="V1859" s="405"/>
      <c r="AL1859">
        <f t="shared" si="998"/>
        <v>0</v>
      </c>
      <c r="AM1859">
        <f t="shared" si="999"/>
        <v>0</v>
      </c>
      <c r="AN1859">
        <f t="shared" ref="AN1859:AN1878" si="1001">AK1859*F1859+IF(E1859&gt;1.01,F1859/E1859*0.2,0)</f>
        <v>0</v>
      </c>
      <c r="AO1859" t="s">
        <v>104</v>
      </c>
      <c r="AV1859" t="str">
        <f>IF(F1859&gt;0,(COUNT($AV$1:AV1858)+1),"")</f>
        <v/>
      </c>
    </row>
    <row r="1860" spans="1:48" ht="15" customHeight="1" x14ac:dyDescent="0.25">
      <c r="A1860" s="1"/>
      <c r="B1860" s="30">
        <v>15999</v>
      </c>
      <c r="C1860" s="20">
        <v>4620761300186</v>
      </c>
      <c r="D1860" s="225" t="s">
        <v>398</v>
      </c>
      <c r="E1860" s="67">
        <v>21</v>
      </c>
      <c r="F1860" s="222"/>
      <c r="G1860" s="107">
        <v>284</v>
      </c>
      <c r="H1860" s="21">
        <v>298</v>
      </c>
      <c r="I1860" s="22">
        <v>313</v>
      </c>
      <c r="J1860" s="112" t="s">
        <v>380</v>
      </c>
      <c r="K1860" s="45" t="s">
        <v>397</v>
      </c>
      <c r="L1860" s="437"/>
      <c r="M1860" s="474" t="s">
        <v>1856</v>
      </c>
      <c r="N1860" s="1013" t="s">
        <v>1856</v>
      </c>
      <c r="O1860" s="209"/>
      <c r="P1860" s="66" t="s">
        <v>195</v>
      </c>
      <c r="Q1860" s="100">
        <f>IF($AO$1832=2,F1860*H1860,IF($AO$1832=1,F1860*G1860,F1860*I1860))</f>
        <v>0</v>
      </c>
      <c r="R1860" s="13" t="str">
        <f t="shared" ref="R1860" si="1002">IF(AO1860&gt;0,HYPERLINK(AO1860,"Фото &gt;&gt;"),"")</f>
        <v>Фото &gt;&gt;</v>
      </c>
      <c r="S1860" s="14" t="s">
        <v>399</v>
      </c>
      <c r="U1860" s="4"/>
      <c r="V1860" s="405"/>
      <c r="AK1860">
        <v>0.22</v>
      </c>
      <c r="AL1860">
        <f t="shared" si="998"/>
        <v>0</v>
      </c>
      <c r="AM1860">
        <f t="shared" si="999"/>
        <v>0</v>
      </c>
      <c r="AN1860">
        <f t="shared" si="1001"/>
        <v>0</v>
      </c>
      <c r="AO1860" t="s">
        <v>3815</v>
      </c>
      <c r="AV1860" t="str">
        <f>IF(F1860&gt;0,(COUNT($AV$1:AV1859)+1),"")</f>
        <v/>
      </c>
    </row>
    <row r="1861" spans="1:48" ht="15" customHeight="1" x14ac:dyDescent="0.25">
      <c r="A1861" s="1"/>
      <c r="B1861" s="25"/>
      <c r="C1861" s="26"/>
      <c r="D1861" s="27" t="s">
        <v>97</v>
      </c>
      <c r="E1861" s="80"/>
      <c r="F1861" s="96"/>
      <c r="G1861" s="28"/>
      <c r="H1861" s="29"/>
      <c r="I1861" s="29"/>
      <c r="J1861" s="51"/>
      <c r="K1861" s="47"/>
      <c r="L1861" s="447"/>
      <c r="M1861" s="489" t="s">
        <v>104</v>
      </c>
      <c r="N1861" s="716"/>
      <c r="O1861" s="186"/>
      <c r="P1861" s="79"/>
      <c r="Q1861" s="104"/>
      <c r="R1861" s="13"/>
      <c r="S1861" s="14"/>
      <c r="U1861" s="4"/>
      <c r="V1861" s="4"/>
      <c r="AL1861">
        <f t="shared" ref="AL1861:AL1890" si="1003">F1861*G1861</f>
        <v>0</v>
      </c>
      <c r="AM1861">
        <f t="shared" ref="AM1861:AM1890" si="1004">F1861*H1861</f>
        <v>0</v>
      </c>
      <c r="AN1861">
        <f t="shared" si="1001"/>
        <v>0</v>
      </c>
      <c r="AO1861" t="s">
        <v>104</v>
      </c>
      <c r="AV1861" t="str">
        <f>IF(F1861&gt;0,(COUNT($AV$1:AV1860)+1),"")</f>
        <v/>
      </c>
    </row>
    <row r="1862" spans="1:48" ht="15" customHeight="1" x14ac:dyDescent="0.25">
      <c r="A1862" s="1"/>
      <c r="B1862" s="30">
        <v>20691</v>
      </c>
      <c r="C1862" s="20">
        <v>4620761305280</v>
      </c>
      <c r="D1862" s="421" t="s">
        <v>7556</v>
      </c>
      <c r="E1862" s="85">
        <v>15</v>
      </c>
      <c r="F1862" s="222"/>
      <c r="G1862" s="419">
        <v>84.8</v>
      </c>
      <c r="H1862" s="417">
        <v>89</v>
      </c>
      <c r="I1862" s="418">
        <v>97.9</v>
      </c>
      <c r="J1862" s="112" t="s">
        <v>380</v>
      </c>
      <c r="K1862" s="45" t="s">
        <v>5530</v>
      </c>
      <c r="L1862" s="437"/>
      <c r="M1862" s="474"/>
      <c r="N1862" s="1013" t="s">
        <v>1856</v>
      </c>
      <c r="O1862" s="209" t="s">
        <v>7555</v>
      </c>
      <c r="P1862" s="66" t="s">
        <v>50</v>
      </c>
      <c r="Q1862" s="100">
        <f t="shared" ref="Q1862:Q1890" si="1005">IF($AO$1832=2,F1862*H1862,IF($AO$1832=1,F1862*G1862,F1862*I1862))</f>
        <v>0</v>
      </c>
      <c r="R1862" s="13" t="str">
        <f t="shared" ref="R1862:R1870" si="1006">IF(AO1862&gt;0,HYPERLINK(AO1862,"Фото &gt;&gt;"),"")</f>
        <v>Фото &gt;&gt;</v>
      </c>
      <c r="S1862" s="14" t="s">
        <v>4298</v>
      </c>
      <c r="U1862" s="4"/>
      <c r="V1862" s="4"/>
      <c r="AK1862">
        <v>5.5E-2</v>
      </c>
      <c r="AL1862">
        <f t="shared" ref="AL1862:AL1872" si="1007">F1862*G1862</f>
        <v>0</v>
      </c>
      <c r="AM1862">
        <f t="shared" ref="AM1862:AM1872" si="1008">F1862*H1862</f>
        <v>0</v>
      </c>
      <c r="AN1862">
        <f t="shared" ref="AN1862:AN1872" si="1009">AK1862*F1862+IF(E1862&gt;1.01,F1862/E1862*0.2,0)</f>
        <v>0</v>
      </c>
      <c r="AO1862" t="s">
        <v>4306</v>
      </c>
      <c r="AV1862" t="str">
        <f>IF(F1862&gt;0,(COUNT($AV$1:AV1861)+1),"")</f>
        <v/>
      </c>
    </row>
    <row r="1863" spans="1:48" ht="15" customHeight="1" x14ac:dyDescent="0.25">
      <c r="A1863" s="1"/>
      <c r="B1863" s="31">
        <v>20692</v>
      </c>
      <c r="C1863" s="16">
        <v>4620761305464</v>
      </c>
      <c r="D1863" s="422" t="s">
        <v>7557</v>
      </c>
      <c r="E1863" s="86">
        <v>15</v>
      </c>
      <c r="F1863" s="222"/>
      <c r="G1863" s="420">
        <v>84.8</v>
      </c>
      <c r="H1863" s="415">
        <v>89</v>
      </c>
      <c r="I1863" s="416">
        <v>97.9</v>
      </c>
      <c r="J1863" s="113" t="s">
        <v>380</v>
      </c>
      <c r="K1863" s="44" t="s">
        <v>5530</v>
      </c>
      <c r="L1863" s="442"/>
      <c r="M1863" s="480"/>
      <c r="N1863" s="1015" t="s">
        <v>1856</v>
      </c>
      <c r="O1863" s="210" t="s">
        <v>7555</v>
      </c>
      <c r="P1863" s="68" t="s">
        <v>50</v>
      </c>
      <c r="Q1863" s="100">
        <f t="shared" si="1005"/>
        <v>0</v>
      </c>
      <c r="R1863" s="13" t="str">
        <f t="shared" si="1006"/>
        <v>Фото &gt;&gt;</v>
      </c>
      <c r="S1863" s="14" t="s">
        <v>4299</v>
      </c>
      <c r="V1863" s="4"/>
      <c r="AK1863">
        <v>5.5E-2</v>
      </c>
      <c r="AL1863">
        <f t="shared" si="1007"/>
        <v>0</v>
      </c>
      <c r="AM1863">
        <f t="shared" si="1008"/>
        <v>0</v>
      </c>
      <c r="AN1863">
        <f t="shared" si="1009"/>
        <v>0</v>
      </c>
      <c r="AO1863" t="s">
        <v>4307</v>
      </c>
      <c r="AV1863" t="str">
        <f>IF(F1863&gt;0,(COUNT($AV$1:AV1862)+1),"")</f>
        <v/>
      </c>
    </row>
    <row r="1864" spans="1:48" ht="15" customHeight="1" x14ac:dyDescent="0.25">
      <c r="A1864" s="1"/>
      <c r="B1864" s="30">
        <v>20693</v>
      </c>
      <c r="C1864" s="20">
        <v>4620761305457</v>
      </c>
      <c r="D1864" s="421" t="s">
        <v>7558</v>
      </c>
      <c r="E1864" s="85">
        <v>15</v>
      </c>
      <c r="F1864" s="222"/>
      <c r="G1864" s="419">
        <v>84.8</v>
      </c>
      <c r="H1864" s="417">
        <v>89</v>
      </c>
      <c r="I1864" s="418">
        <v>97.9</v>
      </c>
      <c r="J1864" s="112" t="s">
        <v>380</v>
      </c>
      <c r="K1864" s="45" t="s">
        <v>5530</v>
      </c>
      <c r="L1864" s="437"/>
      <c r="M1864" s="474"/>
      <c r="N1864" s="1013" t="s">
        <v>1856</v>
      </c>
      <c r="O1864" s="209" t="s">
        <v>7555</v>
      </c>
      <c r="P1864" s="66" t="s">
        <v>50</v>
      </c>
      <c r="Q1864" s="100">
        <f t="shared" si="1005"/>
        <v>0</v>
      </c>
      <c r="R1864" s="13" t="str">
        <f t="shared" si="1006"/>
        <v>Фото &gt;&gt;</v>
      </c>
      <c r="S1864" s="14" t="s">
        <v>4300</v>
      </c>
      <c r="U1864" s="4"/>
      <c r="V1864" s="4"/>
      <c r="AK1864">
        <v>5.5E-2</v>
      </c>
      <c r="AL1864">
        <f t="shared" si="1007"/>
        <v>0</v>
      </c>
      <c r="AM1864">
        <f t="shared" si="1008"/>
        <v>0</v>
      </c>
      <c r="AN1864">
        <f t="shared" si="1009"/>
        <v>0</v>
      </c>
      <c r="AO1864" t="s">
        <v>4308</v>
      </c>
      <c r="AV1864" t="str">
        <f>IF(F1864&gt;0,(COUNT($AV$1:AV1863)+1),"")</f>
        <v/>
      </c>
    </row>
    <row r="1865" spans="1:48" ht="15" customHeight="1" x14ac:dyDescent="0.25">
      <c r="A1865" s="1"/>
      <c r="B1865" s="31">
        <v>20695</v>
      </c>
      <c r="C1865" s="16">
        <v>4607932010150</v>
      </c>
      <c r="D1865" s="422" t="s">
        <v>7559</v>
      </c>
      <c r="E1865" s="86">
        <v>18</v>
      </c>
      <c r="F1865" s="222"/>
      <c r="G1865" s="420">
        <v>119.7</v>
      </c>
      <c r="H1865" s="415">
        <v>125.4</v>
      </c>
      <c r="I1865" s="416">
        <v>137.30000000000001</v>
      </c>
      <c r="J1865" s="113" t="s">
        <v>380</v>
      </c>
      <c r="K1865" s="44" t="s">
        <v>5530</v>
      </c>
      <c r="L1865" s="442"/>
      <c r="M1865" s="480"/>
      <c r="N1865" s="1015" t="s">
        <v>1856</v>
      </c>
      <c r="O1865" s="210" t="s">
        <v>7555</v>
      </c>
      <c r="P1865" s="68" t="s">
        <v>50</v>
      </c>
      <c r="Q1865" s="100">
        <f t="shared" si="1005"/>
        <v>0</v>
      </c>
      <c r="R1865" s="13" t="str">
        <f t="shared" si="1006"/>
        <v>Фото &gt;&gt;</v>
      </c>
      <c r="S1865" s="14" t="s">
        <v>4301</v>
      </c>
      <c r="V1865" s="4"/>
      <c r="AK1865">
        <v>7.4999999999999997E-2</v>
      </c>
      <c r="AL1865">
        <f t="shared" si="1007"/>
        <v>0</v>
      </c>
      <c r="AM1865">
        <f t="shared" si="1008"/>
        <v>0</v>
      </c>
      <c r="AN1865">
        <f t="shared" si="1009"/>
        <v>0</v>
      </c>
      <c r="AO1865" t="s">
        <v>4309</v>
      </c>
      <c r="AV1865" t="str">
        <f>IF(F1865&gt;0,(COUNT($AV$1:AV1864)+1),"")</f>
        <v/>
      </c>
    </row>
    <row r="1866" spans="1:48" ht="15" customHeight="1" x14ac:dyDescent="0.25">
      <c r="A1866" s="1"/>
      <c r="B1866" s="30">
        <v>20696</v>
      </c>
      <c r="C1866" s="20">
        <v>4607932010136</v>
      </c>
      <c r="D1866" s="421" t="s">
        <v>7560</v>
      </c>
      <c r="E1866" s="85">
        <v>18</v>
      </c>
      <c r="F1866" s="222"/>
      <c r="G1866" s="419">
        <v>119.7</v>
      </c>
      <c r="H1866" s="417">
        <v>125.4</v>
      </c>
      <c r="I1866" s="418">
        <v>137.30000000000001</v>
      </c>
      <c r="J1866" s="112" t="s">
        <v>380</v>
      </c>
      <c r="K1866" s="45" t="s">
        <v>5530</v>
      </c>
      <c r="L1866" s="437"/>
      <c r="M1866" s="474"/>
      <c r="N1866" s="1013" t="s">
        <v>1856</v>
      </c>
      <c r="O1866" s="209" t="s">
        <v>7555</v>
      </c>
      <c r="P1866" s="66" t="s">
        <v>50</v>
      </c>
      <c r="Q1866" s="100">
        <f t="shared" si="1005"/>
        <v>0</v>
      </c>
      <c r="R1866" s="13" t="str">
        <f t="shared" si="1006"/>
        <v>Фото &gt;&gt;</v>
      </c>
      <c r="S1866" s="14" t="s">
        <v>4303</v>
      </c>
      <c r="U1866" s="4"/>
      <c r="V1866" s="4"/>
      <c r="AK1866">
        <v>7.4999999999999997E-2</v>
      </c>
      <c r="AL1866">
        <f t="shared" si="1007"/>
        <v>0</v>
      </c>
      <c r="AM1866">
        <f t="shared" si="1008"/>
        <v>0</v>
      </c>
      <c r="AN1866">
        <f t="shared" si="1009"/>
        <v>0</v>
      </c>
      <c r="AO1866" t="s">
        <v>4310</v>
      </c>
      <c r="AV1866" t="str">
        <f>IF(F1866&gt;0,(COUNT($AV$1:AV1865)+1),"")</f>
        <v/>
      </c>
    </row>
    <row r="1867" spans="1:48" ht="15" customHeight="1" x14ac:dyDescent="0.25">
      <c r="A1867" s="1"/>
      <c r="B1867" s="31">
        <v>20694</v>
      </c>
      <c r="C1867" s="16">
        <v>4607932010174</v>
      </c>
      <c r="D1867" s="422" t="s">
        <v>7561</v>
      </c>
      <c r="E1867" s="86">
        <v>18</v>
      </c>
      <c r="F1867" s="222"/>
      <c r="G1867" s="420">
        <v>119.7</v>
      </c>
      <c r="H1867" s="415">
        <v>125.4</v>
      </c>
      <c r="I1867" s="416">
        <v>137.30000000000001</v>
      </c>
      <c r="J1867" s="113" t="s">
        <v>380</v>
      </c>
      <c r="K1867" s="44" t="s">
        <v>5530</v>
      </c>
      <c r="L1867" s="442"/>
      <c r="M1867" s="480"/>
      <c r="N1867" s="1015" t="s">
        <v>1856</v>
      </c>
      <c r="O1867" s="210" t="s">
        <v>7555</v>
      </c>
      <c r="P1867" s="68" t="s">
        <v>50</v>
      </c>
      <c r="Q1867" s="100">
        <f t="shared" si="1005"/>
        <v>0</v>
      </c>
      <c r="R1867" s="13" t="str">
        <f t="shared" si="1006"/>
        <v>Фото &gt;&gt;</v>
      </c>
      <c r="S1867" s="14" t="s">
        <v>4302</v>
      </c>
      <c r="V1867" s="4"/>
      <c r="AK1867">
        <v>7.4999999999999997E-2</v>
      </c>
      <c r="AL1867">
        <f t="shared" si="1007"/>
        <v>0</v>
      </c>
      <c r="AM1867">
        <f t="shared" si="1008"/>
        <v>0</v>
      </c>
      <c r="AN1867">
        <f t="shared" si="1009"/>
        <v>0</v>
      </c>
      <c r="AO1867" t="s">
        <v>4311</v>
      </c>
      <c r="AV1867" t="str">
        <f>IF(F1867&gt;0,(COUNT($AV$1:AV1866)+1),"")</f>
        <v/>
      </c>
    </row>
    <row r="1868" spans="1:48" ht="15" customHeight="1" x14ac:dyDescent="0.25">
      <c r="A1868" s="1"/>
      <c r="B1868" s="30">
        <v>20697</v>
      </c>
      <c r="C1868" s="20">
        <v>4607932010099</v>
      </c>
      <c r="D1868" s="421" t="s">
        <v>7562</v>
      </c>
      <c r="E1868" s="85">
        <v>18</v>
      </c>
      <c r="F1868" s="222"/>
      <c r="G1868" s="419">
        <v>119.7</v>
      </c>
      <c r="H1868" s="417">
        <v>125.4</v>
      </c>
      <c r="I1868" s="418">
        <v>137.30000000000001</v>
      </c>
      <c r="J1868" s="112" t="s">
        <v>380</v>
      </c>
      <c r="K1868" s="45" t="s">
        <v>5530</v>
      </c>
      <c r="L1868" s="437"/>
      <c r="M1868" s="474"/>
      <c r="N1868" s="1013" t="s">
        <v>1856</v>
      </c>
      <c r="O1868" s="209" t="s">
        <v>7555</v>
      </c>
      <c r="P1868" s="66" t="s">
        <v>50</v>
      </c>
      <c r="Q1868" s="100">
        <f t="shared" si="1005"/>
        <v>0</v>
      </c>
      <c r="R1868" s="13" t="str">
        <f t="shared" si="1006"/>
        <v>Фото &gt;&gt;</v>
      </c>
      <c r="S1868" s="14" t="s">
        <v>4304</v>
      </c>
      <c r="U1868" s="4"/>
      <c r="V1868" s="4"/>
      <c r="AK1868">
        <v>7.4999999999999997E-2</v>
      </c>
      <c r="AL1868">
        <f t="shared" si="1007"/>
        <v>0</v>
      </c>
      <c r="AM1868">
        <f t="shared" si="1008"/>
        <v>0</v>
      </c>
      <c r="AN1868">
        <f t="shared" si="1009"/>
        <v>0</v>
      </c>
      <c r="AO1868" t="s">
        <v>4312</v>
      </c>
      <c r="AV1868" t="str">
        <f>IF(F1868&gt;0,(COUNT($AV$1:AV1867)+1),"")</f>
        <v/>
      </c>
    </row>
    <row r="1869" spans="1:48" ht="15" customHeight="1" x14ac:dyDescent="0.25">
      <c r="A1869" s="1"/>
      <c r="B1869" s="31">
        <v>20698</v>
      </c>
      <c r="C1869" s="16">
        <v>4607932010112</v>
      </c>
      <c r="D1869" s="422" t="s">
        <v>7563</v>
      </c>
      <c r="E1869" s="86">
        <v>18</v>
      </c>
      <c r="F1869" s="222"/>
      <c r="G1869" s="420">
        <v>119.7</v>
      </c>
      <c r="H1869" s="415">
        <v>125.4</v>
      </c>
      <c r="I1869" s="416">
        <v>137.30000000000001</v>
      </c>
      <c r="J1869" s="113" t="s">
        <v>380</v>
      </c>
      <c r="K1869" s="44" t="s">
        <v>5530</v>
      </c>
      <c r="L1869" s="442"/>
      <c r="M1869" s="480"/>
      <c r="N1869" s="1015" t="s">
        <v>1856</v>
      </c>
      <c r="O1869" s="210" t="s">
        <v>7555</v>
      </c>
      <c r="P1869" s="68" t="s">
        <v>50</v>
      </c>
      <c r="Q1869" s="100">
        <f t="shared" si="1005"/>
        <v>0</v>
      </c>
      <c r="R1869" s="13" t="str">
        <f t="shared" si="1006"/>
        <v>Фото &gt;&gt;</v>
      </c>
      <c r="S1869" s="14" t="s">
        <v>4305</v>
      </c>
      <c r="V1869" s="4"/>
      <c r="AK1869">
        <v>7.4999999999999997E-2</v>
      </c>
      <c r="AL1869">
        <f t="shared" si="1007"/>
        <v>0</v>
      </c>
      <c r="AM1869">
        <f t="shared" si="1008"/>
        <v>0</v>
      </c>
      <c r="AN1869">
        <f t="shared" si="1009"/>
        <v>0</v>
      </c>
      <c r="AO1869" t="s">
        <v>4313</v>
      </c>
      <c r="AV1869" t="str">
        <f>IF(F1869&gt;0,(COUNT($AV$1:AV1868)+1),"")</f>
        <v/>
      </c>
    </row>
    <row r="1870" spans="1:48" ht="15" customHeight="1" x14ac:dyDescent="0.25">
      <c r="A1870" s="1"/>
      <c r="B1870" s="30">
        <v>19480</v>
      </c>
      <c r="C1870" s="20">
        <v>4620761304153</v>
      </c>
      <c r="D1870" s="225" t="s">
        <v>2426</v>
      </c>
      <c r="E1870" s="85">
        <v>20</v>
      </c>
      <c r="F1870" s="222"/>
      <c r="G1870" s="107">
        <v>37.4</v>
      </c>
      <c r="H1870" s="21">
        <v>39.200000000000003</v>
      </c>
      <c r="I1870" s="22">
        <v>43.8</v>
      </c>
      <c r="J1870" s="112" t="s">
        <v>380</v>
      </c>
      <c r="K1870" s="45" t="s">
        <v>97</v>
      </c>
      <c r="L1870" s="437"/>
      <c r="M1870" s="474" t="s">
        <v>104</v>
      </c>
      <c r="N1870" s="1013" t="s">
        <v>1856</v>
      </c>
      <c r="O1870" s="212" t="s">
        <v>1562</v>
      </c>
      <c r="P1870" s="66" t="s">
        <v>50</v>
      </c>
      <c r="Q1870" s="100">
        <f t="shared" si="1005"/>
        <v>0</v>
      </c>
      <c r="R1870" s="13" t="str">
        <f t="shared" si="1006"/>
        <v>Фото &gt;&gt;</v>
      </c>
      <c r="S1870" s="14" t="s">
        <v>3554</v>
      </c>
      <c r="U1870" s="4"/>
      <c r="V1870" s="4"/>
      <c r="AK1870">
        <v>0.03</v>
      </c>
      <c r="AL1870">
        <f t="shared" si="1007"/>
        <v>0</v>
      </c>
      <c r="AM1870">
        <f t="shared" si="1008"/>
        <v>0</v>
      </c>
      <c r="AN1870">
        <f t="shared" si="1009"/>
        <v>0</v>
      </c>
      <c r="AO1870" t="s">
        <v>2702</v>
      </c>
      <c r="AV1870" t="str">
        <f>IF(F1870&gt;0,(COUNT($AV$1:AV1869)+1),"")</f>
        <v/>
      </c>
    </row>
    <row r="1871" spans="1:48" ht="15" customHeight="1" x14ac:dyDescent="0.25">
      <c r="A1871" s="1"/>
      <c r="B1871" s="31">
        <v>19481</v>
      </c>
      <c r="C1871" s="16">
        <v>4620761304078</v>
      </c>
      <c r="D1871" s="226" t="s">
        <v>4352</v>
      </c>
      <c r="E1871" s="86">
        <v>20</v>
      </c>
      <c r="F1871" s="222"/>
      <c r="G1871" s="108">
        <v>37.4</v>
      </c>
      <c r="H1871" s="17">
        <v>39.200000000000003</v>
      </c>
      <c r="I1871" s="18">
        <v>43.8</v>
      </c>
      <c r="J1871" s="113" t="s">
        <v>380</v>
      </c>
      <c r="K1871" s="44" t="s">
        <v>97</v>
      </c>
      <c r="L1871" s="442"/>
      <c r="M1871" s="480" t="s">
        <v>104</v>
      </c>
      <c r="N1871" s="1015" t="s">
        <v>1856</v>
      </c>
      <c r="O1871" s="217" t="s">
        <v>1562</v>
      </c>
      <c r="P1871" s="68" t="s">
        <v>50</v>
      </c>
      <c r="Q1871" s="100">
        <f t="shared" si="1005"/>
        <v>0</v>
      </c>
      <c r="R1871" s="13" t="str">
        <f t="shared" ref="R1871:R1882" si="1010">IF(AO1871&gt;0,HYPERLINK(AO1871,"Фото &gt;&gt;"),"")</f>
        <v>Фото &gt;&gt;</v>
      </c>
      <c r="S1871" s="14" t="s">
        <v>3555</v>
      </c>
      <c r="V1871" s="4"/>
      <c r="AK1871">
        <v>0.03</v>
      </c>
      <c r="AL1871">
        <f t="shared" si="1007"/>
        <v>0</v>
      </c>
      <c r="AM1871">
        <f t="shared" si="1008"/>
        <v>0</v>
      </c>
      <c r="AN1871">
        <f t="shared" si="1009"/>
        <v>0</v>
      </c>
      <c r="AO1871" t="s">
        <v>2703</v>
      </c>
      <c r="AV1871" t="str">
        <f>IF(F1871&gt;0,(COUNT($AV$1:AV1870)+1),"")</f>
        <v/>
      </c>
    </row>
    <row r="1872" spans="1:48" ht="15" customHeight="1" x14ac:dyDescent="0.25">
      <c r="A1872" s="1"/>
      <c r="B1872" s="30">
        <v>19482</v>
      </c>
      <c r="C1872" s="20">
        <v>4620761304115</v>
      </c>
      <c r="D1872" s="225" t="s">
        <v>4353</v>
      </c>
      <c r="E1872" s="85">
        <v>20</v>
      </c>
      <c r="F1872" s="222"/>
      <c r="G1872" s="107">
        <v>58.8</v>
      </c>
      <c r="H1872" s="21">
        <v>61.8</v>
      </c>
      <c r="I1872" s="22">
        <v>67.099999999999994</v>
      </c>
      <c r="J1872" s="112" t="s">
        <v>380</v>
      </c>
      <c r="K1872" s="45" t="s">
        <v>97</v>
      </c>
      <c r="L1872" s="437"/>
      <c r="M1872" s="474"/>
      <c r="N1872" s="1013" t="s">
        <v>1856</v>
      </c>
      <c r="O1872" s="212" t="s">
        <v>1562</v>
      </c>
      <c r="P1872" s="66" t="s">
        <v>50</v>
      </c>
      <c r="Q1872" s="100">
        <f t="shared" si="1005"/>
        <v>0</v>
      </c>
      <c r="R1872" s="13" t="str">
        <f t="shared" si="1010"/>
        <v>Фото &gt;&gt;</v>
      </c>
      <c r="S1872" s="14" t="s">
        <v>3556</v>
      </c>
      <c r="U1872" s="4"/>
      <c r="V1872" s="4"/>
      <c r="AK1872">
        <v>0.03</v>
      </c>
      <c r="AL1872">
        <f t="shared" si="1007"/>
        <v>0</v>
      </c>
      <c r="AM1872">
        <f t="shared" si="1008"/>
        <v>0</v>
      </c>
      <c r="AN1872">
        <f t="shared" si="1009"/>
        <v>0</v>
      </c>
      <c r="AO1872" t="s">
        <v>2704</v>
      </c>
      <c r="AV1872" t="str">
        <f>IF(F1872&gt;0,(COUNT($AV$1:AV1871)+1),"")</f>
        <v/>
      </c>
    </row>
    <row r="1873" spans="1:48" ht="15" customHeight="1" x14ac:dyDescent="0.25">
      <c r="A1873" s="1"/>
      <c r="B1873" s="31">
        <v>19483</v>
      </c>
      <c r="C1873" s="16">
        <v>4620761304139</v>
      </c>
      <c r="D1873" s="226" t="s">
        <v>2347</v>
      </c>
      <c r="E1873" s="86">
        <v>20</v>
      </c>
      <c r="F1873" s="222"/>
      <c r="G1873" s="108">
        <v>58.8</v>
      </c>
      <c r="H1873" s="17">
        <v>61.8</v>
      </c>
      <c r="I1873" s="18">
        <v>67.099999999999994</v>
      </c>
      <c r="J1873" s="113" t="s">
        <v>380</v>
      </c>
      <c r="K1873" s="44" t="s">
        <v>97</v>
      </c>
      <c r="L1873" s="442"/>
      <c r="M1873" s="480"/>
      <c r="N1873" s="1015" t="s">
        <v>1856</v>
      </c>
      <c r="O1873" s="217" t="s">
        <v>1562</v>
      </c>
      <c r="P1873" s="68" t="s">
        <v>50</v>
      </c>
      <c r="Q1873" s="100">
        <f t="shared" si="1005"/>
        <v>0</v>
      </c>
      <c r="R1873" s="13" t="str">
        <f t="shared" si="1010"/>
        <v>Фото &gt;&gt;</v>
      </c>
      <c r="S1873" s="14" t="s">
        <v>3557</v>
      </c>
      <c r="V1873" s="4"/>
      <c r="AK1873">
        <v>0.03</v>
      </c>
      <c r="AL1873">
        <f t="shared" si="1003"/>
        <v>0</v>
      </c>
      <c r="AM1873">
        <f t="shared" si="1004"/>
        <v>0</v>
      </c>
      <c r="AN1873">
        <f t="shared" si="1001"/>
        <v>0</v>
      </c>
      <c r="AO1873" t="s">
        <v>2705</v>
      </c>
      <c r="AV1873" t="str">
        <f>IF(F1873&gt;0,(COUNT($AV$1:AV1872)+1),"")</f>
        <v/>
      </c>
    </row>
    <row r="1874" spans="1:48" ht="15" customHeight="1" x14ac:dyDescent="0.25">
      <c r="A1874" s="1"/>
      <c r="B1874" s="30">
        <v>19484</v>
      </c>
      <c r="C1874" s="20">
        <v>4620761304092</v>
      </c>
      <c r="D1874" s="225" t="s">
        <v>4354</v>
      </c>
      <c r="E1874" s="85">
        <v>20</v>
      </c>
      <c r="F1874" s="222"/>
      <c r="G1874" s="107">
        <v>58.8</v>
      </c>
      <c r="H1874" s="21">
        <v>61.8</v>
      </c>
      <c r="I1874" s="22">
        <v>67.099999999999994</v>
      </c>
      <c r="J1874" s="112" t="s">
        <v>380</v>
      </c>
      <c r="K1874" s="45" t="s">
        <v>97</v>
      </c>
      <c r="L1874" s="437"/>
      <c r="M1874" s="474" t="s">
        <v>104</v>
      </c>
      <c r="N1874" s="1013" t="s">
        <v>1856</v>
      </c>
      <c r="O1874" s="212" t="s">
        <v>1562</v>
      </c>
      <c r="P1874" s="66" t="s">
        <v>50</v>
      </c>
      <c r="Q1874" s="100">
        <f t="shared" si="1005"/>
        <v>0</v>
      </c>
      <c r="R1874" s="13" t="str">
        <f t="shared" si="1010"/>
        <v>Фото &gt;&gt;</v>
      </c>
      <c r="S1874" s="14" t="s">
        <v>3558</v>
      </c>
      <c r="U1874" s="4"/>
      <c r="V1874" s="4"/>
      <c r="AK1874">
        <v>0.03</v>
      </c>
      <c r="AL1874">
        <f t="shared" si="1003"/>
        <v>0</v>
      </c>
      <c r="AM1874">
        <f t="shared" si="1004"/>
        <v>0</v>
      </c>
      <c r="AN1874">
        <f t="shared" si="1001"/>
        <v>0</v>
      </c>
      <c r="AO1874" t="s">
        <v>2706</v>
      </c>
      <c r="AV1874" t="str">
        <f>IF(F1874&gt;0,(COUNT($AV$1:AV1873)+1),"")</f>
        <v/>
      </c>
    </row>
    <row r="1875" spans="1:48" ht="15" customHeight="1" x14ac:dyDescent="0.25">
      <c r="A1875" s="1"/>
      <c r="B1875" s="31">
        <v>18274</v>
      </c>
      <c r="C1875" s="16">
        <v>4620761302968</v>
      </c>
      <c r="D1875" s="226" t="s">
        <v>7387</v>
      </c>
      <c r="E1875" s="86">
        <v>20</v>
      </c>
      <c r="F1875" s="222"/>
      <c r="G1875" s="108">
        <v>41.7</v>
      </c>
      <c r="H1875" s="17">
        <v>43.7</v>
      </c>
      <c r="I1875" s="18">
        <v>46</v>
      </c>
      <c r="J1875" s="113" t="s">
        <v>380</v>
      </c>
      <c r="K1875" s="44" t="s">
        <v>97</v>
      </c>
      <c r="L1875" s="442"/>
      <c r="M1875" s="480" t="s">
        <v>104</v>
      </c>
      <c r="N1875" s="1015" t="s">
        <v>1856</v>
      </c>
      <c r="O1875" s="217" t="s">
        <v>1562</v>
      </c>
      <c r="P1875" s="68" t="s">
        <v>50</v>
      </c>
      <c r="Q1875" s="100">
        <f t="shared" si="1005"/>
        <v>0</v>
      </c>
      <c r="R1875" s="13" t="str">
        <f t="shared" si="1010"/>
        <v>Фото &gt;&gt;</v>
      </c>
      <c r="S1875" s="14" t="s">
        <v>3559</v>
      </c>
      <c r="V1875" s="4"/>
      <c r="AK1875">
        <v>0.03</v>
      </c>
      <c r="AL1875">
        <f t="shared" si="1003"/>
        <v>0</v>
      </c>
      <c r="AM1875">
        <f t="shared" si="1004"/>
        <v>0</v>
      </c>
      <c r="AN1875">
        <f t="shared" si="1001"/>
        <v>0</v>
      </c>
      <c r="AO1875" t="s">
        <v>2707</v>
      </c>
      <c r="AV1875" t="str">
        <f>IF(F1875&gt;0,(COUNT($AV$1:AV1874)+1),"")</f>
        <v/>
      </c>
    </row>
    <row r="1876" spans="1:48" ht="15" customHeight="1" x14ac:dyDescent="0.25">
      <c r="A1876" s="1"/>
      <c r="B1876" s="30">
        <v>18276</v>
      </c>
      <c r="C1876" s="20">
        <v>4620761302982</v>
      </c>
      <c r="D1876" s="225" t="s">
        <v>7388</v>
      </c>
      <c r="E1876" s="85">
        <v>20</v>
      </c>
      <c r="F1876" s="222"/>
      <c r="G1876" s="107">
        <v>41.7</v>
      </c>
      <c r="H1876" s="21">
        <v>43.7</v>
      </c>
      <c r="I1876" s="22">
        <v>46</v>
      </c>
      <c r="J1876" s="112" t="s">
        <v>380</v>
      </c>
      <c r="K1876" s="45" t="s">
        <v>97</v>
      </c>
      <c r="L1876" s="437"/>
      <c r="M1876" s="474" t="s">
        <v>104</v>
      </c>
      <c r="N1876" s="1013" t="s">
        <v>1856</v>
      </c>
      <c r="O1876" s="212" t="s">
        <v>1562</v>
      </c>
      <c r="P1876" s="66" t="s">
        <v>50</v>
      </c>
      <c r="Q1876" s="100">
        <f t="shared" si="1005"/>
        <v>0</v>
      </c>
      <c r="R1876" s="13" t="str">
        <f t="shared" si="1010"/>
        <v>Фото &gt;&gt;</v>
      </c>
      <c r="S1876" s="14" t="s">
        <v>3560</v>
      </c>
      <c r="U1876" s="4"/>
      <c r="V1876" s="4"/>
      <c r="AK1876">
        <v>0.03</v>
      </c>
      <c r="AL1876">
        <f t="shared" si="1003"/>
        <v>0</v>
      </c>
      <c r="AM1876">
        <f t="shared" si="1004"/>
        <v>0</v>
      </c>
      <c r="AN1876">
        <f t="shared" si="1001"/>
        <v>0</v>
      </c>
      <c r="AO1876" t="s">
        <v>2708</v>
      </c>
      <c r="AV1876" t="str">
        <f>IF(F1876&gt;0,(COUNT($AV$1:AV1875)+1),"")</f>
        <v/>
      </c>
    </row>
    <row r="1877" spans="1:48" ht="15" customHeight="1" x14ac:dyDescent="0.25">
      <c r="A1877" s="1"/>
      <c r="B1877" s="31">
        <v>18277</v>
      </c>
      <c r="C1877" s="16">
        <v>4620761303026</v>
      </c>
      <c r="D1877" s="226" t="s">
        <v>7389</v>
      </c>
      <c r="E1877" s="86">
        <v>20</v>
      </c>
      <c r="F1877" s="222"/>
      <c r="G1877" s="108">
        <v>41.7</v>
      </c>
      <c r="H1877" s="17">
        <v>43.7</v>
      </c>
      <c r="I1877" s="18">
        <v>46</v>
      </c>
      <c r="J1877" s="113" t="s">
        <v>380</v>
      </c>
      <c r="K1877" s="44" t="s">
        <v>97</v>
      </c>
      <c r="L1877" s="442"/>
      <c r="M1877" s="480" t="s">
        <v>104</v>
      </c>
      <c r="N1877" s="1015" t="s">
        <v>1856</v>
      </c>
      <c r="O1877" s="217" t="s">
        <v>1562</v>
      </c>
      <c r="P1877" s="68" t="s">
        <v>50</v>
      </c>
      <c r="Q1877" s="100">
        <f t="shared" si="1005"/>
        <v>0</v>
      </c>
      <c r="R1877" s="13" t="str">
        <f t="shared" si="1010"/>
        <v>Фото &gt;&gt;</v>
      </c>
      <c r="S1877" s="14" t="s">
        <v>3561</v>
      </c>
      <c r="V1877" s="4"/>
      <c r="AK1877">
        <v>0.03</v>
      </c>
      <c r="AL1877">
        <f t="shared" si="1003"/>
        <v>0</v>
      </c>
      <c r="AM1877">
        <f t="shared" si="1004"/>
        <v>0</v>
      </c>
      <c r="AN1877">
        <f t="shared" si="1001"/>
        <v>0</v>
      </c>
      <c r="AO1877" t="s">
        <v>2709</v>
      </c>
      <c r="AV1877" t="str">
        <f>IF(F1877&gt;0,(COUNT($AV$1:AV1876)+1),"")</f>
        <v/>
      </c>
    </row>
    <row r="1878" spans="1:48" ht="15" customHeight="1" x14ac:dyDescent="0.25">
      <c r="A1878" s="1"/>
      <c r="B1878" s="30">
        <v>18275</v>
      </c>
      <c r="C1878" s="20">
        <v>4620761303002</v>
      </c>
      <c r="D1878" s="225" t="s">
        <v>7390</v>
      </c>
      <c r="E1878" s="85">
        <v>20</v>
      </c>
      <c r="F1878" s="222"/>
      <c r="G1878" s="107">
        <v>41.7</v>
      </c>
      <c r="H1878" s="21">
        <v>43.7</v>
      </c>
      <c r="I1878" s="22">
        <v>46</v>
      </c>
      <c r="J1878" s="112" t="s">
        <v>380</v>
      </c>
      <c r="K1878" s="45" t="s">
        <v>97</v>
      </c>
      <c r="L1878" s="437"/>
      <c r="M1878" s="474" t="s">
        <v>104</v>
      </c>
      <c r="N1878" s="1013" t="s">
        <v>1856</v>
      </c>
      <c r="O1878" s="212" t="s">
        <v>1562</v>
      </c>
      <c r="P1878" s="66" t="s">
        <v>50</v>
      </c>
      <c r="Q1878" s="100">
        <f t="shared" si="1005"/>
        <v>0</v>
      </c>
      <c r="R1878" s="13" t="str">
        <f t="shared" si="1010"/>
        <v>Фото &gt;&gt;</v>
      </c>
      <c r="S1878" s="14" t="s">
        <v>3562</v>
      </c>
      <c r="U1878" s="4"/>
      <c r="V1878" s="4"/>
      <c r="AK1878">
        <v>0.03</v>
      </c>
      <c r="AL1878">
        <f t="shared" si="1003"/>
        <v>0</v>
      </c>
      <c r="AM1878">
        <f t="shared" si="1004"/>
        <v>0</v>
      </c>
      <c r="AN1878">
        <f t="shared" si="1001"/>
        <v>0</v>
      </c>
      <c r="AO1878" t="s">
        <v>2710</v>
      </c>
      <c r="AV1878" t="str">
        <f>IF(F1878&gt;0,(COUNT($AV$1:AV1877)+1),"")</f>
        <v/>
      </c>
    </row>
    <row r="1879" spans="1:48" ht="15" customHeight="1" x14ac:dyDescent="0.25">
      <c r="A1879" s="1"/>
      <c r="B1879" s="31">
        <v>21201</v>
      </c>
      <c r="C1879" s="16">
        <v>4620761306447</v>
      </c>
      <c r="D1879" s="226" t="s">
        <v>7014</v>
      </c>
      <c r="E1879" s="823">
        <v>30</v>
      </c>
      <c r="F1879" s="222"/>
      <c r="G1879" s="108">
        <v>80.8</v>
      </c>
      <c r="H1879" s="17">
        <v>84.4</v>
      </c>
      <c r="I1879" s="18">
        <v>93.2</v>
      </c>
      <c r="J1879" s="113" t="s">
        <v>380</v>
      </c>
      <c r="K1879" s="44" t="s">
        <v>97</v>
      </c>
      <c r="L1879" s="442"/>
      <c r="M1879" s="480" t="s">
        <v>104</v>
      </c>
      <c r="N1879" s="1015"/>
      <c r="O1879" s="210"/>
      <c r="P1879" s="68" t="s">
        <v>50</v>
      </c>
      <c r="Q1879" s="100">
        <f t="shared" si="1005"/>
        <v>0</v>
      </c>
      <c r="R1879" s="13" t="str">
        <f t="shared" si="1010"/>
        <v>Фото &gt;&gt;</v>
      </c>
      <c r="S1879" s="14" t="s">
        <v>6357</v>
      </c>
      <c r="V1879" s="4"/>
      <c r="AK1879">
        <v>0.05</v>
      </c>
      <c r="AL1879">
        <f t="shared" ref="AL1879" si="1011">F1879*G1879</f>
        <v>0</v>
      </c>
      <c r="AM1879">
        <f t="shared" ref="AM1879" si="1012">F1879*H1879</f>
        <v>0</v>
      </c>
      <c r="AN1879">
        <f t="shared" ref="AN1879" si="1013">AK1879*F1879+IF(E1879&gt;1.01,F1879/E1879*0.2,0)</f>
        <v>0</v>
      </c>
      <c r="AO1879" t="s">
        <v>6358</v>
      </c>
      <c r="AV1879" t="str">
        <f>IF(F1879&gt;0,(COUNT($AV$1:AV1878)+1),"")</f>
        <v/>
      </c>
    </row>
    <row r="1880" spans="1:48" ht="15" customHeight="1" x14ac:dyDescent="0.25">
      <c r="A1880" s="1"/>
      <c r="B1880" s="30">
        <v>21191</v>
      </c>
      <c r="C1880" s="20">
        <v>4620761306478</v>
      </c>
      <c r="D1880" s="225" t="s">
        <v>6359</v>
      </c>
      <c r="E1880" s="67">
        <v>36</v>
      </c>
      <c r="F1880" s="222"/>
      <c r="G1880" s="107">
        <v>69.5</v>
      </c>
      <c r="H1880" s="21">
        <v>72.8</v>
      </c>
      <c r="I1880" s="22">
        <v>80.2</v>
      </c>
      <c r="J1880" s="112" t="s">
        <v>380</v>
      </c>
      <c r="K1880" s="45" t="s">
        <v>97</v>
      </c>
      <c r="L1880" s="437"/>
      <c r="M1880" s="474" t="s">
        <v>104</v>
      </c>
      <c r="N1880" s="1013" t="s">
        <v>1856</v>
      </c>
      <c r="O1880" s="209"/>
      <c r="P1880" s="66" t="s">
        <v>50</v>
      </c>
      <c r="Q1880" s="100">
        <f t="shared" si="1005"/>
        <v>0</v>
      </c>
      <c r="R1880" s="13" t="str">
        <f t="shared" si="1010"/>
        <v>Фото &gt;&gt;</v>
      </c>
      <c r="S1880" s="14" t="s">
        <v>6360</v>
      </c>
      <c r="U1880" s="4"/>
      <c r="V1880" s="4"/>
      <c r="AK1880">
        <v>0.05</v>
      </c>
      <c r="AL1880">
        <f t="shared" ref="AL1880:AL1882" si="1014">F1880*G1880</f>
        <v>0</v>
      </c>
      <c r="AM1880">
        <f t="shared" ref="AM1880:AM1882" si="1015">F1880*H1880</f>
        <v>0</v>
      </c>
      <c r="AN1880">
        <f t="shared" ref="AN1880:AN1882" si="1016">AK1880*F1880+IF(E1880&gt;1.01,F1880/E1880*0.2,0)</f>
        <v>0</v>
      </c>
      <c r="AO1880" t="s">
        <v>6361</v>
      </c>
      <c r="AV1880" t="str">
        <f>IF(F1880&gt;0,(COUNT($AV$1:AV1879)+1),"")</f>
        <v/>
      </c>
    </row>
    <row r="1881" spans="1:48" ht="15" customHeight="1" x14ac:dyDescent="0.25">
      <c r="A1881" s="1"/>
      <c r="B1881" s="31">
        <v>13315</v>
      </c>
      <c r="C1881" s="16">
        <v>4620761304962</v>
      </c>
      <c r="D1881" s="226" t="s">
        <v>2193</v>
      </c>
      <c r="E1881" s="86">
        <v>15</v>
      </c>
      <c r="F1881" s="222"/>
      <c r="G1881" s="108">
        <v>58.3</v>
      </c>
      <c r="H1881" s="17">
        <v>61.1</v>
      </c>
      <c r="I1881" s="18">
        <v>67.2</v>
      </c>
      <c r="J1881" s="113" t="s">
        <v>380</v>
      </c>
      <c r="K1881" s="44" t="s">
        <v>97</v>
      </c>
      <c r="L1881" s="442"/>
      <c r="M1881" s="480" t="s">
        <v>104</v>
      </c>
      <c r="N1881" s="1015"/>
      <c r="O1881" s="217" t="s">
        <v>1567</v>
      </c>
      <c r="P1881" s="68" t="s">
        <v>72</v>
      </c>
      <c r="Q1881" s="100">
        <f t="shared" si="1005"/>
        <v>0</v>
      </c>
      <c r="R1881" s="13" t="str">
        <f t="shared" si="1010"/>
        <v>Фото &gt;&gt;</v>
      </c>
      <c r="S1881" s="14" t="s">
        <v>402</v>
      </c>
      <c r="V1881" s="4"/>
      <c r="AK1881">
        <v>0.05</v>
      </c>
      <c r="AL1881">
        <f t="shared" si="1014"/>
        <v>0</v>
      </c>
      <c r="AM1881">
        <f t="shared" si="1015"/>
        <v>0</v>
      </c>
      <c r="AN1881">
        <f t="shared" si="1016"/>
        <v>0</v>
      </c>
      <c r="AO1881" t="s">
        <v>2713</v>
      </c>
      <c r="AV1881" t="str">
        <f>IF(F1881&gt;0,(COUNT($AV$1:AV1880)+1),"")</f>
        <v/>
      </c>
    </row>
    <row r="1882" spans="1:48" ht="15" customHeight="1" x14ac:dyDescent="0.25">
      <c r="A1882" s="1"/>
      <c r="B1882" s="30">
        <v>13795</v>
      </c>
      <c r="C1882" s="20">
        <v>4620761300315</v>
      </c>
      <c r="D1882" s="225" t="s">
        <v>4355</v>
      </c>
      <c r="E1882" s="85">
        <v>15</v>
      </c>
      <c r="F1882" s="222"/>
      <c r="G1882" s="107">
        <v>79.599999999999994</v>
      </c>
      <c r="H1882" s="21">
        <v>83.4</v>
      </c>
      <c r="I1882" s="22">
        <v>91.5</v>
      </c>
      <c r="J1882" s="112" t="s">
        <v>380</v>
      </c>
      <c r="K1882" s="45" t="s">
        <v>97</v>
      </c>
      <c r="L1882" s="437"/>
      <c r="M1882" s="474"/>
      <c r="N1882" s="1013"/>
      <c r="O1882" s="212" t="s">
        <v>1567</v>
      </c>
      <c r="P1882" s="66" t="s">
        <v>72</v>
      </c>
      <c r="Q1882" s="100">
        <f t="shared" si="1005"/>
        <v>0</v>
      </c>
      <c r="R1882" s="13" t="str">
        <f t="shared" si="1010"/>
        <v>Фото &gt;&gt;</v>
      </c>
      <c r="S1882" s="14" t="s">
        <v>403</v>
      </c>
      <c r="U1882" s="4"/>
      <c r="V1882" s="4"/>
      <c r="AK1882">
        <v>0.05</v>
      </c>
      <c r="AL1882">
        <f t="shared" si="1014"/>
        <v>0</v>
      </c>
      <c r="AM1882">
        <f t="shared" si="1015"/>
        <v>0</v>
      </c>
      <c r="AN1882">
        <f t="shared" si="1016"/>
        <v>0</v>
      </c>
      <c r="AO1882" t="s">
        <v>2714</v>
      </c>
      <c r="AV1882" t="str">
        <f>IF(F1882&gt;0,(COUNT($AV$1:AV1881)+1),"")</f>
        <v/>
      </c>
    </row>
    <row r="1883" spans="1:48" ht="15" customHeight="1" x14ac:dyDescent="0.25">
      <c r="A1883" s="1"/>
      <c r="B1883" s="31">
        <v>13316</v>
      </c>
      <c r="C1883" s="16">
        <v>4620761300193</v>
      </c>
      <c r="D1883" s="226" t="s">
        <v>2194</v>
      </c>
      <c r="E1883" s="86">
        <v>15</v>
      </c>
      <c r="F1883" s="222"/>
      <c r="G1883" s="108">
        <v>58.3</v>
      </c>
      <c r="H1883" s="17">
        <v>61.1</v>
      </c>
      <c r="I1883" s="18">
        <v>67.2</v>
      </c>
      <c r="J1883" s="113" t="s">
        <v>380</v>
      </c>
      <c r="K1883" s="44" t="s">
        <v>97</v>
      </c>
      <c r="L1883" s="442"/>
      <c r="M1883" s="480" t="s">
        <v>104</v>
      </c>
      <c r="N1883" s="1015" t="s">
        <v>1856</v>
      </c>
      <c r="O1883" s="217" t="s">
        <v>1567</v>
      </c>
      <c r="P1883" s="68" t="s">
        <v>72</v>
      </c>
      <c r="Q1883" s="100">
        <f t="shared" si="1005"/>
        <v>0</v>
      </c>
      <c r="R1883" s="13" t="str">
        <f t="shared" ref="R1883:R1889" si="1017">IF(AO1883&gt;0,HYPERLINK(AO1883,"Фото &gt;&gt;"),"")</f>
        <v>Фото &gt;&gt;</v>
      </c>
      <c r="S1883" s="14" t="s">
        <v>404</v>
      </c>
      <c r="V1883" s="4"/>
      <c r="AK1883">
        <v>0.05</v>
      </c>
      <c r="AL1883">
        <f t="shared" ref="AL1883:AL1884" si="1018">F1883*G1883</f>
        <v>0</v>
      </c>
      <c r="AM1883">
        <f t="shared" ref="AM1883:AM1884" si="1019">F1883*H1883</f>
        <v>0</v>
      </c>
      <c r="AN1883">
        <f t="shared" ref="AN1883:AN1888" si="1020">AK1883*F1883+IF(E1883&gt;1.01,F1883/E1883*0.2,0)</f>
        <v>0</v>
      </c>
      <c r="AO1883" t="s">
        <v>2715</v>
      </c>
      <c r="AV1883" t="str">
        <f>IF(F1883&gt;0,(COUNT($AV$1:AV1882)+1),"")</f>
        <v/>
      </c>
    </row>
    <row r="1884" spans="1:48" ht="15" customHeight="1" x14ac:dyDescent="0.25">
      <c r="A1884" s="1"/>
      <c r="B1884" s="30">
        <v>14993</v>
      </c>
      <c r="C1884" s="20">
        <v>4620761300308</v>
      </c>
      <c r="D1884" s="225" t="s">
        <v>2195</v>
      </c>
      <c r="E1884" s="85">
        <v>15</v>
      </c>
      <c r="F1884" s="222"/>
      <c r="G1884" s="107">
        <v>79.599999999999994</v>
      </c>
      <c r="H1884" s="21">
        <v>83.4</v>
      </c>
      <c r="I1884" s="22">
        <v>91.5</v>
      </c>
      <c r="J1884" s="112" t="s">
        <v>380</v>
      </c>
      <c r="K1884" s="45" t="s">
        <v>97</v>
      </c>
      <c r="L1884" s="437"/>
      <c r="M1884" s="474" t="s">
        <v>1856</v>
      </c>
      <c r="N1884" s="1013" t="s">
        <v>1856</v>
      </c>
      <c r="O1884" s="212" t="s">
        <v>1567</v>
      </c>
      <c r="P1884" s="66" t="s">
        <v>72</v>
      </c>
      <c r="Q1884" s="100">
        <f t="shared" si="1005"/>
        <v>0</v>
      </c>
      <c r="R1884" s="13" t="str">
        <f t="shared" si="1017"/>
        <v>Фото &gt;&gt;</v>
      </c>
      <c r="S1884" s="14" t="s">
        <v>405</v>
      </c>
      <c r="U1884" s="4"/>
      <c r="V1884" s="4"/>
      <c r="AK1884">
        <v>0.05</v>
      </c>
      <c r="AL1884">
        <f t="shared" si="1018"/>
        <v>0</v>
      </c>
      <c r="AM1884">
        <f t="shared" si="1019"/>
        <v>0</v>
      </c>
      <c r="AN1884">
        <f t="shared" si="1020"/>
        <v>0</v>
      </c>
      <c r="AO1884" t="s">
        <v>2716</v>
      </c>
      <c r="AV1884" t="str">
        <f>IF(F1884&gt;0,(COUNT($AV$1:AV1883)+1),"")</f>
        <v/>
      </c>
    </row>
    <row r="1885" spans="1:48" ht="15" customHeight="1" x14ac:dyDescent="0.25">
      <c r="A1885" s="1"/>
      <c r="B1885" s="31">
        <v>13793</v>
      </c>
      <c r="C1885" s="16">
        <v>4620761304979</v>
      </c>
      <c r="D1885" s="226" t="s">
        <v>3565</v>
      </c>
      <c r="E1885" s="86">
        <v>15</v>
      </c>
      <c r="F1885" s="222"/>
      <c r="G1885" s="108">
        <v>58.3</v>
      </c>
      <c r="H1885" s="17">
        <v>61.1</v>
      </c>
      <c r="I1885" s="18">
        <v>67.2</v>
      </c>
      <c r="J1885" s="113" t="s">
        <v>380</v>
      </c>
      <c r="K1885" s="44" t="s">
        <v>97</v>
      </c>
      <c r="L1885" s="442"/>
      <c r="M1885" s="480" t="s">
        <v>104</v>
      </c>
      <c r="N1885" s="1015"/>
      <c r="O1885" s="217" t="s">
        <v>1567</v>
      </c>
      <c r="P1885" s="68" t="s">
        <v>72</v>
      </c>
      <c r="Q1885" s="100">
        <f t="shared" si="1005"/>
        <v>0</v>
      </c>
      <c r="R1885" s="13" t="str">
        <f t="shared" si="1017"/>
        <v>Фото &gt;&gt;</v>
      </c>
      <c r="S1885" s="14" t="s">
        <v>3563</v>
      </c>
      <c r="V1885" s="4"/>
      <c r="AK1885">
        <v>0.05</v>
      </c>
      <c r="AL1885">
        <f t="shared" si="1003"/>
        <v>0</v>
      </c>
      <c r="AM1885">
        <f t="shared" si="1004"/>
        <v>0</v>
      </c>
      <c r="AN1885">
        <f t="shared" si="1020"/>
        <v>0</v>
      </c>
      <c r="AO1885" t="s">
        <v>2717</v>
      </c>
      <c r="AV1885" t="str">
        <f>IF(F1885&gt;0,(COUNT($AV$1:AV1884)+1),"")</f>
        <v/>
      </c>
    </row>
    <row r="1886" spans="1:48" ht="15" customHeight="1" x14ac:dyDescent="0.25">
      <c r="A1886" s="1"/>
      <c r="B1886" s="30">
        <v>17842</v>
      </c>
      <c r="C1886" s="20">
        <v>4620761301220</v>
      </c>
      <c r="D1886" s="225" t="s">
        <v>4356</v>
      </c>
      <c r="E1886" s="85">
        <v>15</v>
      </c>
      <c r="F1886" s="222"/>
      <c r="G1886" s="107">
        <v>79.599999999999994</v>
      </c>
      <c r="H1886" s="21">
        <v>83.4</v>
      </c>
      <c r="I1886" s="22">
        <v>91.5</v>
      </c>
      <c r="J1886" s="112" t="s">
        <v>380</v>
      </c>
      <c r="K1886" s="45" t="s">
        <v>97</v>
      </c>
      <c r="L1886" s="437"/>
      <c r="M1886" s="474" t="s">
        <v>1856</v>
      </c>
      <c r="N1886" s="1013"/>
      <c r="O1886" s="212" t="s">
        <v>1567</v>
      </c>
      <c r="P1886" s="66" t="s">
        <v>72</v>
      </c>
      <c r="Q1886" s="100">
        <f t="shared" si="1005"/>
        <v>0</v>
      </c>
      <c r="R1886" s="13" t="str">
        <f t="shared" si="1017"/>
        <v>Фото &gt;&gt;</v>
      </c>
      <c r="S1886" s="14" t="s">
        <v>3564</v>
      </c>
      <c r="U1886" s="4"/>
      <c r="V1886" s="4"/>
      <c r="AK1886">
        <v>0.05</v>
      </c>
      <c r="AL1886">
        <f t="shared" si="1003"/>
        <v>0</v>
      </c>
      <c r="AM1886">
        <f t="shared" si="1004"/>
        <v>0</v>
      </c>
      <c r="AN1886">
        <f t="shared" si="1020"/>
        <v>0</v>
      </c>
      <c r="AO1886" t="s">
        <v>2718</v>
      </c>
      <c r="AV1886" t="str">
        <f>IF(F1886&gt;0,(COUNT($AV$1:AV1885)+1),"")</f>
        <v/>
      </c>
    </row>
    <row r="1887" spans="1:48" ht="15" customHeight="1" x14ac:dyDescent="0.25">
      <c r="A1887" s="1"/>
      <c r="B1887" s="31">
        <v>13794</v>
      </c>
      <c r="C1887" s="16">
        <v>4620761304986</v>
      </c>
      <c r="D1887" s="226" t="s">
        <v>2196</v>
      </c>
      <c r="E1887" s="86">
        <v>15</v>
      </c>
      <c r="F1887" s="222"/>
      <c r="G1887" s="108">
        <v>58.3</v>
      </c>
      <c r="H1887" s="17">
        <v>61.1</v>
      </c>
      <c r="I1887" s="18">
        <v>67.2</v>
      </c>
      <c r="J1887" s="113" t="s">
        <v>380</v>
      </c>
      <c r="K1887" s="44" t="s">
        <v>97</v>
      </c>
      <c r="L1887" s="442"/>
      <c r="M1887" s="480" t="s">
        <v>104</v>
      </c>
      <c r="N1887" s="1015" t="s">
        <v>1856</v>
      </c>
      <c r="O1887" s="217" t="s">
        <v>1567</v>
      </c>
      <c r="P1887" s="68" t="s">
        <v>72</v>
      </c>
      <c r="Q1887" s="100">
        <f t="shared" si="1005"/>
        <v>0</v>
      </c>
      <c r="R1887" s="13" t="str">
        <f t="shared" si="1017"/>
        <v>Фото &gt;&gt;</v>
      </c>
      <c r="S1887" s="14" t="s">
        <v>406</v>
      </c>
      <c r="V1887" s="4"/>
      <c r="AK1887">
        <v>0.05</v>
      </c>
      <c r="AL1887">
        <f t="shared" si="1003"/>
        <v>0</v>
      </c>
      <c r="AM1887">
        <f t="shared" si="1004"/>
        <v>0</v>
      </c>
      <c r="AN1887">
        <f t="shared" si="1020"/>
        <v>0</v>
      </c>
      <c r="AO1887" t="s">
        <v>2719</v>
      </c>
      <c r="AV1887" t="str">
        <f>IF(F1887&gt;0,(COUNT($AV$1:AV1886)+1),"")</f>
        <v/>
      </c>
    </row>
    <row r="1888" spans="1:48" ht="15" customHeight="1" x14ac:dyDescent="0.25">
      <c r="A1888" s="1"/>
      <c r="B1888" s="30">
        <v>13796</v>
      </c>
      <c r="C1888" s="20">
        <v>4620761300322</v>
      </c>
      <c r="D1888" s="225" t="s">
        <v>4332</v>
      </c>
      <c r="E1888" s="85">
        <v>15</v>
      </c>
      <c r="F1888" s="222"/>
      <c r="G1888" s="107">
        <v>79.599999999999994</v>
      </c>
      <c r="H1888" s="21">
        <v>83.4</v>
      </c>
      <c r="I1888" s="22">
        <v>91.5</v>
      </c>
      <c r="J1888" s="112" t="s">
        <v>380</v>
      </c>
      <c r="K1888" s="45" t="s">
        <v>97</v>
      </c>
      <c r="L1888" s="437"/>
      <c r="M1888" s="474" t="s">
        <v>1856</v>
      </c>
      <c r="N1888" s="1013" t="s">
        <v>1856</v>
      </c>
      <c r="O1888" s="212" t="s">
        <v>1567</v>
      </c>
      <c r="P1888" s="66" t="s">
        <v>72</v>
      </c>
      <c r="Q1888" s="100">
        <f t="shared" si="1005"/>
        <v>0</v>
      </c>
      <c r="R1888" s="13" t="str">
        <f t="shared" si="1017"/>
        <v>Фото &gt;&gt;</v>
      </c>
      <c r="S1888" s="14" t="s">
        <v>2302</v>
      </c>
      <c r="U1888" s="4"/>
      <c r="V1888" s="4"/>
      <c r="AK1888">
        <v>0.05</v>
      </c>
      <c r="AL1888">
        <f t="shared" si="1003"/>
        <v>0</v>
      </c>
      <c r="AM1888">
        <f t="shared" si="1004"/>
        <v>0</v>
      </c>
      <c r="AN1888">
        <f t="shared" si="1020"/>
        <v>0</v>
      </c>
      <c r="AO1888" t="s">
        <v>2720</v>
      </c>
      <c r="AV1888" t="str">
        <f>IF(F1888&gt;0,(COUNT($AV$1:AV1887)+1),"")</f>
        <v/>
      </c>
    </row>
    <row r="1889" spans="1:48" ht="15" customHeight="1" x14ac:dyDescent="0.25">
      <c r="A1889" s="1"/>
      <c r="B1889" s="31">
        <v>19866</v>
      </c>
      <c r="C1889" s="16">
        <v>4620761304948</v>
      </c>
      <c r="D1889" s="226" t="s">
        <v>3212</v>
      </c>
      <c r="E1889" s="86">
        <v>8</v>
      </c>
      <c r="F1889" s="222"/>
      <c r="G1889" s="108">
        <v>396.5</v>
      </c>
      <c r="H1889" s="17">
        <v>416.9</v>
      </c>
      <c r="I1889" s="18">
        <v>438.2</v>
      </c>
      <c r="J1889" s="113" t="s">
        <v>380</v>
      </c>
      <c r="K1889" s="44" t="s">
        <v>97</v>
      </c>
      <c r="L1889" s="442"/>
      <c r="M1889" s="480" t="s">
        <v>104</v>
      </c>
      <c r="N1889" s="1015" t="s">
        <v>1856</v>
      </c>
      <c r="O1889" s="217"/>
      <c r="P1889" s="68" t="s">
        <v>72</v>
      </c>
      <c r="Q1889" s="100">
        <f t="shared" si="1005"/>
        <v>0</v>
      </c>
      <c r="R1889" s="13" t="str">
        <f t="shared" si="1017"/>
        <v>Фото &gt;&gt;</v>
      </c>
      <c r="S1889" s="14" t="s">
        <v>3218</v>
      </c>
      <c r="V1889" s="4"/>
      <c r="AK1889">
        <v>0.28000000000000003</v>
      </c>
      <c r="AL1889">
        <f t="shared" si="1003"/>
        <v>0</v>
      </c>
      <c r="AM1889">
        <f t="shared" si="1004"/>
        <v>0</v>
      </c>
      <c r="AN1889">
        <f t="shared" ref="AN1889:AN1890" si="1021">AK1889*F1889+IF(E1889&gt;1.01,F1889/E1889*0.2,0)</f>
        <v>0</v>
      </c>
      <c r="AO1889" t="s">
        <v>2711</v>
      </c>
      <c r="AV1889" t="str">
        <f>IF(F1889&gt;0,(COUNT($AV$1:AV1888)+1),"")</f>
        <v/>
      </c>
    </row>
    <row r="1890" spans="1:48" ht="15" customHeight="1" x14ac:dyDescent="0.25">
      <c r="A1890" s="1"/>
      <c r="B1890" s="30">
        <v>19867</v>
      </c>
      <c r="C1890" s="20">
        <v>4620761304894</v>
      </c>
      <c r="D1890" s="225" t="s">
        <v>3213</v>
      </c>
      <c r="E1890" s="85">
        <v>8</v>
      </c>
      <c r="F1890" s="222"/>
      <c r="G1890" s="107">
        <v>417.9</v>
      </c>
      <c r="H1890" s="21">
        <v>439.3</v>
      </c>
      <c r="I1890" s="22">
        <v>483</v>
      </c>
      <c r="J1890" s="112" t="s">
        <v>380</v>
      </c>
      <c r="K1890" s="45" t="s">
        <v>97</v>
      </c>
      <c r="L1890" s="437"/>
      <c r="M1890" s="474" t="s">
        <v>1856</v>
      </c>
      <c r="N1890" s="1013" t="s">
        <v>1856</v>
      </c>
      <c r="O1890" s="212"/>
      <c r="P1890" s="66" t="s">
        <v>72</v>
      </c>
      <c r="Q1890" s="100">
        <f t="shared" si="1005"/>
        <v>0</v>
      </c>
      <c r="R1890" s="13" t="str">
        <f t="shared" ref="R1890" si="1022">IF(AO1890&gt;0,HYPERLINK(AO1890,"Фото &gt;&gt;"),"")</f>
        <v>Фото &gt;&gt;</v>
      </c>
      <c r="S1890" s="14" t="s">
        <v>3218</v>
      </c>
      <c r="U1890" s="4"/>
      <c r="V1890" s="4"/>
      <c r="AK1890">
        <v>0.2</v>
      </c>
      <c r="AL1890">
        <f t="shared" si="1003"/>
        <v>0</v>
      </c>
      <c r="AM1890">
        <f t="shared" si="1004"/>
        <v>0</v>
      </c>
      <c r="AN1890">
        <f t="shared" si="1021"/>
        <v>0</v>
      </c>
      <c r="AO1890" t="s">
        <v>2712</v>
      </c>
      <c r="AV1890" t="str">
        <f>IF(F1890&gt;0,(COUNT($AV$1:AV1889)+1),"")</f>
        <v/>
      </c>
    </row>
    <row r="1891" spans="1:48" ht="15" customHeight="1" x14ac:dyDescent="0.25">
      <c r="A1891" s="1"/>
      <c r="B1891" s="125"/>
      <c r="C1891" s="126"/>
      <c r="D1891" s="127"/>
      <c r="E1891" s="134"/>
      <c r="F1891" s="189"/>
      <c r="G1891" s="130"/>
      <c r="H1891" s="131"/>
      <c r="I1891" s="132"/>
      <c r="J1891" s="128"/>
      <c r="K1891" s="129"/>
      <c r="L1891" s="433"/>
      <c r="M1891" s="481" t="s">
        <v>104</v>
      </c>
      <c r="N1891" s="471"/>
      <c r="O1891" s="181"/>
      <c r="P1891" s="133"/>
      <c r="Q1891" s="135"/>
      <c r="R1891" s="13"/>
      <c r="S1891" s="14"/>
      <c r="AV1891" t="str">
        <f>IF(F1891&gt;0,(COUNT($AV$1:AV1890)+1),"")</f>
        <v/>
      </c>
    </row>
    <row r="1892" spans="1:48" ht="15" customHeight="1" thickBot="1" x14ac:dyDescent="0.3">
      <c r="A1892" s="1"/>
      <c r="B1892" s="158"/>
      <c r="C1892" s="159"/>
      <c r="D1892" s="160"/>
      <c r="E1892" s="167"/>
      <c r="F1892" s="191"/>
      <c r="G1892" s="163"/>
      <c r="H1892" s="164"/>
      <c r="I1892" s="165"/>
      <c r="J1892" s="161"/>
      <c r="K1892" s="162"/>
      <c r="L1892" s="439"/>
      <c r="M1892" s="475" t="s">
        <v>104</v>
      </c>
      <c r="N1892" s="467"/>
      <c r="O1892" s="183"/>
      <c r="P1892" s="166"/>
      <c r="Q1892" s="168"/>
      <c r="R1892" s="13"/>
      <c r="S1892" s="14"/>
      <c r="AV1892" t="str">
        <f>IF(F1892&gt;0,(COUNT($AV$1:AV1891)+1),"")</f>
        <v/>
      </c>
    </row>
    <row r="1893" spans="1:48" ht="24.95" customHeight="1" thickBot="1" x14ac:dyDescent="0.3">
      <c r="A1893" s="1"/>
      <c r="B1893" s="266"/>
      <c r="C1893" s="267"/>
      <c r="D1893" s="268" t="str">
        <f>CONCATENATE("Алтын бай","     |     Сумма заказа: ",AK1893," руб.")</f>
        <v>Алтын бай     |     Сумма заказа: 0 руб.</v>
      </c>
      <c r="E1893" s="269"/>
      <c r="F1893" s="270"/>
      <c r="G1893" s="271" t="str">
        <f>CONCATENATE("Ценовая колонка: ",AO1893,"   |   До следующей скидки: ",AJ1893," руб.")</f>
        <v>Ценовая колонка: 3   |   До следующей скидки: 5000 руб.</v>
      </c>
      <c r="H1893" s="272"/>
      <c r="I1893" s="272"/>
      <c r="J1893" s="273" t="s">
        <v>677</v>
      </c>
      <c r="K1893" s="274"/>
      <c r="L1893" s="451"/>
      <c r="M1893" s="495" t="s">
        <v>104</v>
      </c>
      <c r="N1893" s="571"/>
      <c r="O1893" s="275"/>
      <c r="P1893" s="276"/>
      <c r="Q1893" s="277"/>
      <c r="R1893" s="265" t="s">
        <v>1558</v>
      </c>
      <c r="S1893" s="6"/>
      <c r="AG1893" s="400"/>
      <c r="AH1893" s="400"/>
      <c r="AJ1893">
        <f>ROUND(IF(AL1893&gt;20000,"0", IF(AND(AL1893&lt;20000,AM1893&gt;5000),20000-AL1893,5000-AM1893)),2)</f>
        <v>5000</v>
      </c>
      <c r="AK1893">
        <f>SUM(Q1895:Q1951)</f>
        <v>0</v>
      </c>
      <c r="AL1893">
        <f>SUM(AL1895:AL1951)</f>
        <v>0</v>
      </c>
      <c r="AM1893">
        <f>SUM(AM1895:AM1951)</f>
        <v>0</v>
      </c>
      <c r="AO1893">
        <f>IF(AM1893&gt;5000,IF(AL1893&gt;20000,1,2),3)</f>
        <v>3</v>
      </c>
      <c r="AV1893" t="str">
        <f>IF(F1893&gt;0,(COUNT($AV$1:AV1892)+1),"")</f>
        <v/>
      </c>
    </row>
    <row r="1894" spans="1:48" ht="15" customHeight="1" x14ac:dyDescent="0.25">
      <c r="A1894" s="1"/>
      <c r="B1894" s="296"/>
      <c r="C1894" s="38"/>
      <c r="D1894" s="27" t="s">
        <v>117</v>
      </c>
      <c r="E1894" s="82"/>
      <c r="F1894" s="97"/>
      <c r="G1894" s="40" t="s">
        <v>15</v>
      </c>
      <c r="H1894" s="41" t="s">
        <v>16</v>
      </c>
      <c r="I1894" s="41" t="s">
        <v>221</v>
      </c>
      <c r="J1894" s="52"/>
      <c r="K1894" s="48"/>
      <c r="L1894" s="448"/>
      <c r="M1894" s="491" t="s">
        <v>104</v>
      </c>
      <c r="N1894" s="715"/>
      <c r="O1894" s="187"/>
      <c r="P1894" s="81"/>
      <c r="Q1894" s="105"/>
      <c r="R1894" s="13"/>
      <c r="S1894" s="14"/>
      <c r="AV1894" t="str">
        <f>IF(F1894&gt;0,(COUNT($AV$1:AV1893)+1),"")</f>
        <v/>
      </c>
    </row>
    <row r="1895" spans="1:48" ht="15" customHeight="1" x14ac:dyDescent="0.25">
      <c r="A1895" s="1"/>
      <c r="B1895" s="30">
        <v>15817</v>
      </c>
      <c r="C1895" s="20">
        <v>4603727335019</v>
      </c>
      <c r="D1895" s="225" t="s">
        <v>1577</v>
      </c>
      <c r="E1895" s="67">
        <v>16</v>
      </c>
      <c r="F1895" s="222"/>
      <c r="G1895" s="107">
        <v>232.9</v>
      </c>
      <c r="H1895" s="21">
        <v>244.1</v>
      </c>
      <c r="I1895" s="22">
        <v>268.5</v>
      </c>
      <c r="J1895" s="112" t="s">
        <v>677</v>
      </c>
      <c r="K1895" s="45" t="s">
        <v>117</v>
      </c>
      <c r="L1895" s="437"/>
      <c r="M1895" s="474" t="s">
        <v>1856</v>
      </c>
      <c r="N1895" s="1013" t="s">
        <v>1856</v>
      </c>
      <c r="O1895" s="209"/>
      <c r="P1895" s="66" t="s">
        <v>50</v>
      </c>
      <c r="Q1895" s="100">
        <f t="shared" ref="Q1895:Q1913" si="1023">IF($AO$1893=2,F1895*H1895,IF($AO$1893=1,F1895*G1895,F1895*I1895))</f>
        <v>0</v>
      </c>
      <c r="R1895" s="13" t="str">
        <f t="shared" si="959"/>
        <v>Фото &gt;&gt;</v>
      </c>
      <c r="S1895" s="14" t="s">
        <v>679</v>
      </c>
      <c r="AK1895">
        <v>0.12</v>
      </c>
      <c r="AL1895">
        <f t="shared" ref="AL1895:AL1930" si="1024">F1895*G1895</f>
        <v>0</v>
      </c>
      <c r="AM1895">
        <f t="shared" ref="AM1895:AM1930" si="1025">F1895*H1895</f>
        <v>0</v>
      </c>
      <c r="AN1895">
        <f t="shared" ref="AN1895:AN1924" si="1026">AK1895*F1895+IF(E1895&gt;1.01,F1895/E1895*0.2,0)</f>
        <v>0</v>
      </c>
      <c r="AO1895" t="s">
        <v>5415</v>
      </c>
      <c r="AV1895" t="str">
        <f>IF(F1895&gt;0,(COUNT($AV$1:AV1894)+1),"")</f>
        <v/>
      </c>
    </row>
    <row r="1896" spans="1:48" ht="15" customHeight="1" x14ac:dyDescent="0.25">
      <c r="A1896" s="1"/>
      <c r="B1896" s="31">
        <v>15818</v>
      </c>
      <c r="C1896" s="16">
        <v>4603727335088</v>
      </c>
      <c r="D1896" s="226" t="s">
        <v>1578</v>
      </c>
      <c r="E1896" s="69">
        <v>16</v>
      </c>
      <c r="F1896" s="222"/>
      <c r="G1896" s="108">
        <v>232.9</v>
      </c>
      <c r="H1896" s="17">
        <v>244.1</v>
      </c>
      <c r="I1896" s="18">
        <v>268.5</v>
      </c>
      <c r="J1896" s="113" t="s">
        <v>677</v>
      </c>
      <c r="K1896" s="44" t="s">
        <v>117</v>
      </c>
      <c r="L1896" s="442"/>
      <c r="M1896" s="480" t="s">
        <v>1856</v>
      </c>
      <c r="N1896" s="1015" t="s">
        <v>1856</v>
      </c>
      <c r="O1896" s="210"/>
      <c r="P1896" s="68" t="s">
        <v>50</v>
      </c>
      <c r="Q1896" s="100">
        <f t="shared" si="1023"/>
        <v>0</v>
      </c>
      <c r="R1896" s="13" t="str">
        <f t="shared" si="959"/>
        <v>Фото &gt;&gt;</v>
      </c>
      <c r="S1896" s="14" t="s">
        <v>680</v>
      </c>
      <c r="AK1896">
        <v>0.12</v>
      </c>
      <c r="AL1896">
        <f t="shared" si="1024"/>
        <v>0</v>
      </c>
      <c r="AM1896">
        <f t="shared" si="1025"/>
        <v>0</v>
      </c>
      <c r="AN1896">
        <f t="shared" si="1026"/>
        <v>0</v>
      </c>
      <c r="AO1896" t="s">
        <v>5416</v>
      </c>
      <c r="AV1896" t="str">
        <f>IF(F1896&gt;0,(COUNT($AV$1:AV1895)+1),"")</f>
        <v/>
      </c>
    </row>
    <row r="1897" spans="1:48" ht="15" customHeight="1" x14ac:dyDescent="0.25">
      <c r="A1897" s="1"/>
      <c r="B1897" s="30">
        <v>15819</v>
      </c>
      <c r="C1897" s="20">
        <v>4603727335026</v>
      </c>
      <c r="D1897" s="225" t="s">
        <v>1579</v>
      </c>
      <c r="E1897" s="67">
        <v>16</v>
      </c>
      <c r="F1897" s="222"/>
      <c r="G1897" s="107">
        <v>232.9</v>
      </c>
      <c r="H1897" s="21">
        <v>244.1</v>
      </c>
      <c r="I1897" s="22">
        <v>268.5</v>
      </c>
      <c r="J1897" s="112" t="s">
        <v>677</v>
      </c>
      <c r="K1897" s="45" t="s">
        <v>117</v>
      </c>
      <c r="L1897" s="437"/>
      <c r="M1897" s="474" t="s">
        <v>1856</v>
      </c>
      <c r="N1897" s="1013" t="s">
        <v>1856</v>
      </c>
      <c r="O1897" s="209"/>
      <c r="P1897" s="66" t="s">
        <v>50</v>
      </c>
      <c r="Q1897" s="100">
        <f t="shared" si="1023"/>
        <v>0</v>
      </c>
      <c r="R1897" s="13" t="str">
        <f t="shared" si="959"/>
        <v>Фото &gt;&gt;</v>
      </c>
      <c r="S1897" s="14" t="s">
        <v>681</v>
      </c>
      <c r="AK1897">
        <v>0.12</v>
      </c>
      <c r="AL1897">
        <f t="shared" si="1024"/>
        <v>0</v>
      </c>
      <c r="AM1897">
        <f t="shared" si="1025"/>
        <v>0</v>
      </c>
      <c r="AN1897">
        <f t="shared" si="1026"/>
        <v>0</v>
      </c>
      <c r="AO1897" t="s">
        <v>5417</v>
      </c>
      <c r="AV1897" t="str">
        <f>IF(F1897&gt;0,(COUNT($AV$1:AV1896)+1),"")</f>
        <v/>
      </c>
    </row>
    <row r="1898" spans="1:48" ht="15" customHeight="1" x14ac:dyDescent="0.25">
      <c r="A1898" s="1"/>
      <c r="B1898" s="31">
        <v>15750</v>
      </c>
      <c r="C1898" s="16">
        <v>4603727335002</v>
      </c>
      <c r="D1898" s="226" t="s">
        <v>1580</v>
      </c>
      <c r="E1898" s="69">
        <v>16</v>
      </c>
      <c r="F1898" s="222"/>
      <c r="G1898" s="108">
        <v>232.9</v>
      </c>
      <c r="H1898" s="17">
        <v>244.1</v>
      </c>
      <c r="I1898" s="18">
        <v>268.5</v>
      </c>
      <c r="J1898" s="113" t="s">
        <v>677</v>
      </c>
      <c r="K1898" s="44" t="s">
        <v>117</v>
      </c>
      <c r="L1898" s="442"/>
      <c r="M1898" s="480" t="s">
        <v>1856</v>
      </c>
      <c r="N1898" s="1015" t="s">
        <v>1856</v>
      </c>
      <c r="O1898" s="210"/>
      <c r="P1898" s="68" t="s">
        <v>50</v>
      </c>
      <c r="Q1898" s="100">
        <f t="shared" si="1023"/>
        <v>0</v>
      </c>
      <c r="R1898" s="13" t="str">
        <f t="shared" si="959"/>
        <v>Фото &gt;&gt;</v>
      </c>
      <c r="S1898" s="14" t="s">
        <v>682</v>
      </c>
      <c r="AK1898">
        <v>0.12</v>
      </c>
      <c r="AL1898">
        <f t="shared" si="1024"/>
        <v>0</v>
      </c>
      <c r="AM1898">
        <f t="shared" si="1025"/>
        <v>0</v>
      </c>
      <c r="AN1898">
        <f t="shared" si="1026"/>
        <v>0</v>
      </c>
      <c r="AO1898" t="s">
        <v>5418</v>
      </c>
      <c r="AV1898" t="str">
        <f>IF(F1898&gt;0,(COUNT($AV$1:AV1897)+1),"")</f>
        <v/>
      </c>
    </row>
    <row r="1899" spans="1:48" ht="15" customHeight="1" x14ac:dyDescent="0.25">
      <c r="A1899" s="1"/>
      <c r="B1899" s="30">
        <v>15752</v>
      </c>
      <c r="C1899" s="20">
        <v>4603727335385</v>
      </c>
      <c r="D1899" s="225" t="s">
        <v>1581</v>
      </c>
      <c r="E1899" s="67">
        <v>16</v>
      </c>
      <c r="F1899" s="222"/>
      <c r="G1899" s="107">
        <v>232.9</v>
      </c>
      <c r="H1899" s="21">
        <v>244.1</v>
      </c>
      <c r="I1899" s="22">
        <v>268.5</v>
      </c>
      <c r="J1899" s="112" t="s">
        <v>677</v>
      </c>
      <c r="K1899" s="45" t="s">
        <v>117</v>
      </c>
      <c r="L1899" s="437"/>
      <c r="M1899" s="474" t="s">
        <v>1856</v>
      </c>
      <c r="N1899" s="1013" t="s">
        <v>1856</v>
      </c>
      <c r="O1899" s="209"/>
      <c r="P1899" s="66" t="s">
        <v>50</v>
      </c>
      <c r="Q1899" s="100">
        <f t="shared" si="1023"/>
        <v>0</v>
      </c>
      <c r="R1899" s="13" t="str">
        <f t="shared" si="959"/>
        <v>Фото &gt;&gt;</v>
      </c>
      <c r="S1899" s="14" t="s">
        <v>683</v>
      </c>
      <c r="AK1899">
        <v>0.12</v>
      </c>
      <c r="AL1899">
        <f t="shared" si="1024"/>
        <v>0</v>
      </c>
      <c r="AM1899">
        <f t="shared" si="1025"/>
        <v>0</v>
      </c>
      <c r="AN1899">
        <f t="shared" si="1026"/>
        <v>0</v>
      </c>
      <c r="AO1899" t="s">
        <v>5419</v>
      </c>
      <c r="AV1899" t="str">
        <f>IF(F1899&gt;0,(COUNT($AV$1:AV1898)+1),"")</f>
        <v/>
      </c>
    </row>
    <row r="1900" spans="1:48" ht="15" customHeight="1" x14ac:dyDescent="0.25">
      <c r="A1900" s="1"/>
      <c r="B1900" s="31">
        <v>15748</v>
      </c>
      <c r="C1900" s="16">
        <v>4603727335033</v>
      </c>
      <c r="D1900" s="226" t="s">
        <v>1582</v>
      </c>
      <c r="E1900" s="69">
        <v>16</v>
      </c>
      <c r="F1900" s="222"/>
      <c r="G1900" s="108">
        <v>232.9</v>
      </c>
      <c r="H1900" s="17">
        <v>244.1</v>
      </c>
      <c r="I1900" s="18">
        <v>268.5</v>
      </c>
      <c r="J1900" s="113" t="s">
        <v>677</v>
      </c>
      <c r="K1900" s="44" t="s">
        <v>117</v>
      </c>
      <c r="L1900" s="442"/>
      <c r="M1900" s="480" t="s">
        <v>1856</v>
      </c>
      <c r="N1900" s="1015" t="s">
        <v>1856</v>
      </c>
      <c r="O1900" s="210"/>
      <c r="P1900" s="68" t="s">
        <v>50</v>
      </c>
      <c r="Q1900" s="100">
        <f t="shared" si="1023"/>
        <v>0</v>
      </c>
      <c r="R1900" s="13" t="str">
        <f t="shared" si="959"/>
        <v>Фото &gt;&gt;</v>
      </c>
      <c r="S1900" s="14" t="s">
        <v>684</v>
      </c>
      <c r="AK1900">
        <v>0.12</v>
      </c>
      <c r="AL1900">
        <f t="shared" si="1024"/>
        <v>0</v>
      </c>
      <c r="AM1900">
        <f t="shared" si="1025"/>
        <v>0</v>
      </c>
      <c r="AN1900">
        <f t="shared" si="1026"/>
        <v>0</v>
      </c>
      <c r="AO1900" t="s">
        <v>4971</v>
      </c>
      <c r="AV1900" t="str">
        <f>IF(F1900&gt;0,(COUNT($AV$1:AV1899)+1),"")</f>
        <v/>
      </c>
    </row>
    <row r="1901" spans="1:48" ht="15" customHeight="1" x14ac:dyDescent="0.25">
      <c r="A1901" s="1"/>
      <c r="B1901" s="30">
        <v>17711</v>
      </c>
      <c r="C1901" s="20">
        <v>4603727335460</v>
      </c>
      <c r="D1901" s="225" t="s">
        <v>1583</v>
      </c>
      <c r="E1901" s="67">
        <v>16</v>
      </c>
      <c r="F1901" s="222"/>
      <c r="G1901" s="107">
        <v>232.9</v>
      </c>
      <c r="H1901" s="21">
        <v>244.1</v>
      </c>
      <c r="I1901" s="22">
        <v>268.5</v>
      </c>
      <c r="J1901" s="112" t="s">
        <v>677</v>
      </c>
      <c r="K1901" s="45" t="s">
        <v>117</v>
      </c>
      <c r="L1901" s="437"/>
      <c r="M1901" s="474" t="s">
        <v>1856</v>
      </c>
      <c r="N1901" s="1013" t="s">
        <v>1856</v>
      </c>
      <c r="O1901" s="209"/>
      <c r="P1901" s="66" t="s">
        <v>50</v>
      </c>
      <c r="Q1901" s="100">
        <f t="shared" si="1023"/>
        <v>0</v>
      </c>
      <c r="R1901" s="13" t="str">
        <f t="shared" si="959"/>
        <v>Фото &gt;&gt;</v>
      </c>
      <c r="S1901" s="14" t="s">
        <v>685</v>
      </c>
      <c r="AK1901">
        <v>0.12</v>
      </c>
      <c r="AL1901">
        <f t="shared" si="1024"/>
        <v>0</v>
      </c>
      <c r="AM1901">
        <f t="shared" si="1025"/>
        <v>0</v>
      </c>
      <c r="AN1901">
        <f t="shared" si="1026"/>
        <v>0</v>
      </c>
      <c r="AO1901" t="s">
        <v>5420</v>
      </c>
      <c r="AV1901" t="str">
        <f>IF(F1901&gt;0,(COUNT($AV$1:AV1900)+1),"")</f>
        <v/>
      </c>
    </row>
    <row r="1902" spans="1:48" ht="15" customHeight="1" x14ac:dyDescent="0.25">
      <c r="A1902" s="1"/>
      <c r="B1902" s="31">
        <v>15753</v>
      </c>
      <c r="C1902" s="16">
        <v>4603727335095</v>
      </c>
      <c r="D1902" s="226" t="s">
        <v>1584</v>
      </c>
      <c r="E1902" s="69">
        <v>16</v>
      </c>
      <c r="F1902" s="222"/>
      <c r="G1902" s="108">
        <v>232.9</v>
      </c>
      <c r="H1902" s="17">
        <v>244.1</v>
      </c>
      <c r="I1902" s="18">
        <v>268.5</v>
      </c>
      <c r="J1902" s="113" t="s">
        <v>677</v>
      </c>
      <c r="K1902" s="44" t="s">
        <v>117</v>
      </c>
      <c r="L1902" s="442"/>
      <c r="M1902" s="480" t="s">
        <v>1856</v>
      </c>
      <c r="N1902" s="1015" t="s">
        <v>1856</v>
      </c>
      <c r="O1902" s="210"/>
      <c r="P1902" s="68" t="s">
        <v>50</v>
      </c>
      <c r="Q1902" s="100">
        <f t="shared" si="1023"/>
        <v>0</v>
      </c>
      <c r="R1902" s="13" t="str">
        <f t="shared" si="959"/>
        <v>Фото &gt;&gt;</v>
      </c>
      <c r="S1902" s="14" t="s">
        <v>686</v>
      </c>
      <c r="AK1902">
        <v>0.12</v>
      </c>
      <c r="AL1902">
        <f t="shared" si="1024"/>
        <v>0</v>
      </c>
      <c r="AM1902">
        <f t="shared" si="1025"/>
        <v>0</v>
      </c>
      <c r="AN1902">
        <f t="shared" si="1026"/>
        <v>0</v>
      </c>
      <c r="AO1902" t="s">
        <v>5421</v>
      </c>
      <c r="AV1902" t="str">
        <f>IF(F1902&gt;0,(COUNT($AV$1:AV1901)+1),"")</f>
        <v/>
      </c>
    </row>
    <row r="1903" spans="1:48" ht="15" customHeight="1" x14ac:dyDescent="0.25">
      <c r="A1903" s="1"/>
      <c r="B1903" s="30">
        <v>15895</v>
      </c>
      <c r="C1903" s="20">
        <v>4603727335064</v>
      </c>
      <c r="D1903" s="225" t="s">
        <v>1585</v>
      </c>
      <c r="E1903" s="67">
        <v>16</v>
      </c>
      <c r="F1903" s="222"/>
      <c r="G1903" s="107">
        <v>232.9</v>
      </c>
      <c r="H1903" s="21">
        <v>244.1</v>
      </c>
      <c r="I1903" s="22">
        <v>268.5</v>
      </c>
      <c r="J1903" s="112" t="s">
        <v>677</v>
      </c>
      <c r="K1903" s="45" t="s">
        <v>117</v>
      </c>
      <c r="L1903" s="437"/>
      <c r="M1903" s="474" t="s">
        <v>1856</v>
      </c>
      <c r="N1903" s="1013" t="s">
        <v>1856</v>
      </c>
      <c r="O1903" s="209"/>
      <c r="P1903" s="66" t="s">
        <v>50</v>
      </c>
      <c r="Q1903" s="100">
        <f t="shared" si="1023"/>
        <v>0</v>
      </c>
      <c r="R1903" s="13" t="str">
        <f t="shared" si="959"/>
        <v>Фото &gt;&gt;</v>
      </c>
      <c r="S1903" s="14" t="s">
        <v>687</v>
      </c>
      <c r="AK1903">
        <v>0.12</v>
      </c>
      <c r="AL1903">
        <f t="shared" si="1024"/>
        <v>0</v>
      </c>
      <c r="AM1903">
        <f t="shared" si="1025"/>
        <v>0</v>
      </c>
      <c r="AN1903">
        <f t="shared" si="1026"/>
        <v>0</v>
      </c>
      <c r="AO1903" t="s">
        <v>5422</v>
      </c>
      <c r="AV1903" t="str">
        <f>IF(F1903&gt;0,(COUNT($AV$1:AV1902)+1),"")</f>
        <v/>
      </c>
    </row>
    <row r="1904" spans="1:48" ht="15" customHeight="1" x14ac:dyDescent="0.25">
      <c r="A1904" s="1"/>
      <c r="B1904" s="31">
        <v>15749</v>
      </c>
      <c r="C1904" s="16">
        <v>4603727335071</v>
      </c>
      <c r="D1904" s="226" t="s">
        <v>1586</v>
      </c>
      <c r="E1904" s="69">
        <v>16</v>
      </c>
      <c r="F1904" s="222"/>
      <c r="G1904" s="108">
        <v>232.9</v>
      </c>
      <c r="H1904" s="17">
        <v>244.1</v>
      </c>
      <c r="I1904" s="18">
        <v>268.5</v>
      </c>
      <c r="J1904" s="113" t="s">
        <v>677</v>
      </c>
      <c r="K1904" s="44" t="s">
        <v>117</v>
      </c>
      <c r="L1904" s="442"/>
      <c r="M1904" s="480" t="s">
        <v>1856</v>
      </c>
      <c r="N1904" s="1015" t="s">
        <v>1856</v>
      </c>
      <c r="O1904" s="210"/>
      <c r="P1904" s="68" t="s">
        <v>50</v>
      </c>
      <c r="Q1904" s="100">
        <f t="shared" si="1023"/>
        <v>0</v>
      </c>
      <c r="R1904" s="13" t="str">
        <f t="shared" si="959"/>
        <v>Фото &gt;&gt;</v>
      </c>
      <c r="S1904" s="14" t="s">
        <v>688</v>
      </c>
      <c r="AK1904">
        <v>0.12</v>
      </c>
      <c r="AL1904">
        <f t="shared" si="1024"/>
        <v>0</v>
      </c>
      <c r="AM1904">
        <f t="shared" si="1025"/>
        <v>0</v>
      </c>
      <c r="AN1904">
        <f t="shared" si="1026"/>
        <v>0</v>
      </c>
      <c r="AO1904" t="s">
        <v>5423</v>
      </c>
      <c r="AV1904" t="str">
        <f>IF(F1904&gt;0,(COUNT($AV$1:AV1903)+1),"")</f>
        <v/>
      </c>
    </row>
    <row r="1905" spans="1:48" ht="15" customHeight="1" x14ac:dyDescent="0.25">
      <c r="A1905" s="1"/>
      <c r="B1905" s="30">
        <v>15820</v>
      </c>
      <c r="C1905" s="20">
        <v>4603727335057</v>
      </c>
      <c r="D1905" s="225" t="s">
        <v>1587</v>
      </c>
      <c r="E1905" s="67">
        <v>16</v>
      </c>
      <c r="F1905" s="222"/>
      <c r="G1905" s="107">
        <v>232.9</v>
      </c>
      <c r="H1905" s="21">
        <v>244.1</v>
      </c>
      <c r="I1905" s="22">
        <v>268.5</v>
      </c>
      <c r="J1905" s="112" t="s">
        <v>677</v>
      </c>
      <c r="K1905" s="45" t="s">
        <v>117</v>
      </c>
      <c r="L1905" s="437"/>
      <c r="M1905" s="474" t="s">
        <v>1856</v>
      </c>
      <c r="N1905" s="1013" t="s">
        <v>1856</v>
      </c>
      <c r="O1905" s="209"/>
      <c r="P1905" s="66" t="s">
        <v>50</v>
      </c>
      <c r="Q1905" s="100">
        <f t="shared" si="1023"/>
        <v>0</v>
      </c>
      <c r="R1905" s="13" t="str">
        <f t="shared" si="959"/>
        <v>Фото &gt;&gt;</v>
      </c>
      <c r="S1905" s="14" t="s">
        <v>689</v>
      </c>
      <c r="AK1905">
        <v>0.12</v>
      </c>
      <c r="AL1905">
        <f t="shared" si="1024"/>
        <v>0</v>
      </c>
      <c r="AM1905">
        <f t="shared" si="1025"/>
        <v>0</v>
      </c>
      <c r="AN1905">
        <f t="shared" si="1026"/>
        <v>0</v>
      </c>
      <c r="AO1905" t="s">
        <v>5424</v>
      </c>
      <c r="AV1905" t="str">
        <f>IF(F1905&gt;0,(COUNT($AV$1:AV1904)+1),"")</f>
        <v/>
      </c>
    </row>
    <row r="1906" spans="1:48" ht="15" customHeight="1" x14ac:dyDescent="0.25">
      <c r="A1906" s="1"/>
      <c r="B1906" s="31">
        <v>15816</v>
      </c>
      <c r="C1906" s="16">
        <v>4603727335040</v>
      </c>
      <c r="D1906" s="226" t="s">
        <v>1588</v>
      </c>
      <c r="E1906" s="69">
        <v>16</v>
      </c>
      <c r="F1906" s="222"/>
      <c r="G1906" s="108">
        <v>232.9</v>
      </c>
      <c r="H1906" s="17">
        <v>244.1</v>
      </c>
      <c r="I1906" s="18">
        <v>268.5</v>
      </c>
      <c r="J1906" s="113" t="s">
        <v>677</v>
      </c>
      <c r="K1906" s="44" t="s">
        <v>117</v>
      </c>
      <c r="L1906" s="442"/>
      <c r="M1906" s="480" t="s">
        <v>1856</v>
      </c>
      <c r="N1906" s="1015" t="s">
        <v>1856</v>
      </c>
      <c r="O1906" s="210"/>
      <c r="P1906" s="68" t="s">
        <v>50</v>
      </c>
      <c r="Q1906" s="100">
        <f t="shared" si="1023"/>
        <v>0</v>
      </c>
      <c r="R1906" s="13" t="str">
        <f t="shared" si="959"/>
        <v>Фото &gt;&gt;</v>
      </c>
      <c r="S1906" s="14" t="s">
        <v>690</v>
      </c>
      <c r="AK1906">
        <v>0.12</v>
      </c>
      <c r="AL1906">
        <f t="shared" si="1024"/>
        <v>0</v>
      </c>
      <c r="AM1906">
        <f t="shared" si="1025"/>
        <v>0</v>
      </c>
      <c r="AN1906">
        <f t="shared" si="1026"/>
        <v>0</v>
      </c>
      <c r="AO1906" t="s">
        <v>5425</v>
      </c>
      <c r="AV1906" t="str">
        <f>IF(F1906&gt;0,(COUNT($AV$1:AV1905)+1),"")</f>
        <v/>
      </c>
    </row>
    <row r="1907" spans="1:48" ht="15" customHeight="1" x14ac:dyDescent="0.25">
      <c r="A1907" s="1"/>
      <c r="B1907" s="30">
        <v>15751</v>
      </c>
      <c r="C1907" s="20">
        <v>4603727335392</v>
      </c>
      <c r="D1907" s="225" t="s">
        <v>1589</v>
      </c>
      <c r="E1907" s="67">
        <v>16</v>
      </c>
      <c r="F1907" s="222"/>
      <c r="G1907" s="107">
        <v>232.9</v>
      </c>
      <c r="H1907" s="21">
        <v>244.1</v>
      </c>
      <c r="I1907" s="22">
        <v>268.5</v>
      </c>
      <c r="J1907" s="112" t="s">
        <v>677</v>
      </c>
      <c r="K1907" s="45" t="s">
        <v>117</v>
      </c>
      <c r="L1907" s="437"/>
      <c r="M1907" s="474" t="s">
        <v>1856</v>
      </c>
      <c r="N1907" s="1013" t="s">
        <v>1856</v>
      </c>
      <c r="O1907" s="209"/>
      <c r="P1907" s="66" t="s">
        <v>50</v>
      </c>
      <c r="Q1907" s="100">
        <f t="shared" si="1023"/>
        <v>0</v>
      </c>
      <c r="R1907" s="13" t="str">
        <f t="shared" si="959"/>
        <v>Фото &gt;&gt;</v>
      </c>
      <c r="S1907" s="14" t="s">
        <v>691</v>
      </c>
      <c r="AK1907">
        <v>0.12</v>
      </c>
      <c r="AL1907">
        <f t="shared" si="1024"/>
        <v>0</v>
      </c>
      <c r="AM1907">
        <f t="shared" si="1025"/>
        <v>0</v>
      </c>
      <c r="AN1907">
        <f t="shared" si="1026"/>
        <v>0</v>
      </c>
      <c r="AO1907" t="s">
        <v>3816</v>
      </c>
      <c r="AV1907" t="str">
        <f>IF(F1907&gt;0,(COUNT($AV$1:AV1906)+1),"")</f>
        <v/>
      </c>
    </row>
    <row r="1908" spans="1:48" ht="15" customHeight="1" x14ac:dyDescent="0.25">
      <c r="A1908" s="1"/>
      <c r="B1908" s="31">
        <v>19380</v>
      </c>
      <c r="C1908" s="16">
        <v>4673726850066</v>
      </c>
      <c r="D1908" s="226" t="s">
        <v>1931</v>
      </c>
      <c r="E1908" s="69">
        <v>20</v>
      </c>
      <c r="F1908" s="222"/>
      <c r="G1908" s="108">
        <v>181</v>
      </c>
      <c r="H1908" s="17">
        <v>191.2</v>
      </c>
      <c r="I1908" s="18">
        <v>200.3</v>
      </c>
      <c r="J1908" s="113" t="s">
        <v>677</v>
      </c>
      <c r="K1908" s="44" t="s">
        <v>117</v>
      </c>
      <c r="L1908" s="442"/>
      <c r="M1908" s="480" t="s">
        <v>1856</v>
      </c>
      <c r="N1908" s="1015"/>
      <c r="O1908" s="210"/>
      <c r="P1908" s="68" t="s">
        <v>72</v>
      </c>
      <c r="Q1908" s="100">
        <f t="shared" si="1023"/>
        <v>0</v>
      </c>
      <c r="R1908" s="13" t="str">
        <f t="shared" si="959"/>
        <v>Фото &gt;&gt;</v>
      </c>
      <c r="S1908" s="14" t="s">
        <v>1829</v>
      </c>
      <c r="AK1908">
        <v>0.15</v>
      </c>
      <c r="AL1908">
        <f t="shared" si="1024"/>
        <v>0</v>
      </c>
      <c r="AM1908">
        <f t="shared" si="1025"/>
        <v>0</v>
      </c>
      <c r="AN1908">
        <f t="shared" si="1026"/>
        <v>0</v>
      </c>
      <c r="AO1908" t="s">
        <v>2721</v>
      </c>
      <c r="AV1908" t="str">
        <f>IF(F1908&gt;0,(COUNT($AV$1:AV1907)+1),"")</f>
        <v/>
      </c>
    </row>
    <row r="1909" spans="1:48" ht="15" customHeight="1" x14ac:dyDescent="0.25">
      <c r="A1909" s="1"/>
      <c r="B1909" s="30">
        <v>19383</v>
      </c>
      <c r="C1909" s="20">
        <v>4673726850202</v>
      </c>
      <c r="D1909" s="225" t="s">
        <v>1943</v>
      </c>
      <c r="E1909" s="67">
        <v>20</v>
      </c>
      <c r="F1909" s="222"/>
      <c r="G1909" s="107">
        <v>164</v>
      </c>
      <c r="H1909" s="21">
        <v>171.9</v>
      </c>
      <c r="I1909" s="22">
        <v>189.2</v>
      </c>
      <c r="J1909" s="112" t="s">
        <v>677</v>
      </c>
      <c r="K1909" s="45" t="s">
        <v>117</v>
      </c>
      <c r="L1909" s="437"/>
      <c r="M1909" s="474" t="s">
        <v>1856</v>
      </c>
      <c r="N1909" s="1013" t="s">
        <v>1856</v>
      </c>
      <c r="O1909" s="209"/>
      <c r="P1909" s="66" t="s">
        <v>50</v>
      </c>
      <c r="Q1909" s="100">
        <f t="shared" si="1023"/>
        <v>0</v>
      </c>
      <c r="R1909" s="13" t="str">
        <f t="shared" si="959"/>
        <v>Фото &gt;&gt;</v>
      </c>
      <c r="S1909" s="14" t="s">
        <v>2388</v>
      </c>
      <c r="AK1909">
        <v>0.17</v>
      </c>
      <c r="AL1909">
        <f t="shared" si="1024"/>
        <v>0</v>
      </c>
      <c r="AM1909">
        <f t="shared" si="1025"/>
        <v>0</v>
      </c>
      <c r="AN1909">
        <f t="shared" si="1026"/>
        <v>0</v>
      </c>
      <c r="AO1909" t="s">
        <v>2722</v>
      </c>
      <c r="AV1909" t="str">
        <f>IF(F1909&gt;0,(COUNT($AV$1:AV1908)+1),"")</f>
        <v/>
      </c>
    </row>
    <row r="1910" spans="1:48" ht="15" customHeight="1" x14ac:dyDescent="0.25">
      <c r="A1910" s="1"/>
      <c r="B1910" s="31">
        <v>19382</v>
      </c>
      <c r="C1910" s="16">
        <v>4673726850226</v>
      </c>
      <c r="D1910" s="226" t="s">
        <v>1944</v>
      </c>
      <c r="E1910" s="69">
        <v>20</v>
      </c>
      <c r="F1910" s="222"/>
      <c r="G1910" s="108">
        <v>164</v>
      </c>
      <c r="H1910" s="17">
        <v>171.9</v>
      </c>
      <c r="I1910" s="18">
        <v>189.2</v>
      </c>
      <c r="J1910" s="113" t="s">
        <v>677</v>
      </c>
      <c r="K1910" s="44" t="s">
        <v>117</v>
      </c>
      <c r="L1910" s="442"/>
      <c r="M1910" s="480" t="s">
        <v>1856</v>
      </c>
      <c r="N1910" s="1015" t="s">
        <v>1856</v>
      </c>
      <c r="O1910" s="210"/>
      <c r="P1910" s="68" t="s">
        <v>50</v>
      </c>
      <c r="Q1910" s="100">
        <f t="shared" si="1023"/>
        <v>0</v>
      </c>
      <c r="R1910" s="13" t="str">
        <f t="shared" si="959"/>
        <v>Фото &gt;&gt;</v>
      </c>
      <c r="S1910" s="14" t="s">
        <v>2389</v>
      </c>
      <c r="AK1910">
        <v>0.17</v>
      </c>
      <c r="AL1910">
        <f t="shared" si="1024"/>
        <v>0</v>
      </c>
      <c r="AM1910">
        <f t="shared" si="1025"/>
        <v>0</v>
      </c>
      <c r="AN1910">
        <f t="shared" si="1026"/>
        <v>0</v>
      </c>
      <c r="AO1910" t="s">
        <v>2723</v>
      </c>
      <c r="AV1910" t="str">
        <f>IF(F1910&gt;0,(COUNT($AV$1:AV1909)+1),"")</f>
        <v/>
      </c>
    </row>
    <row r="1911" spans="1:48" ht="15" customHeight="1" x14ac:dyDescent="0.25">
      <c r="A1911" s="1"/>
      <c r="B1911" s="30">
        <v>19384</v>
      </c>
      <c r="C1911" s="20">
        <v>4673726850233</v>
      </c>
      <c r="D1911" s="225" t="s">
        <v>2104</v>
      </c>
      <c r="E1911" s="67">
        <v>20</v>
      </c>
      <c r="F1911" s="222"/>
      <c r="G1911" s="107">
        <v>164</v>
      </c>
      <c r="H1911" s="21">
        <v>171.9</v>
      </c>
      <c r="I1911" s="22">
        <v>189.2</v>
      </c>
      <c r="J1911" s="112" t="s">
        <v>677</v>
      </c>
      <c r="K1911" s="45" t="s">
        <v>117</v>
      </c>
      <c r="L1911" s="437"/>
      <c r="M1911" s="474" t="s">
        <v>1856</v>
      </c>
      <c r="N1911" s="1013" t="s">
        <v>1856</v>
      </c>
      <c r="O1911" s="209"/>
      <c r="P1911" s="66" t="s">
        <v>50</v>
      </c>
      <c r="Q1911" s="100">
        <f t="shared" si="1023"/>
        <v>0</v>
      </c>
      <c r="R1911" s="13" t="str">
        <f t="shared" si="959"/>
        <v>Фото &gt;&gt;</v>
      </c>
      <c r="S1911" s="14" t="s">
        <v>2390</v>
      </c>
      <c r="AK1911">
        <v>0.17</v>
      </c>
      <c r="AL1911">
        <f t="shared" si="1024"/>
        <v>0</v>
      </c>
      <c r="AM1911">
        <f t="shared" si="1025"/>
        <v>0</v>
      </c>
      <c r="AN1911">
        <f t="shared" si="1026"/>
        <v>0</v>
      </c>
      <c r="AO1911" t="s">
        <v>2724</v>
      </c>
      <c r="AV1911" t="str">
        <f>IF(F1911&gt;0,(COUNT($AV$1:AV1910)+1),"")</f>
        <v/>
      </c>
    </row>
    <row r="1912" spans="1:48" ht="15" customHeight="1" x14ac:dyDescent="0.25">
      <c r="A1912" s="1"/>
      <c r="B1912" s="31">
        <v>19386</v>
      </c>
      <c r="C1912" s="16">
        <v>4673726850240</v>
      </c>
      <c r="D1912" s="226" t="s">
        <v>1945</v>
      </c>
      <c r="E1912" s="69">
        <v>20</v>
      </c>
      <c r="F1912" s="222"/>
      <c r="G1912" s="108">
        <v>205</v>
      </c>
      <c r="H1912" s="17">
        <v>215.3</v>
      </c>
      <c r="I1912" s="18">
        <v>236.9</v>
      </c>
      <c r="J1912" s="113" t="s">
        <v>677</v>
      </c>
      <c r="K1912" s="44" t="s">
        <v>117</v>
      </c>
      <c r="L1912" s="442"/>
      <c r="M1912" s="480" t="s">
        <v>1856</v>
      </c>
      <c r="N1912" s="1015" t="s">
        <v>1856</v>
      </c>
      <c r="O1912" s="210"/>
      <c r="P1912" s="68" t="s">
        <v>50</v>
      </c>
      <c r="Q1912" s="100">
        <f t="shared" si="1023"/>
        <v>0</v>
      </c>
      <c r="R1912" s="13" t="str">
        <f t="shared" si="959"/>
        <v>Фото &gt;&gt;</v>
      </c>
      <c r="S1912" s="14" t="s">
        <v>2391</v>
      </c>
      <c r="AK1912">
        <v>0.17</v>
      </c>
      <c r="AL1912">
        <f t="shared" si="1024"/>
        <v>0</v>
      </c>
      <c r="AM1912">
        <f t="shared" si="1025"/>
        <v>0</v>
      </c>
      <c r="AN1912">
        <f t="shared" si="1026"/>
        <v>0</v>
      </c>
      <c r="AO1912" t="s">
        <v>2725</v>
      </c>
      <c r="AV1912" t="str">
        <f>IF(F1912&gt;0,(COUNT($AV$1:AV1911)+1),"")</f>
        <v/>
      </c>
    </row>
    <row r="1913" spans="1:48" ht="15" customHeight="1" x14ac:dyDescent="0.25">
      <c r="A1913" s="1"/>
      <c r="B1913" s="30">
        <v>19385</v>
      </c>
      <c r="C1913" s="20">
        <v>4673726850219</v>
      </c>
      <c r="D1913" s="225" t="s">
        <v>1946</v>
      </c>
      <c r="E1913" s="67">
        <v>20</v>
      </c>
      <c r="F1913" s="222"/>
      <c r="G1913" s="107">
        <v>164</v>
      </c>
      <c r="H1913" s="21">
        <v>171.9</v>
      </c>
      <c r="I1913" s="22">
        <v>189.2</v>
      </c>
      <c r="J1913" s="112" t="s">
        <v>677</v>
      </c>
      <c r="K1913" s="45" t="s">
        <v>117</v>
      </c>
      <c r="L1913" s="437"/>
      <c r="M1913" s="474" t="s">
        <v>1856</v>
      </c>
      <c r="N1913" s="1013" t="s">
        <v>1856</v>
      </c>
      <c r="O1913" s="209"/>
      <c r="P1913" s="66" t="s">
        <v>50</v>
      </c>
      <c r="Q1913" s="100">
        <f t="shared" si="1023"/>
        <v>0</v>
      </c>
      <c r="R1913" s="13" t="str">
        <f t="shared" si="959"/>
        <v>Фото &gt;&gt;</v>
      </c>
      <c r="S1913" s="14" t="s">
        <v>2392</v>
      </c>
      <c r="AK1913">
        <v>0.17</v>
      </c>
      <c r="AL1913">
        <f t="shared" si="1024"/>
        <v>0</v>
      </c>
      <c r="AM1913">
        <f t="shared" si="1025"/>
        <v>0</v>
      </c>
      <c r="AN1913">
        <f t="shared" si="1026"/>
        <v>0</v>
      </c>
      <c r="AO1913" t="s">
        <v>2726</v>
      </c>
      <c r="AV1913" t="str">
        <f>IF(F1913&gt;0,(COUNT($AV$1:AV1912)+1),"")</f>
        <v/>
      </c>
    </row>
    <row r="1914" spans="1:48" ht="15" customHeight="1" x14ac:dyDescent="0.25">
      <c r="A1914" s="1"/>
      <c r="B1914" s="25"/>
      <c r="C1914" s="26"/>
      <c r="D1914" s="27" t="s">
        <v>1444</v>
      </c>
      <c r="E1914" s="80"/>
      <c r="F1914" s="96"/>
      <c r="G1914" s="28"/>
      <c r="H1914" s="29"/>
      <c r="I1914" s="29"/>
      <c r="J1914" s="51"/>
      <c r="K1914" s="47"/>
      <c r="L1914" s="447"/>
      <c r="M1914" s="489" t="s">
        <v>104</v>
      </c>
      <c r="N1914" s="716"/>
      <c r="O1914" s="186"/>
      <c r="P1914" s="79"/>
      <c r="Q1914" s="104"/>
      <c r="R1914" s="13"/>
      <c r="S1914" s="14"/>
      <c r="AL1914">
        <f t="shared" si="1024"/>
        <v>0</v>
      </c>
      <c r="AM1914">
        <f t="shared" si="1025"/>
        <v>0</v>
      </c>
      <c r="AN1914">
        <f t="shared" si="1026"/>
        <v>0</v>
      </c>
      <c r="AO1914" t="s">
        <v>104</v>
      </c>
      <c r="AV1914" t="str">
        <f>IF(F1914&gt;0,(COUNT($AV$1:AV1913)+1),"")</f>
        <v/>
      </c>
    </row>
    <row r="1915" spans="1:48" ht="15" customHeight="1" x14ac:dyDescent="0.25">
      <c r="A1915" s="1"/>
      <c r="B1915" s="30">
        <v>19751</v>
      </c>
      <c r="C1915" s="20">
        <v>4603745687374</v>
      </c>
      <c r="D1915" s="225" t="s">
        <v>2053</v>
      </c>
      <c r="E1915" s="67">
        <v>1</v>
      </c>
      <c r="F1915" s="222"/>
      <c r="G1915" s="107">
        <v>186.7</v>
      </c>
      <c r="H1915" s="21">
        <v>196.3</v>
      </c>
      <c r="I1915" s="22">
        <v>215.6</v>
      </c>
      <c r="J1915" s="112" t="s">
        <v>677</v>
      </c>
      <c r="K1915" s="45" t="s">
        <v>1129</v>
      </c>
      <c r="L1915" s="437"/>
      <c r="M1915" s="474" t="s">
        <v>104</v>
      </c>
      <c r="N1915" s="1013" t="s">
        <v>1856</v>
      </c>
      <c r="O1915" s="209"/>
      <c r="P1915" s="66" t="s">
        <v>50</v>
      </c>
      <c r="Q1915" s="100">
        <f t="shared" ref="Q1915:Q1926" si="1027">IF($AO$1893=2,F1915*H1915,IF($AO$1893=1,F1915*G1915,F1915*I1915))</f>
        <v>0</v>
      </c>
      <c r="R1915" s="13" t="str">
        <f t="shared" si="959"/>
        <v>Фото &gt;&gt;</v>
      </c>
      <c r="S1915" s="14" t="s">
        <v>1947</v>
      </c>
      <c r="AK1915">
        <v>0.04</v>
      </c>
      <c r="AL1915">
        <f t="shared" ref="AL1915:AL1919" si="1028">F1915*G1915</f>
        <v>0</v>
      </c>
      <c r="AM1915">
        <f t="shared" ref="AM1915:AM1919" si="1029">F1915*H1915</f>
        <v>0</v>
      </c>
      <c r="AN1915">
        <f t="shared" si="1026"/>
        <v>0</v>
      </c>
      <c r="AO1915" t="s">
        <v>2727</v>
      </c>
      <c r="AV1915" t="str">
        <f>IF(F1915&gt;0,(COUNT($AV$1:AV1914)+1),"")</f>
        <v/>
      </c>
    </row>
    <row r="1916" spans="1:48" ht="15" customHeight="1" x14ac:dyDescent="0.25">
      <c r="A1916" s="1"/>
      <c r="B1916" s="31">
        <v>19752</v>
      </c>
      <c r="C1916" s="16">
        <v>4603745687381</v>
      </c>
      <c r="D1916" s="226" t="s">
        <v>2054</v>
      </c>
      <c r="E1916" s="69">
        <v>1</v>
      </c>
      <c r="F1916" s="222"/>
      <c r="G1916" s="108">
        <v>186.7</v>
      </c>
      <c r="H1916" s="17">
        <v>196.3</v>
      </c>
      <c r="I1916" s="18">
        <v>215.6</v>
      </c>
      <c r="J1916" s="113" t="s">
        <v>677</v>
      </c>
      <c r="K1916" s="44" t="s">
        <v>1129</v>
      </c>
      <c r="L1916" s="442"/>
      <c r="M1916" s="480" t="s">
        <v>104</v>
      </c>
      <c r="N1916" s="1015" t="s">
        <v>1856</v>
      </c>
      <c r="O1916" s="210"/>
      <c r="P1916" s="68" t="s">
        <v>50</v>
      </c>
      <c r="Q1916" s="100">
        <f t="shared" si="1027"/>
        <v>0</v>
      </c>
      <c r="R1916" s="13" t="str">
        <f t="shared" si="959"/>
        <v>Фото &gt;&gt;</v>
      </c>
      <c r="S1916" s="14" t="s">
        <v>1950</v>
      </c>
      <c r="AK1916">
        <v>0.04</v>
      </c>
      <c r="AL1916">
        <f t="shared" si="1028"/>
        <v>0</v>
      </c>
      <c r="AM1916">
        <f t="shared" si="1029"/>
        <v>0</v>
      </c>
      <c r="AN1916">
        <f t="shared" si="1026"/>
        <v>0</v>
      </c>
      <c r="AO1916" t="s">
        <v>2728</v>
      </c>
      <c r="AV1916" t="str">
        <f>IF(F1916&gt;0,(COUNT($AV$1:AV1915)+1),"")</f>
        <v/>
      </c>
    </row>
    <row r="1917" spans="1:48" ht="15" customHeight="1" x14ac:dyDescent="0.25">
      <c r="A1917" s="1"/>
      <c r="B1917" s="30">
        <v>19753</v>
      </c>
      <c r="C1917" s="20">
        <v>4603745687367</v>
      </c>
      <c r="D1917" s="225" t="s">
        <v>2055</v>
      </c>
      <c r="E1917" s="67">
        <v>1</v>
      </c>
      <c r="F1917" s="222"/>
      <c r="G1917" s="107">
        <v>186.7</v>
      </c>
      <c r="H1917" s="21">
        <v>196.3</v>
      </c>
      <c r="I1917" s="22">
        <v>215.6</v>
      </c>
      <c r="J1917" s="112" t="s">
        <v>677</v>
      </c>
      <c r="K1917" s="45" t="s">
        <v>1129</v>
      </c>
      <c r="L1917" s="437"/>
      <c r="M1917" s="474" t="s">
        <v>104</v>
      </c>
      <c r="N1917" s="1013" t="s">
        <v>1856</v>
      </c>
      <c r="O1917" s="209"/>
      <c r="P1917" s="66" t="s">
        <v>50</v>
      </c>
      <c r="Q1917" s="100">
        <f t="shared" si="1027"/>
        <v>0</v>
      </c>
      <c r="R1917" s="13" t="str">
        <f t="shared" si="959"/>
        <v>Фото &gt;&gt;</v>
      </c>
      <c r="S1917" s="14" t="s">
        <v>1948</v>
      </c>
      <c r="AK1917">
        <v>0.04</v>
      </c>
      <c r="AL1917">
        <f t="shared" si="1028"/>
        <v>0</v>
      </c>
      <c r="AM1917">
        <f t="shared" si="1029"/>
        <v>0</v>
      </c>
      <c r="AN1917">
        <f t="shared" si="1026"/>
        <v>0</v>
      </c>
      <c r="AO1917" t="s">
        <v>2729</v>
      </c>
      <c r="AV1917" t="str">
        <f>IF(F1917&gt;0,(COUNT($AV$1:AV1916)+1),"")</f>
        <v/>
      </c>
    </row>
    <row r="1918" spans="1:48" ht="15" customHeight="1" x14ac:dyDescent="0.25">
      <c r="A1918" s="1"/>
      <c r="B1918" s="31">
        <v>19749</v>
      </c>
      <c r="C1918" s="16">
        <v>4603745687350</v>
      </c>
      <c r="D1918" s="226" t="s">
        <v>2056</v>
      </c>
      <c r="E1918" s="69">
        <v>1</v>
      </c>
      <c r="F1918" s="222"/>
      <c r="G1918" s="108">
        <v>186.7</v>
      </c>
      <c r="H1918" s="17">
        <v>196.3</v>
      </c>
      <c r="I1918" s="18">
        <v>215.6</v>
      </c>
      <c r="J1918" s="113" t="s">
        <v>677</v>
      </c>
      <c r="K1918" s="44" t="s">
        <v>1129</v>
      </c>
      <c r="L1918" s="442"/>
      <c r="M1918" s="480" t="s">
        <v>104</v>
      </c>
      <c r="N1918" s="1015" t="s">
        <v>1856</v>
      </c>
      <c r="O1918" s="210"/>
      <c r="P1918" s="68" t="s">
        <v>50</v>
      </c>
      <c r="Q1918" s="100">
        <f t="shared" si="1027"/>
        <v>0</v>
      </c>
      <c r="R1918" s="13" t="str">
        <f t="shared" si="959"/>
        <v>Фото &gt;&gt;</v>
      </c>
      <c r="S1918" s="14" t="s">
        <v>1949</v>
      </c>
      <c r="AK1918">
        <v>0.04</v>
      </c>
      <c r="AL1918">
        <f t="shared" si="1028"/>
        <v>0</v>
      </c>
      <c r="AM1918">
        <f t="shared" si="1029"/>
        <v>0</v>
      </c>
      <c r="AN1918">
        <f t="shared" si="1026"/>
        <v>0</v>
      </c>
      <c r="AO1918" t="s">
        <v>2730</v>
      </c>
      <c r="AV1918" t="str">
        <f>IF(F1918&gt;0,(COUNT($AV$1:AV1917)+1),"")</f>
        <v/>
      </c>
    </row>
    <row r="1919" spans="1:48" ht="15" customHeight="1" x14ac:dyDescent="0.25">
      <c r="A1919" s="1"/>
      <c r="B1919" s="30">
        <v>19750</v>
      </c>
      <c r="C1919" s="20">
        <v>4603745687343</v>
      </c>
      <c r="D1919" s="225" t="s">
        <v>2057</v>
      </c>
      <c r="E1919" s="67">
        <v>1</v>
      </c>
      <c r="F1919" s="222"/>
      <c r="G1919" s="107">
        <v>186.7</v>
      </c>
      <c r="H1919" s="21">
        <v>196.3</v>
      </c>
      <c r="I1919" s="22">
        <v>215.6</v>
      </c>
      <c r="J1919" s="112" t="s">
        <v>677</v>
      </c>
      <c r="K1919" s="45" t="s">
        <v>1129</v>
      </c>
      <c r="L1919" s="437"/>
      <c r="M1919" s="474" t="s">
        <v>104</v>
      </c>
      <c r="N1919" s="1013" t="s">
        <v>1856</v>
      </c>
      <c r="O1919" s="209"/>
      <c r="P1919" s="66" t="s">
        <v>50</v>
      </c>
      <c r="Q1919" s="100">
        <f t="shared" si="1027"/>
        <v>0</v>
      </c>
      <c r="R1919" s="13" t="str">
        <f t="shared" si="959"/>
        <v>Фото &gt;&gt;</v>
      </c>
      <c r="S1919" s="14" t="s">
        <v>1951</v>
      </c>
      <c r="AK1919">
        <v>0.04</v>
      </c>
      <c r="AL1919">
        <f t="shared" si="1028"/>
        <v>0</v>
      </c>
      <c r="AM1919">
        <f t="shared" si="1029"/>
        <v>0</v>
      </c>
      <c r="AN1919">
        <f t="shared" si="1026"/>
        <v>0</v>
      </c>
      <c r="AO1919" t="s">
        <v>2731</v>
      </c>
      <c r="AV1919" t="str">
        <f>IF(F1919&gt;0,(COUNT($AV$1:AV1918)+1),"")</f>
        <v/>
      </c>
    </row>
    <row r="1920" spans="1:48" ht="15" customHeight="1" x14ac:dyDescent="0.25">
      <c r="A1920" s="1"/>
      <c r="B1920" s="31">
        <v>20168</v>
      </c>
      <c r="C1920" s="16">
        <v>4603727335156</v>
      </c>
      <c r="D1920" s="226" t="s">
        <v>3805</v>
      </c>
      <c r="E1920" s="69">
        <v>105</v>
      </c>
      <c r="F1920" s="222"/>
      <c r="G1920" s="108">
        <v>140.4</v>
      </c>
      <c r="H1920" s="17">
        <v>147.5</v>
      </c>
      <c r="I1920" s="18">
        <v>162.69999999999999</v>
      </c>
      <c r="J1920" s="113" t="s">
        <v>677</v>
      </c>
      <c r="K1920" s="44" t="s">
        <v>166</v>
      </c>
      <c r="L1920" s="442"/>
      <c r="M1920" s="480" t="s">
        <v>104</v>
      </c>
      <c r="N1920" s="1015" t="s">
        <v>1856</v>
      </c>
      <c r="O1920" s="210"/>
      <c r="P1920" s="68" t="s">
        <v>50</v>
      </c>
      <c r="Q1920" s="100">
        <f t="shared" si="1027"/>
        <v>0</v>
      </c>
      <c r="R1920" s="13" t="str">
        <f t="shared" si="959"/>
        <v>Фото &gt;&gt;</v>
      </c>
      <c r="S1920" s="14" t="s">
        <v>2381</v>
      </c>
      <c r="AK1920">
        <v>0.1</v>
      </c>
      <c r="AL1920">
        <f t="shared" ref="AL1920:AL1928" si="1030">F1920*G1920</f>
        <v>0</v>
      </c>
      <c r="AM1920">
        <f t="shared" ref="AM1920:AM1928" si="1031">F1920*H1920</f>
        <v>0</v>
      </c>
      <c r="AN1920">
        <f t="shared" si="1026"/>
        <v>0</v>
      </c>
      <c r="AO1920" t="s">
        <v>2732</v>
      </c>
      <c r="AV1920" t="str">
        <f>IF(F1920&gt;0,(COUNT($AV$1:AV1919)+1),"")</f>
        <v/>
      </c>
    </row>
    <row r="1921" spans="1:48" ht="15" customHeight="1" x14ac:dyDescent="0.25">
      <c r="A1921" s="1"/>
      <c r="B1921" s="30">
        <v>20327</v>
      </c>
      <c r="C1921" s="20">
        <v>4603727335170</v>
      </c>
      <c r="D1921" s="225" t="s">
        <v>4034</v>
      </c>
      <c r="E1921" s="67">
        <v>105</v>
      </c>
      <c r="F1921" s="222"/>
      <c r="G1921" s="107">
        <v>140.4</v>
      </c>
      <c r="H1921" s="21">
        <v>147.5</v>
      </c>
      <c r="I1921" s="22">
        <v>162.69999999999999</v>
      </c>
      <c r="J1921" s="112" t="s">
        <v>677</v>
      </c>
      <c r="K1921" s="45" t="s">
        <v>166</v>
      </c>
      <c r="L1921" s="437"/>
      <c r="M1921" s="474" t="s">
        <v>104</v>
      </c>
      <c r="N1921" s="1013" t="s">
        <v>1856</v>
      </c>
      <c r="O1921" s="209"/>
      <c r="P1921" s="66" t="s">
        <v>50</v>
      </c>
      <c r="Q1921" s="100">
        <f t="shared" si="1027"/>
        <v>0</v>
      </c>
      <c r="R1921" s="13" t="str">
        <f t="shared" si="959"/>
        <v>Фото &gt;&gt;</v>
      </c>
      <c r="S1921" s="14" t="s">
        <v>3268</v>
      </c>
      <c r="AK1921">
        <v>0.1</v>
      </c>
      <c r="AL1921">
        <f t="shared" ref="AL1921" si="1032">F1921*G1921</f>
        <v>0</v>
      </c>
      <c r="AM1921">
        <f t="shared" ref="AM1921" si="1033">F1921*H1921</f>
        <v>0</v>
      </c>
      <c r="AN1921">
        <f t="shared" si="1026"/>
        <v>0</v>
      </c>
      <c r="AO1921" t="s">
        <v>3269</v>
      </c>
      <c r="AV1921" t="str">
        <f>IF(F1921&gt;0,(COUNT($AV$1:AV1920)+1),"")</f>
        <v/>
      </c>
    </row>
    <row r="1922" spans="1:48" ht="15" customHeight="1" x14ac:dyDescent="0.25">
      <c r="A1922" s="1"/>
      <c r="B1922" s="31">
        <v>15756</v>
      </c>
      <c r="C1922" s="16">
        <v>4603727335118</v>
      </c>
      <c r="D1922" s="226" t="s">
        <v>1952</v>
      </c>
      <c r="E1922" s="69">
        <v>105</v>
      </c>
      <c r="F1922" s="222"/>
      <c r="G1922" s="108">
        <v>140.4</v>
      </c>
      <c r="H1922" s="17">
        <v>147.5</v>
      </c>
      <c r="I1922" s="18">
        <v>162.69999999999999</v>
      </c>
      <c r="J1922" s="113" t="s">
        <v>677</v>
      </c>
      <c r="K1922" s="44" t="s">
        <v>166</v>
      </c>
      <c r="L1922" s="442"/>
      <c r="M1922" s="480" t="s">
        <v>104</v>
      </c>
      <c r="N1922" s="1015" t="s">
        <v>1856</v>
      </c>
      <c r="O1922" s="210"/>
      <c r="P1922" s="68" t="s">
        <v>50</v>
      </c>
      <c r="Q1922" s="100">
        <f t="shared" si="1027"/>
        <v>0</v>
      </c>
      <c r="R1922" s="13" t="str">
        <f t="shared" si="959"/>
        <v>Фото &gt;&gt;</v>
      </c>
      <c r="S1922" s="14" t="s">
        <v>2382</v>
      </c>
      <c r="AK1922">
        <v>0.1</v>
      </c>
      <c r="AL1922">
        <f t="shared" si="1030"/>
        <v>0</v>
      </c>
      <c r="AM1922">
        <f t="shared" si="1031"/>
        <v>0</v>
      </c>
      <c r="AN1922">
        <f t="shared" si="1026"/>
        <v>0</v>
      </c>
      <c r="AO1922" t="s">
        <v>5426</v>
      </c>
      <c r="AV1922" t="str">
        <f>IF(F1922&gt;0,(COUNT($AV$1:AV1921)+1),"")</f>
        <v/>
      </c>
    </row>
    <row r="1923" spans="1:48" ht="15" customHeight="1" x14ac:dyDescent="0.25">
      <c r="A1923" s="1"/>
      <c r="B1923" s="30">
        <v>20169</v>
      </c>
      <c r="C1923" s="20">
        <v>4603727335125</v>
      </c>
      <c r="D1923" s="225" t="s">
        <v>3806</v>
      </c>
      <c r="E1923" s="67">
        <v>105</v>
      </c>
      <c r="F1923" s="222"/>
      <c r="G1923" s="107">
        <v>140.4</v>
      </c>
      <c r="H1923" s="21">
        <v>147.5</v>
      </c>
      <c r="I1923" s="22">
        <v>162.69999999999999</v>
      </c>
      <c r="J1923" s="112" t="s">
        <v>677</v>
      </c>
      <c r="K1923" s="45" t="s">
        <v>166</v>
      </c>
      <c r="L1923" s="437"/>
      <c r="M1923" s="474" t="s">
        <v>104</v>
      </c>
      <c r="N1923" s="1013" t="s">
        <v>1856</v>
      </c>
      <c r="O1923" s="209"/>
      <c r="P1923" s="66" t="s">
        <v>50</v>
      </c>
      <c r="Q1923" s="100">
        <f t="shared" si="1027"/>
        <v>0</v>
      </c>
      <c r="R1923" s="13" t="str">
        <f t="shared" si="959"/>
        <v>Фото &gt;&gt;</v>
      </c>
      <c r="S1923" s="14" t="s">
        <v>2383</v>
      </c>
      <c r="AK1923">
        <v>0.1</v>
      </c>
      <c r="AL1923">
        <f t="shared" si="1030"/>
        <v>0</v>
      </c>
      <c r="AM1923">
        <f t="shared" si="1031"/>
        <v>0</v>
      </c>
      <c r="AN1923">
        <f t="shared" si="1026"/>
        <v>0</v>
      </c>
      <c r="AO1923" t="s">
        <v>2733</v>
      </c>
      <c r="AV1923" t="str">
        <f>IF(F1923&gt;0,(COUNT($AV$1:AV1922)+1),"")</f>
        <v/>
      </c>
    </row>
    <row r="1924" spans="1:48" ht="15" customHeight="1" x14ac:dyDescent="0.25">
      <c r="A1924" s="1"/>
      <c r="B1924" s="31">
        <v>15757</v>
      </c>
      <c r="C1924" s="16">
        <v>4603727335132</v>
      </c>
      <c r="D1924" s="226" t="s">
        <v>1953</v>
      </c>
      <c r="E1924" s="69">
        <v>105</v>
      </c>
      <c r="F1924" s="222"/>
      <c r="G1924" s="108">
        <v>140.4</v>
      </c>
      <c r="H1924" s="17">
        <v>147.5</v>
      </c>
      <c r="I1924" s="18">
        <v>162.69999999999999</v>
      </c>
      <c r="J1924" s="113" t="s">
        <v>677</v>
      </c>
      <c r="K1924" s="44" t="s">
        <v>166</v>
      </c>
      <c r="L1924" s="442"/>
      <c r="M1924" s="480" t="s">
        <v>104</v>
      </c>
      <c r="N1924" s="1015" t="s">
        <v>1856</v>
      </c>
      <c r="O1924" s="210"/>
      <c r="P1924" s="68" t="s">
        <v>50</v>
      </c>
      <c r="Q1924" s="100">
        <f t="shared" si="1027"/>
        <v>0</v>
      </c>
      <c r="R1924" s="13" t="str">
        <f t="shared" si="959"/>
        <v>Фото &gt;&gt;</v>
      </c>
      <c r="S1924" s="14" t="s">
        <v>2387</v>
      </c>
      <c r="AK1924">
        <v>0.1</v>
      </c>
      <c r="AL1924">
        <f t="shared" si="1030"/>
        <v>0</v>
      </c>
      <c r="AM1924">
        <f t="shared" si="1031"/>
        <v>0</v>
      </c>
      <c r="AN1924">
        <f t="shared" si="1026"/>
        <v>0</v>
      </c>
      <c r="AO1924" t="s">
        <v>5427</v>
      </c>
      <c r="AV1924" t="str">
        <f>IF(F1924&gt;0,(COUNT($AV$1:AV1923)+1),"")</f>
        <v/>
      </c>
    </row>
    <row r="1925" spans="1:48" ht="15" customHeight="1" x14ac:dyDescent="0.25">
      <c r="A1925" s="1"/>
      <c r="B1925" s="30">
        <v>20170</v>
      </c>
      <c r="C1925" s="20">
        <v>4603727335187</v>
      </c>
      <c r="D1925" s="225" t="s">
        <v>3807</v>
      </c>
      <c r="E1925" s="67">
        <v>105</v>
      </c>
      <c r="F1925" s="222"/>
      <c r="G1925" s="107">
        <v>140.4</v>
      </c>
      <c r="H1925" s="21">
        <v>147.5</v>
      </c>
      <c r="I1925" s="22">
        <v>162.69999999999999</v>
      </c>
      <c r="J1925" s="112" t="s">
        <v>677</v>
      </c>
      <c r="K1925" s="45" t="s">
        <v>166</v>
      </c>
      <c r="L1925" s="437"/>
      <c r="M1925" s="474" t="s">
        <v>104</v>
      </c>
      <c r="N1925" s="1013" t="s">
        <v>1856</v>
      </c>
      <c r="O1925" s="209"/>
      <c r="P1925" s="66" t="s">
        <v>50</v>
      </c>
      <c r="Q1925" s="100">
        <f t="shared" si="1027"/>
        <v>0</v>
      </c>
      <c r="R1925" s="13" t="str">
        <f t="shared" si="959"/>
        <v>Фото &gt;&gt;</v>
      </c>
      <c r="S1925" s="14" t="s">
        <v>2384</v>
      </c>
      <c r="AK1925">
        <v>0.1</v>
      </c>
      <c r="AL1925">
        <f t="shared" si="1030"/>
        <v>0</v>
      </c>
      <c r="AM1925">
        <f t="shared" si="1031"/>
        <v>0</v>
      </c>
      <c r="AN1925">
        <f t="shared" ref="AN1925:AN1951" si="1034">AK1925*F1925+IF(E1925&gt;1.01,F1925/E1925*0.2,0)</f>
        <v>0</v>
      </c>
      <c r="AO1925" t="s">
        <v>2734</v>
      </c>
      <c r="AV1925" t="str">
        <f>IF(F1925&gt;0,(COUNT($AV$1:AV1924)+1),"")</f>
        <v/>
      </c>
    </row>
    <row r="1926" spans="1:48" ht="15" customHeight="1" x14ac:dyDescent="0.25">
      <c r="A1926" s="1"/>
      <c r="B1926" s="31">
        <v>15754</v>
      </c>
      <c r="C1926" s="16">
        <v>4603727335101</v>
      </c>
      <c r="D1926" s="226" t="s">
        <v>2385</v>
      </c>
      <c r="E1926" s="69">
        <v>105</v>
      </c>
      <c r="F1926" s="222"/>
      <c r="G1926" s="108">
        <v>140.4</v>
      </c>
      <c r="H1926" s="17">
        <v>147.5</v>
      </c>
      <c r="I1926" s="18">
        <v>162.69999999999999</v>
      </c>
      <c r="J1926" s="113" t="s">
        <v>677</v>
      </c>
      <c r="K1926" s="44" t="s">
        <v>166</v>
      </c>
      <c r="L1926" s="442"/>
      <c r="M1926" s="480" t="s">
        <v>104</v>
      </c>
      <c r="N1926" s="1015" t="s">
        <v>1856</v>
      </c>
      <c r="O1926" s="210"/>
      <c r="P1926" s="68" t="s">
        <v>50</v>
      </c>
      <c r="Q1926" s="100">
        <f t="shared" si="1027"/>
        <v>0</v>
      </c>
      <c r="R1926" s="13" t="str">
        <f t="shared" si="959"/>
        <v>Фото &gt;&gt;</v>
      </c>
      <c r="S1926" s="14" t="s">
        <v>2386</v>
      </c>
      <c r="AK1926">
        <v>0.1</v>
      </c>
      <c r="AL1926">
        <f t="shared" si="1030"/>
        <v>0</v>
      </c>
      <c r="AM1926">
        <f t="shared" si="1031"/>
        <v>0</v>
      </c>
      <c r="AN1926">
        <f t="shared" si="1034"/>
        <v>0</v>
      </c>
      <c r="AO1926" t="s">
        <v>5428</v>
      </c>
      <c r="AV1926" t="str">
        <f>IF(F1926&gt;0,(COUNT($AV$1:AV1925)+1),"")</f>
        <v/>
      </c>
    </row>
    <row r="1927" spans="1:48" ht="15" customHeight="1" x14ac:dyDescent="0.25">
      <c r="A1927" s="1"/>
      <c r="B1927" s="25"/>
      <c r="C1927" s="26"/>
      <c r="D1927" s="27" t="s">
        <v>1445</v>
      </c>
      <c r="E1927" s="80"/>
      <c r="F1927" s="96"/>
      <c r="G1927" s="28"/>
      <c r="H1927" s="29"/>
      <c r="I1927" s="29"/>
      <c r="J1927" s="51"/>
      <c r="K1927" s="47"/>
      <c r="L1927" s="447"/>
      <c r="M1927" s="489" t="s">
        <v>104</v>
      </c>
      <c r="N1927" s="716"/>
      <c r="O1927" s="186"/>
      <c r="P1927" s="79"/>
      <c r="Q1927" s="104"/>
      <c r="R1927" s="13"/>
      <c r="S1927" s="14"/>
      <c r="AL1927">
        <f t="shared" si="1030"/>
        <v>0</v>
      </c>
      <c r="AM1927">
        <f t="shared" si="1031"/>
        <v>0</v>
      </c>
      <c r="AN1927">
        <f t="shared" si="1034"/>
        <v>0</v>
      </c>
      <c r="AO1927" t="s">
        <v>104</v>
      </c>
      <c r="AV1927" t="str">
        <f>IF(F1927&gt;0,(COUNT($AV$1:AV1926)+1),"")</f>
        <v/>
      </c>
    </row>
    <row r="1928" spans="1:48" ht="15" customHeight="1" x14ac:dyDescent="0.25">
      <c r="A1928" s="1"/>
      <c r="B1928" s="30">
        <v>17510</v>
      </c>
      <c r="C1928" s="20">
        <v>4603745687053</v>
      </c>
      <c r="D1928" s="153" t="s">
        <v>693</v>
      </c>
      <c r="E1928" s="67">
        <v>48</v>
      </c>
      <c r="F1928" s="222"/>
      <c r="G1928" s="107">
        <v>169.8</v>
      </c>
      <c r="H1928" s="21">
        <v>178</v>
      </c>
      <c r="I1928" s="22">
        <v>196.3</v>
      </c>
      <c r="J1928" s="112" t="s">
        <v>677</v>
      </c>
      <c r="K1928" s="45" t="s">
        <v>694</v>
      </c>
      <c r="L1928" s="437"/>
      <c r="M1928" s="474" t="s">
        <v>104</v>
      </c>
      <c r="N1928" s="1013" t="s">
        <v>1856</v>
      </c>
      <c r="O1928" s="212"/>
      <c r="P1928" s="66" t="s">
        <v>50</v>
      </c>
      <c r="Q1928" s="100">
        <f t="shared" ref="Q1928:Q1943" si="1035">IF($AO$1893=2,F1928*H1928,IF($AO$1893=1,F1928*G1928,F1928*I1928))</f>
        <v>0</v>
      </c>
      <c r="R1928" s="13" t="str">
        <f t="shared" si="959"/>
        <v>Фото &gt;&gt;</v>
      </c>
      <c r="S1928" s="14" t="s">
        <v>695</v>
      </c>
      <c r="AK1928">
        <v>0.08</v>
      </c>
      <c r="AL1928">
        <f t="shared" si="1030"/>
        <v>0</v>
      </c>
      <c r="AM1928">
        <f t="shared" si="1031"/>
        <v>0</v>
      </c>
      <c r="AN1928">
        <f t="shared" si="1034"/>
        <v>0</v>
      </c>
      <c r="AO1928" t="s">
        <v>2735</v>
      </c>
      <c r="AV1928" t="str">
        <f>IF(F1928&gt;0,(COUNT($AV$1:AV1927)+1),"")</f>
        <v/>
      </c>
    </row>
    <row r="1929" spans="1:48" ht="15" customHeight="1" x14ac:dyDescent="0.25">
      <c r="A1929" s="1"/>
      <c r="B1929" s="31">
        <v>17511</v>
      </c>
      <c r="C1929" s="16">
        <v>4603745687015</v>
      </c>
      <c r="D1929" s="154" t="s">
        <v>696</v>
      </c>
      <c r="E1929" s="69">
        <v>48</v>
      </c>
      <c r="F1929" s="222"/>
      <c r="G1929" s="108">
        <v>169.8</v>
      </c>
      <c r="H1929" s="17">
        <v>178</v>
      </c>
      <c r="I1929" s="18">
        <v>196.3</v>
      </c>
      <c r="J1929" s="113" t="s">
        <v>677</v>
      </c>
      <c r="K1929" s="44" t="s">
        <v>694</v>
      </c>
      <c r="L1929" s="442"/>
      <c r="M1929" s="480" t="s">
        <v>104</v>
      </c>
      <c r="N1929" s="1015" t="s">
        <v>1856</v>
      </c>
      <c r="O1929" s="217"/>
      <c r="P1929" s="68" t="s">
        <v>50</v>
      </c>
      <c r="Q1929" s="100">
        <f t="shared" si="1035"/>
        <v>0</v>
      </c>
      <c r="R1929" s="13" t="str">
        <f t="shared" si="959"/>
        <v>Фото &gt;&gt;</v>
      </c>
      <c r="S1929" s="14" t="s">
        <v>697</v>
      </c>
      <c r="AK1929">
        <v>0.08</v>
      </c>
      <c r="AL1929">
        <f t="shared" si="1024"/>
        <v>0</v>
      </c>
      <c r="AM1929">
        <f t="shared" si="1025"/>
        <v>0</v>
      </c>
      <c r="AN1929">
        <f t="shared" si="1034"/>
        <v>0</v>
      </c>
      <c r="AO1929" t="s">
        <v>2736</v>
      </c>
      <c r="AV1929" t="str">
        <f>IF(F1929&gt;0,(COUNT($AV$1:AV1928)+1),"")</f>
        <v/>
      </c>
    </row>
    <row r="1930" spans="1:48" ht="15" customHeight="1" x14ac:dyDescent="0.25">
      <c r="A1930" s="1"/>
      <c r="B1930" s="30">
        <v>17512</v>
      </c>
      <c r="C1930" s="20">
        <v>4603745687008</v>
      </c>
      <c r="D1930" s="153" t="s">
        <v>698</v>
      </c>
      <c r="E1930" s="67">
        <v>48</v>
      </c>
      <c r="F1930" s="222"/>
      <c r="G1930" s="107">
        <v>169.8</v>
      </c>
      <c r="H1930" s="21">
        <v>178</v>
      </c>
      <c r="I1930" s="22">
        <v>196.3</v>
      </c>
      <c r="J1930" s="112" t="s">
        <v>677</v>
      </c>
      <c r="K1930" s="45" t="s">
        <v>694</v>
      </c>
      <c r="L1930" s="437"/>
      <c r="M1930" s="474" t="s">
        <v>104</v>
      </c>
      <c r="N1930" s="1013" t="s">
        <v>1856</v>
      </c>
      <c r="O1930" s="212"/>
      <c r="P1930" s="66" t="s">
        <v>50</v>
      </c>
      <c r="Q1930" s="100">
        <f t="shared" si="1035"/>
        <v>0</v>
      </c>
      <c r="R1930" s="13" t="str">
        <f t="shared" si="959"/>
        <v>Фото &gt;&gt;</v>
      </c>
      <c r="S1930" s="14" t="s">
        <v>699</v>
      </c>
      <c r="AK1930">
        <v>0.08</v>
      </c>
      <c r="AL1930">
        <f t="shared" si="1024"/>
        <v>0</v>
      </c>
      <c r="AM1930">
        <f t="shared" si="1025"/>
        <v>0</v>
      </c>
      <c r="AN1930">
        <f t="shared" si="1034"/>
        <v>0</v>
      </c>
      <c r="AO1930" t="s">
        <v>2737</v>
      </c>
      <c r="AV1930" t="str">
        <f>IF(F1930&gt;0,(COUNT($AV$1:AV1929)+1),"")</f>
        <v/>
      </c>
    </row>
    <row r="1931" spans="1:48" ht="15" customHeight="1" x14ac:dyDescent="0.25">
      <c r="A1931" s="1"/>
      <c r="B1931" s="31">
        <v>17513</v>
      </c>
      <c r="C1931" s="16">
        <v>4603745687039</v>
      </c>
      <c r="D1931" s="154" t="s">
        <v>700</v>
      </c>
      <c r="E1931" s="69">
        <v>48</v>
      </c>
      <c r="F1931" s="222"/>
      <c r="G1931" s="108">
        <v>169.8</v>
      </c>
      <c r="H1931" s="17">
        <v>178</v>
      </c>
      <c r="I1931" s="18">
        <v>196.3</v>
      </c>
      <c r="J1931" s="113" t="s">
        <v>677</v>
      </c>
      <c r="K1931" s="44" t="s">
        <v>694</v>
      </c>
      <c r="L1931" s="442"/>
      <c r="M1931" s="480" t="s">
        <v>104</v>
      </c>
      <c r="N1931" s="1015" t="s">
        <v>1856</v>
      </c>
      <c r="O1931" s="217"/>
      <c r="P1931" s="68" t="s">
        <v>50</v>
      </c>
      <c r="Q1931" s="100">
        <f t="shared" si="1035"/>
        <v>0</v>
      </c>
      <c r="R1931" s="13" t="str">
        <f t="shared" si="959"/>
        <v>Фото &gt;&gt;</v>
      </c>
      <c r="S1931" s="14" t="s">
        <v>701</v>
      </c>
      <c r="AK1931">
        <v>0.08</v>
      </c>
      <c r="AL1931">
        <f t="shared" ref="AL1931:AL1951" si="1036">F1931*G1931</f>
        <v>0</v>
      </c>
      <c r="AM1931">
        <f t="shared" ref="AM1931:AM1951" si="1037">F1931*H1931</f>
        <v>0</v>
      </c>
      <c r="AN1931">
        <f t="shared" si="1034"/>
        <v>0</v>
      </c>
      <c r="AO1931" t="s">
        <v>2738</v>
      </c>
      <c r="AV1931" t="str">
        <f>IF(F1931&gt;0,(COUNT($AV$1:AV1930)+1),"")</f>
        <v/>
      </c>
    </row>
    <row r="1932" spans="1:48" ht="15" customHeight="1" x14ac:dyDescent="0.25">
      <c r="A1932" s="1"/>
      <c r="B1932" s="30">
        <v>17514</v>
      </c>
      <c r="C1932" s="20">
        <v>4603745687046</v>
      </c>
      <c r="D1932" s="153" t="s">
        <v>702</v>
      </c>
      <c r="E1932" s="67">
        <v>48</v>
      </c>
      <c r="F1932" s="222"/>
      <c r="G1932" s="107">
        <v>169.8</v>
      </c>
      <c r="H1932" s="21">
        <v>178</v>
      </c>
      <c r="I1932" s="22">
        <v>196.3</v>
      </c>
      <c r="J1932" s="112" t="s">
        <v>677</v>
      </c>
      <c r="K1932" s="45" t="s">
        <v>694</v>
      </c>
      <c r="L1932" s="437"/>
      <c r="M1932" s="474" t="s">
        <v>104</v>
      </c>
      <c r="N1932" s="1013" t="s">
        <v>1856</v>
      </c>
      <c r="O1932" s="212"/>
      <c r="P1932" s="66" t="s">
        <v>50</v>
      </c>
      <c r="Q1932" s="100">
        <f t="shared" si="1035"/>
        <v>0</v>
      </c>
      <c r="R1932" s="13" t="str">
        <f t="shared" si="959"/>
        <v>Фото &gt;&gt;</v>
      </c>
      <c r="S1932" s="14" t="s">
        <v>3566</v>
      </c>
      <c r="AK1932">
        <v>0.08</v>
      </c>
      <c r="AL1932">
        <f t="shared" si="1036"/>
        <v>0</v>
      </c>
      <c r="AM1932">
        <f t="shared" si="1037"/>
        <v>0</v>
      </c>
      <c r="AN1932">
        <f t="shared" si="1034"/>
        <v>0</v>
      </c>
      <c r="AO1932" t="s">
        <v>2739</v>
      </c>
      <c r="AV1932" t="str">
        <f>IF(F1932&gt;0,(COUNT($AV$1:AV1931)+1),"")</f>
        <v/>
      </c>
    </row>
    <row r="1933" spans="1:48" ht="15" customHeight="1" x14ac:dyDescent="0.25">
      <c r="A1933" s="1"/>
      <c r="B1933" s="31">
        <v>17515</v>
      </c>
      <c r="C1933" s="16">
        <v>4603745687022</v>
      </c>
      <c r="D1933" s="154" t="s">
        <v>703</v>
      </c>
      <c r="E1933" s="69">
        <v>48</v>
      </c>
      <c r="F1933" s="222"/>
      <c r="G1933" s="108">
        <v>169.8</v>
      </c>
      <c r="H1933" s="17">
        <v>178</v>
      </c>
      <c r="I1933" s="18">
        <v>196.3</v>
      </c>
      <c r="J1933" s="113" t="s">
        <v>677</v>
      </c>
      <c r="K1933" s="44" t="s">
        <v>694</v>
      </c>
      <c r="L1933" s="442"/>
      <c r="M1933" s="480" t="s">
        <v>104</v>
      </c>
      <c r="N1933" s="1015" t="s">
        <v>1856</v>
      </c>
      <c r="O1933" s="217"/>
      <c r="P1933" s="68" t="s">
        <v>50</v>
      </c>
      <c r="Q1933" s="100">
        <f t="shared" si="1035"/>
        <v>0</v>
      </c>
      <c r="R1933" s="13" t="str">
        <f t="shared" si="959"/>
        <v>Фото &gt;&gt;</v>
      </c>
      <c r="S1933" s="14" t="s">
        <v>3567</v>
      </c>
      <c r="AK1933">
        <v>0.08</v>
      </c>
      <c r="AL1933">
        <f t="shared" si="1036"/>
        <v>0</v>
      </c>
      <c r="AM1933">
        <f t="shared" si="1037"/>
        <v>0</v>
      </c>
      <c r="AN1933">
        <f t="shared" si="1034"/>
        <v>0</v>
      </c>
      <c r="AO1933" t="s">
        <v>2740</v>
      </c>
      <c r="AV1933" t="str">
        <f>IF(F1933&gt;0,(COUNT($AV$1:AV1932)+1),"")</f>
        <v/>
      </c>
    </row>
    <row r="1934" spans="1:48" ht="15" customHeight="1" x14ac:dyDescent="0.25">
      <c r="A1934" s="1"/>
      <c r="B1934" s="30">
        <v>15762</v>
      </c>
      <c r="C1934" s="20">
        <v>4603727335248</v>
      </c>
      <c r="D1934" s="153" t="s">
        <v>3267</v>
      </c>
      <c r="E1934" s="67">
        <v>40</v>
      </c>
      <c r="F1934" s="222"/>
      <c r="G1934" s="107">
        <v>221.7</v>
      </c>
      <c r="H1934" s="21">
        <v>232.9</v>
      </c>
      <c r="I1934" s="22">
        <v>257.3</v>
      </c>
      <c r="J1934" s="112" t="s">
        <v>677</v>
      </c>
      <c r="K1934" s="45" t="s">
        <v>130</v>
      </c>
      <c r="L1934" s="437"/>
      <c r="M1934" s="474" t="s">
        <v>104</v>
      </c>
      <c r="N1934" s="1013"/>
      <c r="O1934" s="212"/>
      <c r="P1934" s="66" t="s">
        <v>50</v>
      </c>
      <c r="Q1934" s="100">
        <f t="shared" si="1035"/>
        <v>0</v>
      </c>
      <c r="R1934" s="13" t="str">
        <f t="shared" ref="R1934" si="1038">IF(AO1934&gt;0,HYPERLINK(AO1934,"Фото &gt;&gt;"),"")</f>
        <v>Фото &gt;&gt;</v>
      </c>
      <c r="S1934" s="14" t="s">
        <v>692</v>
      </c>
      <c r="AK1934">
        <v>0.14000000000000001</v>
      </c>
      <c r="AL1934">
        <f t="shared" si="1036"/>
        <v>0</v>
      </c>
      <c r="AM1934">
        <f t="shared" si="1037"/>
        <v>0</v>
      </c>
      <c r="AN1934">
        <f t="shared" si="1034"/>
        <v>0</v>
      </c>
      <c r="AO1934" t="s">
        <v>5429</v>
      </c>
      <c r="AV1934" t="str">
        <f>IF(F1934&gt;0,(COUNT($AV$1:AV1933)+1),"")</f>
        <v/>
      </c>
    </row>
    <row r="1935" spans="1:48" ht="15" customHeight="1" x14ac:dyDescent="0.25">
      <c r="A1935" s="1"/>
      <c r="B1935" s="31">
        <v>15759</v>
      </c>
      <c r="C1935" s="16">
        <v>4603727335200</v>
      </c>
      <c r="D1935" s="154" t="s">
        <v>3266</v>
      </c>
      <c r="E1935" s="69">
        <v>40</v>
      </c>
      <c r="F1935" s="222"/>
      <c r="G1935" s="108">
        <v>221.7</v>
      </c>
      <c r="H1935" s="17">
        <v>232.9</v>
      </c>
      <c r="I1935" s="18">
        <v>257.3</v>
      </c>
      <c r="J1935" s="113" t="s">
        <v>677</v>
      </c>
      <c r="K1935" s="44" t="s">
        <v>130</v>
      </c>
      <c r="L1935" s="442"/>
      <c r="M1935" s="480" t="s">
        <v>104</v>
      </c>
      <c r="N1935" s="1015"/>
      <c r="O1935" s="217"/>
      <c r="P1935" s="68" t="s">
        <v>50</v>
      </c>
      <c r="Q1935" s="100">
        <f t="shared" si="1035"/>
        <v>0</v>
      </c>
      <c r="R1935" s="13" t="str">
        <f t="shared" ref="R1935:R2008" si="1039">IF(AO1935&gt;0,HYPERLINK(AO1935,"Фото &gt;&gt;"),"")</f>
        <v>Фото &gt;&gt;</v>
      </c>
      <c r="S1935" s="14" t="s">
        <v>704</v>
      </c>
      <c r="AK1935">
        <v>0.14000000000000001</v>
      </c>
      <c r="AL1935">
        <f t="shared" si="1036"/>
        <v>0</v>
      </c>
      <c r="AM1935">
        <f t="shared" si="1037"/>
        <v>0</v>
      </c>
      <c r="AN1935">
        <f t="shared" si="1034"/>
        <v>0</v>
      </c>
      <c r="AO1935" t="s">
        <v>5430</v>
      </c>
      <c r="AV1935" t="str">
        <f>IF(F1935&gt;0,(COUNT($AV$1:AV1934)+1),"")</f>
        <v/>
      </c>
    </row>
    <row r="1936" spans="1:48" ht="15" customHeight="1" x14ac:dyDescent="0.25">
      <c r="A1936" s="1"/>
      <c r="B1936" s="30">
        <v>15760</v>
      </c>
      <c r="C1936" s="20">
        <v>4603727335224</v>
      </c>
      <c r="D1936" s="153" t="s">
        <v>3265</v>
      </c>
      <c r="E1936" s="67">
        <v>40</v>
      </c>
      <c r="F1936" s="222"/>
      <c r="G1936" s="107">
        <v>221.7</v>
      </c>
      <c r="H1936" s="21">
        <v>232.9</v>
      </c>
      <c r="I1936" s="22">
        <v>257.3</v>
      </c>
      <c r="J1936" s="112" t="s">
        <v>677</v>
      </c>
      <c r="K1936" s="45" t="s">
        <v>130</v>
      </c>
      <c r="L1936" s="437"/>
      <c r="M1936" s="474" t="s">
        <v>104</v>
      </c>
      <c r="N1936" s="1013" t="s">
        <v>1856</v>
      </c>
      <c r="O1936" s="212"/>
      <c r="P1936" s="66" t="s">
        <v>50</v>
      </c>
      <c r="Q1936" s="100">
        <f t="shared" si="1035"/>
        <v>0</v>
      </c>
      <c r="R1936" s="13" t="str">
        <f t="shared" si="1039"/>
        <v>Фото &gt;&gt;</v>
      </c>
      <c r="S1936" s="14" t="s">
        <v>3568</v>
      </c>
      <c r="AK1936">
        <v>0.14000000000000001</v>
      </c>
      <c r="AL1936">
        <f t="shared" si="1036"/>
        <v>0</v>
      </c>
      <c r="AM1936">
        <f t="shared" si="1037"/>
        <v>0</v>
      </c>
      <c r="AN1936">
        <f t="shared" si="1034"/>
        <v>0</v>
      </c>
      <c r="AO1936" t="s">
        <v>5431</v>
      </c>
      <c r="AV1936" t="str">
        <f>IF(F1936&gt;0,(COUNT($AV$1:AV1935)+1),"")</f>
        <v/>
      </c>
    </row>
    <row r="1937" spans="1:48" ht="15" customHeight="1" x14ac:dyDescent="0.25">
      <c r="A1937" s="1"/>
      <c r="B1937" s="31">
        <v>15764</v>
      </c>
      <c r="C1937" s="16">
        <v>4603727335217</v>
      </c>
      <c r="D1937" s="154" t="s">
        <v>3264</v>
      </c>
      <c r="E1937" s="69">
        <v>40</v>
      </c>
      <c r="F1937" s="222"/>
      <c r="G1937" s="108">
        <v>221.7</v>
      </c>
      <c r="H1937" s="17">
        <v>232.9</v>
      </c>
      <c r="I1937" s="18">
        <v>257.3</v>
      </c>
      <c r="J1937" s="113" t="s">
        <v>677</v>
      </c>
      <c r="K1937" s="44" t="s">
        <v>130</v>
      </c>
      <c r="L1937" s="442"/>
      <c r="M1937" s="480" t="s">
        <v>104</v>
      </c>
      <c r="N1937" s="1015"/>
      <c r="O1937" s="217"/>
      <c r="P1937" s="68" t="s">
        <v>50</v>
      </c>
      <c r="Q1937" s="100">
        <f t="shared" si="1035"/>
        <v>0</v>
      </c>
      <c r="R1937" s="13" t="str">
        <f t="shared" si="1039"/>
        <v>Фото &gt;&gt;</v>
      </c>
      <c r="S1937" s="14" t="s">
        <v>705</v>
      </c>
      <c r="AK1937">
        <v>0.14000000000000001</v>
      </c>
      <c r="AL1937">
        <f t="shared" si="1036"/>
        <v>0</v>
      </c>
      <c r="AM1937">
        <f t="shared" si="1037"/>
        <v>0</v>
      </c>
      <c r="AN1937">
        <f t="shared" si="1034"/>
        <v>0</v>
      </c>
      <c r="AO1937" t="s">
        <v>5432</v>
      </c>
      <c r="AV1937" t="str">
        <f>IF(F1937&gt;0,(COUNT($AV$1:AV1936)+1),"")</f>
        <v/>
      </c>
    </row>
    <row r="1938" spans="1:48" ht="15" customHeight="1" x14ac:dyDescent="0.25">
      <c r="A1938" s="1"/>
      <c r="B1938" s="30">
        <v>15761</v>
      </c>
      <c r="C1938" s="20">
        <v>4603727335231</v>
      </c>
      <c r="D1938" s="153" t="s">
        <v>3263</v>
      </c>
      <c r="E1938" s="67">
        <v>40</v>
      </c>
      <c r="F1938" s="222"/>
      <c r="G1938" s="107">
        <v>221.7</v>
      </c>
      <c r="H1938" s="21">
        <v>232.9</v>
      </c>
      <c r="I1938" s="22">
        <v>257.3</v>
      </c>
      <c r="J1938" s="112" t="s">
        <v>677</v>
      </c>
      <c r="K1938" s="45" t="s">
        <v>130</v>
      </c>
      <c r="L1938" s="437"/>
      <c r="M1938" s="474" t="s">
        <v>104</v>
      </c>
      <c r="N1938" s="1013"/>
      <c r="O1938" s="212"/>
      <c r="P1938" s="66" t="s">
        <v>50</v>
      </c>
      <c r="Q1938" s="100">
        <f t="shared" si="1035"/>
        <v>0</v>
      </c>
      <c r="R1938" s="13" t="str">
        <f t="shared" si="1039"/>
        <v>Фото &gt;&gt;</v>
      </c>
      <c r="S1938" s="14" t="s">
        <v>706</v>
      </c>
      <c r="AK1938">
        <v>0.14000000000000001</v>
      </c>
      <c r="AL1938">
        <f t="shared" si="1036"/>
        <v>0</v>
      </c>
      <c r="AM1938">
        <f t="shared" si="1037"/>
        <v>0</v>
      </c>
      <c r="AN1938">
        <f t="shared" si="1034"/>
        <v>0</v>
      </c>
      <c r="AO1938" t="s">
        <v>5433</v>
      </c>
      <c r="AV1938" t="str">
        <f>IF(F1938&gt;0,(COUNT($AV$1:AV1937)+1),"")</f>
        <v/>
      </c>
    </row>
    <row r="1939" spans="1:48" ht="15" customHeight="1" x14ac:dyDescent="0.25">
      <c r="A1939" s="1"/>
      <c r="B1939" s="31">
        <v>15765</v>
      </c>
      <c r="C1939" s="16">
        <v>4603727335255</v>
      </c>
      <c r="D1939" s="154" t="s">
        <v>3262</v>
      </c>
      <c r="E1939" s="69">
        <v>40</v>
      </c>
      <c r="F1939" s="222"/>
      <c r="G1939" s="108">
        <v>221.7</v>
      </c>
      <c r="H1939" s="17">
        <v>232.9</v>
      </c>
      <c r="I1939" s="18">
        <v>257.3</v>
      </c>
      <c r="J1939" s="113" t="s">
        <v>677</v>
      </c>
      <c r="K1939" s="44" t="s">
        <v>130</v>
      </c>
      <c r="L1939" s="442"/>
      <c r="M1939" s="480" t="s">
        <v>104</v>
      </c>
      <c r="N1939" s="1015"/>
      <c r="O1939" s="217"/>
      <c r="P1939" s="68" t="s">
        <v>50</v>
      </c>
      <c r="Q1939" s="100">
        <f t="shared" si="1035"/>
        <v>0</v>
      </c>
      <c r="R1939" s="13" t="str">
        <f t="shared" si="1039"/>
        <v>Фото &gt;&gt;</v>
      </c>
      <c r="S1939" s="14" t="s">
        <v>707</v>
      </c>
      <c r="AK1939">
        <v>0.14000000000000001</v>
      </c>
      <c r="AL1939">
        <f t="shared" si="1036"/>
        <v>0</v>
      </c>
      <c r="AM1939">
        <f t="shared" si="1037"/>
        <v>0</v>
      </c>
      <c r="AN1939">
        <f t="shared" si="1034"/>
        <v>0</v>
      </c>
      <c r="AO1939" t="s">
        <v>5434</v>
      </c>
      <c r="AV1939" t="str">
        <f>IF(F1939&gt;0,(COUNT($AV$1:AV1938)+1),"")</f>
        <v/>
      </c>
    </row>
    <row r="1940" spans="1:48" ht="15" customHeight="1" x14ac:dyDescent="0.25">
      <c r="A1940" s="1"/>
      <c r="B1940" s="30">
        <v>15758</v>
      </c>
      <c r="C1940" s="20">
        <v>4603727335194</v>
      </c>
      <c r="D1940" s="153" t="s">
        <v>3261</v>
      </c>
      <c r="E1940" s="67">
        <v>40</v>
      </c>
      <c r="F1940" s="222"/>
      <c r="G1940" s="107">
        <v>221.7</v>
      </c>
      <c r="H1940" s="21">
        <v>232.9</v>
      </c>
      <c r="I1940" s="22">
        <v>257.3</v>
      </c>
      <c r="J1940" s="112" t="s">
        <v>677</v>
      </c>
      <c r="K1940" s="45" t="s">
        <v>130</v>
      </c>
      <c r="L1940" s="437"/>
      <c r="M1940" s="474" t="s">
        <v>104</v>
      </c>
      <c r="N1940" s="1013"/>
      <c r="O1940" s="212"/>
      <c r="P1940" s="66" t="s">
        <v>50</v>
      </c>
      <c r="Q1940" s="100">
        <f t="shared" si="1035"/>
        <v>0</v>
      </c>
      <c r="R1940" s="13" t="str">
        <f t="shared" si="1039"/>
        <v>Фото &gt;&gt;</v>
      </c>
      <c r="S1940" s="14" t="s">
        <v>708</v>
      </c>
      <c r="AK1940">
        <v>0.14000000000000001</v>
      </c>
      <c r="AL1940">
        <f t="shared" si="1036"/>
        <v>0</v>
      </c>
      <c r="AM1940">
        <f t="shared" si="1037"/>
        <v>0</v>
      </c>
      <c r="AN1940">
        <f t="shared" si="1034"/>
        <v>0</v>
      </c>
      <c r="AO1940" t="s">
        <v>5435</v>
      </c>
      <c r="AV1940" t="str">
        <f>IF(F1940&gt;0,(COUNT($AV$1:AV1939)+1),"")</f>
        <v/>
      </c>
    </row>
    <row r="1941" spans="1:48" ht="15" customHeight="1" x14ac:dyDescent="0.25">
      <c r="A1941" s="1"/>
      <c r="B1941" s="31">
        <v>20326</v>
      </c>
      <c r="C1941" s="16">
        <v>4603727335453</v>
      </c>
      <c r="D1941" s="154" t="s">
        <v>4035</v>
      </c>
      <c r="E1941" s="69">
        <v>40</v>
      </c>
      <c r="F1941" s="222"/>
      <c r="G1941" s="108">
        <v>221.7</v>
      </c>
      <c r="H1941" s="17">
        <v>232.9</v>
      </c>
      <c r="I1941" s="18">
        <v>257.3</v>
      </c>
      <c r="J1941" s="113" t="s">
        <v>677</v>
      </c>
      <c r="K1941" s="44" t="s">
        <v>130</v>
      </c>
      <c r="L1941" s="442"/>
      <c r="M1941" s="480" t="s">
        <v>104</v>
      </c>
      <c r="N1941" s="1015"/>
      <c r="O1941" s="217"/>
      <c r="P1941" s="68" t="s">
        <v>50</v>
      </c>
      <c r="Q1941" s="100">
        <f t="shared" si="1035"/>
        <v>0</v>
      </c>
      <c r="R1941" s="13" t="str">
        <f t="shared" si="1039"/>
        <v>Фото &gt;&gt;</v>
      </c>
      <c r="S1941" s="14" t="s">
        <v>3259</v>
      </c>
      <c r="AK1941">
        <v>0.14000000000000001</v>
      </c>
      <c r="AL1941">
        <f t="shared" ref="AL1941" si="1040">F1941*G1941</f>
        <v>0</v>
      </c>
      <c r="AM1941">
        <f t="shared" ref="AM1941" si="1041">F1941*H1941</f>
        <v>0</v>
      </c>
      <c r="AN1941">
        <f t="shared" si="1034"/>
        <v>0</v>
      </c>
      <c r="AO1941" t="s">
        <v>3260</v>
      </c>
      <c r="AV1941" t="str">
        <f>IF(F1941&gt;0,(COUNT($AV$1:AV1940)+1),"")</f>
        <v/>
      </c>
    </row>
    <row r="1942" spans="1:48" ht="15" customHeight="1" x14ac:dyDescent="0.25">
      <c r="A1942" s="1"/>
      <c r="B1942" s="30">
        <v>16917</v>
      </c>
      <c r="C1942" s="20">
        <v>4603727335286</v>
      </c>
      <c r="D1942" s="153" t="s">
        <v>1590</v>
      </c>
      <c r="E1942" s="85">
        <v>5</v>
      </c>
      <c r="F1942" s="222"/>
      <c r="G1942" s="107">
        <v>81.400000000000006</v>
      </c>
      <c r="H1942" s="21">
        <v>85.5</v>
      </c>
      <c r="I1942" s="22">
        <v>93.6</v>
      </c>
      <c r="J1942" s="112" t="s">
        <v>677</v>
      </c>
      <c r="K1942" s="45" t="s">
        <v>694</v>
      </c>
      <c r="L1942" s="437"/>
      <c r="M1942" s="474" t="s">
        <v>104</v>
      </c>
      <c r="N1942" s="1013" t="s">
        <v>1856</v>
      </c>
      <c r="O1942" s="212" t="s">
        <v>1568</v>
      </c>
      <c r="P1942" s="66" t="s">
        <v>50</v>
      </c>
      <c r="Q1942" s="100">
        <f t="shared" si="1035"/>
        <v>0</v>
      </c>
      <c r="R1942" s="13" t="str">
        <f t="shared" si="1039"/>
        <v>Фото &gt;&gt;</v>
      </c>
      <c r="S1942" s="14" t="s">
        <v>2393</v>
      </c>
      <c r="AK1942">
        <v>0.04</v>
      </c>
      <c r="AL1942">
        <f t="shared" si="1036"/>
        <v>0</v>
      </c>
      <c r="AM1942">
        <f t="shared" si="1037"/>
        <v>0</v>
      </c>
      <c r="AN1942">
        <f t="shared" si="1034"/>
        <v>0</v>
      </c>
      <c r="AO1942" t="s">
        <v>3817</v>
      </c>
      <c r="AV1942" t="str">
        <f>IF(F1942&gt;0,(COUNT($AV$1:AV1941)+1),"")</f>
        <v/>
      </c>
    </row>
    <row r="1943" spans="1:48" ht="15" customHeight="1" x14ac:dyDescent="0.25">
      <c r="A1943" s="1"/>
      <c r="B1943" s="31">
        <v>16902</v>
      </c>
      <c r="C1943" s="16">
        <v>4603727335323</v>
      </c>
      <c r="D1943" s="154" t="s">
        <v>1591</v>
      </c>
      <c r="E1943" s="86">
        <v>5</v>
      </c>
      <c r="F1943" s="222"/>
      <c r="G1943" s="108">
        <v>81.400000000000006</v>
      </c>
      <c r="H1943" s="17">
        <v>85.5</v>
      </c>
      <c r="I1943" s="18">
        <v>93.6</v>
      </c>
      <c r="J1943" s="113" t="s">
        <v>677</v>
      </c>
      <c r="K1943" s="44" t="s">
        <v>694</v>
      </c>
      <c r="L1943" s="442"/>
      <c r="M1943" s="480" t="s">
        <v>104</v>
      </c>
      <c r="N1943" s="1015" t="s">
        <v>1856</v>
      </c>
      <c r="O1943" s="217" t="s">
        <v>1568</v>
      </c>
      <c r="P1943" s="68" t="s">
        <v>50</v>
      </c>
      <c r="Q1943" s="100">
        <f t="shared" si="1035"/>
        <v>0</v>
      </c>
      <c r="R1943" s="13" t="str">
        <f t="shared" si="1039"/>
        <v>Фото &gt;&gt;</v>
      </c>
      <c r="S1943" s="14" t="s">
        <v>2394</v>
      </c>
      <c r="AK1943">
        <v>0.04</v>
      </c>
      <c r="AL1943">
        <f t="shared" si="1036"/>
        <v>0</v>
      </c>
      <c r="AM1943">
        <f t="shared" si="1037"/>
        <v>0</v>
      </c>
      <c r="AN1943">
        <f t="shared" si="1034"/>
        <v>0</v>
      </c>
      <c r="AO1943" t="s">
        <v>2741</v>
      </c>
      <c r="AV1943" t="str">
        <f>IF(F1943&gt;0,(COUNT($AV$1:AV1942)+1),"")</f>
        <v/>
      </c>
    </row>
    <row r="1944" spans="1:48" ht="15" customHeight="1" x14ac:dyDescent="0.25">
      <c r="A1944" s="1"/>
      <c r="B1944" s="25"/>
      <c r="C1944" s="26"/>
      <c r="D1944" s="27" t="s">
        <v>2400</v>
      </c>
      <c r="E1944" s="80"/>
      <c r="F1944" s="96"/>
      <c r="G1944" s="28"/>
      <c r="H1944" s="29"/>
      <c r="I1944" s="29"/>
      <c r="J1944" s="51"/>
      <c r="K1944" s="47"/>
      <c r="L1944" s="447"/>
      <c r="M1944" s="489" t="s">
        <v>104</v>
      </c>
      <c r="N1944" s="716"/>
      <c r="O1944" s="186"/>
      <c r="P1944" s="79"/>
      <c r="Q1944" s="104"/>
      <c r="R1944" s="13"/>
      <c r="S1944" s="14"/>
      <c r="AL1944">
        <f t="shared" si="1036"/>
        <v>0</v>
      </c>
      <c r="AM1944">
        <f t="shared" si="1037"/>
        <v>0</v>
      </c>
      <c r="AN1944">
        <f t="shared" si="1034"/>
        <v>0</v>
      </c>
      <c r="AO1944" t="s">
        <v>104</v>
      </c>
      <c r="AV1944" t="str">
        <f>IF(F1944&gt;0,(COUNT($AV$1:AV1943)+1),"")</f>
        <v/>
      </c>
    </row>
    <row r="1945" spans="1:48" ht="15" customHeight="1" x14ac:dyDescent="0.25">
      <c r="A1945" s="1"/>
      <c r="B1945" s="30">
        <v>21238</v>
      </c>
      <c r="C1945" s="20">
        <v>4620375520161</v>
      </c>
      <c r="D1945" s="225" t="s">
        <v>7290</v>
      </c>
      <c r="E1945" s="67">
        <v>10</v>
      </c>
      <c r="F1945" s="222"/>
      <c r="G1945" s="107">
        <v>170.9</v>
      </c>
      <c r="H1945" s="21">
        <v>177.3</v>
      </c>
      <c r="I1945" s="22">
        <v>196.3</v>
      </c>
      <c r="J1945" s="112" t="s">
        <v>677</v>
      </c>
      <c r="K1945" s="45" t="s">
        <v>131</v>
      </c>
      <c r="L1945" s="437"/>
      <c r="M1945" s="474"/>
      <c r="N1945" s="1013" t="s">
        <v>1856</v>
      </c>
      <c r="O1945" s="209"/>
      <c r="P1945" s="66" t="s">
        <v>50</v>
      </c>
      <c r="Q1945" s="100">
        <f t="shared" ref="Q1945:Q1951" si="1042">IF($AO$1893=2,F1945*H1945,IF($AO$1893=1,F1945*G1945,F1945*I1945))</f>
        <v>0</v>
      </c>
      <c r="R1945" s="13" t="str">
        <f t="shared" si="1039"/>
        <v>Фото &gt;&gt;</v>
      </c>
      <c r="S1945" s="14" t="s">
        <v>6320</v>
      </c>
      <c r="AK1945">
        <v>0.03</v>
      </c>
      <c r="AL1945">
        <f t="shared" ref="AL1945:AL1949" si="1043">F1945*G1945</f>
        <v>0</v>
      </c>
      <c r="AM1945">
        <f t="shared" ref="AM1945:AM1949" si="1044">F1945*H1945</f>
        <v>0</v>
      </c>
      <c r="AN1945">
        <f t="shared" ref="AN1945:AN1949" si="1045">AK1945*F1945+IF(E1945&gt;1.01,F1945/E1945*0.2,0)</f>
        <v>0</v>
      </c>
      <c r="AO1945" t="s">
        <v>6322</v>
      </c>
      <c r="AV1945" t="str">
        <f>IF(F1945&gt;0,(COUNT($AV$1:AV1944)+1),"")</f>
        <v/>
      </c>
    </row>
    <row r="1946" spans="1:48" ht="15" customHeight="1" x14ac:dyDescent="0.25">
      <c r="A1946" s="1"/>
      <c r="B1946" s="31">
        <v>21239</v>
      </c>
      <c r="C1946" s="16">
        <v>4620375520215</v>
      </c>
      <c r="D1946" s="226" t="s">
        <v>7291</v>
      </c>
      <c r="E1946" s="69">
        <v>10</v>
      </c>
      <c r="F1946" s="222"/>
      <c r="G1946" s="108">
        <v>170.9</v>
      </c>
      <c r="H1946" s="17">
        <v>177.3</v>
      </c>
      <c r="I1946" s="18">
        <v>196.3</v>
      </c>
      <c r="J1946" s="113" t="s">
        <v>677</v>
      </c>
      <c r="K1946" s="44" t="s">
        <v>131</v>
      </c>
      <c r="L1946" s="442"/>
      <c r="M1946" s="480"/>
      <c r="N1946" s="1015" t="s">
        <v>1856</v>
      </c>
      <c r="O1946" s="210"/>
      <c r="P1946" s="68" t="s">
        <v>50</v>
      </c>
      <c r="Q1946" s="100">
        <f t="shared" si="1042"/>
        <v>0</v>
      </c>
      <c r="R1946" s="13" t="str">
        <f t="shared" si="1039"/>
        <v>Фото &gt;&gt;</v>
      </c>
      <c r="S1946" s="14" t="s">
        <v>6321</v>
      </c>
      <c r="AK1946">
        <v>0.03</v>
      </c>
      <c r="AL1946">
        <f t="shared" si="1043"/>
        <v>0</v>
      </c>
      <c r="AM1946">
        <f t="shared" si="1044"/>
        <v>0</v>
      </c>
      <c r="AN1946">
        <f t="shared" si="1045"/>
        <v>0</v>
      </c>
      <c r="AO1946" t="s">
        <v>6323</v>
      </c>
      <c r="AV1946" t="str">
        <f>IF(F1946&gt;0,(COUNT($AV$1:AV1945)+1),"")</f>
        <v/>
      </c>
    </row>
    <row r="1947" spans="1:48" ht="15" customHeight="1" x14ac:dyDescent="0.25">
      <c r="A1947" s="1"/>
      <c r="B1947" s="30">
        <v>18511</v>
      </c>
      <c r="C1947" s="20">
        <v>4603745687091</v>
      </c>
      <c r="D1947" s="153" t="s">
        <v>6810</v>
      </c>
      <c r="E1947" s="67">
        <v>60</v>
      </c>
      <c r="F1947" s="222"/>
      <c r="G1947" s="107">
        <v>263.39999999999998</v>
      </c>
      <c r="H1947" s="21">
        <v>276.60000000000002</v>
      </c>
      <c r="I1947" s="22">
        <v>304</v>
      </c>
      <c r="J1947" s="112" t="s">
        <v>677</v>
      </c>
      <c r="K1947" s="45" t="s">
        <v>223</v>
      </c>
      <c r="L1947" s="437"/>
      <c r="M1947" s="474" t="s">
        <v>104</v>
      </c>
      <c r="N1947" s="1013" t="s">
        <v>1856</v>
      </c>
      <c r="O1947" s="212"/>
      <c r="P1947" s="66" t="s">
        <v>50</v>
      </c>
      <c r="Q1947" s="100">
        <f t="shared" si="1042"/>
        <v>0</v>
      </c>
      <c r="R1947" s="13" t="str">
        <f t="shared" si="1039"/>
        <v>Фото &gt;&gt;</v>
      </c>
      <c r="S1947" s="14" t="s">
        <v>2395</v>
      </c>
      <c r="AK1947">
        <v>0.1</v>
      </c>
      <c r="AL1947">
        <f t="shared" si="1043"/>
        <v>0</v>
      </c>
      <c r="AM1947">
        <f t="shared" si="1044"/>
        <v>0</v>
      </c>
      <c r="AN1947">
        <f t="shared" si="1045"/>
        <v>0</v>
      </c>
      <c r="AO1947" t="s">
        <v>2742</v>
      </c>
      <c r="AV1947" t="str">
        <f>IF(F1947&gt;0,(COUNT($AV$1:AV1946)+1),"")</f>
        <v/>
      </c>
    </row>
    <row r="1948" spans="1:48" ht="15" customHeight="1" x14ac:dyDescent="0.25">
      <c r="A1948" s="1"/>
      <c r="B1948" s="31">
        <v>18512</v>
      </c>
      <c r="C1948" s="16">
        <v>4603745687107</v>
      </c>
      <c r="D1948" s="154" t="s">
        <v>2401</v>
      </c>
      <c r="E1948" s="69">
        <v>60</v>
      </c>
      <c r="F1948" s="222"/>
      <c r="G1948" s="108">
        <v>263.39999999999998</v>
      </c>
      <c r="H1948" s="17">
        <v>276.60000000000002</v>
      </c>
      <c r="I1948" s="18">
        <v>304</v>
      </c>
      <c r="J1948" s="113" t="s">
        <v>677</v>
      </c>
      <c r="K1948" s="44" t="s">
        <v>223</v>
      </c>
      <c r="L1948" s="442"/>
      <c r="M1948" s="480" t="s">
        <v>104</v>
      </c>
      <c r="N1948" s="1015" t="s">
        <v>1856</v>
      </c>
      <c r="O1948" s="217"/>
      <c r="P1948" s="68" t="s">
        <v>50</v>
      </c>
      <c r="Q1948" s="100">
        <f t="shared" si="1042"/>
        <v>0</v>
      </c>
      <c r="R1948" s="13" t="str">
        <f t="shared" ref="R1948" si="1046">IF(AO1948&gt;0,HYPERLINK(AO1948,"Фото &gt;&gt;"),"")</f>
        <v>Фото &gt;&gt;</v>
      </c>
      <c r="S1948" s="14" t="s">
        <v>2399</v>
      </c>
      <c r="AK1948">
        <v>0.1</v>
      </c>
      <c r="AL1948">
        <f t="shared" si="1043"/>
        <v>0</v>
      </c>
      <c r="AM1948">
        <f t="shared" si="1044"/>
        <v>0</v>
      </c>
      <c r="AN1948">
        <f t="shared" si="1045"/>
        <v>0</v>
      </c>
      <c r="AO1948" t="s">
        <v>2743</v>
      </c>
      <c r="AV1948" t="str">
        <f>IF(F1948&gt;0,(COUNT($AV$1:AV1947)+1),"")</f>
        <v/>
      </c>
    </row>
    <row r="1949" spans="1:48" ht="15" customHeight="1" x14ac:dyDescent="0.25">
      <c r="A1949" s="1"/>
      <c r="B1949" s="30">
        <v>18510</v>
      </c>
      <c r="C1949" s="20">
        <v>4603745687084</v>
      </c>
      <c r="D1949" s="153" t="s">
        <v>709</v>
      </c>
      <c r="E1949" s="67">
        <v>60</v>
      </c>
      <c r="F1949" s="222"/>
      <c r="G1949" s="107">
        <v>263.39999999999998</v>
      </c>
      <c r="H1949" s="21">
        <v>276.60000000000002</v>
      </c>
      <c r="I1949" s="22">
        <v>289.8</v>
      </c>
      <c r="J1949" s="112" t="s">
        <v>677</v>
      </c>
      <c r="K1949" s="45" t="s">
        <v>223</v>
      </c>
      <c r="L1949" s="437"/>
      <c r="M1949" s="474" t="s">
        <v>104</v>
      </c>
      <c r="N1949" s="1013" t="s">
        <v>1856</v>
      </c>
      <c r="O1949" s="212"/>
      <c r="P1949" s="66" t="s">
        <v>50</v>
      </c>
      <c r="Q1949" s="100">
        <f t="shared" si="1042"/>
        <v>0</v>
      </c>
      <c r="R1949" s="13" t="str">
        <f t="shared" si="1039"/>
        <v>Фото &gt;&gt;</v>
      </c>
      <c r="S1949" s="14" t="s">
        <v>2396</v>
      </c>
      <c r="AK1949">
        <v>0.1</v>
      </c>
      <c r="AL1949">
        <f t="shared" si="1043"/>
        <v>0</v>
      </c>
      <c r="AM1949">
        <f t="shared" si="1044"/>
        <v>0</v>
      </c>
      <c r="AN1949">
        <f t="shared" si="1045"/>
        <v>0</v>
      </c>
      <c r="AO1949" t="s">
        <v>2744</v>
      </c>
      <c r="AV1949" t="str">
        <f>IF(F1949&gt;0,(COUNT($AV$1:AV1948)+1),"")</f>
        <v/>
      </c>
    </row>
    <row r="1950" spans="1:48" ht="15" customHeight="1" x14ac:dyDescent="0.25">
      <c r="A1950" s="1"/>
      <c r="B1950" s="31">
        <v>18513</v>
      </c>
      <c r="C1950" s="16">
        <v>4603745687060</v>
      </c>
      <c r="D1950" s="154" t="s">
        <v>710</v>
      </c>
      <c r="E1950" s="69">
        <v>60</v>
      </c>
      <c r="F1950" s="222"/>
      <c r="G1950" s="108">
        <v>263.39999999999998</v>
      </c>
      <c r="H1950" s="17">
        <v>276.60000000000002</v>
      </c>
      <c r="I1950" s="18">
        <v>289.8</v>
      </c>
      <c r="J1950" s="113" t="s">
        <v>677</v>
      </c>
      <c r="K1950" s="44" t="s">
        <v>223</v>
      </c>
      <c r="L1950" s="442"/>
      <c r="M1950" s="480" t="s">
        <v>104</v>
      </c>
      <c r="N1950" s="1015" t="s">
        <v>1856</v>
      </c>
      <c r="O1950" s="217"/>
      <c r="P1950" s="68" t="s">
        <v>50</v>
      </c>
      <c r="Q1950" s="100">
        <f t="shared" si="1042"/>
        <v>0</v>
      </c>
      <c r="R1950" s="13" t="str">
        <f t="shared" si="1039"/>
        <v>Фото &gt;&gt;</v>
      </c>
      <c r="S1950" s="14" t="s">
        <v>2397</v>
      </c>
      <c r="AK1950">
        <v>0.1</v>
      </c>
      <c r="AL1950">
        <f t="shared" si="1036"/>
        <v>0</v>
      </c>
      <c r="AM1950">
        <f t="shared" si="1037"/>
        <v>0</v>
      </c>
      <c r="AN1950">
        <f t="shared" si="1034"/>
        <v>0</v>
      </c>
      <c r="AO1950" t="s">
        <v>2745</v>
      </c>
      <c r="AV1950" t="str">
        <f>IF(F1950&gt;0,(COUNT($AV$1:AV1949)+1),"")</f>
        <v/>
      </c>
    </row>
    <row r="1951" spans="1:48" ht="15" customHeight="1" x14ac:dyDescent="0.25">
      <c r="A1951" s="1"/>
      <c r="B1951" s="30">
        <v>18534</v>
      </c>
      <c r="C1951" s="20">
        <v>4603745687077</v>
      </c>
      <c r="D1951" s="153" t="s">
        <v>711</v>
      </c>
      <c r="E1951" s="67">
        <v>60</v>
      </c>
      <c r="F1951" s="222"/>
      <c r="G1951" s="107">
        <v>263.39999999999998</v>
      </c>
      <c r="H1951" s="21">
        <v>276.60000000000002</v>
      </c>
      <c r="I1951" s="22">
        <v>289.8</v>
      </c>
      <c r="J1951" s="112" t="s">
        <v>677</v>
      </c>
      <c r="K1951" s="45" t="s">
        <v>223</v>
      </c>
      <c r="L1951" s="437"/>
      <c r="M1951" s="474" t="s">
        <v>104</v>
      </c>
      <c r="N1951" s="1013" t="s">
        <v>1856</v>
      </c>
      <c r="O1951" s="212"/>
      <c r="P1951" s="66" t="s">
        <v>50</v>
      </c>
      <c r="Q1951" s="100">
        <f t="shared" si="1042"/>
        <v>0</v>
      </c>
      <c r="R1951" s="13" t="str">
        <f t="shared" si="1039"/>
        <v>Фото &gt;&gt;</v>
      </c>
      <c r="S1951" s="14" t="s">
        <v>2398</v>
      </c>
      <c r="AK1951">
        <v>0.1</v>
      </c>
      <c r="AL1951">
        <f t="shared" si="1036"/>
        <v>0</v>
      </c>
      <c r="AM1951">
        <f t="shared" si="1037"/>
        <v>0</v>
      </c>
      <c r="AN1951">
        <f t="shared" si="1034"/>
        <v>0</v>
      </c>
      <c r="AO1951" t="s">
        <v>2746</v>
      </c>
      <c r="AV1951" t="str">
        <f>IF(F1951&gt;0,(COUNT($AV$1:AV1950)+1),"")</f>
        <v/>
      </c>
    </row>
    <row r="1952" spans="1:48" ht="15" customHeight="1" x14ac:dyDescent="0.25">
      <c r="A1952" s="1"/>
      <c r="B1952" s="125"/>
      <c r="C1952" s="126"/>
      <c r="D1952" s="127"/>
      <c r="E1952" s="134"/>
      <c r="F1952" s="189"/>
      <c r="G1952" s="130"/>
      <c r="H1952" s="131"/>
      <c r="I1952" s="132"/>
      <c r="J1952" s="128"/>
      <c r="K1952" s="129"/>
      <c r="L1952" s="433"/>
      <c r="M1952" s="481" t="s">
        <v>104</v>
      </c>
      <c r="N1952" s="471"/>
      <c r="O1952" s="181"/>
      <c r="P1952" s="133"/>
      <c r="Q1952" s="135"/>
      <c r="R1952" s="13"/>
      <c r="S1952" s="14"/>
      <c r="AV1952" t="str">
        <f>IF(F1952&gt;0,(COUNT($AV$1:AV1951)+1),"")</f>
        <v/>
      </c>
    </row>
    <row r="1953" spans="1:48" ht="15" customHeight="1" thickBot="1" x14ac:dyDescent="0.3">
      <c r="A1953" s="1"/>
      <c r="B1953" s="136"/>
      <c r="C1953" s="137"/>
      <c r="D1953" s="138"/>
      <c r="E1953" s="145"/>
      <c r="F1953" s="190"/>
      <c r="G1953" s="141"/>
      <c r="H1953" s="142"/>
      <c r="I1953" s="143"/>
      <c r="J1953" s="139"/>
      <c r="K1953" s="140"/>
      <c r="L1953" s="434"/>
      <c r="M1953" s="477" t="s">
        <v>104</v>
      </c>
      <c r="N1953" s="468"/>
      <c r="O1953" s="182"/>
      <c r="P1953" s="144"/>
      <c r="Q1953" s="146"/>
      <c r="R1953" s="13"/>
      <c r="S1953" s="14"/>
      <c r="AV1953" t="str">
        <f>IF(F1953&gt;0,(COUNT($AV$1:AV1952)+1),"")</f>
        <v/>
      </c>
    </row>
    <row r="1954" spans="1:48" ht="24.95" customHeight="1" thickBot="1" x14ac:dyDescent="0.3">
      <c r="A1954" s="1"/>
      <c r="B1954" s="266"/>
      <c r="C1954" s="267"/>
      <c r="D1954" s="268" t="str">
        <f>CONCATENATE("Zero (Mr.Djemius)","     |     Сумма заказа: ",AK1954," руб.")</f>
        <v>Zero (Mr.Djemius)     |     Сумма заказа: 0 руб.</v>
      </c>
      <c r="E1954" s="269"/>
      <c r="F1954" s="270"/>
      <c r="G1954" s="271" t="str">
        <f>CONCATENATE("Ценовая колонка: ",AO1954,"   |   До следующей скидки: ",AJ1954," руб.")</f>
        <v>Ценовая колонка: 3   |   До следующей скидки: 5000 руб.</v>
      </c>
      <c r="H1954" s="272"/>
      <c r="I1954" s="272"/>
      <c r="J1954" s="273" t="s">
        <v>712</v>
      </c>
      <c r="K1954" s="274"/>
      <c r="L1954" s="451"/>
      <c r="M1954" s="495" t="s">
        <v>104</v>
      </c>
      <c r="N1954" s="571"/>
      <c r="O1954" s="275"/>
      <c r="P1954" s="276"/>
      <c r="Q1954" s="277"/>
      <c r="R1954" s="265" t="s">
        <v>1558</v>
      </c>
      <c r="S1954" s="6"/>
      <c r="AG1954" s="400"/>
      <c r="AH1954" s="400"/>
      <c r="AJ1954">
        <f>ROUND(IF(AL1954&gt;20000,"0", IF(AND(AL1954&lt;20000,AM1954&gt;5000),20000-AL1954,5000-AM1954)),2)</f>
        <v>5000</v>
      </c>
      <c r="AK1954">
        <f>SUM(Q1956:Q2009)</f>
        <v>0</v>
      </c>
      <c r="AL1954">
        <f>SUM(AL1956:AL2009)</f>
        <v>0</v>
      </c>
      <c r="AM1954">
        <f>SUM(AM1956:AM2009)</f>
        <v>0</v>
      </c>
      <c r="AO1954">
        <f>IF(AM1954&gt;5000,IF(AL1954&gt;20000,1,2),3)</f>
        <v>3</v>
      </c>
      <c r="AV1954" t="str">
        <f>IF(F1954&gt;0,(COUNT($AV$1:AV1953)+1),"")</f>
        <v/>
      </c>
    </row>
    <row r="1955" spans="1:48" ht="15" customHeight="1" x14ac:dyDescent="0.25">
      <c r="A1955" s="1"/>
      <c r="B1955" s="296"/>
      <c r="C1955" s="38"/>
      <c r="D1955" s="39" t="s">
        <v>1446</v>
      </c>
      <c r="E1955" s="82"/>
      <c r="F1955" s="97"/>
      <c r="G1955" s="40" t="s">
        <v>15</v>
      </c>
      <c r="H1955" s="41" t="s">
        <v>16</v>
      </c>
      <c r="I1955" s="41" t="s">
        <v>221</v>
      </c>
      <c r="J1955" s="52"/>
      <c r="K1955" s="48"/>
      <c r="L1955" s="448"/>
      <c r="M1955" s="491" t="s">
        <v>104</v>
      </c>
      <c r="N1955" s="715"/>
      <c r="O1955" s="187"/>
      <c r="P1955" s="81"/>
      <c r="Q1955" s="105"/>
      <c r="R1955" s="13"/>
      <c r="S1955" s="14"/>
      <c r="AV1955" t="str">
        <f>IF(F1955&gt;0,(COUNT($AV$1:AV1954)+1),"")</f>
        <v/>
      </c>
    </row>
    <row r="1956" spans="1:48" ht="15" customHeight="1" x14ac:dyDescent="0.25">
      <c r="A1956" s="1"/>
      <c r="B1956" s="30">
        <v>16943</v>
      </c>
      <c r="C1956" s="20">
        <v>4627129930139</v>
      </c>
      <c r="D1956" s="225" t="s">
        <v>1710</v>
      </c>
      <c r="E1956" s="232">
        <v>8</v>
      </c>
      <c r="F1956" s="233"/>
      <c r="G1956" s="107">
        <v>326.2</v>
      </c>
      <c r="H1956" s="21">
        <v>338</v>
      </c>
      <c r="I1956" s="22">
        <v>354.5</v>
      </c>
      <c r="J1956" s="112" t="s">
        <v>712</v>
      </c>
      <c r="K1956" s="45" t="s">
        <v>204</v>
      </c>
      <c r="L1956" s="437"/>
      <c r="M1956" s="474" t="s">
        <v>1856</v>
      </c>
      <c r="N1956" s="1013" t="s">
        <v>1856</v>
      </c>
      <c r="O1956" s="216"/>
      <c r="P1956" s="66" t="s">
        <v>72</v>
      </c>
      <c r="Q1956" s="100">
        <f t="shared" ref="Q1956:Q1965" si="1047">IF($AO$1954=2,F1956*H1956,IF($AO$1954=1,F1956*G1956,F1956*I1956))</f>
        <v>0</v>
      </c>
      <c r="R1956" s="13" t="str">
        <f t="shared" si="1039"/>
        <v>Фото &gt;&gt;</v>
      </c>
      <c r="S1956" s="14" t="s">
        <v>713</v>
      </c>
      <c r="AK1956">
        <v>0.51</v>
      </c>
      <c r="AL1956">
        <f t="shared" ref="AL1956:AL1982" si="1048">F1956*G1956</f>
        <v>0</v>
      </c>
      <c r="AM1956">
        <f t="shared" ref="AM1956:AM1982" si="1049">F1956*H1956</f>
        <v>0</v>
      </c>
      <c r="AN1956">
        <f t="shared" ref="AN1956:AN1996" si="1050">AK1956*F1956+IF(E1956&gt;1.01,F1956/E1956*0.2,0)</f>
        <v>0</v>
      </c>
      <c r="AO1956" t="s">
        <v>4972</v>
      </c>
      <c r="AV1956" t="str">
        <f>IF(F1956&gt;0,(COUNT($AV$1:AV1955)+1),"")</f>
        <v/>
      </c>
    </row>
    <row r="1957" spans="1:48" ht="15" customHeight="1" x14ac:dyDescent="0.25">
      <c r="A1957" s="1"/>
      <c r="B1957" s="31">
        <v>17146</v>
      </c>
      <c r="C1957" s="16">
        <v>4627129930276</v>
      </c>
      <c r="D1957" s="226" t="s">
        <v>1711</v>
      </c>
      <c r="E1957" s="234">
        <v>8</v>
      </c>
      <c r="F1957" s="233"/>
      <c r="G1957" s="108">
        <v>326.2</v>
      </c>
      <c r="H1957" s="17">
        <v>338</v>
      </c>
      <c r="I1957" s="18">
        <v>354.5</v>
      </c>
      <c r="J1957" s="113" t="s">
        <v>712</v>
      </c>
      <c r="K1957" s="44" t="s">
        <v>204</v>
      </c>
      <c r="L1957" s="442"/>
      <c r="M1957" s="480" t="s">
        <v>1856</v>
      </c>
      <c r="N1957" s="1015" t="s">
        <v>1856</v>
      </c>
      <c r="O1957" s="220"/>
      <c r="P1957" s="68" t="s">
        <v>72</v>
      </c>
      <c r="Q1957" s="100">
        <f t="shared" si="1047"/>
        <v>0</v>
      </c>
      <c r="R1957" s="13" t="str">
        <f t="shared" si="1039"/>
        <v>Фото &gt;&gt;</v>
      </c>
      <c r="S1957" s="14" t="s">
        <v>714</v>
      </c>
      <c r="AK1957">
        <v>0.51</v>
      </c>
      <c r="AL1957">
        <f t="shared" si="1048"/>
        <v>0</v>
      </c>
      <c r="AM1957">
        <f t="shared" si="1049"/>
        <v>0</v>
      </c>
      <c r="AN1957">
        <f t="shared" si="1050"/>
        <v>0</v>
      </c>
      <c r="AO1957" t="s">
        <v>4973</v>
      </c>
      <c r="AV1957" t="str">
        <f>IF(F1957&gt;0,(COUNT($AV$1:AV1956)+1),"")</f>
        <v/>
      </c>
    </row>
    <row r="1958" spans="1:48" ht="15" customHeight="1" x14ac:dyDescent="0.25">
      <c r="A1958" s="1"/>
      <c r="B1958" s="30">
        <v>16944</v>
      </c>
      <c r="C1958" s="20">
        <v>4627129930238</v>
      </c>
      <c r="D1958" s="225" t="s">
        <v>1712</v>
      </c>
      <c r="E1958" s="232">
        <v>8</v>
      </c>
      <c r="F1958" s="233"/>
      <c r="G1958" s="107">
        <v>372.6</v>
      </c>
      <c r="H1958" s="21">
        <v>386</v>
      </c>
      <c r="I1958" s="22">
        <v>405</v>
      </c>
      <c r="J1958" s="112" t="s">
        <v>712</v>
      </c>
      <c r="K1958" s="45" t="s">
        <v>204</v>
      </c>
      <c r="L1958" s="437"/>
      <c r="M1958" s="474" t="s">
        <v>1856</v>
      </c>
      <c r="N1958" s="1013" t="s">
        <v>1856</v>
      </c>
      <c r="O1958" s="216"/>
      <c r="P1958" s="66" t="s">
        <v>72</v>
      </c>
      <c r="Q1958" s="100">
        <f t="shared" si="1047"/>
        <v>0</v>
      </c>
      <c r="R1958" s="13" t="str">
        <f t="shared" si="1039"/>
        <v>Фото &gt;&gt;</v>
      </c>
      <c r="S1958" s="14" t="s">
        <v>715</v>
      </c>
      <c r="AK1958">
        <v>0.51</v>
      </c>
      <c r="AL1958">
        <f t="shared" si="1048"/>
        <v>0</v>
      </c>
      <c r="AM1958">
        <f t="shared" si="1049"/>
        <v>0</v>
      </c>
      <c r="AN1958">
        <f t="shared" si="1050"/>
        <v>0</v>
      </c>
      <c r="AO1958" t="s">
        <v>4974</v>
      </c>
      <c r="AV1958" t="str">
        <f>IF(F1958&gt;0,(COUNT($AV$1:AV1957)+1),"")</f>
        <v/>
      </c>
    </row>
    <row r="1959" spans="1:48" ht="15" customHeight="1" x14ac:dyDescent="0.25">
      <c r="A1959" s="1"/>
      <c r="B1959" s="31">
        <v>16968</v>
      </c>
      <c r="C1959" s="16">
        <v>4627129930252</v>
      </c>
      <c r="D1959" s="226" t="s">
        <v>1713</v>
      </c>
      <c r="E1959" s="234">
        <v>8</v>
      </c>
      <c r="F1959" s="233"/>
      <c r="G1959" s="108">
        <v>326.2</v>
      </c>
      <c r="H1959" s="17">
        <v>338</v>
      </c>
      <c r="I1959" s="18">
        <v>354.5</v>
      </c>
      <c r="J1959" s="113" t="s">
        <v>712</v>
      </c>
      <c r="K1959" s="44" t="s">
        <v>204</v>
      </c>
      <c r="L1959" s="442"/>
      <c r="M1959" s="480" t="s">
        <v>1856</v>
      </c>
      <c r="N1959" s="1015" t="s">
        <v>1856</v>
      </c>
      <c r="O1959" s="220"/>
      <c r="P1959" s="68" t="s">
        <v>72</v>
      </c>
      <c r="Q1959" s="100">
        <f t="shared" si="1047"/>
        <v>0</v>
      </c>
      <c r="R1959" s="13" t="str">
        <f t="shared" si="1039"/>
        <v>Фото &gt;&gt;</v>
      </c>
      <c r="S1959" s="14" t="s">
        <v>716</v>
      </c>
      <c r="AK1959">
        <v>0.51</v>
      </c>
      <c r="AL1959">
        <f t="shared" si="1048"/>
        <v>0</v>
      </c>
      <c r="AM1959">
        <f t="shared" si="1049"/>
        <v>0</v>
      </c>
      <c r="AN1959">
        <f t="shared" si="1050"/>
        <v>0</v>
      </c>
      <c r="AO1959" t="s">
        <v>4975</v>
      </c>
      <c r="AV1959" t="str">
        <f>IF(F1959&gt;0,(COUNT($AV$1:AV1958)+1),"")</f>
        <v/>
      </c>
    </row>
    <row r="1960" spans="1:48" ht="15" customHeight="1" x14ac:dyDescent="0.25">
      <c r="A1960" s="1"/>
      <c r="B1960" s="30">
        <v>16945</v>
      </c>
      <c r="C1960" s="20">
        <v>4627129930153</v>
      </c>
      <c r="D1960" s="225" t="s">
        <v>1714</v>
      </c>
      <c r="E1960" s="232">
        <v>8</v>
      </c>
      <c r="F1960" s="233"/>
      <c r="G1960" s="107">
        <v>326.2</v>
      </c>
      <c r="H1960" s="21">
        <v>338</v>
      </c>
      <c r="I1960" s="22">
        <v>354.5</v>
      </c>
      <c r="J1960" s="112" t="s">
        <v>712</v>
      </c>
      <c r="K1960" s="45" t="s">
        <v>204</v>
      </c>
      <c r="L1960" s="437"/>
      <c r="M1960" s="474" t="s">
        <v>1856</v>
      </c>
      <c r="N1960" s="1013" t="s">
        <v>1856</v>
      </c>
      <c r="O1960" s="216"/>
      <c r="P1960" s="66" t="s">
        <v>72</v>
      </c>
      <c r="Q1960" s="100">
        <f t="shared" si="1047"/>
        <v>0</v>
      </c>
      <c r="R1960" s="13" t="str">
        <f t="shared" si="1039"/>
        <v>Фото &gt;&gt;</v>
      </c>
      <c r="S1960" s="14" t="s">
        <v>717</v>
      </c>
      <c r="AK1960">
        <v>0.51</v>
      </c>
      <c r="AL1960">
        <f t="shared" si="1048"/>
        <v>0</v>
      </c>
      <c r="AM1960">
        <f t="shared" si="1049"/>
        <v>0</v>
      </c>
      <c r="AN1960">
        <f t="shared" si="1050"/>
        <v>0</v>
      </c>
      <c r="AO1960" t="s">
        <v>4976</v>
      </c>
      <c r="AV1960" t="str">
        <f>IF(F1960&gt;0,(COUNT($AV$1:AV1959)+1),"")</f>
        <v/>
      </c>
    </row>
    <row r="1961" spans="1:48" ht="15" customHeight="1" x14ac:dyDescent="0.25">
      <c r="A1961" s="1"/>
      <c r="B1961" s="31">
        <v>20987</v>
      </c>
      <c r="C1961" s="16">
        <v>4650128121970</v>
      </c>
      <c r="D1961" s="226" t="s">
        <v>6376</v>
      </c>
      <c r="E1961" s="234">
        <v>8</v>
      </c>
      <c r="F1961" s="233"/>
      <c r="G1961" s="108">
        <v>372.6</v>
      </c>
      <c r="H1961" s="17">
        <v>386</v>
      </c>
      <c r="I1961" s="18">
        <v>405</v>
      </c>
      <c r="J1961" s="113" t="s">
        <v>712</v>
      </c>
      <c r="K1961" s="44" t="s">
        <v>204</v>
      </c>
      <c r="L1961" s="442"/>
      <c r="M1961" s="480" t="s">
        <v>1856</v>
      </c>
      <c r="N1961" s="1015" t="s">
        <v>1856</v>
      </c>
      <c r="O1961" s="210"/>
      <c r="P1961" s="68" t="s">
        <v>72</v>
      </c>
      <c r="Q1961" s="100">
        <f t="shared" si="1047"/>
        <v>0</v>
      </c>
      <c r="R1961" s="13" t="str">
        <f t="shared" si="1039"/>
        <v>Фото &gt;&gt;</v>
      </c>
      <c r="S1961" s="14" t="s">
        <v>5736</v>
      </c>
      <c r="AK1961">
        <v>0.51</v>
      </c>
      <c r="AL1961">
        <f t="shared" ref="AL1961" si="1051">F1961*G1961</f>
        <v>0</v>
      </c>
      <c r="AM1961">
        <f t="shared" ref="AM1961" si="1052">F1961*H1961</f>
        <v>0</v>
      </c>
      <c r="AN1961">
        <f t="shared" ref="AN1961" si="1053">AK1961*F1961+IF(E1961&gt;1.01,F1961/E1961*0.2,0)</f>
        <v>0</v>
      </c>
      <c r="AO1961" t="s">
        <v>5737</v>
      </c>
      <c r="AV1961" t="str">
        <f>IF(F1961&gt;0,(COUNT($AV$1:AV1960)+1),"")</f>
        <v/>
      </c>
    </row>
    <row r="1962" spans="1:48" ht="15" customHeight="1" x14ac:dyDescent="0.25">
      <c r="A1962" s="1"/>
      <c r="B1962" s="30">
        <v>16946</v>
      </c>
      <c r="C1962" s="20">
        <v>4627129930214</v>
      </c>
      <c r="D1962" s="225" t="s">
        <v>2300</v>
      </c>
      <c r="E1962" s="232">
        <v>8</v>
      </c>
      <c r="F1962" s="233"/>
      <c r="G1962" s="107">
        <v>372.6</v>
      </c>
      <c r="H1962" s="21">
        <v>386</v>
      </c>
      <c r="I1962" s="22">
        <v>405</v>
      </c>
      <c r="J1962" s="112" t="s">
        <v>712</v>
      </c>
      <c r="K1962" s="45" t="s">
        <v>204</v>
      </c>
      <c r="L1962" s="437"/>
      <c r="M1962" s="474" t="s">
        <v>1856</v>
      </c>
      <c r="N1962" s="1013" t="s">
        <v>1856</v>
      </c>
      <c r="O1962" s="216"/>
      <c r="P1962" s="66" t="s">
        <v>72</v>
      </c>
      <c r="Q1962" s="100">
        <f t="shared" si="1047"/>
        <v>0</v>
      </c>
      <c r="R1962" s="13" t="str">
        <f t="shared" si="1039"/>
        <v>Фото &gt;&gt;</v>
      </c>
      <c r="S1962" s="14" t="s">
        <v>2299</v>
      </c>
      <c r="AK1962">
        <v>0.51</v>
      </c>
      <c r="AL1962">
        <f t="shared" si="1048"/>
        <v>0</v>
      </c>
      <c r="AM1962">
        <f t="shared" si="1049"/>
        <v>0</v>
      </c>
      <c r="AN1962">
        <f t="shared" si="1050"/>
        <v>0</v>
      </c>
      <c r="AO1962" t="s">
        <v>4977</v>
      </c>
      <c r="AV1962" t="str">
        <f>IF(F1962&gt;0,(COUNT($AV$1:AV1961)+1),"")</f>
        <v/>
      </c>
    </row>
    <row r="1963" spans="1:48" ht="15" customHeight="1" x14ac:dyDescent="0.25">
      <c r="A1963" s="1"/>
      <c r="B1963" s="31">
        <v>19882</v>
      </c>
      <c r="C1963" s="16"/>
      <c r="D1963" s="422" t="s">
        <v>7419</v>
      </c>
      <c r="E1963" s="234">
        <v>8</v>
      </c>
      <c r="F1963" s="233"/>
      <c r="G1963" s="108">
        <v>347.5</v>
      </c>
      <c r="H1963" s="17">
        <v>360</v>
      </c>
      <c r="I1963" s="18">
        <v>378</v>
      </c>
      <c r="J1963" s="113" t="s">
        <v>712</v>
      </c>
      <c r="K1963" s="44" t="s">
        <v>204</v>
      </c>
      <c r="L1963" s="442"/>
      <c r="M1963" s="480" t="s">
        <v>1856</v>
      </c>
      <c r="N1963" s="1015" t="s">
        <v>1856</v>
      </c>
      <c r="O1963" s="210" t="s">
        <v>1637</v>
      </c>
      <c r="P1963" s="68" t="s">
        <v>72</v>
      </c>
      <c r="Q1963" s="100">
        <f t="shared" si="1047"/>
        <v>0</v>
      </c>
      <c r="R1963" s="94" t="str">
        <f t="shared" si="1039"/>
        <v>Фото &gt;&gt;</v>
      </c>
      <c r="S1963" s="14" t="s">
        <v>7418</v>
      </c>
      <c r="AK1963">
        <v>0.51</v>
      </c>
      <c r="AL1963">
        <f t="shared" ref="AL1963" si="1054">F1963*G1963</f>
        <v>0</v>
      </c>
      <c r="AM1963">
        <f t="shared" ref="AM1963" si="1055">F1963*H1963</f>
        <v>0</v>
      </c>
      <c r="AN1963">
        <f t="shared" ref="AN1963" si="1056">AK1963*F1963+IF(E1963&gt;1.01,F1963/E1963*0.2,0)</f>
        <v>0</v>
      </c>
      <c r="AO1963" t="s">
        <v>7417</v>
      </c>
      <c r="AV1963" t="str">
        <f>IF(F1963&gt;0,(COUNT($AV$1:AV1962)+1),"")</f>
        <v/>
      </c>
    </row>
    <row r="1964" spans="1:48" ht="15" customHeight="1" x14ac:dyDescent="0.25">
      <c r="A1964" s="1"/>
      <c r="B1964" s="30">
        <v>16947</v>
      </c>
      <c r="C1964" s="20">
        <v>4627129930412</v>
      </c>
      <c r="D1964" s="225" t="s">
        <v>1715</v>
      </c>
      <c r="E1964" s="232">
        <v>8</v>
      </c>
      <c r="F1964" s="233"/>
      <c r="G1964" s="107">
        <v>347.5</v>
      </c>
      <c r="H1964" s="21">
        <v>360</v>
      </c>
      <c r="I1964" s="22">
        <v>378</v>
      </c>
      <c r="J1964" s="112" t="s">
        <v>712</v>
      </c>
      <c r="K1964" s="45" t="s">
        <v>204</v>
      </c>
      <c r="L1964" s="437"/>
      <c r="M1964" s="474" t="s">
        <v>1856</v>
      </c>
      <c r="N1964" s="1013" t="s">
        <v>1856</v>
      </c>
      <c r="O1964" s="216"/>
      <c r="P1964" s="66" t="s">
        <v>72</v>
      </c>
      <c r="Q1964" s="100">
        <f t="shared" si="1047"/>
        <v>0</v>
      </c>
      <c r="R1964" s="13" t="str">
        <f t="shared" si="1039"/>
        <v>Фото &gt;&gt;</v>
      </c>
      <c r="S1964" s="14" t="s">
        <v>718</v>
      </c>
      <c r="AK1964">
        <v>0.51</v>
      </c>
      <c r="AL1964">
        <f t="shared" si="1048"/>
        <v>0</v>
      </c>
      <c r="AM1964">
        <f t="shared" si="1049"/>
        <v>0</v>
      </c>
      <c r="AN1964">
        <f t="shared" si="1050"/>
        <v>0</v>
      </c>
      <c r="AO1964" t="s">
        <v>4978</v>
      </c>
      <c r="AV1964" t="str">
        <f>IF(F1964&gt;0,(COUNT($AV$1:AV1963)+1),"")</f>
        <v/>
      </c>
    </row>
    <row r="1965" spans="1:48" ht="15" customHeight="1" x14ac:dyDescent="0.25">
      <c r="A1965" s="1"/>
      <c r="B1965" s="31">
        <v>16969</v>
      </c>
      <c r="C1965" s="16">
        <v>4627129930191</v>
      </c>
      <c r="D1965" s="226" t="s">
        <v>1716</v>
      </c>
      <c r="E1965" s="234">
        <v>8</v>
      </c>
      <c r="F1965" s="233"/>
      <c r="G1965" s="108">
        <v>347.5</v>
      </c>
      <c r="H1965" s="17">
        <v>360</v>
      </c>
      <c r="I1965" s="18">
        <v>378</v>
      </c>
      <c r="J1965" s="113" t="s">
        <v>712</v>
      </c>
      <c r="K1965" s="44" t="s">
        <v>204</v>
      </c>
      <c r="L1965" s="442"/>
      <c r="M1965" s="480" t="s">
        <v>1856</v>
      </c>
      <c r="N1965" s="1015" t="s">
        <v>1856</v>
      </c>
      <c r="O1965" s="210"/>
      <c r="P1965" s="68" t="s">
        <v>72</v>
      </c>
      <c r="Q1965" s="100">
        <f t="shared" si="1047"/>
        <v>0</v>
      </c>
      <c r="R1965" s="13" t="str">
        <f t="shared" si="1039"/>
        <v>Фото &gt;&gt;</v>
      </c>
      <c r="S1965" s="14" t="s">
        <v>719</v>
      </c>
      <c r="AK1965">
        <v>0.51</v>
      </c>
      <c r="AL1965">
        <f t="shared" si="1048"/>
        <v>0</v>
      </c>
      <c r="AM1965">
        <f t="shared" si="1049"/>
        <v>0</v>
      </c>
      <c r="AN1965">
        <f t="shared" si="1050"/>
        <v>0</v>
      </c>
      <c r="AO1965" t="s">
        <v>4979</v>
      </c>
      <c r="AV1965" t="str">
        <f>IF(F1965&gt;0,(COUNT($AV$1:AV1964)+1),"")</f>
        <v/>
      </c>
    </row>
    <row r="1966" spans="1:48" ht="15" customHeight="1" x14ac:dyDescent="0.25">
      <c r="A1966" s="1"/>
      <c r="B1966" s="25"/>
      <c r="C1966" s="26"/>
      <c r="D1966" s="228" t="s">
        <v>219</v>
      </c>
      <c r="E1966" s="235"/>
      <c r="F1966" s="236"/>
      <c r="G1966" s="28"/>
      <c r="H1966" s="29"/>
      <c r="I1966" s="29"/>
      <c r="J1966" s="51"/>
      <c r="K1966" s="47"/>
      <c r="L1966" s="447"/>
      <c r="M1966" s="499" t="s">
        <v>104</v>
      </c>
      <c r="N1966" s="1029"/>
      <c r="O1966" s="229"/>
      <c r="P1966" s="79"/>
      <c r="Q1966" s="104"/>
      <c r="R1966" s="13"/>
      <c r="S1966" s="14"/>
      <c r="AL1966">
        <f t="shared" si="1048"/>
        <v>0</v>
      </c>
      <c r="AM1966">
        <f t="shared" si="1049"/>
        <v>0</v>
      </c>
      <c r="AN1966">
        <f t="shared" si="1050"/>
        <v>0</v>
      </c>
      <c r="AO1966" t="s">
        <v>104</v>
      </c>
      <c r="AV1966" t="str">
        <f>IF(F1966&gt;0,(COUNT($AV$1:AV1965)+1),"")</f>
        <v/>
      </c>
    </row>
    <row r="1967" spans="1:48" ht="15" customHeight="1" x14ac:dyDescent="0.25">
      <c r="A1967" s="1"/>
      <c r="B1967" s="31">
        <v>20496</v>
      </c>
      <c r="C1967" s="16">
        <v>4650128120423</v>
      </c>
      <c r="D1967" s="226" t="s">
        <v>4219</v>
      </c>
      <c r="E1967" s="234">
        <v>8</v>
      </c>
      <c r="F1967" s="233"/>
      <c r="G1967" s="108">
        <v>317.39999999999998</v>
      </c>
      <c r="H1967" s="17">
        <v>329</v>
      </c>
      <c r="I1967" s="18">
        <v>345</v>
      </c>
      <c r="J1967" s="113" t="s">
        <v>712</v>
      </c>
      <c r="K1967" s="44" t="s">
        <v>219</v>
      </c>
      <c r="L1967" s="442"/>
      <c r="M1967" s="480" t="s">
        <v>1856</v>
      </c>
      <c r="N1967" s="1015" t="s">
        <v>1856</v>
      </c>
      <c r="O1967" s="220"/>
      <c r="P1967" s="68" t="s">
        <v>72</v>
      </c>
      <c r="Q1967" s="100">
        <f t="shared" ref="Q1967:Q1980" si="1057">IF($AO$1954=2,F1967*H1967,IF($AO$1954=1,F1967*G1967,F1967*I1967))</f>
        <v>0</v>
      </c>
      <c r="R1967" s="13" t="str">
        <f t="shared" si="1039"/>
        <v>Фото &gt;&gt;</v>
      </c>
      <c r="S1967" s="14" t="s">
        <v>3981</v>
      </c>
      <c r="AK1967">
        <v>0.51</v>
      </c>
      <c r="AL1967">
        <f t="shared" ref="AL1967" si="1058">F1967*G1967</f>
        <v>0</v>
      </c>
      <c r="AM1967">
        <f t="shared" ref="AM1967" si="1059">F1967*H1967</f>
        <v>0</v>
      </c>
      <c r="AN1967">
        <f t="shared" ref="AN1967" si="1060">AK1967*F1967+IF(E1967&gt;1.01,F1967/E1967*0.2,0)</f>
        <v>0</v>
      </c>
      <c r="AO1967" t="s">
        <v>3982</v>
      </c>
      <c r="AV1967" t="str">
        <f>IF(F1967&gt;0,(COUNT($AV$1:AV1966)+1),"")</f>
        <v/>
      </c>
    </row>
    <row r="1968" spans="1:48" ht="15" customHeight="1" x14ac:dyDescent="0.25">
      <c r="A1968" s="1"/>
      <c r="B1968" s="30">
        <v>17150</v>
      </c>
      <c r="C1968" s="20">
        <v>4627129931051</v>
      </c>
      <c r="D1968" s="225" t="s">
        <v>1697</v>
      </c>
      <c r="E1968" s="232">
        <v>8</v>
      </c>
      <c r="F1968" s="233"/>
      <c r="G1968" s="107">
        <v>317.39999999999998</v>
      </c>
      <c r="H1968" s="21">
        <v>329</v>
      </c>
      <c r="I1968" s="22">
        <v>345</v>
      </c>
      <c r="J1968" s="112" t="s">
        <v>712</v>
      </c>
      <c r="K1968" s="45" t="s">
        <v>219</v>
      </c>
      <c r="L1968" s="437"/>
      <c r="M1968" s="474" t="s">
        <v>1856</v>
      </c>
      <c r="N1968" s="1013" t="s">
        <v>1856</v>
      </c>
      <c r="O1968" s="216"/>
      <c r="P1968" s="66" t="s">
        <v>72</v>
      </c>
      <c r="Q1968" s="100">
        <f t="shared" si="1057"/>
        <v>0</v>
      </c>
      <c r="R1968" s="13" t="str">
        <f t="shared" si="1039"/>
        <v>Фото &gt;&gt;</v>
      </c>
      <c r="S1968" s="14" t="s">
        <v>3569</v>
      </c>
      <c r="AK1968">
        <v>0.51</v>
      </c>
      <c r="AL1968">
        <f t="shared" si="1048"/>
        <v>0</v>
      </c>
      <c r="AM1968">
        <f t="shared" si="1049"/>
        <v>0</v>
      </c>
      <c r="AN1968">
        <f t="shared" si="1050"/>
        <v>0</v>
      </c>
      <c r="AO1968" t="s">
        <v>4980</v>
      </c>
      <c r="AV1968" t="str">
        <f>IF(F1968&gt;0,(COUNT($AV$1:AV1967)+1),"")</f>
        <v/>
      </c>
    </row>
    <row r="1969" spans="1:48" ht="15" customHeight="1" x14ac:dyDescent="0.25">
      <c r="A1969" s="1"/>
      <c r="B1969" s="31">
        <v>17151</v>
      </c>
      <c r="C1969" s="16">
        <v>4650128120584</v>
      </c>
      <c r="D1969" s="226" t="s">
        <v>1698</v>
      </c>
      <c r="E1969" s="234">
        <v>8</v>
      </c>
      <c r="F1969" s="233"/>
      <c r="G1969" s="108">
        <v>317.39999999999998</v>
      </c>
      <c r="H1969" s="17">
        <v>329</v>
      </c>
      <c r="I1969" s="18">
        <v>345</v>
      </c>
      <c r="J1969" s="113" t="s">
        <v>712</v>
      </c>
      <c r="K1969" s="44" t="s">
        <v>219</v>
      </c>
      <c r="L1969" s="442"/>
      <c r="M1969" s="480" t="s">
        <v>1856</v>
      </c>
      <c r="N1969" s="1015" t="s">
        <v>1856</v>
      </c>
      <c r="O1969" s="220"/>
      <c r="P1969" s="68" t="s">
        <v>72</v>
      </c>
      <c r="Q1969" s="100">
        <f t="shared" si="1057"/>
        <v>0</v>
      </c>
      <c r="R1969" s="13" t="str">
        <f t="shared" si="1039"/>
        <v>Фото &gt;&gt;</v>
      </c>
      <c r="S1969" s="14" t="s">
        <v>720</v>
      </c>
      <c r="AK1969">
        <v>0.51</v>
      </c>
      <c r="AL1969">
        <f t="shared" si="1048"/>
        <v>0</v>
      </c>
      <c r="AM1969">
        <f t="shared" si="1049"/>
        <v>0</v>
      </c>
      <c r="AN1969">
        <f t="shared" si="1050"/>
        <v>0</v>
      </c>
      <c r="AO1969" t="s">
        <v>4981</v>
      </c>
      <c r="AV1969" t="str">
        <f>IF(F1969&gt;0,(COUNT($AV$1:AV1968)+1),"")</f>
        <v/>
      </c>
    </row>
    <row r="1970" spans="1:48" ht="15" customHeight="1" x14ac:dyDescent="0.25">
      <c r="A1970" s="1"/>
      <c r="B1970" s="30">
        <v>16949</v>
      </c>
      <c r="C1970" s="20">
        <v>4627129931037</v>
      </c>
      <c r="D1970" s="225" t="s">
        <v>1759</v>
      </c>
      <c r="E1970" s="232">
        <v>8</v>
      </c>
      <c r="F1970" s="233"/>
      <c r="G1970" s="107">
        <v>317.39999999999998</v>
      </c>
      <c r="H1970" s="21">
        <v>329</v>
      </c>
      <c r="I1970" s="22">
        <v>345</v>
      </c>
      <c r="J1970" s="112" t="s">
        <v>712</v>
      </c>
      <c r="K1970" s="45" t="s">
        <v>219</v>
      </c>
      <c r="L1970" s="437"/>
      <c r="M1970" s="474" t="s">
        <v>1856</v>
      </c>
      <c r="N1970" s="1013" t="s">
        <v>1856</v>
      </c>
      <c r="O1970" s="216"/>
      <c r="P1970" s="66" t="s">
        <v>72</v>
      </c>
      <c r="Q1970" s="100">
        <f t="shared" si="1057"/>
        <v>0</v>
      </c>
      <c r="R1970" s="13" t="str">
        <f t="shared" si="1039"/>
        <v>Фото &gt;&gt;</v>
      </c>
      <c r="S1970" s="14" t="s">
        <v>721</v>
      </c>
      <c r="AK1970">
        <v>0.59</v>
      </c>
      <c r="AL1970">
        <f t="shared" si="1048"/>
        <v>0</v>
      </c>
      <c r="AM1970">
        <f t="shared" si="1049"/>
        <v>0</v>
      </c>
      <c r="AN1970">
        <f t="shared" si="1050"/>
        <v>0</v>
      </c>
      <c r="AO1970" t="s">
        <v>4982</v>
      </c>
      <c r="AV1970" t="str">
        <f>IF(F1970&gt;0,(COUNT($AV$1:AV1969)+1),"")</f>
        <v/>
      </c>
    </row>
    <row r="1971" spans="1:48" ht="15" customHeight="1" x14ac:dyDescent="0.25">
      <c r="A1971" s="1"/>
      <c r="B1971" s="31">
        <v>16950</v>
      </c>
      <c r="C1971" s="16">
        <v>4650128120379</v>
      </c>
      <c r="D1971" s="226" t="s">
        <v>1699</v>
      </c>
      <c r="E1971" s="234">
        <v>8</v>
      </c>
      <c r="F1971" s="233"/>
      <c r="G1971" s="108">
        <v>317.39999999999998</v>
      </c>
      <c r="H1971" s="17">
        <v>329</v>
      </c>
      <c r="I1971" s="18">
        <v>345</v>
      </c>
      <c r="J1971" s="113" t="s">
        <v>712</v>
      </c>
      <c r="K1971" s="44" t="s">
        <v>219</v>
      </c>
      <c r="L1971" s="442"/>
      <c r="M1971" s="480" t="s">
        <v>1856</v>
      </c>
      <c r="N1971" s="1015" t="s">
        <v>1856</v>
      </c>
      <c r="O1971" s="220"/>
      <c r="P1971" s="68" t="s">
        <v>72</v>
      </c>
      <c r="Q1971" s="100">
        <f t="shared" si="1057"/>
        <v>0</v>
      </c>
      <c r="R1971" s="13" t="str">
        <f t="shared" si="1039"/>
        <v>Фото &gt;&gt;</v>
      </c>
      <c r="S1971" s="14" t="s">
        <v>722</v>
      </c>
      <c r="AK1971">
        <v>0.59</v>
      </c>
      <c r="AL1971">
        <f t="shared" si="1048"/>
        <v>0</v>
      </c>
      <c r="AM1971">
        <f t="shared" si="1049"/>
        <v>0</v>
      </c>
      <c r="AN1971">
        <f t="shared" si="1050"/>
        <v>0</v>
      </c>
      <c r="AO1971" t="s">
        <v>4983</v>
      </c>
      <c r="AV1971" t="str">
        <f>IF(F1971&gt;0,(COUNT($AV$1:AV1970)+1),"")</f>
        <v/>
      </c>
    </row>
    <row r="1972" spans="1:48" ht="15" customHeight="1" x14ac:dyDescent="0.25">
      <c r="A1972" s="1"/>
      <c r="B1972" s="30">
        <v>20992</v>
      </c>
      <c r="C1972" s="20">
        <v>4650128122021</v>
      </c>
      <c r="D1972" s="225" t="s">
        <v>6377</v>
      </c>
      <c r="E1972" s="232">
        <v>8</v>
      </c>
      <c r="F1972" s="233"/>
      <c r="G1972" s="107">
        <v>317.39999999999998</v>
      </c>
      <c r="H1972" s="21">
        <v>329</v>
      </c>
      <c r="I1972" s="22">
        <v>345</v>
      </c>
      <c r="J1972" s="112" t="s">
        <v>712</v>
      </c>
      <c r="K1972" s="45" t="s">
        <v>219</v>
      </c>
      <c r="L1972" s="437"/>
      <c r="M1972" s="474" t="s">
        <v>1856</v>
      </c>
      <c r="N1972" s="1013" t="s">
        <v>1856</v>
      </c>
      <c r="O1972" s="209"/>
      <c r="P1972" s="66" t="s">
        <v>72</v>
      </c>
      <c r="Q1972" s="100">
        <f t="shared" si="1057"/>
        <v>0</v>
      </c>
      <c r="R1972" s="13" t="str">
        <f t="shared" si="1039"/>
        <v>Фото &gt;&gt;</v>
      </c>
      <c r="S1972" s="14" t="s">
        <v>5739</v>
      </c>
      <c r="AK1972">
        <v>0.59</v>
      </c>
      <c r="AL1972">
        <f t="shared" ref="AL1972" si="1061">F1972*G1972</f>
        <v>0</v>
      </c>
      <c r="AM1972">
        <f t="shared" ref="AM1972" si="1062">F1972*H1972</f>
        <v>0</v>
      </c>
      <c r="AN1972">
        <f t="shared" ref="AN1972" si="1063">AK1972*F1972+IF(E1972&gt;1.01,F1972/E1972*0.2,0)</f>
        <v>0</v>
      </c>
      <c r="AO1972" t="s">
        <v>5738</v>
      </c>
      <c r="AV1972" t="str">
        <f>IF(F1972&gt;0,(COUNT($AV$1:AV1971)+1),"")</f>
        <v/>
      </c>
    </row>
    <row r="1973" spans="1:48" ht="15" customHeight="1" x14ac:dyDescent="0.25">
      <c r="A1973" s="1"/>
      <c r="B1973" s="31">
        <v>16951</v>
      </c>
      <c r="C1973" s="16">
        <v>4650128120645</v>
      </c>
      <c r="D1973" s="226" t="s">
        <v>1760</v>
      </c>
      <c r="E1973" s="234">
        <v>8</v>
      </c>
      <c r="F1973" s="233"/>
      <c r="G1973" s="108">
        <v>317.39999999999998</v>
      </c>
      <c r="H1973" s="17">
        <v>329</v>
      </c>
      <c r="I1973" s="18">
        <v>345</v>
      </c>
      <c r="J1973" s="113" t="s">
        <v>712</v>
      </c>
      <c r="K1973" s="44" t="s">
        <v>219</v>
      </c>
      <c r="L1973" s="442"/>
      <c r="M1973" s="480" t="s">
        <v>1856</v>
      </c>
      <c r="N1973" s="1015" t="s">
        <v>1856</v>
      </c>
      <c r="O1973" s="220"/>
      <c r="P1973" s="68" t="s">
        <v>72</v>
      </c>
      <c r="Q1973" s="100">
        <f t="shared" si="1057"/>
        <v>0</v>
      </c>
      <c r="R1973" s="13" t="str">
        <f t="shared" si="1039"/>
        <v>Фото &gt;&gt;</v>
      </c>
      <c r="S1973" s="14" t="s">
        <v>723</v>
      </c>
      <c r="AK1973">
        <v>0.59</v>
      </c>
      <c r="AL1973">
        <f t="shared" si="1048"/>
        <v>0</v>
      </c>
      <c r="AM1973">
        <f t="shared" si="1049"/>
        <v>0</v>
      </c>
      <c r="AN1973">
        <f t="shared" si="1050"/>
        <v>0</v>
      </c>
      <c r="AO1973" t="s">
        <v>4984</v>
      </c>
      <c r="AV1973" t="str">
        <f>IF(F1973&gt;0,(COUNT($AV$1:AV1972)+1),"")</f>
        <v/>
      </c>
    </row>
    <row r="1974" spans="1:48" ht="15" customHeight="1" x14ac:dyDescent="0.25">
      <c r="A1974" s="1"/>
      <c r="B1974" s="30">
        <v>17152</v>
      </c>
      <c r="C1974" s="20">
        <v>4650128120621</v>
      </c>
      <c r="D1974" s="225" t="s">
        <v>1743</v>
      </c>
      <c r="E1974" s="232">
        <v>8</v>
      </c>
      <c r="F1974" s="233"/>
      <c r="G1974" s="107">
        <v>317.39999999999998</v>
      </c>
      <c r="H1974" s="21">
        <v>329</v>
      </c>
      <c r="I1974" s="22">
        <v>345</v>
      </c>
      <c r="J1974" s="112" t="s">
        <v>712</v>
      </c>
      <c r="K1974" s="45" t="s">
        <v>219</v>
      </c>
      <c r="L1974" s="437"/>
      <c r="M1974" s="474" t="s">
        <v>1856</v>
      </c>
      <c r="N1974" s="1013" t="s">
        <v>1856</v>
      </c>
      <c r="O1974" s="216"/>
      <c r="P1974" s="66" t="s">
        <v>72</v>
      </c>
      <c r="Q1974" s="100">
        <f t="shared" si="1057"/>
        <v>0</v>
      </c>
      <c r="R1974" s="13" t="str">
        <f t="shared" si="1039"/>
        <v>Фото &gt;&gt;</v>
      </c>
      <c r="S1974" s="14" t="s">
        <v>724</v>
      </c>
      <c r="AK1974">
        <v>0.59</v>
      </c>
      <c r="AL1974">
        <f t="shared" si="1048"/>
        <v>0</v>
      </c>
      <c r="AM1974">
        <f t="shared" si="1049"/>
        <v>0</v>
      </c>
      <c r="AN1974">
        <f t="shared" si="1050"/>
        <v>0</v>
      </c>
      <c r="AO1974" t="s">
        <v>4985</v>
      </c>
      <c r="AV1974" t="str">
        <f>IF(F1974&gt;0,(COUNT($AV$1:AV1973)+1),"")</f>
        <v/>
      </c>
    </row>
    <row r="1975" spans="1:48" ht="15" customHeight="1" x14ac:dyDescent="0.25">
      <c r="A1975" s="1"/>
      <c r="B1975" s="31">
        <v>16952</v>
      </c>
      <c r="C1975" s="16">
        <v>4627129930979</v>
      </c>
      <c r="D1975" s="226" t="s">
        <v>1717</v>
      </c>
      <c r="E1975" s="234">
        <v>8</v>
      </c>
      <c r="F1975" s="233"/>
      <c r="G1975" s="108">
        <v>347.5</v>
      </c>
      <c r="H1975" s="17">
        <v>360</v>
      </c>
      <c r="I1975" s="18">
        <v>378</v>
      </c>
      <c r="J1975" s="113" t="s">
        <v>712</v>
      </c>
      <c r="K1975" s="44" t="s">
        <v>219</v>
      </c>
      <c r="L1975" s="442"/>
      <c r="M1975" s="480" t="s">
        <v>1856</v>
      </c>
      <c r="N1975" s="1015"/>
      <c r="O1975" s="220"/>
      <c r="P1975" s="68" t="s">
        <v>72</v>
      </c>
      <c r="Q1975" s="100">
        <f t="shared" si="1057"/>
        <v>0</v>
      </c>
      <c r="R1975" s="13" t="str">
        <f t="shared" si="1039"/>
        <v>Фото &gt;&gt;</v>
      </c>
      <c r="S1975" s="14" t="s">
        <v>725</v>
      </c>
      <c r="AK1975">
        <v>0.55000000000000004</v>
      </c>
      <c r="AL1975">
        <f t="shared" si="1048"/>
        <v>0</v>
      </c>
      <c r="AM1975">
        <f t="shared" si="1049"/>
        <v>0</v>
      </c>
      <c r="AN1975">
        <f t="shared" si="1050"/>
        <v>0</v>
      </c>
      <c r="AO1975" t="s">
        <v>4986</v>
      </c>
      <c r="AV1975" t="str">
        <f>IF(F1975&gt;0,(COUNT($AV$1:AV1974)+1),"")</f>
        <v/>
      </c>
    </row>
    <row r="1976" spans="1:48" ht="15" customHeight="1" x14ac:dyDescent="0.25">
      <c r="A1976" s="1"/>
      <c r="B1976" s="30">
        <v>17154</v>
      </c>
      <c r="C1976" s="20">
        <v>4650128120683</v>
      </c>
      <c r="D1976" s="225" t="s">
        <v>1700</v>
      </c>
      <c r="E1976" s="232">
        <v>8</v>
      </c>
      <c r="F1976" s="233"/>
      <c r="G1976" s="107">
        <v>317.39999999999998</v>
      </c>
      <c r="H1976" s="21">
        <v>329</v>
      </c>
      <c r="I1976" s="22">
        <v>345</v>
      </c>
      <c r="J1976" s="112" t="s">
        <v>712</v>
      </c>
      <c r="K1976" s="45" t="s">
        <v>219</v>
      </c>
      <c r="L1976" s="437"/>
      <c r="M1976" s="474" t="s">
        <v>1856</v>
      </c>
      <c r="N1976" s="1013" t="s">
        <v>1856</v>
      </c>
      <c r="O1976" s="216"/>
      <c r="P1976" s="66" t="s">
        <v>72</v>
      </c>
      <c r="Q1976" s="100">
        <f t="shared" si="1057"/>
        <v>0</v>
      </c>
      <c r="R1976" s="13" t="str">
        <f t="shared" si="1039"/>
        <v>Фото &gt;&gt;</v>
      </c>
      <c r="S1976" s="14" t="s">
        <v>726</v>
      </c>
      <c r="AK1976">
        <v>0.55000000000000004</v>
      </c>
      <c r="AL1976">
        <f t="shared" si="1048"/>
        <v>0</v>
      </c>
      <c r="AM1976">
        <f t="shared" si="1049"/>
        <v>0</v>
      </c>
      <c r="AN1976">
        <f t="shared" si="1050"/>
        <v>0</v>
      </c>
      <c r="AO1976" t="s">
        <v>4987</v>
      </c>
      <c r="AV1976" t="str">
        <f>IF(F1976&gt;0,(COUNT($AV$1:AV1975)+1),"")</f>
        <v/>
      </c>
    </row>
    <row r="1977" spans="1:48" ht="15" customHeight="1" x14ac:dyDescent="0.25">
      <c r="A1977" s="1"/>
      <c r="B1977" s="31">
        <v>16970</v>
      </c>
      <c r="C1977" s="16">
        <v>4650128120706</v>
      </c>
      <c r="D1977" s="226" t="s">
        <v>1701</v>
      </c>
      <c r="E1977" s="234">
        <v>8</v>
      </c>
      <c r="F1977" s="233"/>
      <c r="G1977" s="108">
        <v>317.39999999999998</v>
      </c>
      <c r="H1977" s="17">
        <v>329</v>
      </c>
      <c r="I1977" s="18">
        <v>345</v>
      </c>
      <c r="J1977" s="113" t="s">
        <v>712</v>
      </c>
      <c r="K1977" s="44" t="s">
        <v>219</v>
      </c>
      <c r="L1977" s="442"/>
      <c r="M1977" s="480" t="s">
        <v>1856</v>
      </c>
      <c r="N1977" s="1015" t="s">
        <v>1856</v>
      </c>
      <c r="O1977" s="220"/>
      <c r="P1977" s="68" t="s">
        <v>72</v>
      </c>
      <c r="Q1977" s="100">
        <f t="shared" si="1057"/>
        <v>0</v>
      </c>
      <c r="R1977" s="13" t="str">
        <f t="shared" si="1039"/>
        <v>Фото &gt;&gt;</v>
      </c>
      <c r="S1977" s="14" t="s">
        <v>727</v>
      </c>
      <c r="AK1977">
        <v>0.59</v>
      </c>
      <c r="AL1977">
        <f t="shared" si="1048"/>
        <v>0</v>
      </c>
      <c r="AM1977">
        <f t="shared" si="1049"/>
        <v>0</v>
      </c>
      <c r="AN1977">
        <f t="shared" si="1050"/>
        <v>0</v>
      </c>
      <c r="AO1977" t="s">
        <v>4988</v>
      </c>
      <c r="AV1977" t="str">
        <f>IF(F1977&gt;0,(COUNT($AV$1:AV1976)+1),"")</f>
        <v/>
      </c>
    </row>
    <row r="1978" spans="1:48" ht="15" customHeight="1" x14ac:dyDescent="0.25">
      <c r="A1978" s="1"/>
      <c r="B1978" s="30">
        <v>17129</v>
      </c>
      <c r="C1978" s="20">
        <v>4650128120720</v>
      </c>
      <c r="D1978" s="225" t="s">
        <v>1744</v>
      </c>
      <c r="E1978" s="232">
        <v>8</v>
      </c>
      <c r="F1978" s="233"/>
      <c r="G1978" s="107">
        <v>317.39999999999998</v>
      </c>
      <c r="H1978" s="21">
        <v>329</v>
      </c>
      <c r="I1978" s="22">
        <v>345</v>
      </c>
      <c r="J1978" s="112" t="s">
        <v>712</v>
      </c>
      <c r="K1978" s="45" t="s">
        <v>219</v>
      </c>
      <c r="L1978" s="437"/>
      <c r="M1978" s="474" t="s">
        <v>1856</v>
      </c>
      <c r="N1978" s="1013" t="s">
        <v>1856</v>
      </c>
      <c r="O1978" s="216"/>
      <c r="P1978" s="66" t="s">
        <v>72</v>
      </c>
      <c r="Q1978" s="100">
        <f t="shared" si="1057"/>
        <v>0</v>
      </c>
      <c r="R1978" s="13" t="str">
        <f t="shared" si="1039"/>
        <v>Фото &gt;&gt;</v>
      </c>
      <c r="S1978" s="14" t="s">
        <v>728</v>
      </c>
      <c r="AK1978">
        <v>0.55000000000000004</v>
      </c>
      <c r="AL1978">
        <f t="shared" si="1048"/>
        <v>0</v>
      </c>
      <c r="AM1978">
        <f t="shared" si="1049"/>
        <v>0</v>
      </c>
      <c r="AN1978">
        <f t="shared" si="1050"/>
        <v>0</v>
      </c>
      <c r="AO1978" t="s">
        <v>4989</v>
      </c>
      <c r="AV1978" t="str">
        <f>IF(F1978&gt;0,(COUNT($AV$1:AV1977)+1),"")</f>
        <v/>
      </c>
    </row>
    <row r="1979" spans="1:48" ht="15" customHeight="1" x14ac:dyDescent="0.25">
      <c r="A1979" s="1"/>
      <c r="B1979" s="31">
        <v>20495</v>
      </c>
      <c r="C1979" s="16">
        <v>4627129930559</v>
      </c>
      <c r="D1979" s="385" t="s">
        <v>4220</v>
      </c>
      <c r="E1979" s="234">
        <v>8</v>
      </c>
      <c r="F1979" s="233"/>
      <c r="G1979" s="108">
        <v>347.5</v>
      </c>
      <c r="H1979" s="17">
        <v>360</v>
      </c>
      <c r="I1979" s="18">
        <v>378</v>
      </c>
      <c r="J1979" s="113" t="s">
        <v>712</v>
      </c>
      <c r="K1979" s="44" t="s">
        <v>219</v>
      </c>
      <c r="L1979" s="442"/>
      <c r="M1979" s="480" t="s">
        <v>1856</v>
      </c>
      <c r="N1979" s="1015" t="s">
        <v>1856</v>
      </c>
      <c r="O1979" s="210"/>
      <c r="P1979" s="68" t="s">
        <v>72</v>
      </c>
      <c r="Q1979" s="100">
        <f t="shared" si="1057"/>
        <v>0</v>
      </c>
      <c r="R1979" s="13" t="str">
        <f t="shared" si="1039"/>
        <v>Фото &gt;&gt;</v>
      </c>
      <c r="S1979" s="14" t="s">
        <v>3983</v>
      </c>
      <c r="AK1979">
        <v>0.55000000000000004</v>
      </c>
      <c r="AL1979">
        <f t="shared" ref="AL1979" si="1064">F1979*G1979</f>
        <v>0</v>
      </c>
      <c r="AM1979">
        <f t="shared" ref="AM1979" si="1065">F1979*H1979</f>
        <v>0</v>
      </c>
      <c r="AN1979">
        <f t="shared" ref="AN1979" si="1066">AK1979*F1979+IF(E1979&gt;1.01,F1979/E1979*0.2,0)</f>
        <v>0</v>
      </c>
      <c r="AO1979" t="s">
        <v>3984</v>
      </c>
      <c r="AV1979" t="str">
        <f>IF(F1979&gt;0,(COUNT($AV$1:AV1978)+1),"")</f>
        <v/>
      </c>
    </row>
    <row r="1980" spans="1:48" ht="15" customHeight="1" x14ac:dyDescent="0.25">
      <c r="A1980" s="1"/>
      <c r="B1980" s="30">
        <v>16953</v>
      </c>
      <c r="C1980" s="20">
        <v>4627129930931</v>
      </c>
      <c r="D1980" s="225" t="s">
        <v>1745</v>
      </c>
      <c r="E1980" s="232">
        <v>8</v>
      </c>
      <c r="F1980" s="233"/>
      <c r="G1980" s="107">
        <v>347.5</v>
      </c>
      <c r="H1980" s="21">
        <v>360</v>
      </c>
      <c r="I1980" s="22">
        <v>378</v>
      </c>
      <c r="J1980" s="112" t="s">
        <v>712</v>
      </c>
      <c r="K1980" s="45" t="s">
        <v>219</v>
      </c>
      <c r="L1980" s="437"/>
      <c r="M1980" s="474" t="s">
        <v>1856</v>
      </c>
      <c r="N1980" s="1013" t="s">
        <v>1856</v>
      </c>
      <c r="O1980" s="216"/>
      <c r="P1980" s="66" t="s">
        <v>72</v>
      </c>
      <c r="Q1980" s="100">
        <f t="shared" si="1057"/>
        <v>0</v>
      </c>
      <c r="R1980" s="13" t="str">
        <f t="shared" si="1039"/>
        <v>Фото &gt;&gt;</v>
      </c>
      <c r="S1980" s="14" t="s">
        <v>729</v>
      </c>
      <c r="AK1980">
        <v>0.59</v>
      </c>
      <c r="AL1980">
        <f t="shared" si="1048"/>
        <v>0</v>
      </c>
      <c r="AM1980">
        <f t="shared" si="1049"/>
        <v>0</v>
      </c>
      <c r="AN1980">
        <f t="shared" si="1050"/>
        <v>0</v>
      </c>
      <c r="AO1980" t="s">
        <v>4990</v>
      </c>
      <c r="AV1980" t="str">
        <f>IF(F1980&gt;0,(COUNT($AV$1:AV1979)+1),"")</f>
        <v/>
      </c>
    </row>
    <row r="1981" spans="1:48" ht="15" customHeight="1" x14ac:dyDescent="0.25">
      <c r="A1981" s="1"/>
      <c r="B1981" s="25"/>
      <c r="C1981" s="26"/>
      <c r="D1981" s="228" t="s">
        <v>556</v>
      </c>
      <c r="E1981" s="235"/>
      <c r="F1981" s="236"/>
      <c r="G1981" s="28"/>
      <c r="H1981" s="29"/>
      <c r="I1981" s="29"/>
      <c r="J1981" s="51"/>
      <c r="K1981" s="47"/>
      <c r="L1981" s="447"/>
      <c r="M1981" s="499" t="s">
        <v>104</v>
      </c>
      <c r="N1981" s="1029"/>
      <c r="O1981" s="229"/>
      <c r="P1981" s="79"/>
      <c r="Q1981" s="104"/>
      <c r="R1981" s="13"/>
      <c r="S1981" s="14"/>
      <c r="AL1981">
        <f t="shared" ref="AL1981" si="1067">F1981*G1981</f>
        <v>0</v>
      </c>
      <c r="AM1981">
        <f t="shared" ref="AM1981" si="1068">F1981*H1981</f>
        <v>0</v>
      </c>
      <c r="AN1981">
        <f t="shared" ref="AN1981" si="1069">AK1981*F1981+IF(E1981&gt;1.01,F1981/E1981*0.2,0)</f>
        <v>0</v>
      </c>
      <c r="AO1981" t="s">
        <v>104</v>
      </c>
      <c r="AV1981" t="str">
        <f>IF(F1981&gt;0,(COUNT($AV$1:AV1980)+1),"")</f>
        <v/>
      </c>
    </row>
    <row r="1982" spans="1:48" ht="15" customHeight="1" x14ac:dyDescent="0.25">
      <c r="A1982" s="1"/>
      <c r="B1982" s="31">
        <v>16955</v>
      </c>
      <c r="C1982" s="16">
        <v>4627129930054</v>
      </c>
      <c r="D1982" s="226" t="s">
        <v>1761</v>
      </c>
      <c r="E1982" s="234">
        <v>8</v>
      </c>
      <c r="F1982" s="233"/>
      <c r="G1982" s="108">
        <v>289.8</v>
      </c>
      <c r="H1982" s="17">
        <v>300</v>
      </c>
      <c r="I1982" s="18">
        <v>315</v>
      </c>
      <c r="J1982" s="113" t="s">
        <v>712</v>
      </c>
      <c r="K1982" s="44" t="s">
        <v>556</v>
      </c>
      <c r="L1982" s="442"/>
      <c r="M1982" s="480" t="s">
        <v>1856</v>
      </c>
      <c r="N1982" s="1015" t="s">
        <v>1856</v>
      </c>
      <c r="O1982" s="220"/>
      <c r="P1982" s="68" t="s">
        <v>72</v>
      </c>
      <c r="Q1982" s="100">
        <f t="shared" ref="Q1982:Q2005" si="1070">IF($AO$1954=2,F1982*H1982,IF($AO$1954=1,F1982*G1982,F1982*I1982))</f>
        <v>0</v>
      </c>
      <c r="R1982" s="13" t="str">
        <f t="shared" si="1039"/>
        <v>Фото &gt;&gt;</v>
      </c>
      <c r="S1982" s="14" t="s">
        <v>730</v>
      </c>
      <c r="AK1982">
        <v>0.59</v>
      </c>
      <c r="AL1982">
        <f t="shared" si="1048"/>
        <v>0</v>
      </c>
      <c r="AM1982">
        <f t="shared" si="1049"/>
        <v>0</v>
      </c>
      <c r="AN1982">
        <f t="shared" si="1050"/>
        <v>0</v>
      </c>
      <c r="AO1982" t="s">
        <v>4991</v>
      </c>
      <c r="AV1982" t="str">
        <f>IF(F1982&gt;0,(COUNT($AV$1:AV1981)+1),"")</f>
        <v/>
      </c>
    </row>
    <row r="1983" spans="1:48" ht="15" customHeight="1" x14ac:dyDescent="0.25">
      <c r="A1983" s="1"/>
      <c r="B1983" s="30">
        <v>20309</v>
      </c>
      <c r="C1983" s="20">
        <v>4650128121383</v>
      </c>
      <c r="D1983" s="225" t="s">
        <v>4067</v>
      </c>
      <c r="E1983" s="67">
        <v>8</v>
      </c>
      <c r="F1983" s="222"/>
      <c r="G1983" s="107">
        <v>295</v>
      </c>
      <c r="H1983" s="21">
        <v>305.5</v>
      </c>
      <c r="I1983" s="22">
        <v>320.5</v>
      </c>
      <c r="J1983" s="112" t="s">
        <v>712</v>
      </c>
      <c r="K1983" s="45" t="s">
        <v>556</v>
      </c>
      <c r="L1983" s="437"/>
      <c r="M1983" s="474" t="s">
        <v>1856</v>
      </c>
      <c r="N1983" s="1013"/>
      <c r="O1983" s="209"/>
      <c r="P1983" s="66" t="s">
        <v>53</v>
      </c>
      <c r="Q1983" s="100">
        <f t="shared" si="1070"/>
        <v>0</v>
      </c>
      <c r="R1983" s="13" t="str">
        <f t="shared" si="1039"/>
        <v>Фото &gt;&gt;</v>
      </c>
      <c r="S1983" s="14" t="s">
        <v>3198</v>
      </c>
      <c r="AK1983">
        <v>0.5</v>
      </c>
      <c r="AL1983">
        <f t="shared" ref="AL1983:AL1986" si="1071">F1983*G1983</f>
        <v>0</v>
      </c>
      <c r="AM1983">
        <f t="shared" ref="AM1983:AM1986" si="1072">F1983*H1983</f>
        <v>0</v>
      </c>
      <c r="AN1983">
        <f t="shared" si="1050"/>
        <v>0</v>
      </c>
      <c r="AO1983" t="s">
        <v>3571</v>
      </c>
      <c r="AV1983" t="str">
        <f>IF(F1983&gt;0,(COUNT($AV$1:AV1982)+1),"")</f>
        <v/>
      </c>
    </row>
    <row r="1984" spans="1:48" ht="15" customHeight="1" x14ac:dyDescent="0.25">
      <c r="A1984" s="1"/>
      <c r="B1984" s="31">
        <v>20304</v>
      </c>
      <c r="C1984" s="16">
        <v>4650128121437</v>
      </c>
      <c r="D1984" s="226" t="s">
        <v>4036</v>
      </c>
      <c r="E1984" s="69">
        <v>8</v>
      </c>
      <c r="F1984" s="222"/>
      <c r="G1984" s="108">
        <v>295</v>
      </c>
      <c r="H1984" s="17">
        <v>305.5</v>
      </c>
      <c r="I1984" s="18">
        <v>320.5</v>
      </c>
      <c r="J1984" s="113" t="s">
        <v>712</v>
      </c>
      <c r="K1984" s="44" t="s">
        <v>556</v>
      </c>
      <c r="L1984" s="442"/>
      <c r="M1984" s="480" t="s">
        <v>1856</v>
      </c>
      <c r="N1984" s="1015"/>
      <c r="O1984" s="210"/>
      <c r="P1984" s="68" t="s">
        <v>53</v>
      </c>
      <c r="Q1984" s="100">
        <f t="shared" si="1070"/>
        <v>0</v>
      </c>
      <c r="R1984" s="13" t="str">
        <f t="shared" si="1039"/>
        <v>Фото &gt;&gt;</v>
      </c>
      <c r="S1984" s="14" t="s">
        <v>3196</v>
      </c>
      <c r="AK1984">
        <v>0.59</v>
      </c>
      <c r="AL1984">
        <f t="shared" si="1071"/>
        <v>0</v>
      </c>
      <c r="AM1984">
        <f t="shared" si="1072"/>
        <v>0</v>
      </c>
      <c r="AN1984">
        <f t="shared" si="1050"/>
        <v>0</v>
      </c>
      <c r="AO1984" t="s">
        <v>3197</v>
      </c>
      <c r="AV1984" t="str">
        <f>IF(F1984&gt;0,(COUNT($AV$1:AV1983)+1),"")</f>
        <v/>
      </c>
    </row>
    <row r="1985" spans="1:48" ht="15" customHeight="1" x14ac:dyDescent="0.25">
      <c r="A1985" s="1"/>
      <c r="B1985" s="30">
        <v>17155</v>
      </c>
      <c r="C1985" s="20">
        <v>4627129930092</v>
      </c>
      <c r="D1985" s="225" t="s">
        <v>7048</v>
      </c>
      <c r="E1985" s="67">
        <v>8</v>
      </c>
      <c r="F1985" s="222"/>
      <c r="G1985" s="107">
        <v>289.8</v>
      </c>
      <c r="H1985" s="21">
        <v>300</v>
      </c>
      <c r="I1985" s="22">
        <v>315</v>
      </c>
      <c r="J1985" s="112" t="s">
        <v>712</v>
      </c>
      <c r="K1985" s="45" t="s">
        <v>556</v>
      </c>
      <c r="L1985" s="437"/>
      <c r="M1985" s="474" t="s">
        <v>1856</v>
      </c>
      <c r="N1985" s="1013" t="s">
        <v>1856</v>
      </c>
      <c r="O1985" s="209"/>
      <c r="P1985" s="66" t="s">
        <v>53</v>
      </c>
      <c r="Q1985" s="100">
        <f t="shared" si="1070"/>
        <v>0</v>
      </c>
      <c r="R1985" s="13" t="str">
        <f t="shared" si="1039"/>
        <v>Фото &gt;&gt;</v>
      </c>
      <c r="S1985" s="14" t="s">
        <v>6094</v>
      </c>
      <c r="AK1985">
        <v>0.59</v>
      </c>
      <c r="AL1985">
        <f t="shared" ref="AL1985" si="1073">F1985*G1985</f>
        <v>0</v>
      </c>
      <c r="AM1985">
        <f t="shared" ref="AM1985" si="1074">F1985*H1985</f>
        <v>0</v>
      </c>
      <c r="AN1985">
        <f t="shared" ref="AN1985" si="1075">AK1985*F1985+IF(E1985&gt;1.01,F1985/E1985*0.2,0)</f>
        <v>0</v>
      </c>
      <c r="AO1985" t="s">
        <v>6095</v>
      </c>
      <c r="AV1985" t="str">
        <f>IF(F1985&gt;0,(COUNT($AV$1:AV1984)+1),"")</f>
        <v/>
      </c>
    </row>
    <row r="1986" spans="1:48" ht="15" customHeight="1" x14ac:dyDescent="0.25">
      <c r="A1986" s="1"/>
      <c r="B1986" s="31">
        <v>16957</v>
      </c>
      <c r="C1986" s="16">
        <v>4627129930115</v>
      </c>
      <c r="D1986" s="226" t="s">
        <v>1702</v>
      </c>
      <c r="E1986" s="69">
        <v>8</v>
      </c>
      <c r="F1986" s="222"/>
      <c r="G1986" s="108">
        <v>289.8</v>
      </c>
      <c r="H1986" s="17">
        <v>300</v>
      </c>
      <c r="I1986" s="18">
        <v>315</v>
      </c>
      <c r="J1986" s="113" t="s">
        <v>712</v>
      </c>
      <c r="K1986" s="44" t="s">
        <v>556</v>
      </c>
      <c r="L1986" s="442"/>
      <c r="M1986" s="480" t="s">
        <v>1856</v>
      </c>
      <c r="N1986" s="1015" t="s">
        <v>1856</v>
      </c>
      <c r="O1986" s="210"/>
      <c r="P1986" s="68" t="s">
        <v>72</v>
      </c>
      <c r="Q1986" s="100">
        <f t="shared" si="1070"/>
        <v>0</v>
      </c>
      <c r="R1986" s="13" t="str">
        <f t="shared" si="1039"/>
        <v>Фото &gt;&gt;</v>
      </c>
      <c r="S1986" s="14" t="s">
        <v>731</v>
      </c>
      <c r="AK1986">
        <v>0.59</v>
      </c>
      <c r="AL1986">
        <f t="shared" si="1071"/>
        <v>0</v>
      </c>
      <c r="AM1986">
        <f t="shared" si="1072"/>
        <v>0</v>
      </c>
      <c r="AN1986">
        <f t="shared" si="1050"/>
        <v>0</v>
      </c>
      <c r="AO1986" t="s">
        <v>4992</v>
      </c>
      <c r="AV1986" t="str">
        <f>IF(F1986&gt;0,(COUNT($AV$1:AV1985)+1),"")</f>
        <v/>
      </c>
    </row>
    <row r="1987" spans="1:48" ht="15" customHeight="1" x14ac:dyDescent="0.25">
      <c r="A1987" s="1"/>
      <c r="B1987" s="30">
        <v>19142</v>
      </c>
      <c r="C1987" s="20">
        <v>4650128120744</v>
      </c>
      <c r="D1987" s="225" t="s">
        <v>7049</v>
      </c>
      <c r="E1987" s="67">
        <v>8</v>
      </c>
      <c r="F1987" s="222"/>
      <c r="G1987" s="107">
        <v>385</v>
      </c>
      <c r="H1987" s="21">
        <v>399</v>
      </c>
      <c r="I1987" s="22">
        <v>419</v>
      </c>
      <c r="J1987" s="112" t="s">
        <v>712</v>
      </c>
      <c r="K1987" s="45" t="s">
        <v>556</v>
      </c>
      <c r="L1987" s="437"/>
      <c r="M1987" s="474" t="s">
        <v>1856</v>
      </c>
      <c r="N1987" s="1013" t="s">
        <v>1856</v>
      </c>
      <c r="O1987" s="209"/>
      <c r="P1987" s="66" t="s">
        <v>72</v>
      </c>
      <c r="Q1987" s="100">
        <f t="shared" si="1070"/>
        <v>0</v>
      </c>
      <c r="R1987" s="13" t="str">
        <f t="shared" si="1039"/>
        <v>Фото &gt;&gt;</v>
      </c>
      <c r="S1987" s="14" t="s">
        <v>6092</v>
      </c>
      <c r="AK1987">
        <v>0.59</v>
      </c>
      <c r="AL1987">
        <f t="shared" ref="AL1987" si="1076">F1987*G1987</f>
        <v>0</v>
      </c>
      <c r="AM1987">
        <f t="shared" ref="AM1987" si="1077">F1987*H1987</f>
        <v>0</v>
      </c>
      <c r="AN1987">
        <f t="shared" ref="AN1987" si="1078">AK1987*F1987+IF(E1987&gt;1.01,F1987/E1987*0.2,0)</f>
        <v>0</v>
      </c>
      <c r="AO1987" t="s">
        <v>6093</v>
      </c>
      <c r="AV1987" t="str">
        <f>IF(F1987&gt;0,(COUNT($AV$1:AV1986)+1),"")</f>
        <v/>
      </c>
    </row>
    <row r="1988" spans="1:48" ht="15" customHeight="1" x14ac:dyDescent="0.25">
      <c r="A1988" s="1"/>
      <c r="B1988" s="31">
        <v>20305</v>
      </c>
      <c r="C1988" s="16">
        <v>4650128121413</v>
      </c>
      <c r="D1988" s="226" t="s">
        <v>4037</v>
      </c>
      <c r="E1988" s="69">
        <v>8</v>
      </c>
      <c r="F1988" s="222"/>
      <c r="G1988" s="108">
        <v>295</v>
      </c>
      <c r="H1988" s="17">
        <v>305.5</v>
      </c>
      <c r="I1988" s="18">
        <v>320.5</v>
      </c>
      <c r="J1988" s="113" t="s">
        <v>712</v>
      </c>
      <c r="K1988" s="44" t="s">
        <v>556</v>
      </c>
      <c r="L1988" s="442"/>
      <c r="M1988" s="480" t="s">
        <v>1856</v>
      </c>
      <c r="N1988" s="1015"/>
      <c r="O1988" s="210"/>
      <c r="P1988" s="68" t="s">
        <v>53</v>
      </c>
      <c r="Q1988" s="100">
        <f t="shared" si="1070"/>
        <v>0</v>
      </c>
      <c r="R1988" s="13" t="str">
        <f t="shared" si="1039"/>
        <v>Фото &gt;&gt;</v>
      </c>
      <c r="S1988" s="14" t="s">
        <v>3199</v>
      </c>
      <c r="AK1988">
        <v>0.59</v>
      </c>
      <c r="AL1988">
        <f t="shared" ref="AL1988" si="1079">F1988*G1988</f>
        <v>0</v>
      </c>
      <c r="AM1988">
        <f t="shared" ref="AM1988" si="1080">F1988*H1988</f>
        <v>0</v>
      </c>
      <c r="AN1988">
        <f t="shared" si="1050"/>
        <v>0</v>
      </c>
      <c r="AO1988" t="s">
        <v>3200</v>
      </c>
      <c r="AV1988" t="str">
        <f>IF(F1988&gt;0,(COUNT($AV$1:AV1987)+1),"")</f>
        <v/>
      </c>
    </row>
    <row r="1989" spans="1:48" ht="15" customHeight="1" x14ac:dyDescent="0.25">
      <c r="A1989" s="1"/>
      <c r="B1989" s="30">
        <v>20308</v>
      </c>
      <c r="C1989" s="20">
        <v>4650128121420</v>
      </c>
      <c r="D1989" s="225" t="s">
        <v>4038</v>
      </c>
      <c r="E1989" s="67">
        <v>8</v>
      </c>
      <c r="F1989" s="222"/>
      <c r="G1989" s="107">
        <v>295</v>
      </c>
      <c r="H1989" s="21">
        <v>305.5</v>
      </c>
      <c r="I1989" s="22">
        <v>320.5</v>
      </c>
      <c r="J1989" s="112" t="s">
        <v>712</v>
      </c>
      <c r="K1989" s="45" t="s">
        <v>556</v>
      </c>
      <c r="L1989" s="437"/>
      <c r="M1989" s="474" t="s">
        <v>1856</v>
      </c>
      <c r="N1989" s="1013"/>
      <c r="O1989" s="209"/>
      <c r="P1989" s="66" t="s">
        <v>53</v>
      </c>
      <c r="Q1989" s="100">
        <f t="shared" si="1070"/>
        <v>0</v>
      </c>
      <c r="R1989" s="13" t="str">
        <f t="shared" si="1039"/>
        <v>Фото &gt;&gt;</v>
      </c>
      <c r="S1989" s="14" t="s">
        <v>3201</v>
      </c>
      <c r="AK1989">
        <v>0.59</v>
      </c>
      <c r="AL1989">
        <f t="shared" ref="AL1989" si="1081">F1989*G1989</f>
        <v>0</v>
      </c>
      <c r="AM1989">
        <f t="shared" ref="AM1989" si="1082">F1989*H1989</f>
        <v>0</v>
      </c>
      <c r="AN1989">
        <f t="shared" si="1050"/>
        <v>0</v>
      </c>
      <c r="AO1989" t="s">
        <v>3202</v>
      </c>
      <c r="AV1989" t="str">
        <f>IF(F1989&gt;0,(COUNT($AV$1:AV1988)+1),"")</f>
        <v/>
      </c>
    </row>
    <row r="1990" spans="1:48" ht="15" customHeight="1" x14ac:dyDescent="0.25">
      <c r="A1990" s="1"/>
      <c r="B1990" s="31">
        <v>16973</v>
      </c>
      <c r="C1990" s="16">
        <v>4627129930719</v>
      </c>
      <c r="D1990" s="226" t="s">
        <v>1703</v>
      </c>
      <c r="E1990" s="69">
        <v>8</v>
      </c>
      <c r="F1990" s="222"/>
      <c r="G1990" s="108">
        <v>295</v>
      </c>
      <c r="H1990" s="17">
        <v>305.5</v>
      </c>
      <c r="I1990" s="18">
        <v>320.5</v>
      </c>
      <c r="J1990" s="113" t="s">
        <v>712</v>
      </c>
      <c r="K1990" s="44" t="s">
        <v>556</v>
      </c>
      <c r="L1990" s="442"/>
      <c r="M1990" s="480" t="s">
        <v>1856</v>
      </c>
      <c r="N1990" s="1015" t="s">
        <v>1856</v>
      </c>
      <c r="O1990" s="210"/>
      <c r="P1990" s="68" t="s">
        <v>72</v>
      </c>
      <c r="Q1990" s="100">
        <f t="shared" si="1070"/>
        <v>0</v>
      </c>
      <c r="R1990" s="13" t="str">
        <f t="shared" si="1039"/>
        <v>Фото &gt;&gt;</v>
      </c>
      <c r="S1990" s="14" t="s">
        <v>731</v>
      </c>
      <c r="AK1990">
        <v>0.59</v>
      </c>
      <c r="AL1990">
        <f t="shared" ref="AL1990:AL2009" si="1083">F1990*G1990</f>
        <v>0</v>
      </c>
      <c r="AM1990">
        <f t="shared" ref="AM1990:AM2009" si="1084">F1990*H1990</f>
        <v>0</v>
      </c>
      <c r="AN1990">
        <f t="shared" si="1050"/>
        <v>0</v>
      </c>
      <c r="AO1990" t="s">
        <v>4993</v>
      </c>
      <c r="AV1990" t="str">
        <f>IF(F1990&gt;0,(COUNT($AV$1:AV1989)+1),"")</f>
        <v/>
      </c>
    </row>
    <row r="1991" spans="1:48" ht="15" customHeight="1" x14ac:dyDescent="0.25">
      <c r="A1991" s="1"/>
      <c r="B1991" s="30">
        <v>18907</v>
      </c>
      <c r="C1991" s="20">
        <v>4627129933734</v>
      </c>
      <c r="D1991" s="225" t="s">
        <v>1704</v>
      </c>
      <c r="E1991" s="67">
        <v>8</v>
      </c>
      <c r="F1991" s="222"/>
      <c r="G1991" s="107">
        <v>295</v>
      </c>
      <c r="H1991" s="21">
        <v>305.5</v>
      </c>
      <c r="I1991" s="22">
        <v>320.5</v>
      </c>
      <c r="J1991" s="112" t="s">
        <v>712</v>
      </c>
      <c r="K1991" s="45" t="s">
        <v>556</v>
      </c>
      <c r="L1991" s="437"/>
      <c r="M1991" s="474" t="s">
        <v>1856</v>
      </c>
      <c r="N1991" s="1013" t="s">
        <v>1856</v>
      </c>
      <c r="O1991" s="209"/>
      <c r="P1991" s="66" t="s">
        <v>72</v>
      </c>
      <c r="Q1991" s="100">
        <f t="shared" si="1070"/>
        <v>0</v>
      </c>
      <c r="R1991" s="13" t="str">
        <f t="shared" si="1039"/>
        <v>Фото &gt;&gt;</v>
      </c>
      <c r="S1991" s="14" t="s">
        <v>1696</v>
      </c>
      <c r="AK1991">
        <v>0.59</v>
      </c>
      <c r="AL1991">
        <f t="shared" si="1083"/>
        <v>0</v>
      </c>
      <c r="AM1991">
        <f t="shared" si="1084"/>
        <v>0</v>
      </c>
      <c r="AN1991">
        <f t="shared" si="1050"/>
        <v>0</v>
      </c>
      <c r="AO1991" t="s">
        <v>4994</v>
      </c>
      <c r="AV1991" t="str">
        <f>IF(F1991&gt;0,(COUNT($AV$1:AV1990)+1),"")</f>
        <v/>
      </c>
    </row>
    <row r="1992" spans="1:48" ht="15" customHeight="1" x14ac:dyDescent="0.25">
      <c r="A1992" s="1"/>
      <c r="B1992" s="31">
        <v>18623</v>
      </c>
      <c r="C1992" s="16">
        <v>4627129931495</v>
      </c>
      <c r="D1992" s="226" t="s">
        <v>1705</v>
      </c>
      <c r="E1992" s="69">
        <v>8</v>
      </c>
      <c r="F1992" s="222"/>
      <c r="G1992" s="108">
        <v>289.8</v>
      </c>
      <c r="H1992" s="17">
        <v>300</v>
      </c>
      <c r="I1992" s="18">
        <v>315</v>
      </c>
      <c r="J1992" s="113" t="s">
        <v>712</v>
      </c>
      <c r="K1992" s="44" t="s">
        <v>556</v>
      </c>
      <c r="L1992" s="442"/>
      <c r="M1992" s="480" t="s">
        <v>1856</v>
      </c>
      <c r="N1992" s="1015" t="s">
        <v>1856</v>
      </c>
      <c r="O1992" s="210"/>
      <c r="P1992" s="68" t="s">
        <v>72</v>
      </c>
      <c r="Q1992" s="100">
        <f t="shared" si="1070"/>
        <v>0</v>
      </c>
      <c r="R1992" s="13" t="str">
        <f t="shared" si="1039"/>
        <v>Фото &gt;&gt;</v>
      </c>
      <c r="S1992" s="14" t="s">
        <v>3570</v>
      </c>
      <c r="AK1992">
        <v>0.59</v>
      </c>
      <c r="AL1992">
        <f t="shared" si="1083"/>
        <v>0</v>
      </c>
      <c r="AM1992">
        <f t="shared" si="1084"/>
        <v>0</v>
      </c>
      <c r="AN1992">
        <f t="shared" si="1050"/>
        <v>0</v>
      </c>
      <c r="AO1992" t="s">
        <v>4995</v>
      </c>
      <c r="AV1992" t="str">
        <f>IF(F1992&gt;0,(COUNT($AV$1:AV1991)+1),"")</f>
        <v/>
      </c>
    </row>
    <row r="1993" spans="1:48" ht="15" customHeight="1" x14ac:dyDescent="0.25">
      <c r="A1993" s="1"/>
      <c r="B1993" s="30">
        <v>17156</v>
      </c>
      <c r="C1993" s="20">
        <v>4627129930672</v>
      </c>
      <c r="D1993" s="225" t="s">
        <v>1706</v>
      </c>
      <c r="E1993" s="67">
        <v>8</v>
      </c>
      <c r="F1993" s="222"/>
      <c r="G1993" s="107">
        <v>295</v>
      </c>
      <c r="H1993" s="21">
        <v>305.5</v>
      </c>
      <c r="I1993" s="22">
        <v>320.5</v>
      </c>
      <c r="J1993" s="112" t="s">
        <v>712</v>
      </c>
      <c r="K1993" s="45" t="s">
        <v>556</v>
      </c>
      <c r="L1993" s="437"/>
      <c r="M1993" s="474" t="s">
        <v>1856</v>
      </c>
      <c r="N1993" s="1013" t="s">
        <v>1856</v>
      </c>
      <c r="O1993" s="209"/>
      <c r="P1993" s="66" t="s">
        <v>72</v>
      </c>
      <c r="Q1993" s="100">
        <f t="shared" si="1070"/>
        <v>0</v>
      </c>
      <c r="R1993" s="13" t="str">
        <f t="shared" si="1039"/>
        <v>Фото &gt;&gt;</v>
      </c>
      <c r="S1993" s="14" t="s">
        <v>732</v>
      </c>
      <c r="AK1993">
        <v>0.59</v>
      </c>
      <c r="AL1993">
        <f t="shared" si="1083"/>
        <v>0</v>
      </c>
      <c r="AM1993">
        <f t="shared" si="1084"/>
        <v>0</v>
      </c>
      <c r="AN1993">
        <f t="shared" si="1050"/>
        <v>0</v>
      </c>
      <c r="AO1993" t="s">
        <v>4996</v>
      </c>
      <c r="AV1993" t="str">
        <f>IF(F1993&gt;0,(COUNT($AV$1:AV1992)+1),"")</f>
        <v/>
      </c>
    </row>
    <row r="1994" spans="1:48" ht="15" customHeight="1" x14ac:dyDescent="0.25">
      <c r="A1994" s="1"/>
      <c r="B1994" s="31">
        <v>16958</v>
      </c>
      <c r="C1994" s="16">
        <v>4650128120355</v>
      </c>
      <c r="D1994" s="226" t="s">
        <v>1707</v>
      </c>
      <c r="E1994" s="69">
        <v>8</v>
      </c>
      <c r="F1994" s="222"/>
      <c r="G1994" s="108">
        <v>289.8</v>
      </c>
      <c r="H1994" s="17">
        <v>300</v>
      </c>
      <c r="I1994" s="18">
        <v>315</v>
      </c>
      <c r="J1994" s="113" t="s">
        <v>712</v>
      </c>
      <c r="K1994" s="44" t="s">
        <v>556</v>
      </c>
      <c r="L1994" s="442"/>
      <c r="M1994" s="480" t="s">
        <v>1856</v>
      </c>
      <c r="N1994" s="1015"/>
      <c r="O1994" s="210"/>
      <c r="P1994" s="68" t="s">
        <v>53</v>
      </c>
      <c r="Q1994" s="100">
        <f t="shared" si="1070"/>
        <v>0</v>
      </c>
      <c r="R1994" s="13" t="str">
        <f t="shared" si="1039"/>
        <v>Фото &gt;&gt;</v>
      </c>
      <c r="S1994" s="14" t="s">
        <v>733</v>
      </c>
      <c r="AK1994">
        <v>0.59</v>
      </c>
      <c r="AL1994">
        <f t="shared" si="1083"/>
        <v>0</v>
      </c>
      <c r="AM1994">
        <f t="shared" si="1084"/>
        <v>0</v>
      </c>
      <c r="AN1994">
        <f t="shared" si="1050"/>
        <v>0</v>
      </c>
      <c r="AO1994" t="s">
        <v>4997</v>
      </c>
      <c r="AV1994" t="str">
        <f>IF(F1994&gt;0,(COUNT($AV$1:AV1993)+1),"")</f>
        <v/>
      </c>
    </row>
    <row r="1995" spans="1:48" ht="15" customHeight="1" x14ac:dyDescent="0.25">
      <c r="A1995" s="1"/>
      <c r="B1995" s="30">
        <v>19143</v>
      </c>
      <c r="C1995" s="20">
        <v>4650128120768</v>
      </c>
      <c r="D1995" s="225" t="s">
        <v>7050</v>
      </c>
      <c r="E1995" s="67">
        <v>8</v>
      </c>
      <c r="F1995" s="222"/>
      <c r="G1995" s="107">
        <v>349</v>
      </c>
      <c r="H1995" s="21">
        <v>361.4</v>
      </c>
      <c r="I1995" s="22">
        <v>379</v>
      </c>
      <c r="J1995" s="112" t="s">
        <v>712</v>
      </c>
      <c r="K1995" s="45" t="s">
        <v>556</v>
      </c>
      <c r="L1995" s="437"/>
      <c r="M1995" s="474" t="s">
        <v>1856</v>
      </c>
      <c r="N1995" s="1013" t="s">
        <v>1856</v>
      </c>
      <c r="O1995" s="209"/>
      <c r="P1995" s="66" t="s">
        <v>53</v>
      </c>
      <c r="Q1995" s="100">
        <f t="shared" si="1070"/>
        <v>0</v>
      </c>
      <c r="R1995" s="13" t="str">
        <f t="shared" si="1039"/>
        <v>Фото &gt;&gt;</v>
      </c>
      <c r="S1995" s="14" t="s">
        <v>6096</v>
      </c>
      <c r="AK1995">
        <v>0.59</v>
      </c>
      <c r="AL1995">
        <f t="shared" ref="AL1995" si="1085">F1995*G1995</f>
        <v>0</v>
      </c>
      <c r="AM1995">
        <f t="shared" ref="AM1995" si="1086">F1995*H1995</f>
        <v>0</v>
      </c>
      <c r="AN1995">
        <f t="shared" ref="AN1995" si="1087">AK1995*F1995+IF(E1995&gt;1.01,F1995/E1995*0.2,0)</f>
        <v>0</v>
      </c>
      <c r="AO1995" t="s">
        <v>6097</v>
      </c>
      <c r="AV1995" t="str">
        <f>IF(F1995&gt;0,(COUNT($AV$1:AV1994)+1),"")</f>
        <v/>
      </c>
    </row>
    <row r="1996" spans="1:48" ht="15" customHeight="1" x14ac:dyDescent="0.25">
      <c r="A1996" s="1"/>
      <c r="B1996" s="31">
        <v>17157</v>
      </c>
      <c r="C1996" s="16">
        <v>4650128120300</v>
      </c>
      <c r="D1996" s="226" t="s">
        <v>1718</v>
      </c>
      <c r="E1996" s="69">
        <v>8</v>
      </c>
      <c r="F1996" s="222"/>
      <c r="G1996" s="108">
        <v>289.8</v>
      </c>
      <c r="H1996" s="17">
        <v>300</v>
      </c>
      <c r="I1996" s="18">
        <v>315</v>
      </c>
      <c r="J1996" s="113" t="s">
        <v>712</v>
      </c>
      <c r="K1996" s="44" t="s">
        <v>556</v>
      </c>
      <c r="L1996" s="442"/>
      <c r="M1996" s="480" t="s">
        <v>1856</v>
      </c>
      <c r="N1996" s="1015" t="s">
        <v>1856</v>
      </c>
      <c r="O1996" s="210"/>
      <c r="P1996" s="68" t="s">
        <v>53</v>
      </c>
      <c r="Q1996" s="100">
        <f t="shared" si="1070"/>
        <v>0</v>
      </c>
      <c r="R1996" s="13" t="str">
        <f t="shared" si="1039"/>
        <v>Фото &gt;&gt;</v>
      </c>
      <c r="S1996" s="14" t="s">
        <v>734</v>
      </c>
      <c r="AK1996">
        <v>0.59</v>
      </c>
      <c r="AL1996">
        <f t="shared" si="1083"/>
        <v>0</v>
      </c>
      <c r="AM1996">
        <f t="shared" si="1084"/>
        <v>0</v>
      </c>
      <c r="AN1996">
        <f t="shared" si="1050"/>
        <v>0</v>
      </c>
      <c r="AO1996" t="s">
        <v>4998</v>
      </c>
      <c r="AV1996" t="str">
        <f>IF(F1996&gt;0,(COUNT($AV$1:AV1995)+1),"")</f>
        <v/>
      </c>
    </row>
    <row r="1997" spans="1:48" ht="15" customHeight="1" x14ac:dyDescent="0.25">
      <c r="A1997" s="1"/>
      <c r="B1997" s="30">
        <v>19793</v>
      </c>
      <c r="C1997" s="20">
        <v>4650128121062</v>
      </c>
      <c r="D1997" s="225" t="s">
        <v>3193</v>
      </c>
      <c r="E1997" s="67">
        <v>8</v>
      </c>
      <c r="F1997" s="222"/>
      <c r="G1997" s="107">
        <v>295</v>
      </c>
      <c r="H1997" s="21">
        <v>305.5</v>
      </c>
      <c r="I1997" s="22">
        <v>320.5</v>
      </c>
      <c r="J1997" s="112" t="s">
        <v>712</v>
      </c>
      <c r="K1997" s="45" t="s">
        <v>556</v>
      </c>
      <c r="L1997" s="437"/>
      <c r="M1997" s="474" t="s">
        <v>1856</v>
      </c>
      <c r="N1997" s="1013" t="s">
        <v>1856</v>
      </c>
      <c r="O1997" s="209"/>
      <c r="P1997" s="66" t="s">
        <v>72</v>
      </c>
      <c r="Q1997" s="100">
        <f t="shared" si="1070"/>
        <v>0</v>
      </c>
      <c r="R1997" s="13" t="str">
        <f t="shared" si="1039"/>
        <v>Фото &gt;&gt;</v>
      </c>
      <c r="S1997" s="14" t="s">
        <v>1987</v>
      </c>
      <c r="AK1997">
        <v>0.59</v>
      </c>
      <c r="AL1997">
        <f t="shared" ref="AL1997" si="1088">F1997*G1997</f>
        <v>0</v>
      </c>
      <c r="AM1997">
        <f t="shared" ref="AM1997" si="1089">F1997*H1997</f>
        <v>0</v>
      </c>
      <c r="AN1997">
        <f t="shared" ref="AN1997:AN2009" si="1090">AK1997*F1997+IF(E1997&gt;1.01,F1997/E1997*0.2,0)</f>
        <v>0</v>
      </c>
      <c r="AO1997" t="s">
        <v>2747</v>
      </c>
      <c r="AV1997" t="str">
        <f>IF(F1997&gt;0,(COUNT($AV$1:AV1996)+1),"")</f>
        <v/>
      </c>
    </row>
    <row r="1998" spans="1:48" ht="15" customHeight="1" x14ac:dyDescent="0.25">
      <c r="A1998" s="1"/>
      <c r="B1998" s="31">
        <v>19829</v>
      </c>
      <c r="C1998" s="16">
        <v>4650128120324</v>
      </c>
      <c r="D1998" s="226" t="s">
        <v>3194</v>
      </c>
      <c r="E1998" s="69">
        <v>8</v>
      </c>
      <c r="F1998" s="222"/>
      <c r="G1998" s="108">
        <v>289.8</v>
      </c>
      <c r="H1998" s="17">
        <v>300</v>
      </c>
      <c r="I1998" s="18">
        <v>315</v>
      </c>
      <c r="J1998" s="113" t="s">
        <v>712</v>
      </c>
      <c r="K1998" s="44" t="s">
        <v>556</v>
      </c>
      <c r="L1998" s="442"/>
      <c r="M1998" s="480" t="s">
        <v>1856</v>
      </c>
      <c r="N1998" s="1015"/>
      <c r="O1998" s="210"/>
      <c r="P1998" s="68" t="s">
        <v>53</v>
      </c>
      <c r="Q1998" s="100">
        <f t="shared" si="1070"/>
        <v>0</v>
      </c>
      <c r="R1998" s="13" t="str">
        <f t="shared" si="1039"/>
        <v>Фото &gt;&gt;</v>
      </c>
      <c r="S1998" s="14" t="s">
        <v>2024</v>
      </c>
      <c r="AK1998">
        <v>0.59</v>
      </c>
      <c r="AL1998">
        <f t="shared" ref="AL1998:AL2004" si="1091">F1998*G1998</f>
        <v>0</v>
      </c>
      <c r="AM1998">
        <f t="shared" ref="AM1998:AM2004" si="1092">F1998*H1998</f>
        <v>0</v>
      </c>
      <c r="AN1998">
        <f t="shared" si="1090"/>
        <v>0</v>
      </c>
      <c r="AO1998" t="s">
        <v>2748</v>
      </c>
      <c r="AV1998" t="str">
        <f>IF(F1998&gt;0,(COUNT($AV$1:AV1997)+1),"")</f>
        <v/>
      </c>
    </row>
    <row r="1999" spans="1:48" ht="15" customHeight="1" x14ac:dyDescent="0.25">
      <c r="A1999" s="1"/>
      <c r="B1999" s="30">
        <v>16960</v>
      </c>
      <c r="C1999" s="20">
        <v>4627129932492</v>
      </c>
      <c r="D1999" s="225" t="s">
        <v>1719</v>
      </c>
      <c r="E1999" s="67">
        <v>8</v>
      </c>
      <c r="F1999" s="222"/>
      <c r="G1999" s="107">
        <v>289.8</v>
      </c>
      <c r="H1999" s="21">
        <v>300</v>
      </c>
      <c r="I1999" s="22">
        <v>315</v>
      </c>
      <c r="J1999" s="112" t="s">
        <v>712</v>
      </c>
      <c r="K1999" s="45" t="s">
        <v>556</v>
      </c>
      <c r="L1999" s="437"/>
      <c r="M1999" s="474" t="s">
        <v>1856</v>
      </c>
      <c r="N1999" s="1013"/>
      <c r="O1999" s="209"/>
      <c r="P1999" s="66" t="s">
        <v>53</v>
      </c>
      <c r="Q1999" s="100">
        <f t="shared" si="1070"/>
        <v>0</v>
      </c>
      <c r="R1999" s="13" t="str">
        <f t="shared" si="1039"/>
        <v>Фото &gt;&gt;</v>
      </c>
      <c r="S1999" s="14" t="s">
        <v>1779</v>
      </c>
      <c r="AK1999">
        <v>0.59</v>
      </c>
      <c r="AL1999">
        <f t="shared" si="1091"/>
        <v>0</v>
      </c>
      <c r="AM1999">
        <f t="shared" si="1092"/>
        <v>0</v>
      </c>
      <c r="AN1999">
        <f t="shared" si="1090"/>
        <v>0</v>
      </c>
      <c r="AO1999" t="s">
        <v>4999</v>
      </c>
      <c r="AV1999" t="str">
        <f>IF(F1999&gt;0,(COUNT($AV$1:AV1998)+1),"")</f>
        <v/>
      </c>
    </row>
    <row r="2000" spans="1:48" ht="15" customHeight="1" x14ac:dyDescent="0.25">
      <c r="A2000" s="1"/>
      <c r="B2000" s="31">
        <v>16959</v>
      </c>
      <c r="C2000" s="16">
        <v>4650128120034</v>
      </c>
      <c r="D2000" s="226" t="s">
        <v>1762</v>
      </c>
      <c r="E2000" s="69">
        <v>8</v>
      </c>
      <c r="F2000" s="222"/>
      <c r="G2000" s="108">
        <v>289.8</v>
      </c>
      <c r="H2000" s="17">
        <v>300</v>
      </c>
      <c r="I2000" s="18">
        <v>315</v>
      </c>
      <c r="J2000" s="113" t="s">
        <v>712</v>
      </c>
      <c r="K2000" s="44" t="s">
        <v>556</v>
      </c>
      <c r="L2000" s="442"/>
      <c r="M2000" s="480" t="s">
        <v>1856</v>
      </c>
      <c r="N2000" s="1015" t="s">
        <v>1856</v>
      </c>
      <c r="O2000" s="210"/>
      <c r="P2000" s="68" t="s">
        <v>53</v>
      </c>
      <c r="Q2000" s="100">
        <f t="shared" si="1070"/>
        <v>0</v>
      </c>
      <c r="R2000" s="13" t="str">
        <f t="shared" si="1039"/>
        <v>Фото &gt;&gt;</v>
      </c>
      <c r="S2000" s="14" t="s">
        <v>2025</v>
      </c>
      <c r="AK2000">
        <v>0.59</v>
      </c>
      <c r="AL2000">
        <f t="shared" si="1091"/>
        <v>0</v>
      </c>
      <c r="AM2000">
        <f t="shared" si="1092"/>
        <v>0</v>
      </c>
      <c r="AN2000">
        <f t="shared" si="1090"/>
        <v>0</v>
      </c>
      <c r="AO2000" t="s">
        <v>5000</v>
      </c>
      <c r="AV2000" t="str">
        <f>IF(F2000&gt;0,(COUNT($AV$1:AV1999)+1),"")</f>
        <v/>
      </c>
    </row>
    <row r="2001" spans="1:48" ht="15" customHeight="1" x14ac:dyDescent="0.25">
      <c r="A2001" s="1"/>
      <c r="B2001" s="30">
        <v>19830</v>
      </c>
      <c r="C2001" s="20">
        <v>4627129930757</v>
      </c>
      <c r="D2001" s="225" t="s">
        <v>3195</v>
      </c>
      <c r="E2001" s="67">
        <v>8</v>
      </c>
      <c r="F2001" s="222"/>
      <c r="G2001" s="107">
        <v>289.8</v>
      </c>
      <c r="H2001" s="21">
        <v>300</v>
      </c>
      <c r="I2001" s="22">
        <v>315</v>
      </c>
      <c r="J2001" s="112" t="s">
        <v>712</v>
      </c>
      <c r="K2001" s="45" t="s">
        <v>556</v>
      </c>
      <c r="L2001" s="437"/>
      <c r="M2001" s="474" t="s">
        <v>1856</v>
      </c>
      <c r="N2001" s="1013" t="s">
        <v>1856</v>
      </c>
      <c r="O2001" s="209"/>
      <c r="P2001" s="66" t="s">
        <v>53</v>
      </c>
      <c r="Q2001" s="100">
        <f t="shared" si="1070"/>
        <v>0</v>
      </c>
      <c r="R2001" s="13" t="str">
        <f t="shared" si="1039"/>
        <v>Фото &gt;&gt;</v>
      </c>
      <c r="S2001" s="14" t="s">
        <v>2026</v>
      </c>
      <c r="AK2001">
        <v>0.59</v>
      </c>
      <c r="AL2001">
        <f t="shared" si="1091"/>
        <v>0</v>
      </c>
      <c r="AM2001">
        <f t="shared" si="1092"/>
        <v>0</v>
      </c>
      <c r="AN2001">
        <f t="shared" si="1090"/>
        <v>0</v>
      </c>
      <c r="AO2001" t="s">
        <v>2749</v>
      </c>
      <c r="AV2001" t="str">
        <f>IF(F2001&gt;0,(COUNT($AV$1:AV2000)+1),"")</f>
        <v/>
      </c>
    </row>
    <row r="2002" spans="1:48" ht="15" customHeight="1" x14ac:dyDescent="0.25">
      <c r="A2002" s="1"/>
      <c r="B2002" s="31">
        <v>18911</v>
      </c>
      <c r="C2002" s="16">
        <v>4627129931839</v>
      </c>
      <c r="D2002" s="226" t="s">
        <v>3795</v>
      </c>
      <c r="E2002" s="69">
        <v>8</v>
      </c>
      <c r="F2002" s="222"/>
      <c r="G2002" s="108">
        <v>232</v>
      </c>
      <c r="H2002" s="17">
        <v>243.5</v>
      </c>
      <c r="I2002" s="18">
        <v>256</v>
      </c>
      <c r="J2002" s="113" t="s">
        <v>712</v>
      </c>
      <c r="K2002" s="44" t="s">
        <v>556</v>
      </c>
      <c r="L2002" s="442"/>
      <c r="M2002" s="480" t="s">
        <v>1856</v>
      </c>
      <c r="N2002" s="1015" t="s">
        <v>1856</v>
      </c>
      <c r="O2002" s="210"/>
      <c r="P2002" s="68" t="s">
        <v>53</v>
      </c>
      <c r="Q2002" s="100">
        <f t="shared" si="1070"/>
        <v>0</v>
      </c>
      <c r="R2002" s="13" t="str">
        <f t="shared" si="1039"/>
        <v>Фото &gt;&gt;</v>
      </c>
      <c r="S2002" s="14" t="s">
        <v>1688</v>
      </c>
      <c r="AK2002">
        <v>0.55000000000000004</v>
      </c>
      <c r="AL2002">
        <f t="shared" si="1091"/>
        <v>0</v>
      </c>
      <c r="AM2002">
        <f t="shared" si="1092"/>
        <v>0</v>
      </c>
      <c r="AN2002">
        <f t="shared" si="1090"/>
        <v>0</v>
      </c>
      <c r="AO2002" t="s">
        <v>2750</v>
      </c>
      <c r="AV2002" t="str">
        <f>IF(F2002&gt;0,(COUNT($AV$1:AV2001)+1),"")</f>
        <v/>
      </c>
    </row>
    <row r="2003" spans="1:48" ht="15" customHeight="1" x14ac:dyDescent="0.25">
      <c r="A2003" s="1"/>
      <c r="B2003" s="30">
        <v>19593</v>
      </c>
      <c r="C2003" s="20">
        <v>4627129931679</v>
      </c>
      <c r="D2003" s="225" t="s">
        <v>1988</v>
      </c>
      <c r="E2003" s="67">
        <v>8</v>
      </c>
      <c r="F2003" s="222"/>
      <c r="G2003" s="107">
        <v>232</v>
      </c>
      <c r="H2003" s="21">
        <v>243.5</v>
      </c>
      <c r="I2003" s="22">
        <v>256</v>
      </c>
      <c r="J2003" s="112" t="s">
        <v>712</v>
      </c>
      <c r="K2003" s="45" t="s">
        <v>556</v>
      </c>
      <c r="L2003" s="437"/>
      <c r="M2003" s="474" t="s">
        <v>1856</v>
      </c>
      <c r="N2003" s="1013"/>
      <c r="O2003" s="209"/>
      <c r="P2003" s="66" t="s">
        <v>53</v>
      </c>
      <c r="Q2003" s="100">
        <f t="shared" si="1070"/>
        <v>0</v>
      </c>
      <c r="R2003" s="13" t="str">
        <f t="shared" si="1039"/>
        <v>Фото &gt;&gt;</v>
      </c>
      <c r="S2003" s="14" t="s">
        <v>1977</v>
      </c>
      <c r="AK2003">
        <v>0.3</v>
      </c>
      <c r="AL2003">
        <f t="shared" si="1091"/>
        <v>0</v>
      </c>
      <c r="AM2003">
        <f t="shared" si="1092"/>
        <v>0</v>
      </c>
      <c r="AN2003">
        <f t="shared" si="1090"/>
        <v>0</v>
      </c>
      <c r="AO2003" t="s">
        <v>2751</v>
      </c>
      <c r="AV2003" t="str">
        <f>IF(F2003&gt;0,(COUNT($AV$1:AV2002)+1),"")</f>
        <v/>
      </c>
    </row>
    <row r="2004" spans="1:48" ht="15" customHeight="1" x14ac:dyDescent="0.25">
      <c r="A2004" s="1"/>
      <c r="B2004" s="31">
        <v>18908</v>
      </c>
      <c r="C2004" s="16">
        <v>4627129931754</v>
      </c>
      <c r="D2004" s="226" t="s">
        <v>3796</v>
      </c>
      <c r="E2004" s="69">
        <v>8</v>
      </c>
      <c r="F2004" s="222"/>
      <c r="G2004" s="108">
        <v>232</v>
      </c>
      <c r="H2004" s="17">
        <v>243.5</v>
      </c>
      <c r="I2004" s="18">
        <v>256</v>
      </c>
      <c r="J2004" s="113" t="s">
        <v>712</v>
      </c>
      <c r="K2004" s="44" t="s">
        <v>556</v>
      </c>
      <c r="L2004" s="442"/>
      <c r="M2004" s="480" t="s">
        <v>1856</v>
      </c>
      <c r="N2004" s="1015" t="s">
        <v>1856</v>
      </c>
      <c r="O2004" s="210"/>
      <c r="P2004" s="68" t="s">
        <v>53</v>
      </c>
      <c r="Q2004" s="100">
        <f t="shared" si="1070"/>
        <v>0</v>
      </c>
      <c r="R2004" s="13" t="str">
        <f t="shared" si="1039"/>
        <v>Фото &gt;&gt;</v>
      </c>
      <c r="S2004" s="14" t="s">
        <v>1859</v>
      </c>
      <c r="AK2004">
        <v>0.55000000000000004</v>
      </c>
      <c r="AL2004">
        <f t="shared" si="1091"/>
        <v>0</v>
      </c>
      <c r="AM2004">
        <f t="shared" si="1092"/>
        <v>0</v>
      </c>
      <c r="AN2004">
        <f t="shared" si="1090"/>
        <v>0</v>
      </c>
      <c r="AO2004" t="s">
        <v>2752</v>
      </c>
      <c r="AV2004" t="str">
        <f>IF(F2004&gt;0,(COUNT($AV$1:AV2003)+1),"")</f>
        <v/>
      </c>
    </row>
    <row r="2005" spans="1:48" ht="15" customHeight="1" x14ac:dyDescent="0.25">
      <c r="A2005" s="1"/>
      <c r="B2005" s="30">
        <v>18910</v>
      </c>
      <c r="C2005" s="20">
        <v>4627129931716</v>
      </c>
      <c r="D2005" s="225" t="s">
        <v>3797</v>
      </c>
      <c r="E2005" s="67">
        <v>8</v>
      </c>
      <c r="F2005" s="222"/>
      <c r="G2005" s="107">
        <v>232</v>
      </c>
      <c r="H2005" s="21">
        <v>243.5</v>
      </c>
      <c r="I2005" s="22">
        <v>256</v>
      </c>
      <c r="J2005" s="112" t="s">
        <v>712</v>
      </c>
      <c r="K2005" s="45" t="s">
        <v>556</v>
      </c>
      <c r="L2005" s="437"/>
      <c r="M2005" s="474" t="s">
        <v>1856</v>
      </c>
      <c r="N2005" s="1013" t="s">
        <v>1856</v>
      </c>
      <c r="O2005" s="209"/>
      <c r="P2005" s="66" t="s">
        <v>53</v>
      </c>
      <c r="Q2005" s="100">
        <f t="shared" si="1070"/>
        <v>0</v>
      </c>
      <c r="R2005" s="13" t="str">
        <f t="shared" si="1039"/>
        <v>Фото &gt;&gt;</v>
      </c>
      <c r="S2005" s="14" t="s">
        <v>1688</v>
      </c>
      <c r="AK2005">
        <v>0.55000000000000004</v>
      </c>
      <c r="AL2005">
        <f t="shared" si="1083"/>
        <v>0</v>
      </c>
      <c r="AM2005">
        <f t="shared" si="1084"/>
        <v>0</v>
      </c>
      <c r="AN2005">
        <f t="shared" si="1090"/>
        <v>0</v>
      </c>
      <c r="AO2005" t="s">
        <v>2753</v>
      </c>
      <c r="AV2005" t="str">
        <f>IF(F2005&gt;0,(COUNT($AV$1:AV2004)+1),"")</f>
        <v/>
      </c>
    </row>
    <row r="2006" spans="1:48" ht="15" customHeight="1" x14ac:dyDescent="0.25">
      <c r="A2006" s="1"/>
      <c r="B2006" s="25"/>
      <c r="C2006" s="26"/>
      <c r="D2006" s="27" t="s">
        <v>1823</v>
      </c>
      <c r="E2006" s="80"/>
      <c r="F2006" s="96"/>
      <c r="G2006" s="28"/>
      <c r="H2006" s="29"/>
      <c r="I2006" s="29"/>
      <c r="J2006" s="51"/>
      <c r="K2006" s="47"/>
      <c r="L2006" s="447"/>
      <c r="M2006" s="489" t="s">
        <v>104</v>
      </c>
      <c r="N2006" s="716"/>
      <c r="O2006" s="229"/>
      <c r="P2006" s="79"/>
      <c r="Q2006" s="104"/>
      <c r="R2006" s="13"/>
      <c r="S2006" s="14"/>
      <c r="U2006" s="4"/>
      <c r="V2006" s="4"/>
      <c r="AL2006">
        <f t="shared" ref="AL2006" si="1093">F2006*G2006</f>
        <v>0</v>
      </c>
      <c r="AM2006">
        <f t="shared" ref="AM2006" si="1094">F2006*H2006</f>
        <v>0</v>
      </c>
      <c r="AN2006">
        <f t="shared" si="1090"/>
        <v>0</v>
      </c>
      <c r="AO2006" t="s">
        <v>104</v>
      </c>
      <c r="AV2006" t="str">
        <f>IF(F2006&gt;0,(COUNT($AV$1:AV2005)+1),"")</f>
        <v/>
      </c>
    </row>
    <row r="2007" spans="1:48" ht="15" customHeight="1" x14ac:dyDescent="0.25">
      <c r="A2007" s="1"/>
      <c r="B2007" s="31">
        <v>18201</v>
      </c>
      <c r="C2007" s="16">
        <v>4627129932911</v>
      </c>
      <c r="D2007" s="226" t="s">
        <v>1826</v>
      </c>
      <c r="E2007" s="69">
        <v>8</v>
      </c>
      <c r="F2007" s="222"/>
      <c r="G2007" s="108">
        <v>115.8</v>
      </c>
      <c r="H2007" s="17">
        <v>120.4</v>
      </c>
      <c r="I2007" s="18">
        <v>130</v>
      </c>
      <c r="J2007" s="113" t="s">
        <v>712</v>
      </c>
      <c r="K2007" s="44" t="s">
        <v>326</v>
      </c>
      <c r="L2007" s="442"/>
      <c r="M2007" s="480" t="s">
        <v>1856</v>
      </c>
      <c r="N2007" s="1015"/>
      <c r="O2007" s="217"/>
      <c r="P2007" s="68" t="s">
        <v>53</v>
      </c>
      <c r="Q2007" s="100">
        <f>IF($AO$1954=2,F2007*H2007,IF($AO$1954=1,F2007*G2007,F2007*I2007))</f>
        <v>0</v>
      </c>
      <c r="R2007" s="13" t="str">
        <f t="shared" si="1039"/>
        <v>Фото &gt;&gt;</v>
      </c>
      <c r="S2007" s="14" t="s">
        <v>3572</v>
      </c>
      <c r="U2007" s="4"/>
      <c r="V2007" s="4"/>
      <c r="AK2007">
        <v>0.06</v>
      </c>
      <c r="AL2007">
        <f t="shared" si="1083"/>
        <v>0</v>
      </c>
      <c r="AM2007">
        <f t="shared" si="1084"/>
        <v>0</v>
      </c>
      <c r="AN2007">
        <f t="shared" si="1090"/>
        <v>0</v>
      </c>
      <c r="AO2007" t="s">
        <v>5001</v>
      </c>
      <c r="AV2007" t="str">
        <f>IF(F2007&gt;0,(COUNT($AV$1:AV2006)+1),"")</f>
        <v/>
      </c>
    </row>
    <row r="2008" spans="1:48" ht="15" customHeight="1" x14ac:dyDescent="0.25">
      <c r="A2008" s="1"/>
      <c r="B2008" s="30">
        <v>18203</v>
      </c>
      <c r="C2008" s="20">
        <v>4627129932959</v>
      </c>
      <c r="D2008" s="225" t="s">
        <v>1827</v>
      </c>
      <c r="E2008" s="67">
        <v>8</v>
      </c>
      <c r="F2008" s="222"/>
      <c r="G2008" s="107">
        <v>115.8</v>
      </c>
      <c r="H2008" s="21">
        <v>120.4</v>
      </c>
      <c r="I2008" s="22">
        <v>130</v>
      </c>
      <c r="J2008" s="112" t="s">
        <v>712</v>
      </c>
      <c r="K2008" s="45" t="s">
        <v>326</v>
      </c>
      <c r="L2008" s="437"/>
      <c r="M2008" s="474" t="s">
        <v>1856</v>
      </c>
      <c r="N2008" s="1013"/>
      <c r="O2008" s="216"/>
      <c r="P2008" s="66" t="s">
        <v>53</v>
      </c>
      <c r="Q2008" s="100">
        <f>IF($AO$1954=2,F2008*H2008,IF($AO$1954=1,F2008*G2008,F2008*I2008))</f>
        <v>0</v>
      </c>
      <c r="R2008" s="13" t="str">
        <f t="shared" si="1039"/>
        <v>Фото &gt;&gt;</v>
      </c>
      <c r="S2008" s="14" t="s">
        <v>3573</v>
      </c>
      <c r="U2008" s="4"/>
      <c r="V2008" s="4"/>
      <c r="AK2008">
        <v>0.06</v>
      </c>
      <c r="AL2008">
        <f t="shared" si="1083"/>
        <v>0</v>
      </c>
      <c r="AM2008">
        <f t="shared" si="1084"/>
        <v>0</v>
      </c>
      <c r="AN2008">
        <f t="shared" si="1090"/>
        <v>0</v>
      </c>
      <c r="AO2008" t="s">
        <v>5002</v>
      </c>
      <c r="AV2008" t="str">
        <f>IF(F2008&gt;0,(COUNT($AV$1:AV2007)+1),"")</f>
        <v/>
      </c>
    </row>
    <row r="2009" spans="1:48" ht="15" customHeight="1" x14ac:dyDescent="0.25">
      <c r="A2009" s="1"/>
      <c r="B2009" s="31">
        <v>18202</v>
      </c>
      <c r="C2009" s="16">
        <v>4627129932935</v>
      </c>
      <c r="D2009" s="226" t="s">
        <v>1830</v>
      </c>
      <c r="E2009" s="69">
        <v>8</v>
      </c>
      <c r="F2009" s="222"/>
      <c r="G2009" s="108">
        <v>115.8</v>
      </c>
      <c r="H2009" s="17">
        <v>120.4</v>
      </c>
      <c r="I2009" s="18">
        <v>130</v>
      </c>
      <c r="J2009" s="113" t="s">
        <v>712</v>
      </c>
      <c r="K2009" s="44" t="s">
        <v>326</v>
      </c>
      <c r="L2009" s="442"/>
      <c r="M2009" s="480" t="s">
        <v>1856</v>
      </c>
      <c r="N2009" s="1015"/>
      <c r="O2009" s="220"/>
      <c r="P2009" s="68" t="s">
        <v>53</v>
      </c>
      <c r="Q2009" s="100">
        <f>IF($AO$1954=2,F2009*H2009,IF($AO$1954=1,F2009*G2009,F2009*I2009))</f>
        <v>0</v>
      </c>
      <c r="R2009" s="13" t="str">
        <f t="shared" ref="R2009" si="1095">IF(AO2009&gt;0,HYPERLINK(AO2009,"Фото &gt;&gt;"),"")</f>
        <v>Фото &gt;&gt;</v>
      </c>
      <c r="S2009" s="14" t="s">
        <v>3574</v>
      </c>
      <c r="U2009" s="4"/>
      <c r="V2009" s="4"/>
      <c r="AK2009">
        <v>0.06</v>
      </c>
      <c r="AL2009">
        <f t="shared" si="1083"/>
        <v>0</v>
      </c>
      <c r="AM2009">
        <f t="shared" si="1084"/>
        <v>0</v>
      </c>
      <c r="AN2009">
        <f t="shared" si="1090"/>
        <v>0</v>
      </c>
      <c r="AO2009" t="s">
        <v>5003</v>
      </c>
      <c r="AV2009" t="str">
        <f>IF(F2009&gt;0,(COUNT($AV$1:AV2008)+1),"")</f>
        <v/>
      </c>
    </row>
    <row r="2010" spans="1:48" ht="15" customHeight="1" x14ac:dyDescent="0.25">
      <c r="A2010" s="1"/>
      <c r="B2010" s="125"/>
      <c r="C2010" s="126"/>
      <c r="D2010" s="127"/>
      <c r="E2010" s="134"/>
      <c r="F2010" s="189"/>
      <c r="G2010" s="130"/>
      <c r="H2010" s="131"/>
      <c r="I2010" s="132"/>
      <c r="J2010" s="128"/>
      <c r="K2010" s="129"/>
      <c r="L2010" s="433"/>
      <c r="M2010" s="481" t="s">
        <v>104</v>
      </c>
      <c r="N2010" s="471"/>
      <c r="O2010" s="181"/>
      <c r="P2010" s="133"/>
      <c r="Q2010" s="135"/>
      <c r="R2010" s="13"/>
      <c r="S2010" s="14"/>
      <c r="AV2010" t="str">
        <f>IF(F2010&gt;0,(COUNT($AV$1:AV2009)+1),"")</f>
        <v/>
      </c>
    </row>
    <row r="2011" spans="1:48" ht="15" customHeight="1" thickBot="1" x14ac:dyDescent="0.3">
      <c r="A2011" s="1"/>
      <c r="B2011" s="136"/>
      <c r="C2011" s="137"/>
      <c r="D2011" s="138"/>
      <c r="E2011" s="145"/>
      <c r="F2011" s="190"/>
      <c r="G2011" s="141"/>
      <c r="H2011" s="142"/>
      <c r="I2011" s="143"/>
      <c r="J2011" s="139"/>
      <c r="K2011" s="140"/>
      <c r="L2011" s="434"/>
      <c r="M2011" s="477" t="s">
        <v>104</v>
      </c>
      <c r="N2011" s="468"/>
      <c r="O2011" s="182"/>
      <c r="P2011" s="144"/>
      <c r="Q2011" s="146"/>
      <c r="R2011" s="13"/>
      <c r="S2011" s="14"/>
      <c r="AV2011" t="str">
        <f>IF(F2011&gt;0,(COUNT($AV$1:AV2010)+1),"")</f>
        <v/>
      </c>
    </row>
    <row r="2012" spans="1:48" ht="24.95" customHeight="1" thickBot="1" x14ac:dyDescent="0.3">
      <c r="A2012" s="1"/>
      <c r="B2012" s="266"/>
      <c r="C2012" s="267"/>
      <c r="D2012" s="268" t="str">
        <f>CONCATENATE("Сташевское","     |     Сумма заказа: ",AK2012," руб.")</f>
        <v>Сташевское     |     Сумма заказа: 0 руб.</v>
      </c>
      <c r="E2012" s="269"/>
      <c r="F2012" s="270"/>
      <c r="G2012" s="271" t="str">
        <f>CONCATENATE("Ценовая колонка: ",AO2012,"   |   До следующей скидки: ",AJ2012," руб.")</f>
        <v>Ценовая колонка: 3   |   До следующей скидки: 5000 руб.</v>
      </c>
      <c r="H2012" s="272"/>
      <c r="I2012" s="272"/>
      <c r="J2012" s="273" t="s">
        <v>1411</v>
      </c>
      <c r="K2012" s="274"/>
      <c r="L2012" s="451"/>
      <c r="M2012" s="495" t="s">
        <v>104</v>
      </c>
      <c r="N2012" s="571"/>
      <c r="O2012" s="275"/>
      <c r="P2012" s="276"/>
      <c r="Q2012" s="277"/>
      <c r="R2012" s="265" t="s">
        <v>1558</v>
      </c>
      <c r="S2012" s="6"/>
      <c r="AG2012" s="400"/>
      <c r="AH2012" s="400"/>
      <c r="AJ2012">
        <f>ROUND(IF(AL2012&gt;15000,"0", IF(AND(AL2012&lt;20000,AM2012&gt;5000),15000-AL2012,5000-AM2012)),2)</f>
        <v>5000</v>
      </c>
      <c r="AK2012">
        <f>SUM(Q2014:Q2030)</f>
        <v>0</v>
      </c>
      <c r="AL2012">
        <f>SUM(AL2014:AL2030)</f>
        <v>0</v>
      </c>
      <c r="AM2012">
        <f>SUM(AM2014:AM2030)</f>
        <v>0</v>
      </c>
      <c r="AO2012">
        <f>IF(AM2012&gt;5000,IF(AL2012&gt;15000,1,2),3)</f>
        <v>3</v>
      </c>
      <c r="AV2012" t="str">
        <f>IF(F2012&gt;0,(COUNT($AV$1:AV2011)+1),"")</f>
        <v/>
      </c>
    </row>
    <row r="2013" spans="1:48" ht="15" customHeight="1" x14ac:dyDescent="0.25">
      <c r="A2013" s="1"/>
      <c r="B2013" s="296"/>
      <c r="C2013" s="38"/>
      <c r="D2013" s="39" t="s">
        <v>99</v>
      </c>
      <c r="E2013" s="82"/>
      <c r="F2013" s="97"/>
      <c r="G2013" s="40" t="s">
        <v>170</v>
      </c>
      <c r="H2013" s="41" t="s">
        <v>16</v>
      </c>
      <c r="I2013" s="41" t="s">
        <v>221</v>
      </c>
      <c r="J2013" s="52"/>
      <c r="K2013" s="48"/>
      <c r="L2013" s="448"/>
      <c r="M2013" s="491" t="s">
        <v>104</v>
      </c>
      <c r="N2013" s="715"/>
      <c r="O2013" s="187"/>
      <c r="P2013" s="81"/>
      <c r="Q2013" s="105"/>
      <c r="R2013" s="13"/>
      <c r="S2013" s="14"/>
      <c r="AV2013" t="str">
        <f>IF(F2013&gt;0,(COUNT($AV$1:AV2012)+1),"")</f>
        <v/>
      </c>
    </row>
    <row r="2014" spans="1:48" ht="15" customHeight="1" x14ac:dyDescent="0.25">
      <c r="A2014" s="1"/>
      <c r="B2014" s="30">
        <v>20594</v>
      </c>
      <c r="C2014" s="20">
        <v>4657786819218</v>
      </c>
      <c r="D2014" s="153" t="s">
        <v>4130</v>
      </c>
      <c r="E2014" s="67">
        <v>11</v>
      </c>
      <c r="F2014" s="222"/>
      <c r="G2014" s="107">
        <v>197.5</v>
      </c>
      <c r="H2014" s="21">
        <v>188</v>
      </c>
      <c r="I2014" s="22">
        <v>205</v>
      </c>
      <c r="J2014" s="112" t="s">
        <v>1411</v>
      </c>
      <c r="K2014" s="45" t="s">
        <v>99</v>
      </c>
      <c r="L2014" s="437"/>
      <c r="M2014" s="474" t="s">
        <v>1856</v>
      </c>
      <c r="N2014" s="1013" t="s">
        <v>1856</v>
      </c>
      <c r="O2014" s="212"/>
      <c r="P2014" s="66" t="s">
        <v>72</v>
      </c>
      <c r="Q2014" s="100">
        <f t="shared" ref="Q2014:Q2030" si="1096">IF($AO$2012=2,F2014*H2014,IF($AO$2012=1,F2014*G2014,F2014*I2014))</f>
        <v>0</v>
      </c>
      <c r="R2014" s="13" t="str">
        <f t="shared" ref="R2014:R2018" si="1097">IF(AO2014&gt;0,HYPERLINK(AO2014,"Фото &gt;&gt;"),"")</f>
        <v>Фото &gt;&gt;</v>
      </c>
      <c r="S2014" s="14" t="s">
        <v>4131</v>
      </c>
      <c r="AK2014">
        <v>0.39</v>
      </c>
      <c r="AL2014">
        <f t="shared" ref="AL2014:AL2026" si="1098">F2014*G2014</f>
        <v>0</v>
      </c>
      <c r="AM2014">
        <f t="shared" ref="AM2014:AM2026" si="1099">F2014*H2014</f>
        <v>0</v>
      </c>
      <c r="AN2014">
        <f t="shared" ref="AN2014:AN2026" si="1100">AK2014*F2014+IF(E2014&gt;1.01,F2014/E2014*0.2,0)</f>
        <v>0</v>
      </c>
      <c r="AO2014" t="s">
        <v>4132</v>
      </c>
      <c r="AV2014" t="str">
        <f>IF(F2014&gt;0,(COUNT($AV$1:AV2013)+1),"")</f>
        <v/>
      </c>
    </row>
    <row r="2015" spans="1:48" ht="15" customHeight="1" x14ac:dyDescent="0.25">
      <c r="A2015" s="1"/>
      <c r="B2015" s="31">
        <v>19145</v>
      </c>
      <c r="C2015" s="16">
        <v>4627198691955</v>
      </c>
      <c r="D2015" s="154" t="s">
        <v>1780</v>
      </c>
      <c r="E2015" s="69">
        <v>10</v>
      </c>
      <c r="F2015" s="222"/>
      <c r="G2015" s="108">
        <v>129</v>
      </c>
      <c r="H2015" s="17">
        <v>134</v>
      </c>
      <c r="I2015" s="18">
        <v>145</v>
      </c>
      <c r="J2015" s="113" t="s">
        <v>1411</v>
      </c>
      <c r="K2015" s="44" t="s">
        <v>99</v>
      </c>
      <c r="L2015" s="442"/>
      <c r="M2015" s="480" t="s">
        <v>1856</v>
      </c>
      <c r="N2015" s="1015" t="s">
        <v>1856</v>
      </c>
      <c r="O2015" s="217"/>
      <c r="P2015" s="68" t="s">
        <v>72</v>
      </c>
      <c r="Q2015" s="100">
        <f t="shared" si="1096"/>
        <v>0</v>
      </c>
      <c r="R2015" s="13" t="str">
        <f t="shared" ref="R2015" si="1101">IF(AO2015&gt;0,HYPERLINK(AO2015,"Фото &gt;&gt;"),"")</f>
        <v>Фото &gt;&gt;</v>
      </c>
      <c r="S2015" s="14" t="s">
        <v>3576</v>
      </c>
      <c r="AK2015">
        <v>0.39</v>
      </c>
      <c r="AL2015">
        <f t="shared" ref="AL2015" si="1102">F2015*G2015</f>
        <v>0</v>
      </c>
      <c r="AM2015">
        <f t="shared" ref="AM2015" si="1103">F2015*H2015</f>
        <v>0</v>
      </c>
      <c r="AN2015">
        <f t="shared" ref="AN2015" si="1104">AK2015*F2015+IF(E2015&gt;1.01,F2015/E2015*0.2,0)</f>
        <v>0</v>
      </c>
      <c r="AO2015" t="s">
        <v>5004</v>
      </c>
      <c r="AV2015" t="str">
        <f>IF(F2015&gt;0,(COUNT($AV$1:AV2014)+1),"")</f>
        <v/>
      </c>
    </row>
    <row r="2016" spans="1:48" ht="15" customHeight="1" x14ac:dyDescent="0.25">
      <c r="A2016" s="1"/>
      <c r="B2016" s="30">
        <v>18538</v>
      </c>
      <c r="C2016" s="20">
        <v>4627168569642</v>
      </c>
      <c r="D2016" s="153" t="s">
        <v>1410</v>
      </c>
      <c r="E2016" s="67">
        <v>10</v>
      </c>
      <c r="F2016" s="222"/>
      <c r="G2016" s="107">
        <v>141.30000000000001</v>
      </c>
      <c r="H2016" s="21">
        <v>147</v>
      </c>
      <c r="I2016" s="22">
        <v>162</v>
      </c>
      <c r="J2016" s="112" t="s">
        <v>1411</v>
      </c>
      <c r="K2016" s="45" t="s">
        <v>99</v>
      </c>
      <c r="L2016" s="437"/>
      <c r="M2016" s="474" t="s">
        <v>1856</v>
      </c>
      <c r="N2016" s="1013" t="s">
        <v>1856</v>
      </c>
      <c r="O2016" s="212"/>
      <c r="P2016" s="66" t="s">
        <v>72</v>
      </c>
      <c r="Q2016" s="100">
        <f t="shared" si="1096"/>
        <v>0</v>
      </c>
      <c r="R2016" s="13" t="str">
        <f t="shared" si="1097"/>
        <v>Фото &gt;&gt;</v>
      </c>
      <c r="S2016" s="14" t="s">
        <v>3576</v>
      </c>
      <c r="AK2016">
        <v>0.39</v>
      </c>
      <c r="AL2016">
        <f t="shared" si="1098"/>
        <v>0</v>
      </c>
      <c r="AM2016">
        <f t="shared" si="1099"/>
        <v>0</v>
      </c>
      <c r="AN2016">
        <f t="shared" si="1100"/>
        <v>0</v>
      </c>
      <c r="AO2016" t="s">
        <v>5004</v>
      </c>
      <c r="AV2016" t="str">
        <f>IF(F2016&gt;0,(COUNT($AV$1:AV2015)+1),"")</f>
        <v/>
      </c>
    </row>
    <row r="2017" spans="1:48" ht="15" customHeight="1" x14ac:dyDescent="0.25">
      <c r="A2017" s="1"/>
      <c r="B2017" s="31">
        <v>20030</v>
      </c>
      <c r="C2017" s="16">
        <v>4657763977061</v>
      </c>
      <c r="D2017" s="154" t="s">
        <v>2273</v>
      </c>
      <c r="E2017" s="69">
        <v>10</v>
      </c>
      <c r="F2017" s="222"/>
      <c r="G2017" s="108">
        <v>171.3</v>
      </c>
      <c r="H2017" s="17">
        <v>178</v>
      </c>
      <c r="I2017" s="18">
        <v>196</v>
      </c>
      <c r="J2017" s="113" t="s">
        <v>1411</v>
      </c>
      <c r="K2017" s="44" t="s">
        <v>99</v>
      </c>
      <c r="L2017" s="442"/>
      <c r="M2017" s="480" t="s">
        <v>1856</v>
      </c>
      <c r="N2017" s="1015" t="s">
        <v>1856</v>
      </c>
      <c r="O2017" s="217"/>
      <c r="P2017" s="68" t="s">
        <v>72</v>
      </c>
      <c r="Q2017" s="100">
        <f t="shared" si="1096"/>
        <v>0</v>
      </c>
      <c r="R2017" s="13" t="str">
        <f t="shared" si="1097"/>
        <v>Фото &gt;&gt;</v>
      </c>
      <c r="S2017" s="14" t="s">
        <v>3577</v>
      </c>
      <c r="AK2017">
        <v>0.39</v>
      </c>
      <c r="AL2017">
        <f t="shared" ref="AL2017" si="1105">F2017*G2017</f>
        <v>0</v>
      </c>
      <c r="AM2017">
        <f t="shared" ref="AM2017" si="1106">F2017*H2017</f>
        <v>0</v>
      </c>
      <c r="AN2017">
        <f t="shared" si="1100"/>
        <v>0</v>
      </c>
      <c r="AO2017" t="s">
        <v>2754</v>
      </c>
      <c r="AV2017" t="str">
        <f>IF(F2017&gt;0,(COUNT($AV$1:AV2016)+1),"")</f>
        <v/>
      </c>
    </row>
    <row r="2018" spans="1:48" ht="15" customHeight="1" x14ac:dyDescent="0.25">
      <c r="A2018" s="1"/>
      <c r="B2018" s="30">
        <v>21141</v>
      </c>
      <c r="C2018" s="20">
        <v>4657838892497</v>
      </c>
      <c r="D2018" s="225" t="s">
        <v>7292</v>
      </c>
      <c r="E2018" s="67">
        <v>10</v>
      </c>
      <c r="F2018" s="222"/>
      <c r="G2018" s="107">
        <v>141.30000000000001</v>
      </c>
      <c r="H2018" s="21">
        <v>147</v>
      </c>
      <c r="I2018" s="22">
        <v>162</v>
      </c>
      <c r="J2018" s="112" t="s">
        <v>1411</v>
      </c>
      <c r="K2018" s="45" t="s">
        <v>99</v>
      </c>
      <c r="L2018" s="437"/>
      <c r="M2018" s="474" t="s">
        <v>1856</v>
      </c>
      <c r="N2018" s="1013" t="s">
        <v>1856</v>
      </c>
      <c r="O2018" s="209"/>
      <c r="P2018" s="66" t="s">
        <v>72</v>
      </c>
      <c r="Q2018" s="100">
        <f t="shared" si="1096"/>
        <v>0</v>
      </c>
      <c r="R2018" s="13" t="str">
        <f t="shared" si="1097"/>
        <v>Фото &gt;&gt;</v>
      </c>
      <c r="S2018" s="14" t="s">
        <v>3576</v>
      </c>
      <c r="AK2018">
        <v>0.39</v>
      </c>
      <c r="AL2018">
        <f t="shared" ref="AL2018:AL2019" si="1107">F2018*G2018</f>
        <v>0</v>
      </c>
      <c r="AM2018">
        <f t="shared" ref="AM2018:AM2019" si="1108">F2018*H2018</f>
        <v>0</v>
      </c>
      <c r="AN2018">
        <f t="shared" ref="AN2018:AN2019" si="1109">AK2018*F2018+IF(E2018&gt;1.01,F2018/E2018*0.2,0)</f>
        <v>0</v>
      </c>
      <c r="AO2018" t="s">
        <v>6178</v>
      </c>
      <c r="AV2018" t="str">
        <f>IF(F2018&gt;0,(COUNT($AV$1:AV2017)+1),"")</f>
        <v/>
      </c>
    </row>
    <row r="2019" spans="1:48" ht="15" customHeight="1" x14ac:dyDescent="0.25">
      <c r="A2019" s="1"/>
      <c r="B2019" s="31">
        <v>21130</v>
      </c>
      <c r="C2019" s="16">
        <v>4657838891483</v>
      </c>
      <c r="D2019" s="226" t="s">
        <v>7293</v>
      </c>
      <c r="E2019" s="69">
        <v>11</v>
      </c>
      <c r="F2019" s="222"/>
      <c r="G2019" s="108">
        <v>248.7</v>
      </c>
      <c r="H2019" s="17">
        <v>261</v>
      </c>
      <c r="I2019" s="18">
        <v>287</v>
      </c>
      <c r="J2019" s="113" t="s">
        <v>1411</v>
      </c>
      <c r="K2019" s="44" t="s">
        <v>99</v>
      </c>
      <c r="L2019" s="442"/>
      <c r="M2019" s="480" t="s">
        <v>1856</v>
      </c>
      <c r="N2019" s="1015" t="s">
        <v>1856</v>
      </c>
      <c r="O2019" s="210"/>
      <c r="P2019" s="68" t="s">
        <v>72</v>
      </c>
      <c r="Q2019" s="100">
        <f t="shared" si="1096"/>
        <v>0</v>
      </c>
      <c r="R2019" s="13"/>
      <c r="S2019" s="14" t="s">
        <v>6054</v>
      </c>
      <c r="AK2019">
        <v>0.39</v>
      </c>
      <c r="AL2019">
        <f t="shared" si="1107"/>
        <v>0</v>
      </c>
      <c r="AM2019">
        <f t="shared" si="1108"/>
        <v>0</v>
      </c>
      <c r="AN2019">
        <f t="shared" si="1109"/>
        <v>0</v>
      </c>
      <c r="AV2019" t="str">
        <f>IF(F2019&gt;0,(COUNT($AV$1:AV2018)+1),"")</f>
        <v/>
      </c>
    </row>
    <row r="2020" spans="1:48" ht="15" customHeight="1" x14ac:dyDescent="0.25">
      <c r="A2020" s="1"/>
      <c r="B2020" s="30">
        <v>18424</v>
      </c>
      <c r="C2020" s="20">
        <v>4627181323719</v>
      </c>
      <c r="D2020" s="153" t="s">
        <v>1412</v>
      </c>
      <c r="E2020" s="67">
        <v>10</v>
      </c>
      <c r="F2020" s="222"/>
      <c r="G2020" s="107">
        <v>190</v>
      </c>
      <c r="H2020" s="21">
        <v>198</v>
      </c>
      <c r="I2020" s="22">
        <v>218</v>
      </c>
      <c r="J2020" s="112" t="s">
        <v>1411</v>
      </c>
      <c r="K2020" s="45" t="s">
        <v>99</v>
      </c>
      <c r="L2020" s="437"/>
      <c r="M2020" s="474" t="s">
        <v>1856</v>
      </c>
      <c r="N2020" s="1013" t="s">
        <v>1856</v>
      </c>
      <c r="O2020" s="212"/>
      <c r="P2020" s="66" t="s">
        <v>72</v>
      </c>
      <c r="Q2020" s="100">
        <f t="shared" si="1096"/>
        <v>0</v>
      </c>
      <c r="R2020" s="13" t="str">
        <f t="shared" ref="R2020:R2030" si="1110">IF(AO2020&gt;0,HYPERLINK(AO2020,"Фото &gt;&gt;"),"")</f>
        <v>Фото &gt;&gt;</v>
      </c>
      <c r="S2020" s="14" t="s">
        <v>3580</v>
      </c>
      <c r="AK2020">
        <v>0.39</v>
      </c>
      <c r="AL2020">
        <f t="shared" si="1098"/>
        <v>0</v>
      </c>
      <c r="AM2020">
        <f t="shared" si="1099"/>
        <v>0</v>
      </c>
      <c r="AN2020">
        <f t="shared" si="1100"/>
        <v>0</v>
      </c>
      <c r="AO2020" t="s">
        <v>5005</v>
      </c>
      <c r="AV2020" t="str">
        <f>IF(F2020&gt;0,(COUNT($AV$1:AV2019)+1),"")</f>
        <v/>
      </c>
    </row>
    <row r="2021" spans="1:48" ht="15" customHeight="1" x14ac:dyDescent="0.25">
      <c r="A2021" s="1"/>
      <c r="B2021" s="31">
        <v>18423</v>
      </c>
      <c r="C2021" s="16">
        <v>4627181323733</v>
      </c>
      <c r="D2021" s="154" t="s">
        <v>1413</v>
      </c>
      <c r="E2021" s="69">
        <v>10</v>
      </c>
      <c r="F2021" s="222"/>
      <c r="G2021" s="108">
        <v>184</v>
      </c>
      <c r="H2021" s="17">
        <v>191</v>
      </c>
      <c r="I2021" s="18">
        <v>210</v>
      </c>
      <c r="J2021" s="113" t="s">
        <v>1411</v>
      </c>
      <c r="K2021" s="44" t="s">
        <v>99</v>
      </c>
      <c r="L2021" s="442"/>
      <c r="M2021" s="480" t="s">
        <v>1856</v>
      </c>
      <c r="N2021" s="1015" t="s">
        <v>1856</v>
      </c>
      <c r="O2021" s="217"/>
      <c r="P2021" s="68" t="s">
        <v>72</v>
      </c>
      <c r="Q2021" s="100">
        <f t="shared" si="1096"/>
        <v>0</v>
      </c>
      <c r="R2021" s="13" t="str">
        <f t="shared" si="1110"/>
        <v>Фото &gt;&gt;</v>
      </c>
      <c r="S2021" s="14" t="s">
        <v>3578</v>
      </c>
      <c r="AK2021">
        <v>0.39</v>
      </c>
      <c r="AL2021">
        <f t="shared" si="1098"/>
        <v>0</v>
      </c>
      <c r="AM2021">
        <f t="shared" si="1099"/>
        <v>0</v>
      </c>
      <c r="AN2021">
        <f t="shared" si="1100"/>
        <v>0</v>
      </c>
      <c r="AO2021" t="s">
        <v>5006</v>
      </c>
      <c r="AV2021" t="str">
        <f>IF(F2021&gt;0,(COUNT($AV$1:AV2020)+1),"")</f>
        <v/>
      </c>
    </row>
    <row r="2022" spans="1:48" ht="15" customHeight="1" x14ac:dyDescent="0.25">
      <c r="A2022" s="1"/>
      <c r="B2022" s="30">
        <v>18857</v>
      </c>
      <c r="C2022" s="20">
        <v>4627181325416</v>
      </c>
      <c r="D2022" s="153" t="s">
        <v>1414</v>
      </c>
      <c r="E2022" s="67">
        <v>10</v>
      </c>
      <c r="F2022" s="222"/>
      <c r="G2022" s="107">
        <v>198</v>
      </c>
      <c r="H2022" s="21">
        <v>206</v>
      </c>
      <c r="I2022" s="22">
        <v>221</v>
      </c>
      <c r="J2022" s="112" t="s">
        <v>1411</v>
      </c>
      <c r="K2022" s="45" t="s">
        <v>99</v>
      </c>
      <c r="L2022" s="437"/>
      <c r="M2022" s="474" t="s">
        <v>1856</v>
      </c>
      <c r="N2022" s="1013" t="s">
        <v>1856</v>
      </c>
      <c r="O2022" s="212"/>
      <c r="P2022" s="66" t="s">
        <v>72</v>
      </c>
      <c r="Q2022" s="100">
        <f t="shared" si="1096"/>
        <v>0</v>
      </c>
      <c r="R2022" s="13" t="str">
        <f t="shared" si="1110"/>
        <v>Фото &gt;&gt;</v>
      </c>
      <c r="S2022" s="14" t="s">
        <v>3579</v>
      </c>
      <c r="AK2022">
        <v>0.39</v>
      </c>
      <c r="AL2022">
        <f t="shared" si="1098"/>
        <v>0</v>
      </c>
      <c r="AM2022">
        <f t="shared" si="1099"/>
        <v>0</v>
      </c>
      <c r="AN2022">
        <f t="shared" si="1100"/>
        <v>0</v>
      </c>
      <c r="AO2022" t="s">
        <v>5436</v>
      </c>
      <c r="AV2022" t="str">
        <f>IF(F2022&gt;0,(COUNT($AV$1:AV2021)+1),"")</f>
        <v/>
      </c>
    </row>
    <row r="2023" spans="1:48" ht="15" customHeight="1" x14ac:dyDescent="0.25">
      <c r="A2023" s="1"/>
      <c r="B2023" s="31">
        <v>18426</v>
      </c>
      <c r="C2023" s="16">
        <v>4627181323771</v>
      </c>
      <c r="D2023" s="154" t="s">
        <v>1415</v>
      </c>
      <c r="E2023" s="69">
        <v>10</v>
      </c>
      <c r="F2023" s="222"/>
      <c r="G2023" s="108">
        <v>184</v>
      </c>
      <c r="H2023" s="17">
        <v>191</v>
      </c>
      <c r="I2023" s="18">
        <v>210</v>
      </c>
      <c r="J2023" s="113" t="s">
        <v>1411</v>
      </c>
      <c r="K2023" s="44" t="s">
        <v>99</v>
      </c>
      <c r="L2023" s="442"/>
      <c r="M2023" s="480" t="s">
        <v>1856</v>
      </c>
      <c r="N2023" s="1015"/>
      <c r="O2023" s="217"/>
      <c r="P2023" s="68" t="s">
        <v>72</v>
      </c>
      <c r="Q2023" s="100">
        <f t="shared" si="1096"/>
        <v>0</v>
      </c>
      <c r="R2023" s="13" t="str">
        <f t="shared" si="1110"/>
        <v>Фото &gt;&gt;</v>
      </c>
      <c r="S2023" s="14" t="s">
        <v>3575</v>
      </c>
      <c r="AK2023">
        <v>0.39</v>
      </c>
      <c r="AL2023">
        <f t="shared" si="1098"/>
        <v>0</v>
      </c>
      <c r="AM2023">
        <f t="shared" si="1099"/>
        <v>0</v>
      </c>
      <c r="AN2023">
        <f t="shared" si="1100"/>
        <v>0</v>
      </c>
      <c r="AO2023" t="s">
        <v>5007</v>
      </c>
      <c r="AV2023" t="str">
        <f>IF(F2023&gt;0,(COUNT($AV$1:AV2022)+1),"")</f>
        <v/>
      </c>
    </row>
    <row r="2024" spans="1:48" ht="15" customHeight="1" x14ac:dyDescent="0.25">
      <c r="A2024" s="1"/>
      <c r="B2024" s="30">
        <v>18425</v>
      </c>
      <c r="C2024" s="20">
        <v>4627181323795</v>
      </c>
      <c r="D2024" s="153" t="s">
        <v>1416</v>
      </c>
      <c r="E2024" s="67">
        <v>10</v>
      </c>
      <c r="F2024" s="222"/>
      <c r="G2024" s="107">
        <v>190</v>
      </c>
      <c r="H2024" s="21">
        <v>198</v>
      </c>
      <c r="I2024" s="22">
        <v>218</v>
      </c>
      <c r="J2024" s="112" t="s">
        <v>1411</v>
      </c>
      <c r="K2024" s="45" t="s">
        <v>99</v>
      </c>
      <c r="L2024" s="437"/>
      <c r="M2024" s="474" t="s">
        <v>1856</v>
      </c>
      <c r="N2024" s="1013" t="s">
        <v>1856</v>
      </c>
      <c r="O2024" s="212"/>
      <c r="P2024" s="66" t="s">
        <v>72</v>
      </c>
      <c r="Q2024" s="100">
        <f t="shared" si="1096"/>
        <v>0</v>
      </c>
      <c r="R2024" s="13" t="str">
        <f t="shared" si="1110"/>
        <v>Фото &gt;&gt;</v>
      </c>
      <c r="S2024" s="14" t="s">
        <v>3581</v>
      </c>
      <c r="AK2024">
        <v>0.39</v>
      </c>
      <c r="AL2024">
        <f t="shared" si="1098"/>
        <v>0</v>
      </c>
      <c r="AM2024">
        <f t="shared" si="1099"/>
        <v>0</v>
      </c>
      <c r="AN2024">
        <f t="shared" si="1100"/>
        <v>0</v>
      </c>
      <c r="AO2024" t="s">
        <v>5008</v>
      </c>
      <c r="AV2024" t="str">
        <f>IF(F2024&gt;0,(COUNT($AV$1:AV2023)+1),"")</f>
        <v/>
      </c>
    </row>
    <row r="2025" spans="1:48" ht="15" customHeight="1" x14ac:dyDescent="0.25">
      <c r="A2025" s="1"/>
      <c r="B2025" s="32">
        <v>18427</v>
      </c>
      <c r="C2025" s="33">
        <v>4627181323757</v>
      </c>
      <c r="D2025" s="155" t="s">
        <v>1417</v>
      </c>
      <c r="E2025" s="71">
        <v>10</v>
      </c>
      <c r="F2025" s="223"/>
      <c r="G2025" s="109">
        <v>184</v>
      </c>
      <c r="H2025" s="34">
        <v>191</v>
      </c>
      <c r="I2025" s="35">
        <v>210</v>
      </c>
      <c r="J2025" s="114" t="s">
        <v>1411</v>
      </c>
      <c r="K2025" s="57" t="s">
        <v>99</v>
      </c>
      <c r="L2025" s="438"/>
      <c r="M2025" s="484" t="s">
        <v>1856</v>
      </c>
      <c r="N2025" s="1008" t="s">
        <v>1856</v>
      </c>
      <c r="O2025" s="218"/>
      <c r="P2025" s="70" t="s">
        <v>72</v>
      </c>
      <c r="Q2025" s="100">
        <f t="shared" si="1096"/>
        <v>0</v>
      </c>
      <c r="R2025" s="13" t="str">
        <f t="shared" si="1110"/>
        <v>Фото &gt;&gt;</v>
      </c>
      <c r="S2025" s="14" t="s">
        <v>3582</v>
      </c>
      <c r="AK2025">
        <v>0.39</v>
      </c>
      <c r="AL2025">
        <f t="shared" si="1098"/>
        <v>0</v>
      </c>
      <c r="AM2025">
        <f t="shared" si="1099"/>
        <v>0</v>
      </c>
      <c r="AN2025">
        <f t="shared" si="1100"/>
        <v>0</v>
      </c>
      <c r="AO2025" t="s">
        <v>5009</v>
      </c>
      <c r="AV2025" t="str">
        <f>IF(F2025&gt;0,(COUNT($AV$1:AV2024)+1),"")</f>
        <v/>
      </c>
    </row>
    <row r="2026" spans="1:48" ht="15" customHeight="1" x14ac:dyDescent="0.25">
      <c r="A2026" s="1"/>
      <c r="B2026" s="785">
        <v>20935</v>
      </c>
      <c r="C2026" s="786">
        <v>4657804852333</v>
      </c>
      <c r="D2026" s="787" t="s">
        <v>6363</v>
      </c>
      <c r="E2026" s="788">
        <v>24</v>
      </c>
      <c r="F2026" s="789"/>
      <c r="G2026" s="811">
        <v>70</v>
      </c>
      <c r="H2026" s="790">
        <v>73</v>
      </c>
      <c r="I2026" s="791">
        <v>80</v>
      </c>
      <c r="J2026" s="792" t="s">
        <v>1411</v>
      </c>
      <c r="K2026" s="793" t="s">
        <v>99</v>
      </c>
      <c r="L2026" s="781"/>
      <c r="M2026" s="782" t="s">
        <v>1856</v>
      </c>
      <c r="N2026" s="1009" t="s">
        <v>1856</v>
      </c>
      <c r="O2026" s="794"/>
      <c r="P2026" s="784" t="s">
        <v>72</v>
      </c>
      <c r="Q2026" s="100">
        <f t="shared" si="1096"/>
        <v>0</v>
      </c>
      <c r="R2026" s="13" t="str">
        <f t="shared" si="1110"/>
        <v>Фото &gt;&gt;</v>
      </c>
      <c r="S2026" s="14" t="s">
        <v>3576</v>
      </c>
      <c r="AK2026">
        <v>7.0000000000000007E-2</v>
      </c>
      <c r="AL2026">
        <f t="shared" si="1098"/>
        <v>0</v>
      </c>
      <c r="AM2026">
        <f t="shared" si="1099"/>
        <v>0</v>
      </c>
      <c r="AN2026">
        <f t="shared" si="1100"/>
        <v>0</v>
      </c>
      <c r="AO2026" t="s">
        <v>5572</v>
      </c>
      <c r="AV2026" t="str">
        <f>IF(F2026&gt;0,(COUNT($AV$1:AV2025)+1),"")</f>
        <v/>
      </c>
    </row>
    <row r="2027" spans="1:48" ht="15" customHeight="1" x14ac:dyDescent="0.25">
      <c r="A2027" s="1"/>
      <c r="B2027" s="31">
        <v>20473</v>
      </c>
      <c r="C2027" s="16">
        <v>4657804854696</v>
      </c>
      <c r="D2027" s="154" t="s">
        <v>4614</v>
      </c>
      <c r="E2027" s="69">
        <v>24</v>
      </c>
      <c r="F2027" s="222"/>
      <c r="G2027" s="108">
        <v>75</v>
      </c>
      <c r="H2027" s="17">
        <v>78</v>
      </c>
      <c r="I2027" s="18">
        <v>86</v>
      </c>
      <c r="J2027" s="113" t="s">
        <v>1411</v>
      </c>
      <c r="K2027" s="44" t="s">
        <v>99</v>
      </c>
      <c r="L2027" s="442"/>
      <c r="M2027" s="480" t="s">
        <v>1856</v>
      </c>
      <c r="N2027" s="1015" t="s">
        <v>1856</v>
      </c>
      <c r="O2027" s="217"/>
      <c r="P2027" s="68" t="s">
        <v>72</v>
      </c>
      <c r="Q2027" s="100">
        <f t="shared" si="1096"/>
        <v>0</v>
      </c>
      <c r="R2027" s="13" t="str">
        <f t="shared" si="1110"/>
        <v>Фото &gt;&gt;</v>
      </c>
      <c r="S2027" s="14" t="s">
        <v>3937</v>
      </c>
      <c r="AK2027">
        <v>7.0000000000000007E-2</v>
      </c>
      <c r="AL2027">
        <f t="shared" ref="AL2027:AL2030" si="1111">F2027*G2027</f>
        <v>0</v>
      </c>
      <c r="AM2027">
        <f t="shared" ref="AM2027:AM2030" si="1112">F2027*H2027</f>
        <v>0</v>
      </c>
      <c r="AN2027">
        <f t="shared" ref="AN2027:AN2030" si="1113">AK2027*F2027+IF(E2027&gt;1.01,F2027/E2027*0.2,0)</f>
        <v>0</v>
      </c>
      <c r="AO2027" t="s">
        <v>3938</v>
      </c>
      <c r="AV2027" t="str">
        <f>IF(F2027&gt;0,(COUNT($AV$1:AV2026)+1),"")</f>
        <v/>
      </c>
    </row>
    <row r="2028" spans="1:48" ht="15" customHeight="1" x14ac:dyDescent="0.25">
      <c r="A2028" s="1"/>
      <c r="B2028" s="30">
        <v>20476</v>
      </c>
      <c r="C2028" s="20">
        <v>4657804854672</v>
      </c>
      <c r="D2028" s="153" t="s">
        <v>4217</v>
      </c>
      <c r="E2028" s="67">
        <v>24</v>
      </c>
      <c r="F2028" s="222"/>
      <c r="G2028" s="107">
        <v>70</v>
      </c>
      <c r="H2028" s="21">
        <v>73.5</v>
      </c>
      <c r="I2028" s="22">
        <v>78</v>
      </c>
      <c r="J2028" s="112" t="s">
        <v>1411</v>
      </c>
      <c r="K2028" s="45" t="s">
        <v>99</v>
      </c>
      <c r="L2028" s="437"/>
      <c r="M2028" s="474" t="s">
        <v>1856</v>
      </c>
      <c r="N2028" s="1013" t="s">
        <v>1856</v>
      </c>
      <c r="O2028" s="212"/>
      <c r="P2028" s="66" t="s">
        <v>72</v>
      </c>
      <c r="Q2028" s="100">
        <f t="shared" si="1096"/>
        <v>0</v>
      </c>
      <c r="R2028" s="13" t="str">
        <f t="shared" si="1110"/>
        <v>Фото &gt;&gt;</v>
      </c>
      <c r="S2028" s="14" t="s">
        <v>3936</v>
      </c>
      <c r="AK2028">
        <v>7.0000000000000007E-2</v>
      </c>
      <c r="AL2028">
        <f t="shared" si="1111"/>
        <v>0</v>
      </c>
      <c r="AM2028">
        <f t="shared" si="1112"/>
        <v>0</v>
      </c>
      <c r="AN2028">
        <f t="shared" si="1113"/>
        <v>0</v>
      </c>
      <c r="AO2028" t="s">
        <v>3939</v>
      </c>
      <c r="AV2028" t="str">
        <f>IF(F2028&gt;0,(COUNT($AV$1:AV2027)+1),"")</f>
        <v/>
      </c>
    </row>
    <row r="2029" spans="1:48" ht="15" customHeight="1" x14ac:dyDescent="0.25">
      <c r="A2029" s="1"/>
      <c r="B2029" s="31">
        <v>20474</v>
      </c>
      <c r="C2029" s="16">
        <v>4657786816293</v>
      </c>
      <c r="D2029" s="154" t="s">
        <v>4615</v>
      </c>
      <c r="E2029" s="69">
        <v>24</v>
      </c>
      <c r="F2029" s="222"/>
      <c r="G2029" s="108">
        <v>75</v>
      </c>
      <c r="H2029" s="17">
        <v>78</v>
      </c>
      <c r="I2029" s="18">
        <v>86</v>
      </c>
      <c r="J2029" s="113" t="s">
        <v>1411</v>
      </c>
      <c r="K2029" s="44" t="s">
        <v>99</v>
      </c>
      <c r="L2029" s="442"/>
      <c r="M2029" s="480" t="s">
        <v>1856</v>
      </c>
      <c r="N2029" s="1015" t="s">
        <v>1856</v>
      </c>
      <c r="O2029" s="217"/>
      <c r="P2029" s="68" t="s">
        <v>72</v>
      </c>
      <c r="Q2029" s="100">
        <f t="shared" si="1096"/>
        <v>0</v>
      </c>
      <c r="R2029" s="13" t="str">
        <f t="shared" si="1110"/>
        <v>Фото &gt;&gt;</v>
      </c>
      <c r="S2029" s="14" t="s">
        <v>3934</v>
      </c>
      <c r="AK2029">
        <v>7.0000000000000007E-2</v>
      </c>
      <c r="AL2029">
        <f t="shared" si="1111"/>
        <v>0</v>
      </c>
      <c r="AM2029">
        <f t="shared" si="1112"/>
        <v>0</v>
      </c>
      <c r="AN2029">
        <f t="shared" si="1113"/>
        <v>0</v>
      </c>
      <c r="AO2029" t="s">
        <v>3940</v>
      </c>
      <c r="AV2029" t="str">
        <f>IF(F2029&gt;0,(COUNT($AV$1:AV2028)+1),"")</f>
        <v/>
      </c>
    </row>
    <row r="2030" spans="1:48" ht="15" customHeight="1" x14ac:dyDescent="0.25">
      <c r="A2030" s="1"/>
      <c r="B2030" s="30">
        <v>20475</v>
      </c>
      <c r="C2030" s="20">
        <v>4657786816286</v>
      </c>
      <c r="D2030" s="153" t="s">
        <v>4218</v>
      </c>
      <c r="E2030" s="67">
        <v>24</v>
      </c>
      <c r="F2030" s="222"/>
      <c r="G2030" s="107">
        <v>70</v>
      </c>
      <c r="H2030" s="21">
        <v>73.5</v>
      </c>
      <c r="I2030" s="22">
        <v>78</v>
      </c>
      <c r="J2030" s="112" t="s">
        <v>1411</v>
      </c>
      <c r="K2030" s="45" t="s">
        <v>99</v>
      </c>
      <c r="L2030" s="437"/>
      <c r="M2030" s="474" t="s">
        <v>1856</v>
      </c>
      <c r="N2030" s="1013"/>
      <c r="O2030" s="212"/>
      <c r="P2030" s="66" t="s">
        <v>72</v>
      </c>
      <c r="Q2030" s="100">
        <f t="shared" si="1096"/>
        <v>0</v>
      </c>
      <c r="R2030" s="13" t="str">
        <f t="shared" si="1110"/>
        <v>Фото &gt;&gt;</v>
      </c>
      <c r="S2030" s="14" t="s">
        <v>3935</v>
      </c>
      <c r="AK2030">
        <v>7.0000000000000007E-2</v>
      </c>
      <c r="AL2030">
        <f t="shared" si="1111"/>
        <v>0</v>
      </c>
      <c r="AM2030">
        <f t="shared" si="1112"/>
        <v>0</v>
      </c>
      <c r="AN2030">
        <f t="shared" si="1113"/>
        <v>0</v>
      </c>
      <c r="AO2030" t="s">
        <v>3941</v>
      </c>
      <c r="AV2030" t="str">
        <f>IF(F2030&gt;0,(COUNT($AV$1:AV2029)+1),"")</f>
        <v/>
      </c>
    </row>
    <row r="2031" spans="1:48" ht="15" customHeight="1" x14ac:dyDescent="0.25">
      <c r="A2031" s="1"/>
      <c r="B2031" s="125"/>
      <c r="C2031" s="126"/>
      <c r="D2031" s="127"/>
      <c r="E2031" s="134"/>
      <c r="F2031" s="189"/>
      <c r="G2031" s="130"/>
      <c r="H2031" s="131"/>
      <c r="I2031" s="132"/>
      <c r="J2031" s="128"/>
      <c r="K2031" s="129"/>
      <c r="L2031" s="433"/>
      <c r="M2031" s="481" t="s">
        <v>104</v>
      </c>
      <c r="N2031" s="471"/>
      <c r="O2031" s="181"/>
      <c r="P2031" s="133"/>
      <c r="Q2031" s="135"/>
      <c r="R2031" s="13"/>
      <c r="S2031" s="14"/>
      <c r="AV2031" t="str">
        <f>IF(F2031&gt;0,(COUNT($AV$1:AV2030)+1),"")</f>
        <v/>
      </c>
    </row>
    <row r="2032" spans="1:48" ht="15" customHeight="1" thickBot="1" x14ac:dyDescent="0.3">
      <c r="A2032" s="1"/>
      <c r="B2032" s="136"/>
      <c r="C2032" s="137"/>
      <c r="D2032" s="138"/>
      <c r="E2032" s="145"/>
      <c r="F2032" s="190"/>
      <c r="G2032" s="141"/>
      <c r="H2032" s="142"/>
      <c r="I2032" s="143"/>
      <c r="J2032" s="139"/>
      <c r="K2032" s="140"/>
      <c r="L2032" s="434"/>
      <c r="M2032" s="477" t="s">
        <v>104</v>
      </c>
      <c r="N2032" s="468"/>
      <c r="O2032" s="182"/>
      <c r="P2032" s="144"/>
      <c r="Q2032" s="146"/>
      <c r="R2032" s="13"/>
      <c r="S2032" s="14"/>
      <c r="AV2032" t="str">
        <f>IF(F2032&gt;0,(COUNT($AV$1:AV2031)+1),"")</f>
        <v/>
      </c>
    </row>
    <row r="2033" spans="1:48" ht="24.95" customHeight="1" thickBot="1" x14ac:dyDescent="0.3">
      <c r="A2033" s="1"/>
      <c r="B2033" s="266"/>
      <c r="C2033" s="267"/>
      <c r="D2033" s="268" t="str">
        <f>CONCATENATE("Злаки Сибири","     |     Сумма заказа: ",AK2033," руб.")</f>
        <v>Злаки Сибири     |     Сумма заказа: 0 руб.</v>
      </c>
      <c r="E2033" s="269"/>
      <c r="F2033" s="270"/>
      <c r="G2033" s="271" t="str">
        <f>CONCATENATE("Ценовая колонка: ",AO2033,"   |   До следующей скидки: ",AJ2033," руб.")</f>
        <v>Ценовая колонка: 3   |   До следующей скидки: 5000 руб.</v>
      </c>
      <c r="H2033" s="272"/>
      <c r="I2033" s="272"/>
      <c r="J2033" s="273" t="s">
        <v>5531</v>
      </c>
      <c r="K2033" s="274"/>
      <c r="L2033" s="451"/>
      <c r="M2033" s="495" t="s">
        <v>104</v>
      </c>
      <c r="N2033" s="571"/>
      <c r="O2033" s="275"/>
      <c r="P2033" s="276"/>
      <c r="Q2033" s="277"/>
      <c r="R2033" s="265" t="s">
        <v>1558</v>
      </c>
      <c r="S2033" s="6"/>
      <c r="AG2033" s="400"/>
      <c r="AH2033" s="400"/>
      <c r="AJ2033">
        <f>ROUND(IF(AL2033&gt;15000,"0", IF(AND(AL2033&lt;15000,AM2033&gt;5000),15000-AL2033,5000-AM2033)),2)</f>
        <v>5000</v>
      </c>
      <c r="AK2033">
        <f>SUM(Q2035:Q2062)</f>
        <v>0</v>
      </c>
      <c r="AL2033">
        <f>SUM(AL2035:AL2062)</f>
        <v>0</v>
      </c>
      <c r="AM2033">
        <f>SUM(AM2035:AM2062)</f>
        <v>0</v>
      </c>
      <c r="AO2033">
        <f>IF(AM2033&gt;5000,IF(AL2033&gt;15000,1,2),3)</f>
        <v>3</v>
      </c>
      <c r="AV2033" t="str">
        <f>IF(F2033&gt;0,(COUNT($AV$1:AV2032)+1),"")</f>
        <v/>
      </c>
    </row>
    <row r="2034" spans="1:48" ht="15" customHeight="1" x14ac:dyDescent="0.25">
      <c r="A2034" s="1"/>
      <c r="B2034" s="296"/>
      <c r="C2034" s="38"/>
      <c r="D2034" s="39" t="s">
        <v>413</v>
      </c>
      <c r="E2034" s="82"/>
      <c r="F2034" s="97"/>
      <c r="G2034" s="40" t="s">
        <v>170</v>
      </c>
      <c r="H2034" s="41" t="s">
        <v>16</v>
      </c>
      <c r="I2034" s="41" t="s">
        <v>221</v>
      </c>
      <c r="J2034" s="52"/>
      <c r="K2034" s="48"/>
      <c r="L2034" s="448"/>
      <c r="M2034" s="491" t="s">
        <v>104</v>
      </c>
      <c r="N2034" s="715"/>
      <c r="O2034" s="187"/>
      <c r="P2034" s="81"/>
      <c r="Q2034" s="105"/>
      <c r="R2034" s="13"/>
      <c r="S2034" s="14"/>
      <c r="AV2034" t="str">
        <f>IF(F2034&gt;0,(COUNT($AV$1:AV2033)+1),"")</f>
        <v/>
      </c>
    </row>
    <row r="2035" spans="1:48" ht="15" customHeight="1" x14ac:dyDescent="0.25">
      <c r="A2035" s="1"/>
      <c r="B2035" s="30">
        <v>9408</v>
      </c>
      <c r="C2035" s="20">
        <v>4607077791488</v>
      </c>
      <c r="D2035" s="225" t="s">
        <v>916</v>
      </c>
      <c r="E2035" s="67">
        <v>27</v>
      </c>
      <c r="F2035" s="222"/>
      <c r="G2035" s="107">
        <v>103.8</v>
      </c>
      <c r="H2035" s="21">
        <v>109</v>
      </c>
      <c r="I2035" s="22">
        <v>115</v>
      </c>
      <c r="J2035" s="112" t="s">
        <v>5531</v>
      </c>
      <c r="K2035" s="45" t="s">
        <v>99</v>
      </c>
      <c r="L2035" s="437"/>
      <c r="M2035" s="474" t="s">
        <v>1856</v>
      </c>
      <c r="N2035" s="1013" t="s">
        <v>1856</v>
      </c>
      <c r="O2035" s="310"/>
      <c r="P2035" s="66" t="s">
        <v>72</v>
      </c>
      <c r="Q2035" s="100">
        <f>IF($AO$2033=2,F2035*H2035,IF($AO$2033=1,F2035*G2035,F2035*I2035))</f>
        <v>0</v>
      </c>
      <c r="R2035" s="13" t="str">
        <f t="shared" ref="R2035" si="1114">IF(AO2035&gt;0,HYPERLINK(AO2035,"Фото &gt;&gt;"),"")</f>
        <v>Фото &gt;&gt;</v>
      </c>
      <c r="S2035" s="14" t="s">
        <v>917</v>
      </c>
      <c r="AK2035">
        <v>0.26</v>
      </c>
      <c r="AL2035">
        <f t="shared" ref="AL2035:AL2051" si="1115">F2035*G2035</f>
        <v>0</v>
      </c>
      <c r="AM2035">
        <f t="shared" ref="AM2035:AM2051" si="1116">F2035*H2035</f>
        <v>0</v>
      </c>
      <c r="AN2035">
        <f t="shared" ref="AN2035:AN2051" si="1117">AK2035*F2035+IF(E2035&gt;1.01,F2035/E2035*0.2,0)</f>
        <v>0</v>
      </c>
      <c r="AO2035" t="s">
        <v>5528</v>
      </c>
      <c r="AV2035" t="str">
        <f>IF(F2035&gt;0,(COUNT($AV$1:AV2034)+1),"")</f>
        <v/>
      </c>
    </row>
    <row r="2036" spans="1:48" ht="15" customHeight="1" x14ac:dyDescent="0.25">
      <c r="A2036" s="1"/>
      <c r="B2036" s="25"/>
      <c r="C2036" s="26"/>
      <c r="D2036" s="27" t="s">
        <v>1453</v>
      </c>
      <c r="E2036" s="80"/>
      <c r="F2036" s="96"/>
      <c r="G2036" s="28"/>
      <c r="H2036" s="29"/>
      <c r="I2036" s="29"/>
      <c r="J2036" s="51"/>
      <c r="K2036" s="47"/>
      <c r="L2036" s="447"/>
      <c r="M2036" s="489"/>
      <c r="N2036" s="716"/>
      <c r="O2036" s="186"/>
      <c r="P2036" s="79"/>
      <c r="Q2036" s="104"/>
      <c r="R2036" s="13"/>
      <c r="S2036" s="14"/>
      <c r="AL2036">
        <f t="shared" si="1115"/>
        <v>0</v>
      </c>
      <c r="AM2036">
        <f t="shared" si="1116"/>
        <v>0</v>
      </c>
      <c r="AN2036">
        <f t="shared" si="1117"/>
        <v>0</v>
      </c>
      <c r="AO2036" t="s">
        <v>104</v>
      </c>
      <c r="AV2036" t="str">
        <f>IF(F2036&gt;0,(COUNT($AV$1:AV2035)+1),"")</f>
        <v/>
      </c>
    </row>
    <row r="2037" spans="1:48" ht="15" customHeight="1" x14ac:dyDescent="0.25">
      <c r="A2037" s="1"/>
      <c r="B2037" s="30">
        <v>16326</v>
      </c>
      <c r="C2037" s="20">
        <v>4607077792737</v>
      </c>
      <c r="D2037" s="153" t="s">
        <v>899</v>
      </c>
      <c r="E2037" s="67">
        <v>8</v>
      </c>
      <c r="F2037" s="222"/>
      <c r="G2037" s="107">
        <v>265.3</v>
      </c>
      <c r="H2037" s="21">
        <v>278.60000000000002</v>
      </c>
      <c r="I2037" s="22">
        <v>306</v>
      </c>
      <c r="J2037" s="112" t="s">
        <v>5531</v>
      </c>
      <c r="K2037" s="45" t="s">
        <v>19</v>
      </c>
      <c r="L2037" s="437"/>
      <c r="M2037" s="474" t="s">
        <v>1856</v>
      </c>
      <c r="N2037" s="1013" t="s">
        <v>1856</v>
      </c>
      <c r="O2037" s="212"/>
      <c r="P2037" s="66" t="s">
        <v>72</v>
      </c>
      <c r="Q2037" s="100">
        <f>IF($AO$2033=2,F2037*H2037,IF($AO$2033=1,F2037*G2037,F2037*I2037))</f>
        <v>0</v>
      </c>
      <c r="R2037" s="13" t="str">
        <f t="shared" ref="R2037:R2039" si="1118">IF(AO2037&gt;0,HYPERLINK(AO2037,"Фото &gt;&gt;"),"")</f>
        <v>Фото &gt;&gt;</v>
      </c>
      <c r="S2037" s="14" t="s">
        <v>900</v>
      </c>
      <c r="AK2037">
        <v>0.18</v>
      </c>
      <c r="AL2037">
        <f t="shared" si="1115"/>
        <v>0</v>
      </c>
      <c r="AM2037">
        <f t="shared" si="1116"/>
        <v>0</v>
      </c>
      <c r="AN2037">
        <f t="shared" si="1117"/>
        <v>0</v>
      </c>
      <c r="AO2037" t="s">
        <v>5010</v>
      </c>
      <c r="AV2037" t="str">
        <f>IF(F2037&gt;0,(COUNT($AV$1:AV2036)+1),"")</f>
        <v/>
      </c>
    </row>
    <row r="2038" spans="1:48" ht="15" customHeight="1" x14ac:dyDescent="0.25">
      <c r="A2038" s="1"/>
      <c r="B2038" s="31">
        <v>9421</v>
      </c>
      <c r="C2038" s="16">
        <v>4607077790023</v>
      </c>
      <c r="D2038" s="154" t="s">
        <v>901</v>
      </c>
      <c r="E2038" s="69">
        <v>48</v>
      </c>
      <c r="F2038" s="222"/>
      <c r="G2038" s="108">
        <v>156</v>
      </c>
      <c r="H2038" s="17">
        <v>163.80000000000001</v>
      </c>
      <c r="I2038" s="18">
        <v>180</v>
      </c>
      <c r="J2038" s="113" t="s">
        <v>5531</v>
      </c>
      <c r="K2038" s="44" t="s">
        <v>19</v>
      </c>
      <c r="L2038" s="442"/>
      <c r="M2038" s="480" t="s">
        <v>1856</v>
      </c>
      <c r="N2038" s="1015" t="s">
        <v>1856</v>
      </c>
      <c r="O2038" s="217"/>
      <c r="P2038" s="68" t="s">
        <v>72</v>
      </c>
      <c r="Q2038" s="100">
        <f>IF($AO$2033=2,F2038*H2038,IF($AO$2033=1,F2038*G2038,F2038*I2038))</f>
        <v>0</v>
      </c>
      <c r="R2038" s="13" t="str">
        <f t="shared" si="1118"/>
        <v>Фото &gt;&gt;</v>
      </c>
      <c r="S2038" s="14" t="s">
        <v>900</v>
      </c>
      <c r="AK2038">
        <v>7.0000000000000007E-2</v>
      </c>
      <c r="AL2038">
        <f t="shared" si="1115"/>
        <v>0</v>
      </c>
      <c r="AM2038">
        <f t="shared" si="1116"/>
        <v>0</v>
      </c>
      <c r="AN2038">
        <f t="shared" si="1117"/>
        <v>0</v>
      </c>
      <c r="AO2038" t="s">
        <v>5011</v>
      </c>
      <c r="AV2038" t="str">
        <f>IF(F2038&gt;0,(COUNT($AV$1:AV2037)+1),"")</f>
        <v/>
      </c>
    </row>
    <row r="2039" spans="1:48" ht="15" customHeight="1" x14ac:dyDescent="0.25">
      <c r="A2039" s="1"/>
      <c r="B2039" s="30">
        <v>9422</v>
      </c>
      <c r="C2039" s="20">
        <v>4607077790832</v>
      </c>
      <c r="D2039" s="153" t="s">
        <v>902</v>
      </c>
      <c r="E2039" s="67">
        <v>50</v>
      </c>
      <c r="F2039" s="222"/>
      <c r="G2039" s="107">
        <v>70.400000000000006</v>
      </c>
      <c r="H2039" s="21">
        <v>74</v>
      </c>
      <c r="I2039" s="22">
        <v>81</v>
      </c>
      <c r="J2039" s="112" t="s">
        <v>5531</v>
      </c>
      <c r="K2039" s="45" t="s">
        <v>78</v>
      </c>
      <c r="L2039" s="437"/>
      <c r="M2039" s="474" t="s">
        <v>1856</v>
      </c>
      <c r="N2039" s="1013" t="s">
        <v>1856</v>
      </c>
      <c r="O2039" s="212"/>
      <c r="P2039" s="66" t="s">
        <v>72</v>
      </c>
      <c r="Q2039" s="100">
        <f>IF($AO$2033=2,F2039*H2039,IF($AO$2033=1,F2039*G2039,F2039*I2039))</f>
        <v>0</v>
      </c>
      <c r="R2039" s="13" t="str">
        <f t="shared" si="1118"/>
        <v>Фото &gt;&gt;</v>
      </c>
      <c r="S2039" s="14" t="s">
        <v>773</v>
      </c>
      <c r="AK2039">
        <v>0.12</v>
      </c>
      <c r="AL2039">
        <f t="shared" si="1115"/>
        <v>0</v>
      </c>
      <c r="AM2039">
        <f t="shared" si="1116"/>
        <v>0</v>
      </c>
      <c r="AN2039">
        <f t="shared" si="1117"/>
        <v>0</v>
      </c>
      <c r="AO2039" t="s">
        <v>5012</v>
      </c>
      <c r="AV2039" t="str">
        <f>IF(F2039&gt;0,(COUNT($AV$1:AV2038)+1),"")</f>
        <v/>
      </c>
    </row>
    <row r="2040" spans="1:48" ht="15" customHeight="1" x14ac:dyDescent="0.25">
      <c r="A2040" s="1"/>
      <c r="B2040" s="31">
        <v>14509</v>
      </c>
      <c r="C2040" s="16">
        <v>4607077792515</v>
      </c>
      <c r="D2040" s="154" t="s">
        <v>896</v>
      </c>
      <c r="E2040" s="69">
        <v>16</v>
      </c>
      <c r="F2040" s="222"/>
      <c r="G2040" s="108">
        <v>141</v>
      </c>
      <c r="H2040" s="17">
        <v>148</v>
      </c>
      <c r="I2040" s="18">
        <v>162</v>
      </c>
      <c r="J2040" s="113" t="s">
        <v>5531</v>
      </c>
      <c r="K2040" s="44" t="s">
        <v>199</v>
      </c>
      <c r="L2040" s="442"/>
      <c r="M2040" s="480" t="s">
        <v>1856</v>
      </c>
      <c r="N2040" s="1015" t="s">
        <v>1856</v>
      </c>
      <c r="O2040" s="217"/>
      <c r="P2040" s="68" t="s">
        <v>72</v>
      </c>
      <c r="Q2040" s="100">
        <f>IF($AO$2033=2,F2040*H2040,IF($AO$2033=1,F2040*G2040,F2040*I2040))</f>
        <v>0</v>
      </c>
      <c r="R2040" s="13" t="str">
        <f t="shared" ref="R2040:R2041" si="1119">IF(AO2040&gt;0,HYPERLINK(AO2040,"Фото &gt;&gt;"),"")</f>
        <v>Фото &gt;&gt;</v>
      </c>
      <c r="S2040" s="14" t="s">
        <v>898</v>
      </c>
      <c r="AK2040">
        <v>0.4</v>
      </c>
      <c r="AL2040">
        <f t="shared" si="1115"/>
        <v>0</v>
      </c>
      <c r="AM2040">
        <f t="shared" si="1116"/>
        <v>0</v>
      </c>
      <c r="AN2040">
        <f t="shared" si="1117"/>
        <v>0</v>
      </c>
      <c r="AO2040" t="s">
        <v>5529</v>
      </c>
      <c r="AV2040" t="str">
        <f>IF(F2040&gt;0,(COUNT($AV$1:AV2039)+1),"")</f>
        <v/>
      </c>
    </row>
    <row r="2041" spans="1:48" ht="15" customHeight="1" x14ac:dyDescent="0.25">
      <c r="A2041" s="1"/>
      <c r="B2041" s="30">
        <v>19468</v>
      </c>
      <c r="C2041" s="20">
        <v>4607077793567</v>
      </c>
      <c r="D2041" s="153" t="s">
        <v>1851</v>
      </c>
      <c r="E2041" s="324">
        <v>8</v>
      </c>
      <c r="F2041" s="222"/>
      <c r="G2041" s="107">
        <v>91.2</v>
      </c>
      <c r="H2041" s="21">
        <v>95.8</v>
      </c>
      <c r="I2041" s="22">
        <v>105</v>
      </c>
      <c r="J2041" s="112" t="s">
        <v>5531</v>
      </c>
      <c r="K2041" s="45" t="s">
        <v>78</v>
      </c>
      <c r="L2041" s="437"/>
      <c r="M2041" s="474" t="s">
        <v>1856</v>
      </c>
      <c r="N2041" s="1013" t="s">
        <v>1856</v>
      </c>
      <c r="O2041" s="212" t="s">
        <v>2348</v>
      </c>
      <c r="P2041" s="66" t="s">
        <v>72</v>
      </c>
      <c r="Q2041" s="100">
        <f>IF($AO$2033=2,F2041*H2041,IF($AO$2033=1,F2041*G2041,F2041*I2041))</f>
        <v>0</v>
      </c>
      <c r="R2041" s="13" t="str">
        <f t="shared" si="1119"/>
        <v>Фото &gt;&gt;</v>
      </c>
      <c r="S2041" s="14" t="s">
        <v>3583</v>
      </c>
      <c r="AK2041">
        <v>0.52</v>
      </c>
      <c r="AL2041">
        <f t="shared" si="1115"/>
        <v>0</v>
      </c>
      <c r="AM2041">
        <f t="shared" si="1116"/>
        <v>0</v>
      </c>
      <c r="AN2041">
        <f t="shared" si="1117"/>
        <v>0</v>
      </c>
      <c r="AO2041" t="s">
        <v>5013</v>
      </c>
      <c r="AV2041" t="str">
        <f>IF(F2041&gt;0,(COUNT($AV$1:AV2040)+1),"")</f>
        <v/>
      </c>
    </row>
    <row r="2042" spans="1:48" ht="15" customHeight="1" x14ac:dyDescent="0.25">
      <c r="A2042" s="1"/>
      <c r="B2042" s="25"/>
      <c r="C2042" s="26"/>
      <c r="D2042" s="27" t="s">
        <v>1454</v>
      </c>
      <c r="E2042" s="80"/>
      <c r="F2042" s="96"/>
      <c r="G2042" s="28"/>
      <c r="H2042" s="29"/>
      <c r="I2042" s="29"/>
      <c r="J2042" s="51"/>
      <c r="K2042" s="47"/>
      <c r="L2042" s="447"/>
      <c r="M2042" s="489"/>
      <c r="N2042" s="716"/>
      <c r="O2042" s="186"/>
      <c r="P2042" s="79"/>
      <c r="Q2042" s="104"/>
      <c r="R2042" s="13"/>
      <c r="S2042" s="14"/>
      <c r="AL2042">
        <f t="shared" ref="AL2042:AL2044" si="1120">F2042*G2042</f>
        <v>0</v>
      </c>
      <c r="AM2042">
        <f t="shared" ref="AM2042:AM2044" si="1121">F2042*H2042</f>
        <v>0</v>
      </c>
      <c r="AN2042">
        <f t="shared" si="1117"/>
        <v>0</v>
      </c>
      <c r="AO2042" t="s">
        <v>104</v>
      </c>
      <c r="AV2042" t="str">
        <f>IF(F2042&gt;0,(COUNT($AV$1:AV2041)+1),"")</f>
        <v/>
      </c>
    </row>
    <row r="2043" spans="1:48" ht="15" customHeight="1" x14ac:dyDescent="0.25">
      <c r="A2043" s="1"/>
      <c r="B2043" s="30">
        <v>16088</v>
      </c>
      <c r="C2043" s="20">
        <v>4607077792744</v>
      </c>
      <c r="D2043" s="153" t="s">
        <v>903</v>
      </c>
      <c r="E2043" s="67">
        <v>15</v>
      </c>
      <c r="F2043" s="222"/>
      <c r="G2043" s="107">
        <v>75.2</v>
      </c>
      <c r="H2043" s="21">
        <v>79</v>
      </c>
      <c r="I2043" s="22">
        <v>87</v>
      </c>
      <c r="J2043" s="112" t="s">
        <v>5531</v>
      </c>
      <c r="K2043" s="45" t="s">
        <v>85</v>
      </c>
      <c r="L2043" s="437"/>
      <c r="M2043" s="474" t="s">
        <v>1856</v>
      </c>
      <c r="N2043" s="1013" t="s">
        <v>1856</v>
      </c>
      <c r="O2043" s="212"/>
      <c r="P2043" s="66" t="s">
        <v>72</v>
      </c>
      <c r="Q2043" s="100">
        <f t="shared" ref="Q2043:Q2050" si="1122">IF($AO$2033=2,F2043*H2043,IF($AO$2033=1,F2043*G2043,F2043*I2043))</f>
        <v>0</v>
      </c>
      <c r="R2043" s="13" t="str">
        <f t="shared" ref="R2043:R2050" si="1123">IF(AO2043&gt;0,HYPERLINK(AO2043,"Фото &gt;&gt;"),"")</f>
        <v>Фото &gt;&gt;</v>
      </c>
      <c r="S2043" s="14" t="s">
        <v>904</v>
      </c>
      <c r="AK2043">
        <v>0.21</v>
      </c>
      <c r="AL2043">
        <f t="shared" si="1120"/>
        <v>0</v>
      </c>
      <c r="AM2043">
        <f t="shared" si="1121"/>
        <v>0</v>
      </c>
      <c r="AN2043">
        <f t="shared" si="1117"/>
        <v>0</v>
      </c>
      <c r="AO2043" t="s">
        <v>5014</v>
      </c>
      <c r="AV2043" t="str">
        <f>IF(F2043&gt;0,(COUNT($AV$1:AV2042)+1),"")</f>
        <v/>
      </c>
    </row>
    <row r="2044" spans="1:48" ht="15" customHeight="1" x14ac:dyDescent="0.25">
      <c r="A2044" s="1"/>
      <c r="B2044" s="31">
        <v>12441</v>
      </c>
      <c r="C2044" s="16">
        <v>4607077791921</v>
      </c>
      <c r="D2044" s="154" t="s">
        <v>84</v>
      </c>
      <c r="E2044" s="69">
        <v>24</v>
      </c>
      <c r="F2044" s="222"/>
      <c r="G2044" s="108">
        <v>67.2</v>
      </c>
      <c r="H2044" s="17">
        <v>70.5</v>
      </c>
      <c r="I2044" s="18">
        <v>77.599999999999994</v>
      </c>
      <c r="J2044" s="113" t="s">
        <v>5531</v>
      </c>
      <c r="K2044" s="44" t="s">
        <v>85</v>
      </c>
      <c r="L2044" s="442"/>
      <c r="M2044" s="480" t="s">
        <v>1856</v>
      </c>
      <c r="N2044" s="1015" t="s">
        <v>1856</v>
      </c>
      <c r="O2044" s="217"/>
      <c r="P2044" s="68" t="s">
        <v>72</v>
      </c>
      <c r="Q2044" s="100">
        <f t="shared" si="1122"/>
        <v>0</v>
      </c>
      <c r="R2044" s="13" t="str">
        <f t="shared" si="1123"/>
        <v>Фото &gt;&gt;</v>
      </c>
      <c r="S2044" s="14" t="s">
        <v>301</v>
      </c>
      <c r="AK2044">
        <v>0.21</v>
      </c>
      <c r="AL2044">
        <f t="shared" si="1120"/>
        <v>0</v>
      </c>
      <c r="AM2044">
        <f t="shared" si="1121"/>
        <v>0</v>
      </c>
      <c r="AN2044">
        <f t="shared" si="1117"/>
        <v>0</v>
      </c>
      <c r="AO2044" t="s">
        <v>5015</v>
      </c>
      <c r="AV2044" t="str">
        <f>IF(F2044&gt;0,(COUNT($AV$1:AV2043)+1),"")</f>
        <v/>
      </c>
    </row>
    <row r="2045" spans="1:48" ht="15" customHeight="1" x14ac:dyDescent="0.25">
      <c r="A2045" s="1"/>
      <c r="B2045" s="30">
        <v>10908</v>
      </c>
      <c r="C2045" s="20">
        <v>4607077790566</v>
      </c>
      <c r="D2045" s="153" t="s">
        <v>905</v>
      </c>
      <c r="E2045" s="67">
        <v>30</v>
      </c>
      <c r="F2045" s="222"/>
      <c r="G2045" s="107">
        <v>49.6</v>
      </c>
      <c r="H2045" s="21">
        <v>52</v>
      </c>
      <c r="I2045" s="22">
        <v>57</v>
      </c>
      <c r="J2045" s="112" t="s">
        <v>5531</v>
      </c>
      <c r="K2045" s="45" t="s">
        <v>85</v>
      </c>
      <c r="L2045" s="437"/>
      <c r="M2045" s="474" t="s">
        <v>1856</v>
      </c>
      <c r="N2045" s="1013" t="s">
        <v>1856</v>
      </c>
      <c r="O2045" s="212"/>
      <c r="P2045" s="66" t="s">
        <v>72</v>
      </c>
      <c r="Q2045" s="100">
        <f t="shared" si="1122"/>
        <v>0</v>
      </c>
      <c r="R2045" s="13" t="str">
        <f t="shared" si="1123"/>
        <v>Фото &gt;&gt;</v>
      </c>
      <c r="S2045" s="14" t="s">
        <v>906</v>
      </c>
      <c r="AK2045">
        <v>0.21</v>
      </c>
      <c r="AL2045">
        <f t="shared" si="1115"/>
        <v>0</v>
      </c>
      <c r="AM2045">
        <f t="shared" si="1116"/>
        <v>0</v>
      </c>
      <c r="AN2045">
        <f t="shared" si="1117"/>
        <v>0</v>
      </c>
      <c r="AO2045" t="s">
        <v>5016</v>
      </c>
      <c r="AV2045" t="str">
        <f>IF(F2045&gt;0,(COUNT($AV$1:AV2044)+1),"")</f>
        <v/>
      </c>
    </row>
    <row r="2046" spans="1:48" ht="15" customHeight="1" x14ac:dyDescent="0.25">
      <c r="A2046" s="1"/>
      <c r="B2046" s="31">
        <v>10913</v>
      </c>
      <c r="C2046" s="16">
        <v>4607077791181</v>
      </c>
      <c r="D2046" s="154" t="s">
        <v>907</v>
      </c>
      <c r="E2046" s="69">
        <v>15</v>
      </c>
      <c r="F2046" s="222"/>
      <c r="G2046" s="108">
        <v>49.6</v>
      </c>
      <c r="H2046" s="17">
        <v>52</v>
      </c>
      <c r="I2046" s="18">
        <v>57</v>
      </c>
      <c r="J2046" s="113" t="s">
        <v>5531</v>
      </c>
      <c r="K2046" s="44" t="s">
        <v>85</v>
      </c>
      <c r="L2046" s="442"/>
      <c r="M2046" s="480" t="s">
        <v>1856</v>
      </c>
      <c r="N2046" s="1015" t="s">
        <v>1856</v>
      </c>
      <c r="O2046" s="217"/>
      <c r="P2046" s="68" t="s">
        <v>72</v>
      </c>
      <c r="Q2046" s="100">
        <f t="shared" si="1122"/>
        <v>0</v>
      </c>
      <c r="R2046" s="13" t="str">
        <f t="shared" si="1123"/>
        <v>Фото &gt;&gt;</v>
      </c>
      <c r="S2046" s="14" t="s">
        <v>318</v>
      </c>
      <c r="AK2046">
        <v>0.21</v>
      </c>
      <c r="AL2046">
        <f t="shared" si="1115"/>
        <v>0</v>
      </c>
      <c r="AM2046">
        <f t="shared" si="1116"/>
        <v>0</v>
      </c>
      <c r="AN2046">
        <f t="shared" si="1117"/>
        <v>0</v>
      </c>
      <c r="AO2046" t="s">
        <v>5017</v>
      </c>
      <c r="AV2046" t="str">
        <f>IF(F2046&gt;0,(COUNT($AV$1:AV2045)+1),"")</f>
        <v/>
      </c>
    </row>
    <row r="2047" spans="1:48" ht="15" customHeight="1" x14ac:dyDescent="0.25">
      <c r="A2047" s="1"/>
      <c r="B2047" s="30">
        <v>12954</v>
      </c>
      <c r="C2047" s="20">
        <v>4607077792072</v>
      </c>
      <c r="D2047" s="153" t="s">
        <v>914</v>
      </c>
      <c r="E2047" s="67">
        <v>16</v>
      </c>
      <c r="F2047" s="222"/>
      <c r="G2047" s="107">
        <v>123</v>
      </c>
      <c r="H2047" s="21">
        <v>129.19999999999999</v>
      </c>
      <c r="I2047" s="22">
        <v>136</v>
      </c>
      <c r="J2047" s="112" t="s">
        <v>5531</v>
      </c>
      <c r="K2047" s="45" t="s">
        <v>78</v>
      </c>
      <c r="L2047" s="437"/>
      <c r="M2047" s="474" t="s">
        <v>1856</v>
      </c>
      <c r="N2047" s="1013" t="s">
        <v>1856</v>
      </c>
      <c r="O2047" s="212"/>
      <c r="P2047" s="66" t="s">
        <v>72</v>
      </c>
      <c r="Q2047" s="100">
        <f t="shared" si="1122"/>
        <v>0</v>
      </c>
      <c r="R2047" s="13" t="str">
        <f t="shared" si="1123"/>
        <v>Фото &gt;&gt;</v>
      </c>
      <c r="S2047" s="14" t="s">
        <v>915</v>
      </c>
      <c r="AK2047">
        <v>0.36</v>
      </c>
      <c r="AL2047">
        <f t="shared" si="1115"/>
        <v>0</v>
      </c>
      <c r="AM2047">
        <f t="shared" si="1116"/>
        <v>0</v>
      </c>
      <c r="AN2047">
        <f t="shared" si="1117"/>
        <v>0</v>
      </c>
      <c r="AO2047" t="s">
        <v>5018</v>
      </c>
      <c r="AV2047" t="str">
        <f>IF(F2047&gt;0,(COUNT($AV$1:AV2046)+1),"")</f>
        <v/>
      </c>
    </row>
    <row r="2048" spans="1:48" ht="15" customHeight="1" x14ac:dyDescent="0.25">
      <c r="A2048" s="1"/>
      <c r="B2048" s="31">
        <v>11910</v>
      </c>
      <c r="C2048" s="16">
        <v>4607077791754</v>
      </c>
      <c r="D2048" s="154" t="s">
        <v>908</v>
      </c>
      <c r="E2048" s="69">
        <v>16</v>
      </c>
      <c r="F2048" s="222"/>
      <c r="G2048" s="108">
        <v>212.3</v>
      </c>
      <c r="H2048" s="17">
        <v>223</v>
      </c>
      <c r="I2048" s="18">
        <v>235</v>
      </c>
      <c r="J2048" s="113" t="s">
        <v>5531</v>
      </c>
      <c r="K2048" s="44" t="s">
        <v>116</v>
      </c>
      <c r="L2048" s="442"/>
      <c r="M2048" s="480" t="s">
        <v>1856</v>
      </c>
      <c r="N2048" s="1015" t="s">
        <v>1856</v>
      </c>
      <c r="O2048" s="217"/>
      <c r="P2048" s="68" t="s">
        <v>72</v>
      </c>
      <c r="Q2048" s="100">
        <f t="shared" si="1122"/>
        <v>0</v>
      </c>
      <c r="R2048" s="13" t="str">
        <f t="shared" si="1123"/>
        <v>Фото &gt;&gt;</v>
      </c>
      <c r="S2048" s="14" t="s">
        <v>909</v>
      </c>
      <c r="AK2048">
        <v>0.52</v>
      </c>
      <c r="AL2048">
        <f t="shared" si="1115"/>
        <v>0</v>
      </c>
      <c r="AM2048">
        <f t="shared" si="1116"/>
        <v>0</v>
      </c>
      <c r="AN2048">
        <f t="shared" si="1117"/>
        <v>0</v>
      </c>
      <c r="AO2048" t="s">
        <v>5019</v>
      </c>
      <c r="AV2048" t="str">
        <f>IF(F2048&gt;0,(COUNT($AV$1:AV2047)+1),"")</f>
        <v/>
      </c>
    </row>
    <row r="2049" spans="1:48" ht="15" customHeight="1" x14ac:dyDescent="0.25">
      <c r="A2049" s="1"/>
      <c r="B2049" s="30">
        <v>11909</v>
      </c>
      <c r="C2049" s="20">
        <v>4607077791761</v>
      </c>
      <c r="D2049" s="153" t="s">
        <v>910</v>
      </c>
      <c r="E2049" s="67">
        <v>16</v>
      </c>
      <c r="F2049" s="222"/>
      <c r="G2049" s="107">
        <v>150</v>
      </c>
      <c r="H2049" s="21">
        <v>157.5</v>
      </c>
      <c r="I2049" s="22">
        <v>170</v>
      </c>
      <c r="J2049" s="112" t="s">
        <v>5531</v>
      </c>
      <c r="K2049" s="45" t="s">
        <v>116</v>
      </c>
      <c r="L2049" s="437"/>
      <c r="M2049" s="474" t="s">
        <v>1856</v>
      </c>
      <c r="N2049" s="1013" t="s">
        <v>1856</v>
      </c>
      <c r="O2049" s="212"/>
      <c r="P2049" s="66" t="s">
        <v>72</v>
      </c>
      <c r="Q2049" s="100">
        <f t="shared" si="1122"/>
        <v>0</v>
      </c>
      <c r="R2049" s="13" t="str">
        <f t="shared" si="1123"/>
        <v>Фото &gt;&gt;</v>
      </c>
      <c r="S2049" s="14" t="s">
        <v>911</v>
      </c>
      <c r="AK2049">
        <v>0.52</v>
      </c>
      <c r="AL2049">
        <f t="shared" si="1115"/>
        <v>0</v>
      </c>
      <c r="AM2049">
        <f t="shared" si="1116"/>
        <v>0</v>
      </c>
      <c r="AN2049">
        <f t="shared" si="1117"/>
        <v>0</v>
      </c>
      <c r="AO2049" t="s">
        <v>5020</v>
      </c>
      <c r="AV2049" t="str">
        <f>IF(F2049&gt;0,(COUNT($AV$1:AV2048)+1),"")</f>
        <v/>
      </c>
    </row>
    <row r="2050" spans="1:48" ht="15" customHeight="1" x14ac:dyDescent="0.25">
      <c r="A2050" s="1"/>
      <c r="B2050" s="31">
        <v>15358</v>
      </c>
      <c r="C2050" s="16">
        <v>4607077791419</v>
      </c>
      <c r="D2050" s="154" t="s">
        <v>912</v>
      </c>
      <c r="E2050" s="69">
        <v>16</v>
      </c>
      <c r="F2050" s="222"/>
      <c r="G2050" s="108">
        <v>186</v>
      </c>
      <c r="H2050" s="17">
        <v>195.3</v>
      </c>
      <c r="I2050" s="18">
        <v>206</v>
      </c>
      <c r="J2050" s="113" t="s">
        <v>5531</v>
      </c>
      <c r="K2050" s="44" t="s">
        <v>116</v>
      </c>
      <c r="L2050" s="442"/>
      <c r="M2050" s="480" t="s">
        <v>1856</v>
      </c>
      <c r="N2050" s="1015" t="s">
        <v>1856</v>
      </c>
      <c r="O2050" s="217"/>
      <c r="P2050" s="68" t="s">
        <v>72</v>
      </c>
      <c r="Q2050" s="100">
        <f t="shared" si="1122"/>
        <v>0</v>
      </c>
      <c r="R2050" s="13" t="str">
        <f t="shared" si="1123"/>
        <v>Фото &gt;&gt;</v>
      </c>
      <c r="S2050" s="14" t="s">
        <v>913</v>
      </c>
      <c r="AK2050">
        <v>0.52</v>
      </c>
      <c r="AL2050">
        <f t="shared" si="1115"/>
        <v>0</v>
      </c>
      <c r="AM2050">
        <f t="shared" si="1116"/>
        <v>0</v>
      </c>
      <c r="AN2050">
        <f t="shared" si="1117"/>
        <v>0</v>
      </c>
      <c r="AO2050" t="s">
        <v>5021</v>
      </c>
      <c r="AV2050" t="str">
        <f>IF(F2050&gt;0,(COUNT($AV$1:AV2049)+1),"")</f>
        <v/>
      </c>
    </row>
    <row r="2051" spans="1:48" ht="15" customHeight="1" x14ac:dyDescent="0.25">
      <c r="A2051" s="1"/>
      <c r="B2051" s="25"/>
      <c r="C2051" s="26"/>
      <c r="D2051" s="27" t="s">
        <v>48</v>
      </c>
      <c r="E2051" s="80"/>
      <c r="F2051" s="96"/>
      <c r="G2051" s="28"/>
      <c r="H2051" s="29"/>
      <c r="I2051" s="29"/>
      <c r="J2051" s="51"/>
      <c r="K2051" s="47"/>
      <c r="L2051" s="447"/>
      <c r="M2051" s="489"/>
      <c r="N2051" s="716"/>
      <c r="O2051" s="186"/>
      <c r="P2051" s="79"/>
      <c r="Q2051" s="104"/>
      <c r="R2051" s="13"/>
      <c r="S2051" s="14"/>
      <c r="AL2051">
        <f t="shared" si="1115"/>
        <v>0</v>
      </c>
      <c r="AM2051">
        <f t="shared" si="1116"/>
        <v>0</v>
      </c>
      <c r="AN2051">
        <f t="shared" si="1117"/>
        <v>0</v>
      </c>
      <c r="AO2051" t="s">
        <v>104</v>
      </c>
      <c r="AV2051" t="str">
        <f>IF(F2051&gt;0,(COUNT($AV$1:AV2050)+1),"")</f>
        <v/>
      </c>
    </row>
    <row r="2052" spans="1:48" ht="15" customHeight="1" x14ac:dyDescent="0.25">
      <c r="A2052" s="1"/>
      <c r="B2052" s="31">
        <v>17771</v>
      </c>
      <c r="C2052" s="16">
        <v>4607077793291</v>
      </c>
      <c r="D2052" s="226" t="s">
        <v>340</v>
      </c>
      <c r="E2052" s="323">
        <v>8</v>
      </c>
      <c r="F2052" s="222"/>
      <c r="G2052" s="108">
        <v>147</v>
      </c>
      <c r="H2052" s="17">
        <v>154.30000000000001</v>
      </c>
      <c r="I2052" s="18">
        <v>170</v>
      </c>
      <c r="J2052" s="113" t="s">
        <v>5531</v>
      </c>
      <c r="K2052" s="44" t="s">
        <v>49</v>
      </c>
      <c r="L2052" s="442"/>
      <c r="M2052" s="480" t="s">
        <v>1856</v>
      </c>
      <c r="N2052" s="1015" t="s">
        <v>1856</v>
      </c>
      <c r="O2052" s="217" t="s">
        <v>2348</v>
      </c>
      <c r="P2052" s="68" t="s">
        <v>50</v>
      </c>
      <c r="Q2052" s="100">
        <f t="shared" ref="Q2052:Q2062" si="1124">IF($AO$2033=2,F2052*H2052,IF($AO$2033=1,F2052*G2052,F2052*I2052))</f>
        <v>0</v>
      </c>
      <c r="R2052" s="13" t="str">
        <f>IF(AO2052&gt;0,HYPERLINK(AO2052,"Фото &gt;&gt;"),"")</f>
        <v>Фото &gt;&gt;</v>
      </c>
      <c r="S2052" s="14" t="s">
        <v>342</v>
      </c>
      <c r="AK2052">
        <v>0.22</v>
      </c>
      <c r="AL2052">
        <f t="shared" ref="AL2052:AL2056" si="1125">F2052*G2052</f>
        <v>0</v>
      </c>
      <c r="AM2052">
        <f t="shared" ref="AM2052:AM2056" si="1126">F2052*H2052</f>
        <v>0</v>
      </c>
      <c r="AN2052">
        <f t="shared" ref="AN2052:AN2056" si="1127">AK2052*F2052+IF(E2052&gt;1.01,F2052/E2052*0.2,0)</f>
        <v>0</v>
      </c>
      <c r="AO2052" t="s">
        <v>2755</v>
      </c>
      <c r="AV2052" t="str">
        <f>IF(F2052&gt;0,(COUNT($AV$1:AV2051)+1),"")</f>
        <v/>
      </c>
    </row>
    <row r="2053" spans="1:48" ht="15" customHeight="1" x14ac:dyDescent="0.25">
      <c r="A2053" s="1"/>
      <c r="B2053" s="30">
        <v>17774</v>
      </c>
      <c r="C2053" s="20">
        <v>4607077793284</v>
      </c>
      <c r="D2053" s="225" t="s">
        <v>5605</v>
      </c>
      <c r="E2053" s="324">
        <v>8</v>
      </c>
      <c r="F2053" s="222"/>
      <c r="G2053" s="107">
        <v>205.5</v>
      </c>
      <c r="H2053" s="21">
        <v>215.7</v>
      </c>
      <c r="I2053" s="22">
        <v>235</v>
      </c>
      <c r="J2053" s="112" t="s">
        <v>5531</v>
      </c>
      <c r="K2053" s="45" t="s">
        <v>49</v>
      </c>
      <c r="L2053" s="437"/>
      <c r="M2053" s="474" t="s">
        <v>1856</v>
      </c>
      <c r="N2053" s="1013" t="s">
        <v>1856</v>
      </c>
      <c r="O2053" s="212" t="s">
        <v>2348</v>
      </c>
      <c r="P2053" s="66" t="s">
        <v>50</v>
      </c>
      <c r="Q2053" s="100">
        <f t="shared" si="1124"/>
        <v>0</v>
      </c>
      <c r="R2053" s="13" t="str">
        <f t="shared" ref="R2053:R2054" si="1128">IF(AO2053&gt;0,HYPERLINK(AO2053,"Фото &gt;&gt;"),"")</f>
        <v>Фото &gt;&gt;</v>
      </c>
      <c r="S2053" s="14" t="s">
        <v>5606</v>
      </c>
      <c r="AK2053">
        <v>0.22</v>
      </c>
      <c r="AL2053">
        <f t="shared" ref="AL2053" si="1129">F2053*G2053</f>
        <v>0</v>
      </c>
      <c r="AM2053">
        <f t="shared" ref="AM2053" si="1130">F2053*H2053</f>
        <v>0</v>
      </c>
      <c r="AN2053">
        <f t="shared" ref="AN2053" si="1131">AK2053*F2053+IF(E2053&gt;1.01,F2053/E2053*0.2,0)</f>
        <v>0</v>
      </c>
      <c r="AO2053" t="s">
        <v>5607</v>
      </c>
      <c r="AV2053" t="str">
        <f>IF(F2053&gt;0,(COUNT($AV$1:AV2052)+1),"")</f>
        <v/>
      </c>
    </row>
    <row r="2054" spans="1:48" ht="15" customHeight="1" x14ac:dyDescent="0.25">
      <c r="A2054" s="1"/>
      <c r="B2054" s="31">
        <v>20898</v>
      </c>
      <c r="C2054" s="16">
        <v>4607077794335</v>
      </c>
      <c r="D2054" s="226" t="s">
        <v>4678</v>
      </c>
      <c r="E2054" s="323">
        <v>8</v>
      </c>
      <c r="F2054" s="222"/>
      <c r="G2054" s="108">
        <v>165.3</v>
      </c>
      <c r="H2054" s="17">
        <v>173.5</v>
      </c>
      <c r="I2054" s="18">
        <v>182</v>
      </c>
      <c r="J2054" s="113" t="s">
        <v>5531</v>
      </c>
      <c r="K2054" s="44" t="s">
        <v>49</v>
      </c>
      <c r="L2054" s="442"/>
      <c r="M2054" s="480" t="s">
        <v>1856</v>
      </c>
      <c r="N2054" s="1015" t="s">
        <v>1856</v>
      </c>
      <c r="O2054" s="217" t="s">
        <v>2348</v>
      </c>
      <c r="P2054" s="68" t="s">
        <v>50</v>
      </c>
      <c r="Q2054" s="100">
        <f t="shared" si="1124"/>
        <v>0</v>
      </c>
      <c r="R2054" s="13" t="str">
        <f t="shared" si="1128"/>
        <v>Фото &gt;&gt;</v>
      </c>
      <c r="S2054" s="14" t="s">
        <v>394</v>
      </c>
      <c r="AK2054">
        <v>0.22</v>
      </c>
      <c r="AL2054">
        <f t="shared" si="1125"/>
        <v>0</v>
      </c>
      <c r="AM2054">
        <f t="shared" si="1126"/>
        <v>0</v>
      </c>
      <c r="AN2054">
        <f t="shared" si="1127"/>
        <v>0</v>
      </c>
      <c r="AO2054" t="s">
        <v>4683</v>
      </c>
      <c r="AV2054" t="str">
        <f>IF(F2054&gt;0,(COUNT($AV$1:AV2053)+1),"")</f>
        <v/>
      </c>
    </row>
    <row r="2055" spans="1:48" ht="15" customHeight="1" x14ac:dyDescent="0.25">
      <c r="A2055" s="1"/>
      <c r="B2055" s="30">
        <v>20899</v>
      </c>
      <c r="C2055" s="20">
        <v>4607077794359</v>
      </c>
      <c r="D2055" s="225" t="s">
        <v>343</v>
      </c>
      <c r="E2055" s="324">
        <v>8</v>
      </c>
      <c r="F2055" s="222"/>
      <c r="G2055" s="107">
        <v>165.3</v>
      </c>
      <c r="H2055" s="21">
        <v>173.5</v>
      </c>
      <c r="I2055" s="22">
        <v>182</v>
      </c>
      <c r="J2055" s="112" t="s">
        <v>5531</v>
      </c>
      <c r="K2055" s="45" t="s">
        <v>49</v>
      </c>
      <c r="L2055" s="437"/>
      <c r="M2055" s="474" t="s">
        <v>1856</v>
      </c>
      <c r="N2055" s="1013" t="s">
        <v>1856</v>
      </c>
      <c r="O2055" s="212" t="s">
        <v>2348</v>
      </c>
      <c r="P2055" s="66" t="s">
        <v>50</v>
      </c>
      <c r="Q2055" s="100">
        <f t="shared" si="1124"/>
        <v>0</v>
      </c>
      <c r="R2055" s="13" t="str">
        <f t="shared" ref="R2055:R2056" si="1132">IF(AO2055&gt;0,HYPERLINK(AO2055,"Фото &gt;&gt;"),"")</f>
        <v>Фото &gt;&gt;</v>
      </c>
      <c r="S2055" s="14" t="s">
        <v>4681</v>
      </c>
      <c r="AK2055">
        <v>0.22</v>
      </c>
      <c r="AL2055">
        <f t="shared" si="1125"/>
        <v>0</v>
      </c>
      <c r="AM2055">
        <f t="shared" si="1126"/>
        <v>0</v>
      </c>
      <c r="AN2055">
        <f t="shared" si="1127"/>
        <v>0</v>
      </c>
      <c r="AO2055" t="s">
        <v>4684</v>
      </c>
      <c r="AV2055" t="str">
        <f>IF(F2055&gt;0,(COUNT($AV$1:AV2054)+1),"")</f>
        <v/>
      </c>
    </row>
    <row r="2056" spans="1:48" ht="15" customHeight="1" x14ac:dyDescent="0.25">
      <c r="A2056" s="1"/>
      <c r="B2056" s="31">
        <v>20900</v>
      </c>
      <c r="C2056" s="16">
        <v>4607077794342</v>
      </c>
      <c r="D2056" s="226" t="s">
        <v>4679</v>
      </c>
      <c r="E2056" s="323">
        <v>8</v>
      </c>
      <c r="F2056" s="222"/>
      <c r="G2056" s="108">
        <v>185.6</v>
      </c>
      <c r="H2056" s="17">
        <v>194.8</v>
      </c>
      <c r="I2056" s="18">
        <v>204</v>
      </c>
      <c r="J2056" s="113" t="s">
        <v>5531</v>
      </c>
      <c r="K2056" s="44" t="s">
        <v>49</v>
      </c>
      <c r="L2056" s="442"/>
      <c r="M2056" s="480" t="s">
        <v>1856</v>
      </c>
      <c r="N2056" s="1015" t="s">
        <v>1856</v>
      </c>
      <c r="O2056" s="217" t="s">
        <v>2348</v>
      </c>
      <c r="P2056" s="68" t="s">
        <v>50</v>
      </c>
      <c r="Q2056" s="100">
        <f t="shared" si="1124"/>
        <v>0</v>
      </c>
      <c r="R2056" s="13" t="str">
        <f t="shared" si="1132"/>
        <v>Фото &gt;&gt;</v>
      </c>
      <c r="S2056" s="14" t="s">
        <v>4682</v>
      </c>
      <c r="AK2056">
        <v>0.22</v>
      </c>
      <c r="AL2056">
        <f t="shared" si="1125"/>
        <v>0</v>
      </c>
      <c r="AM2056">
        <f t="shared" si="1126"/>
        <v>0</v>
      </c>
      <c r="AN2056">
        <f t="shared" si="1127"/>
        <v>0</v>
      </c>
      <c r="AO2056" t="s">
        <v>4685</v>
      </c>
      <c r="AV2056" t="str">
        <f>IF(F2056&gt;0,(COUNT($AV$1:AV2055)+1),"")</f>
        <v/>
      </c>
    </row>
    <row r="2057" spans="1:48" ht="15" customHeight="1" x14ac:dyDescent="0.25">
      <c r="A2057" s="1"/>
      <c r="B2057" s="30">
        <v>19464</v>
      </c>
      <c r="C2057" s="20">
        <v>4607077793154</v>
      </c>
      <c r="D2057" s="153" t="s">
        <v>1850</v>
      </c>
      <c r="E2057" s="324">
        <v>8</v>
      </c>
      <c r="F2057" s="222"/>
      <c r="G2057" s="107">
        <v>76.8</v>
      </c>
      <c r="H2057" s="21">
        <v>80.599999999999994</v>
      </c>
      <c r="I2057" s="22">
        <v>88</v>
      </c>
      <c r="J2057" s="112" t="s">
        <v>5531</v>
      </c>
      <c r="K2057" s="45" t="s">
        <v>49</v>
      </c>
      <c r="L2057" s="437"/>
      <c r="M2057" s="474" t="s">
        <v>1856</v>
      </c>
      <c r="N2057" s="1013" t="s">
        <v>1856</v>
      </c>
      <c r="O2057" s="212" t="s">
        <v>2348</v>
      </c>
      <c r="P2057" s="66" t="s">
        <v>50</v>
      </c>
      <c r="Q2057" s="100">
        <f t="shared" si="1124"/>
        <v>0</v>
      </c>
      <c r="R2057" s="13" t="str">
        <f t="shared" ref="R2057:R2062" si="1133">IF(AO2057&gt;0,HYPERLINK(AO2057,"Фото &gt;&gt;"),"")</f>
        <v>Фото &gt;&gt;</v>
      </c>
      <c r="S2057" s="14" t="s">
        <v>3584</v>
      </c>
      <c r="AK2057">
        <v>0.52</v>
      </c>
      <c r="AL2057">
        <f>F2057*G2057</f>
        <v>0</v>
      </c>
      <c r="AM2057">
        <f>F2057*H2057</f>
        <v>0</v>
      </c>
      <c r="AN2057">
        <f>AK2057*F2057+IF(E2057&gt;1.01,F2057/E2057*0.2,0)</f>
        <v>0</v>
      </c>
      <c r="AO2057" t="s">
        <v>5023</v>
      </c>
      <c r="AV2057" t="str">
        <f>IF(F2057&gt;0,(COUNT($AV$1:AV2056)+1),"")</f>
        <v/>
      </c>
    </row>
    <row r="2058" spans="1:48" ht="15" customHeight="1" x14ac:dyDescent="0.25">
      <c r="A2058" s="1"/>
      <c r="B2058" s="31">
        <v>19463</v>
      </c>
      <c r="C2058" s="16">
        <v>4607077792553</v>
      </c>
      <c r="D2058" s="154" t="s">
        <v>1848</v>
      </c>
      <c r="E2058" s="69">
        <v>24</v>
      </c>
      <c r="F2058" s="222"/>
      <c r="G2058" s="108">
        <v>68.8</v>
      </c>
      <c r="H2058" s="17">
        <v>72.2</v>
      </c>
      <c r="I2058" s="18">
        <v>79.5</v>
      </c>
      <c r="J2058" s="113" t="s">
        <v>5531</v>
      </c>
      <c r="K2058" s="44" t="s">
        <v>49</v>
      </c>
      <c r="L2058" s="442"/>
      <c r="M2058" s="480" t="s">
        <v>1856</v>
      </c>
      <c r="N2058" s="1015" t="s">
        <v>1856</v>
      </c>
      <c r="O2058" s="217"/>
      <c r="P2058" s="68" t="s">
        <v>50</v>
      </c>
      <c r="Q2058" s="100">
        <f t="shared" si="1124"/>
        <v>0</v>
      </c>
      <c r="R2058" s="13" t="str">
        <f t="shared" si="1133"/>
        <v>Фото &gt;&gt;</v>
      </c>
      <c r="S2058" s="14" t="s">
        <v>314</v>
      </c>
      <c r="AK2058">
        <v>0.52</v>
      </c>
      <c r="AL2058">
        <f>F2058*G2058</f>
        <v>0</v>
      </c>
      <c r="AM2058">
        <f>F2058*H2058</f>
        <v>0</v>
      </c>
      <c r="AN2058">
        <f>AK2058*F2058+IF(E2058&gt;1.01,F2058/E2058*0.2,0)</f>
        <v>0</v>
      </c>
      <c r="AO2058" t="s">
        <v>5022</v>
      </c>
      <c r="AV2058" t="str">
        <f>IF(F2058&gt;0,(COUNT($AV$1:AV2057)+1),"")</f>
        <v/>
      </c>
    </row>
    <row r="2059" spans="1:48" ht="15" customHeight="1" x14ac:dyDescent="0.25">
      <c r="A2059" s="1"/>
      <c r="B2059" s="30">
        <v>19465</v>
      </c>
      <c r="C2059" s="20">
        <v>4607077792539</v>
      </c>
      <c r="D2059" s="153" t="s">
        <v>1849</v>
      </c>
      <c r="E2059" s="67">
        <v>24</v>
      </c>
      <c r="F2059" s="222"/>
      <c r="G2059" s="107">
        <v>72</v>
      </c>
      <c r="H2059" s="21">
        <v>75.599999999999994</v>
      </c>
      <c r="I2059" s="22">
        <v>83</v>
      </c>
      <c r="J2059" s="112" t="s">
        <v>5531</v>
      </c>
      <c r="K2059" s="45" t="s">
        <v>49</v>
      </c>
      <c r="L2059" s="437"/>
      <c r="M2059" s="474" t="s">
        <v>1856</v>
      </c>
      <c r="N2059" s="1013" t="s">
        <v>1856</v>
      </c>
      <c r="O2059" s="212"/>
      <c r="P2059" s="66" t="s">
        <v>50</v>
      </c>
      <c r="Q2059" s="100">
        <f t="shared" si="1124"/>
        <v>0</v>
      </c>
      <c r="R2059" s="13" t="str">
        <f t="shared" si="1133"/>
        <v>Фото &gt;&gt;</v>
      </c>
      <c r="S2059" s="14" t="s">
        <v>3585</v>
      </c>
      <c r="AK2059">
        <v>0.52</v>
      </c>
      <c r="AL2059">
        <f t="shared" ref="AL2059:AL2060" si="1134">F2059*G2059</f>
        <v>0</v>
      </c>
      <c r="AM2059">
        <f t="shared" ref="AM2059:AM2060" si="1135">F2059*H2059</f>
        <v>0</v>
      </c>
      <c r="AN2059">
        <f t="shared" ref="AN2059:AN2060" si="1136">AK2059*F2059+IF(E2059&gt;1.01,F2059/E2059*0.2,0)</f>
        <v>0</v>
      </c>
      <c r="AO2059" t="s">
        <v>5024</v>
      </c>
      <c r="AV2059" t="str">
        <f>IF(F2059&gt;0,(COUNT($AV$1:AV2058)+1),"")</f>
        <v/>
      </c>
    </row>
    <row r="2060" spans="1:48" ht="15" customHeight="1" x14ac:dyDescent="0.25">
      <c r="A2060" s="1"/>
      <c r="B2060" s="31">
        <v>20901</v>
      </c>
      <c r="C2060" s="16">
        <v>4607077794328</v>
      </c>
      <c r="D2060" s="226" t="s">
        <v>395</v>
      </c>
      <c r="E2060" s="323">
        <v>8</v>
      </c>
      <c r="F2060" s="222"/>
      <c r="G2060" s="108">
        <v>130.5</v>
      </c>
      <c r="H2060" s="17">
        <v>137</v>
      </c>
      <c r="I2060" s="18">
        <v>144</v>
      </c>
      <c r="J2060" s="113" t="s">
        <v>5531</v>
      </c>
      <c r="K2060" s="44" t="s">
        <v>49</v>
      </c>
      <c r="L2060" s="442"/>
      <c r="M2060" s="480" t="s">
        <v>1856</v>
      </c>
      <c r="N2060" s="1015" t="s">
        <v>1856</v>
      </c>
      <c r="O2060" s="217" t="s">
        <v>2348</v>
      </c>
      <c r="P2060" s="68" t="s">
        <v>50</v>
      </c>
      <c r="Q2060" s="100">
        <f t="shared" si="1124"/>
        <v>0</v>
      </c>
      <c r="R2060" s="13" t="str">
        <f t="shared" si="1133"/>
        <v>Фото &gt;&gt;</v>
      </c>
      <c r="S2060" s="14" t="s">
        <v>396</v>
      </c>
      <c r="AK2060">
        <v>0.22</v>
      </c>
      <c r="AL2060">
        <f t="shared" si="1134"/>
        <v>0</v>
      </c>
      <c r="AM2060">
        <f t="shared" si="1135"/>
        <v>0</v>
      </c>
      <c r="AN2060">
        <f t="shared" si="1136"/>
        <v>0</v>
      </c>
      <c r="AO2060" t="s">
        <v>4686</v>
      </c>
      <c r="AV2060" t="str">
        <f>IF(F2060&gt;0,(COUNT($AV$1:AV2059)+1),"")</f>
        <v/>
      </c>
    </row>
    <row r="2061" spans="1:48" ht="15" customHeight="1" x14ac:dyDescent="0.25">
      <c r="A2061" s="1"/>
      <c r="B2061" s="30">
        <v>20902</v>
      </c>
      <c r="C2061" s="20">
        <v>4607077793307</v>
      </c>
      <c r="D2061" s="225" t="s">
        <v>4680</v>
      </c>
      <c r="E2061" s="324">
        <v>8</v>
      </c>
      <c r="F2061" s="222"/>
      <c r="G2061" s="107">
        <v>230</v>
      </c>
      <c r="H2061" s="21">
        <v>242</v>
      </c>
      <c r="I2061" s="22">
        <v>254</v>
      </c>
      <c r="J2061" s="112" t="s">
        <v>5531</v>
      </c>
      <c r="K2061" s="45" t="s">
        <v>49</v>
      </c>
      <c r="L2061" s="437"/>
      <c r="M2061" s="474" t="s">
        <v>1856</v>
      </c>
      <c r="N2061" s="1013" t="s">
        <v>1856</v>
      </c>
      <c r="O2061" s="212" t="s">
        <v>2348</v>
      </c>
      <c r="P2061" s="66" t="s">
        <v>50</v>
      </c>
      <c r="Q2061" s="100">
        <f t="shared" si="1124"/>
        <v>0</v>
      </c>
      <c r="R2061" s="13" t="str">
        <f t="shared" ref="R2061" si="1137">IF(AO2061&gt;0,HYPERLINK(AO2061,"Фото &gt;&gt;"),"")</f>
        <v>Фото &gt;&gt;</v>
      </c>
      <c r="S2061" s="14" t="s">
        <v>4688</v>
      </c>
      <c r="AK2061">
        <v>0.22</v>
      </c>
      <c r="AL2061">
        <f t="shared" ref="AL2061:AL2062" si="1138">F2061*G2061</f>
        <v>0</v>
      </c>
      <c r="AM2061">
        <f t="shared" ref="AM2061:AM2062" si="1139">F2061*H2061</f>
        <v>0</v>
      </c>
      <c r="AN2061">
        <f t="shared" ref="AN2061:AN2062" si="1140">AK2061*F2061+IF(E2061&gt;1.01,F2061/E2061*0.2,0)</f>
        <v>0</v>
      </c>
      <c r="AO2061" t="s">
        <v>4687</v>
      </c>
      <c r="AV2061" t="str">
        <f>IF(F2061&gt;0,(COUNT($AV$1:AV2060)+1),"")</f>
        <v/>
      </c>
    </row>
    <row r="2062" spans="1:48" ht="15" customHeight="1" x14ac:dyDescent="0.25">
      <c r="A2062" s="1"/>
      <c r="B2062" s="31">
        <v>17773</v>
      </c>
      <c r="C2062" s="16">
        <v>4607077793277</v>
      </c>
      <c r="D2062" s="226" t="s">
        <v>5630</v>
      </c>
      <c r="E2062" s="323">
        <v>8</v>
      </c>
      <c r="F2062" s="222"/>
      <c r="G2062" s="108">
        <v>252</v>
      </c>
      <c r="H2062" s="17">
        <v>264.60000000000002</v>
      </c>
      <c r="I2062" s="18">
        <v>278</v>
      </c>
      <c r="J2062" s="113" t="s">
        <v>5531</v>
      </c>
      <c r="K2062" s="44" t="s">
        <v>49</v>
      </c>
      <c r="L2062" s="442"/>
      <c r="M2062" s="480" t="s">
        <v>1856</v>
      </c>
      <c r="N2062" s="1015" t="s">
        <v>1856</v>
      </c>
      <c r="O2062" s="217" t="s">
        <v>2348</v>
      </c>
      <c r="P2062" s="68" t="s">
        <v>50</v>
      </c>
      <c r="Q2062" s="100">
        <f t="shared" si="1124"/>
        <v>0</v>
      </c>
      <c r="R2062" s="13" t="str">
        <f t="shared" si="1133"/>
        <v>Фото &gt;&gt;</v>
      </c>
      <c r="S2062" s="14" t="s">
        <v>7170</v>
      </c>
      <c r="AK2062">
        <v>0.22</v>
      </c>
      <c r="AL2062">
        <f t="shared" si="1138"/>
        <v>0</v>
      </c>
      <c r="AM2062">
        <f t="shared" si="1139"/>
        <v>0</v>
      </c>
      <c r="AN2062">
        <f t="shared" si="1140"/>
        <v>0</v>
      </c>
      <c r="AO2062" t="s">
        <v>5629</v>
      </c>
      <c r="AV2062" t="str">
        <f>IF(F2062&gt;0,(COUNT($AV$1:AV2061)+1),"")</f>
        <v/>
      </c>
    </row>
    <row r="2063" spans="1:48" ht="15" customHeight="1" x14ac:dyDescent="0.25">
      <c r="A2063" s="1"/>
      <c r="B2063" s="125"/>
      <c r="C2063" s="126"/>
      <c r="D2063" s="127"/>
      <c r="E2063" s="134"/>
      <c r="F2063" s="189"/>
      <c r="G2063" s="130"/>
      <c r="H2063" s="131"/>
      <c r="I2063" s="132"/>
      <c r="J2063" s="128"/>
      <c r="K2063" s="129"/>
      <c r="L2063" s="433"/>
      <c r="M2063" s="481" t="s">
        <v>104</v>
      </c>
      <c r="N2063" s="471"/>
      <c r="O2063" s="181"/>
      <c r="P2063" s="133"/>
      <c r="Q2063" s="135"/>
      <c r="R2063" s="13"/>
      <c r="S2063" s="14"/>
      <c r="AV2063" t="str">
        <f>IF(F2063&gt;0,(COUNT($AV$1:AV2062)+1),"")</f>
        <v/>
      </c>
    </row>
    <row r="2064" spans="1:48" ht="15" customHeight="1" thickBot="1" x14ac:dyDescent="0.3">
      <c r="A2064" s="1"/>
      <c r="B2064" s="158"/>
      <c r="C2064" s="159"/>
      <c r="D2064" s="160"/>
      <c r="E2064" s="167"/>
      <c r="F2064" s="191"/>
      <c r="G2064" s="163"/>
      <c r="H2064" s="164"/>
      <c r="I2064" s="165"/>
      <c r="J2064" s="161"/>
      <c r="K2064" s="162"/>
      <c r="L2064" s="439"/>
      <c r="M2064" s="475" t="s">
        <v>104</v>
      </c>
      <c r="N2064" s="467"/>
      <c r="O2064" s="183"/>
      <c r="P2064" s="166"/>
      <c r="Q2064" s="168"/>
      <c r="R2064" s="13"/>
      <c r="S2064" s="14"/>
      <c r="AV2064" t="str">
        <f>IF(F2064&gt;0,(COUNT($AV$1:AV2063)+1),"")</f>
        <v/>
      </c>
    </row>
    <row r="2065" spans="1:48" ht="24.95" customHeight="1" thickBot="1" x14ac:dyDescent="0.3">
      <c r="A2065" s="1"/>
      <c r="B2065" s="169"/>
      <c r="C2065" s="170"/>
      <c r="D2065" s="171" t="str">
        <f>CONCATENATE("Диетика","     |     Сумма заказа: ",AK2065," руб.")</f>
        <v>Диетика     |     Сумма заказа: 0 руб.</v>
      </c>
      <c r="E2065" s="176"/>
      <c r="F2065" s="177"/>
      <c r="G2065" s="180" t="str">
        <f>CONCATENATE("Ценовая колонка: ",AO2065,"   |   До следующей скидки: ",AJ2065," руб.")</f>
        <v>Ценовая колонка: 3   |   До следующей скидки: 3000 руб.</v>
      </c>
      <c r="H2065" s="174"/>
      <c r="I2065" s="174"/>
      <c r="J2065" s="172" t="s">
        <v>5827</v>
      </c>
      <c r="K2065" s="173"/>
      <c r="L2065" s="444"/>
      <c r="M2065" s="486" t="s">
        <v>104</v>
      </c>
      <c r="N2065" s="717"/>
      <c r="O2065" s="184"/>
      <c r="P2065" s="175"/>
      <c r="Q2065" s="178"/>
      <c r="R2065" s="179" t="s">
        <v>1558</v>
      </c>
      <c r="S2065" s="14"/>
      <c r="AG2065" s="84"/>
      <c r="AH2065" s="84"/>
      <c r="AJ2065">
        <f>ROUND(IF(AL2065&gt;15000,"0", IF(AND(AL2065&lt;15000,AM2065&gt;3000),15000-AL2065,3000-AM2065)),2)</f>
        <v>3000</v>
      </c>
      <c r="AK2065">
        <f>SUM(Q2067:Q2098)</f>
        <v>0</v>
      </c>
      <c r="AL2065">
        <f>SUM(AL2067:AL2105)</f>
        <v>0</v>
      </c>
      <c r="AM2065">
        <f>SUM(AM2067:AM2105)</f>
        <v>0</v>
      </c>
      <c r="AO2065">
        <f>IF(AM2065&gt;3000,IF(AL2065&gt;15000,1,2),3)</f>
        <v>3</v>
      </c>
      <c r="AV2065" t="str">
        <f>IF(F2065&gt;0,(COUNT($AV$1:AV2064)+1),"")</f>
        <v/>
      </c>
    </row>
    <row r="2066" spans="1:48" ht="15" customHeight="1" x14ac:dyDescent="0.25">
      <c r="A2066" s="1"/>
      <c r="B2066" s="297"/>
      <c r="C2066" s="283"/>
      <c r="D2066" s="284" t="s">
        <v>5828</v>
      </c>
      <c r="E2066" s="285"/>
      <c r="F2066" s="286"/>
      <c r="G2066" s="40" t="s">
        <v>170</v>
      </c>
      <c r="H2066" s="41" t="s">
        <v>1461</v>
      </c>
      <c r="I2066" s="41" t="s">
        <v>221</v>
      </c>
      <c r="J2066" s="289"/>
      <c r="K2066" s="290"/>
      <c r="L2066" s="452"/>
      <c r="M2066" s="496" t="s">
        <v>104</v>
      </c>
      <c r="N2066" s="572"/>
      <c r="O2066" s="291"/>
      <c r="P2066" s="292"/>
      <c r="Q2066" s="293"/>
      <c r="R2066" s="2"/>
      <c r="S2066" s="6"/>
      <c r="AV2066" t="str">
        <f>IF(F2066&gt;0,(COUNT($AV$1:AV2065)+1),"")</f>
        <v/>
      </c>
    </row>
    <row r="2067" spans="1:48" ht="15" customHeight="1" x14ac:dyDescent="0.25">
      <c r="A2067" s="1"/>
      <c r="B2067" s="31">
        <v>21013</v>
      </c>
      <c r="C2067" s="16">
        <v>4627112870060</v>
      </c>
      <c r="D2067" s="226" t="s">
        <v>5793</v>
      </c>
      <c r="E2067" s="69">
        <v>10</v>
      </c>
      <c r="F2067" s="222"/>
      <c r="G2067" s="17">
        <v>139.30000000000001</v>
      </c>
      <c r="H2067" s="17">
        <v>148</v>
      </c>
      <c r="I2067" s="18">
        <v>159</v>
      </c>
      <c r="J2067" s="113" t="s">
        <v>5827</v>
      </c>
      <c r="K2067" s="44" t="s">
        <v>105</v>
      </c>
      <c r="L2067" s="442"/>
      <c r="M2067" s="480" t="s">
        <v>1856</v>
      </c>
      <c r="N2067" s="1015" t="s">
        <v>1856</v>
      </c>
      <c r="O2067" s="210"/>
      <c r="P2067" s="68" t="s">
        <v>50</v>
      </c>
      <c r="Q2067" s="100">
        <f t="shared" ref="Q2067:Q2105" si="1141">IF($AO$2065=2,F2067*H2067,IF($AO$2065=1,F2067*G2067,F2067*I2067))</f>
        <v>0</v>
      </c>
      <c r="R2067" s="13" t="str">
        <f>IF(AO2067&gt;0,HYPERLINK(AO2067,"Фото &gt;&gt;"),"")</f>
        <v>Фото &gt;&gt;</v>
      </c>
      <c r="S2067" s="14" t="s">
        <v>5791</v>
      </c>
      <c r="U2067" s="4"/>
      <c r="V2067" s="4"/>
      <c r="X2067" s="1186"/>
      <c r="AG2067" s="84"/>
      <c r="AH2067" s="84"/>
      <c r="AK2067">
        <v>0.32</v>
      </c>
      <c r="AL2067">
        <f t="shared" ref="AL2067:AL2084" si="1142">F2067*G2067</f>
        <v>0</v>
      </c>
      <c r="AM2067">
        <f t="shared" ref="AM2067:AM2084" si="1143">F2067*H2067</f>
        <v>0</v>
      </c>
      <c r="AN2067">
        <f t="shared" ref="AN2067:AN2084" si="1144">AK2067*F2067+IF(E2067&gt;1.01,F2067/E2067*0.2,0)</f>
        <v>0</v>
      </c>
      <c r="AO2067" t="s">
        <v>5805</v>
      </c>
      <c r="AV2067" t="str">
        <f>IF(F2067&gt;0,(COUNT($AV$1:AV2066)+1),"")</f>
        <v/>
      </c>
    </row>
    <row r="2068" spans="1:48" ht="15" customHeight="1" x14ac:dyDescent="0.25">
      <c r="A2068" s="1"/>
      <c r="B2068" s="30">
        <v>21019</v>
      </c>
      <c r="C2068" s="20">
        <v>4627112870633</v>
      </c>
      <c r="D2068" s="225" t="s">
        <v>6301</v>
      </c>
      <c r="E2068" s="67">
        <v>10</v>
      </c>
      <c r="F2068" s="222"/>
      <c r="G2068" s="21">
        <v>170.7</v>
      </c>
      <c r="H2068" s="21">
        <v>181.5</v>
      </c>
      <c r="I2068" s="22">
        <v>195</v>
      </c>
      <c r="J2068" s="112" t="s">
        <v>5827</v>
      </c>
      <c r="K2068" s="45" t="s">
        <v>105</v>
      </c>
      <c r="L2068" s="437"/>
      <c r="M2068" s="474" t="s">
        <v>1856</v>
      </c>
      <c r="N2068" s="1013" t="s">
        <v>1856</v>
      </c>
      <c r="O2068" s="209"/>
      <c r="P2068" s="66" t="s">
        <v>50</v>
      </c>
      <c r="Q2068" s="100">
        <f t="shared" si="1141"/>
        <v>0</v>
      </c>
      <c r="R2068" s="13" t="str">
        <f t="shared" ref="R2068:R2105" si="1145">IF(AO2068&gt;0,HYPERLINK(AO2068,"Фото &gt;&gt;"),"")</f>
        <v>Фото &gt;&gt;</v>
      </c>
      <c r="S2068" s="14" t="s">
        <v>5790</v>
      </c>
      <c r="U2068" s="4"/>
      <c r="V2068" s="4"/>
      <c r="X2068" s="1186"/>
      <c r="AG2068" s="84"/>
      <c r="AH2068" s="84"/>
      <c r="AK2068">
        <v>0.27</v>
      </c>
      <c r="AL2068">
        <f t="shared" si="1142"/>
        <v>0</v>
      </c>
      <c r="AM2068">
        <f t="shared" si="1143"/>
        <v>0</v>
      </c>
      <c r="AN2068">
        <f t="shared" si="1144"/>
        <v>0</v>
      </c>
      <c r="AO2068" t="s">
        <v>5806</v>
      </c>
      <c r="AV2068" t="str">
        <f>IF(F2068&gt;0,(COUNT($AV$1:AV2067)+1),"")</f>
        <v/>
      </c>
    </row>
    <row r="2069" spans="1:48" ht="15" customHeight="1" x14ac:dyDescent="0.25">
      <c r="A2069" s="1"/>
      <c r="B2069" s="31">
        <v>21444</v>
      </c>
      <c r="C2069" s="16">
        <v>4607941900718</v>
      </c>
      <c r="D2069" s="422" t="s">
        <v>6825</v>
      </c>
      <c r="E2069" s="69">
        <v>10</v>
      </c>
      <c r="F2069" s="222"/>
      <c r="G2069" s="17">
        <v>137</v>
      </c>
      <c r="H2069" s="17">
        <v>144</v>
      </c>
      <c r="I2069" s="18">
        <v>158</v>
      </c>
      <c r="J2069" s="113" t="s">
        <v>5827</v>
      </c>
      <c r="K2069" s="44" t="s">
        <v>105</v>
      </c>
      <c r="L2069" s="442"/>
      <c r="M2069" s="480" t="s">
        <v>1856</v>
      </c>
      <c r="N2069" s="1015" t="s">
        <v>1856</v>
      </c>
      <c r="O2069" s="210" t="s">
        <v>1637</v>
      </c>
      <c r="P2069" s="68" t="s">
        <v>50</v>
      </c>
      <c r="Q2069" s="100">
        <f t="shared" si="1141"/>
        <v>0</v>
      </c>
      <c r="R2069" s="94" t="str">
        <f t="shared" si="1145"/>
        <v>Фото &gt;&gt;</v>
      </c>
      <c r="S2069" s="14" t="s">
        <v>6259</v>
      </c>
      <c r="U2069" s="4"/>
      <c r="V2069" s="4"/>
      <c r="X2069" s="1186"/>
      <c r="AG2069" s="84"/>
      <c r="AH2069" s="84"/>
      <c r="AK2069">
        <v>0.32</v>
      </c>
      <c r="AL2069">
        <f t="shared" ref="AL2069:AL2078" si="1146">F2069*G2069</f>
        <v>0</v>
      </c>
      <c r="AM2069">
        <f t="shared" ref="AM2069:AM2078" si="1147">F2069*H2069</f>
        <v>0</v>
      </c>
      <c r="AN2069">
        <f t="shared" ref="AN2069:AN2078" si="1148">AK2069*F2069+IF(E2069&gt;1.01,F2069/E2069*0.2,0)</f>
        <v>0</v>
      </c>
      <c r="AO2069" t="s">
        <v>6822</v>
      </c>
      <c r="AV2069" t="str">
        <f>IF(F2069&gt;0,(COUNT($AV$1:AV2068)+1),"")</f>
        <v/>
      </c>
    </row>
    <row r="2070" spans="1:48" ht="15" customHeight="1" x14ac:dyDescent="0.25">
      <c r="A2070" s="1"/>
      <c r="B2070" s="30">
        <v>21198</v>
      </c>
      <c r="C2070" s="20">
        <v>4607941900749</v>
      </c>
      <c r="D2070" s="225" t="s">
        <v>6258</v>
      </c>
      <c r="E2070" s="67">
        <v>10</v>
      </c>
      <c r="F2070" s="222"/>
      <c r="G2070" s="21">
        <v>137</v>
      </c>
      <c r="H2070" s="21">
        <v>144</v>
      </c>
      <c r="I2070" s="22">
        <v>158</v>
      </c>
      <c r="J2070" s="112" t="s">
        <v>5827</v>
      </c>
      <c r="K2070" s="45" t="s">
        <v>105</v>
      </c>
      <c r="L2070" s="437"/>
      <c r="M2070" s="474" t="s">
        <v>1856</v>
      </c>
      <c r="N2070" s="1013" t="s">
        <v>1856</v>
      </c>
      <c r="O2070" s="209"/>
      <c r="P2070" s="66" t="s">
        <v>50</v>
      </c>
      <c r="Q2070" s="100">
        <f t="shared" si="1141"/>
        <v>0</v>
      </c>
      <c r="R2070" s="13" t="str">
        <f t="shared" si="1145"/>
        <v>Фото &gt;&gt;</v>
      </c>
      <c r="S2070" s="14" t="s">
        <v>6259</v>
      </c>
      <c r="U2070" s="4"/>
      <c r="V2070" s="4"/>
      <c r="X2070" s="1186"/>
      <c r="AG2070" s="84"/>
      <c r="AH2070" s="84"/>
      <c r="AK2070">
        <v>0.32</v>
      </c>
      <c r="AL2070">
        <f t="shared" si="1146"/>
        <v>0</v>
      </c>
      <c r="AM2070">
        <f t="shared" si="1147"/>
        <v>0</v>
      </c>
      <c r="AN2070">
        <f t="shared" si="1148"/>
        <v>0</v>
      </c>
      <c r="AO2070" t="s">
        <v>6260</v>
      </c>
      <c r="AV2070" t="str">
        <f>IF(F2070&gt;0,(COUNT($AV$1:AV2069)+1),"")</f>
        <v/>
      </c>
    </row>
    <row r="2071" spans="1:48" ht="15" customHeight="1" x14ac:dyDescent="0.25">
      <c r="A2071" s="1"/>
      <c r="B2071" s="31">
        <v>21443</v>
      </c>
      <c r="C2071" s="16">
        <v>4627112870619</v>
      </c>
      <c r="D2071" s="422" t="s">
        <v>6826</v>
      </c>
      <c r="E2071" s="69">
        <v>10</v>
      </c>
      <c r="F2071" s="222"/>
      <c r="G2071" s="17">
        <v>157.30000000000001</v>
      </c>
      <c r="H2071" s="17">
        <v>167.2</v>
      </c>
      <c r="I2071" s="18">
        <v>179.5</v>
      </c>
      <c r="J2071" s="113" t="s">
        <v>5827</v>
      </c>
      <c r="K2071" s="44" t="s">
        <v>105</v>
      </c>
      <c r="L2071" s="442"/>
      <c r="M2071" s="480" t="s">
        <v>1856</v>
      </c>
      <c r="N2071" s="1015" t="s">
        <v>1856</v>
      </c>
      <c r="O2071" s="210" t="s">
        <v>1637</v>
      </c>
      <c r="P2071" s="68" t="s">
        <v>50</v>
      </c>
      <c r="Q2071" s="100">
        <f t="shared" si="1141"/>
        <v>0</v>
      </c>
      <c r="R2071" s="94" t="str">
        <f t="shared" si="1145"/>
        <v>Фото &gt;&gt;</v>
      </c>
      <c r="S2071" s="14" t="s">
        <v>5790</v>
      </c>
      <c r="U2071" s="4"/>
      <c r="V2071" s="4"/>
      <c r="X2071" s="1186"/>
      <c r="AG2071" s="84"/>
      <c r="AH2071" s="84"/>
      <c r="AK2071">
        <v>0.27</v>
      </c>
      <c r="AL2071">
        <f t="shared" si="1146"/>
        <v>0</v>
      </c>
      <c r="AM2071">
        <f t="shared" si="1147"/>
        <v>0</v>
      </c>
      <c r="AN2071">
        <f t="shared" si="1148"/>
        <v>0</v>
      </c>
      <c r="AO2071" t="s">
        <v>6823</v>
      </c>
      <c r="AV2071" t="str">
        <f>IF(F2071&gt;0,(COUNT($AV$1:AV2070)+1),"")</f>
        <v/>
      </c>
    </row>
    <row r="2072" spans="1:48" ht="15" customHeight="1" x14ac:dyDescent="0.25">
      <c r="A2072" s="1"/>
      <c r="B2072" s="30">
        <v>21012</v>
      </c>
      <c r="C2072" s="20">
        <v>4607941900510</v>
      </c>
      <c r="D2072" s="225" t="s">
        <v>6302</v>
      </c>
      <c r="E2072" s="67">
        <v>10</v>
      </c>
      <c r="F2072" s="222"/>
      <c r="G2072" s="21">
        <v>146.69999999999999</v>
      </c>
      <c r="H2072" s="21">
        <v>155.9</v>
      </c>
      <c r="I2072" s="22">
        <v>167.5</v>
      </c>
      <c r="J2072" s="112" t="s">
        <v>5827</v>
      </c>
      <c r="K2072" s="45" t="s">
        <v>105</v>
      </c>
      <c r="L2072" s="437"/>
      <c r="M2072" s="474" t="s">
        <v>1856</v>
      </c>
      <c r="N2072" s="1013" t="s">
        <v>1856</v>
      </c>
      <c r="O2072" s="209"/>
      <c r="P2072" s="66" t="s">
        <v>50</v>
      </c>
      <c r="Q2072" s="100">
        <f t="shared" si="1141"/>
        <v>0</v>
      </c>
      <c r="R2072" s="13" t="str">
        <f t="shared" si="1145"/>
        <v>Фото &gt;&gt;</v>
      </c>
      <c r="S2072" s="14" t="s">
        <v>5825</v>
      </c>
      <c r="U2072" s="4"/>
      <c r="V2072" s="4"/>
      <c r="X2072" s="1186"/>
      <c r="AG2072" s="84"/>
      <c r="AH2072" s="84"/>
      <c r="AK2072">
        <v>0.32</v>
      </c>
      <c r="AL2072">
        <f t="shared" si="1146"/>
        <v>0</v>
      </c>
      <c r="AM2072">
        <f t="shared" si="1147"/>
        <v>0</v>
      </c>
      <c r="AN2072">
        <f t="shared" si="1148"/>
        <v>0</v>
      </c>
      <c r="AO2072" t="s">
        <v>5807</v>
      </c>
      <c r="AV2072" t="str">
        <f>IF(F2072&gt;0,(COUNT($AV$1:AV2071)+1),"")</f>
        <v/>
      </c>
    </row>
    <row r="2073" spans="1:48" ht="15" customHeight="1" x14ac:dyDescent="0.25">
      <c r="A2073" s="1"/>
      <c r="B2073" s="31">
        <v>21069</v>
      </c>
      <c r="C2073" s="16">
        <v>4627112870053</v>
      </c>
      <c r="D2073" s="226" t="s">
        <v>6815</v>
      </c>
      <c r="E2073" s="69">
        <v>10</v>
      </c>
      <c r="F2073" s="222"/>
      <c r="G2073" s="17">
        <v>139.30000000000001</v>
      </c>
      <c r="H2073" s="17">
        <v>148</v>
      </c>
      <c r="I2073" s="18">
        <v>159</v>
      </c>
      <c r="J2073" s="113" t="s">
        <v>5827</v>
      </c>
      <c r="K2073" s="44" t="s">
        <v>105</v>
      </c>
      <c r="L2073" s="442"/>
      <c r="M2073" s="480" t="s">
        <v>1856</v>
      </c>
      <c r="N2073" s="1015" t="s">
        <v>1856</v>
      </c>
      <c r="O2073" s="210"/>
      <c r="P2073" s="68" t="s">
        <v>50</v>
      </c>
      <c r="Q2073" s="100">
        <f t="shared" si="1141"/>
        <v>0</v>
      </c>
      <c r="R2073" s="13" t="str">
        <f t="shared" si="1145"/>
        <v>Фото &gt;&gt;</v>
      </c>
      <c r="S2073" s="14" t="s">
        <v>5791</v>
      </c>
      <c r="U2073" s="4"/>
      <c r="V2073" s="4"/>
      <c r="X2073" s="1186"/>
      <c r="AG2073" s="84"/>
      <c r="AH2073" s="84"/>
      <c r="AK2073">
        <v>0.32</v>
      </c>
      <c r="AL2073">
        <f t="shared" si="1146"/>
        <v>0</v>
      </c>
      <c r="AM2073">
        <f t="shared" si="1147"/>
        <v>0</v>
      </c>
      <c r="AN2073">
        <f t="shared" si="1148"/>
        <v>0</v>
      </c>
      <c r="AO2073" t="s">
        <v>5896</v>
      </c>
      <c r="AV2073" t="str">
        <f>IF(F2073&gt;0,(COUNT($AV$1:AV2072)+1),"")</f>
        <v/>
      </c>
    </row>
    <row r="2074" spans="1:48" ht="15" customHeight="1" x14ac:dyDescent="0.25">
      <c r="A2074" s="1"/>
      <c r="B2074" s="30">
        <v>21446</v>
      </c>
      <c r="C2074" s="20">
        <v>4627112870879</v>
      </c>
      <c r="D2074" s="421" t="s">
        <v>6827</v>
      </c>
      <c r="E2074" s="67">
        <v>10</v>
      </c>
      <c r="F2074" s="222"/>
      <c r="G2074" s="21">
        <v>157.30000000000001</v>
      </c>
      <c r="H2074" s="21">
        <v>167.2</v>
      </c>
      <c r="I2074" s="22">
        <v>179.5</v>
      </c>
      <c r="J2074" s="112" t="s">
        <v>5827</v>
      </c>
      <c r="K2074" s="45" t="s">
        <v>105</v>
      </c>
      <c r="L2074" s="437"/>
      <c r="M2074" s="474" t="s">
        <v>1856</v>
      </c>
      <c r="N2074" s="1013" t="s">
        <v>1856</v>
      </c>
      <c r="O2074" s="209" t="s">
        <v>1637</v>
      </c>
      <c r="P2074" s="66" t="s">
        <v>50</v>
      </c>
      <c r="Q2074" s="100">
        <f t="shared" si="1141"/>
        <v>0</v>
      </c>
      <c r="R2074" s="94" t="str">
        <f t="shared" si="1145"/>
        <v>Фото &gt;&gt;</v>
      </c>
      <c r="S2074" s="14" t="s">
        <v>5790</v>
      </c>
      <c r="U2074" s="4"/>
      <c r="V2074" s="4"/>
      <c r="X2074" s="1186"/>
      <c r="AG2074" s="84"/>
      <c r="AH2074" s="84"/>
      <c r="AK2074">
        <v>0.27</v>
      </c>
      <c r="AL2074">
        <f t="shared" si="1146"/>
        <v>0</v>
      </c>
      <c r="AM2074">
        <f t="shared" si="1147"/>
        <v>0</v>
      </c>
      <c r="AN2074">
        <f t="shared" si="1148"/>
        <v>0</v>
      </c>
      <c r="AO2074" t="s">
        <v>6824</v>
      </c>
      <c r="AV2074" t="str">
        <f>IF(F2074&gt;0,(COUNT($AV$1:AV2073)+1),"")</f>
        <v/>
      </c>
    </row>
    <row r="2075" spans="1:48" ht="15" customHeight="1" x14ac:dyDescent="0.25">
      <c r="A2075" s="1"/>
      <c r="B2075" s="31">
        <v>21018</v>
      </c>
      <c r="C2075" s="16">
        <v>4627112870916</v>
      </c>
      <c r="D2075" s="226" t="s">
        <v>6303</v>
      </c>
      <c r="E2075" s="69">
        <v>10</v>
      </c>
      <c r="F2075" s="222"/>
      <c r="G2075" s="17">
        <v>157.30000000000001</v>
      </c>
      <c r="H2075" s="17">
        <v>167.2</v>
      </c>
      <c r="I2075" s="18">
        <v>179.5</v>
      </c>
      <c r="J2075" s="113" t="s">
        <v>5827</v>
      </c>
      <c r="K2075" s="44" t="s">
        <v>105</v>
      </c>
      <c r="L2075" s="442"/>
      <c r="M2075" s="480" t="s">
        <v>1856</v>
      </c>
      <c r="N2075" s="1015" t="s">
        <v>1856</v>
      </c>
      <c r="O2075" s="210"/>
      <c r="P2075" s="68" t="s">
        <v>50</v>
      </c>
      <c r="Q2075" s="100">
        <f t="shared" si="1141"/>
        <v>0</v>
      </c>
      <c r="R2075" s="13" t="str">
        <f t="shared" si="1145"/>
        <v>Фото &gt;&gt;</v>
      </c>
      <c r="S2075" s="14" t="s">
        <v>5790</v>
      </c>
      <c r="U2075" s="4"/>
      <c r="V2075" s="4"/>
      <c r="X2075" s="1186"/>
      <c r="AG2075" s="84"/>
      <c r="AH2075" s="84"/>
      <c r="AK2075">
        <v>0.27</v>
      </c>
      <c r="AL2075">
        <f t="shared" si="1146"/>
        <v>0</v>
      </c>
      <c r="AM2075">
        <f t="shared" si="1147"/>
        <v>0</v>
      </c>
      <c r="AN2075">
        <f t="shared" si="1148"/>
        <v>0</v>
      </c>
      <c r="AO2075" t="s">
        <v>5808</v>
      </c>
      <c r="AV2075" t="str">
        <f>IF(F2075&gt;0,(COUNT($AV$1:AV2074)+1),"")</f>
        <v/>
      </c>
    </row>
    <row r="2076" spans="1:48" ht="15" customHeight="1" x14ac:dyDescent="0.25">
      <c r="A2076" s="1"/>
      <c r="B2076" s="30">
        <v>21014</v>
      </c>
      <c r="C2076" s="20">
        <v>4627112870213</v>
      </c>
      <c r="D2076" s="225" t="s">
        <v>6304</v>
      </c>
      <c r="E2076" s="67">
        <v>10</v>
      </c>
      <c r="F2076" s="222"/>
      <c r="G2076" s="21">
        <v>139.30000000000001</v>
      </c>
      <c r="H2076" s="21">
        <v>148</v>
      </c>
      <c r="I2076" s="22">
        <v>159</v>
      </c>
      <c r="J2076" s="112" t="s">
        <v>5827</v>
      </c>
      <c r="K2076" s="45" t="s">
        <v>105</v>
      </c>
      <c r="L2076" s="437"/>
      <c r="M2076" s="474" t="s">
        <v>1856</v>
      </c>
      <c r="N2076" s="1013" t="s">
        <v>1856</v>
      </c>
      <c r="O2076" s="209"/>
      <c r="P2076" s="66" t="s">
        <v>50</v>
      </c>
      <c r="Q2076" s="100">
        <f t="shared" si="1141"/>
        <v>0</v>
      </c>
      <c r="R2076" s="13" t="str">
        <f t="shared" si="1145"/>
        <v>Фото &gt;&gt;</v>
      </c>
      <c r="S2076" s="14" t="s">
        <v>5791</v>
      </c>
      <c r="U2076" s="4"/>
      <c r="V2076" s="4"/>
      <c r="X2076" s="1186"/>
      <c r="AG2076" s="84"/>
      <c r="AH2076" s="84"/>
      <c r="AK2076">
        <v>0.32</v>
      </c>
      <c r="AL2076">
        <f t="shared" si="1146"/>
        <v>0</v>
      </c>
      <c r="AM2076">
        <f t="shared" si="1147"/>
        <v>0</v>
      </c>
      <c r="AN2076">
        <f t="shared" si="1148"/>
        <v>0</v>
      </c>
      <c r="AO2076" t="s">
        <v>5809</v>
      </c>
      <c r="AV2076" t="str">
        <f>IF(F2076&gt;0,(COUNT($AV$1:AV2075)+1),"")</f>
        <v/>
      </c>
    </row>
    <row r="2077" spans="1:48" ht="15" customHeight="1" x14ac:dyDescent="0.25">
      <c r="A2077" s="1"/>
      <c r="B2077" s="31">
        <v>21017</v>
      </c>
      <c r="C2077" s="16">
        <v>4627112871128</v>
      </c>
      <c r="D2077" s="226" t="s">
        <v>6305</v>
      </c>
      <c r="E2077" s="69">
        <v>10</v>
      </c>
      <c r="F2077" s="222"/>
      <c r="G2077" s="17">
        <v>140</v>
      </c>
      <c r="H2077" s="17">
        <v>148.80000000000001</v>
      </c>
      <c r="I2077" s="18">
        <v>160</v>
      </c>
      <c r="J2077" s="113" t="s">
        <v>5827</v>
      </c>
      <c r="K2077" s="44" t="s">
        <v>105</v>
      </c>
      <c r="L2077" s="442"/>
      <c r="M2077" s="480" t="s">
        <v>1856</v>
      </c>
      <c r="N2077" s="1015" t="s">
        <v>1856</v>
      </c>
      <c r="O2077" s="210"/>
      <c r="P2077" s="68" t="s">
        <v>50</v>
      </c>
      <c r="Q2077" s="100">
        <f t="shared" si="1141"/>
        <v>0</v>
      </c>
      <c r="R2077" s="13" t="str">
        <f t="shared" si="1145"/>
        <v>Фото &gt;&gt;</v>
      </c>
      <c r="S2077" s="14" t="s">
        <v>5792</v>
      </c>
      <c r="U2077" s="4"/>
      <c r="V2077" s="4"/>
      <c r="X2077" s="1186"/>
      <c r="AG2077" s="84"/>
      <c r="AH2077" s="84"/>
      <c r="AK2077">
        <v>0.27</v>
      </c>
      <c r="AL2077">
        <f t="shared" si="1146"/>
        <v>0</v>
      </c>
      <c r="AM2077">
        <f t="shared" si="1147"/>
        <v>0</v>
      </c>
      <c r="AN2077">
        <f t="shared" si="1148"/>
        <v>0</v>
      </c>
      <c r="AO2077" t="s">
        <v>5810</v>
      </c>
      <c r="AV2077" t="str">
        <f>IF(F2077&gt;0,(COUNT($AV$1:AV2076)+1),"")</f>
        <v/>
      </c>
    </row>
    <row r="2078" spans="1:48" ht="15" customHeight="1" x14ac:dyDescent="0.25">
      <c r="A2078" s="1"/>
      <c r="B2078" s="30">
        <v>21015</v>
      </c>
      <c r="C2078" s="20">
        <v>4627112870480</v>
      </c>
      <c r="D2078" s="225" t="s">
        <v>6306</v>
      </c>
      <c r="E2078" s="67">
        <v>10</v>
      </c>
      <c r="F2078" s="222"/>
      <c r="G2078" s="21">
        <v>139.30000000000001</v>
      </c>
      <c r="H2078" s="21">
        <v>148</v>
      </c>
      <c r="I2078" s="22">
        <v>159</v>
      </c>
      <c r="J2078" s="112" t="s">
        <v>5827</v>
      </c>
      <c r="K2078" s="45" t="s">
        <v>105</v>
      </c>
      <c r="L2078" s="437"/>
      <c r="M2078" s="474" t="s">
        <v>1856</v>
      </c>
      <c r="N2078" s="1013" t="s">
        <v>1856</v>
      </c>
      <c r="O2078" s="209"/>
      <c r="P2078" s="66" t="s">
        <v>50</v>
      </c>
      <c r="Q2078" s="100">
        <f t="shared" si="1141"/>
        <v>0</v>
      </c>
      <c r="R2078" s="13" t="str">
        <f t="shared" si="1145"/>
        <v>Фото &gt;&gt;</v>
      </c>
      <c r="S2078" s="14" t="s">
        <v>5791</v>
      </c>
      <c r="U2078" s="4"/>
      <c r="V2078" s="4"/>
      <c r="X2078" s="1186"/>
      <c r="AG2078" s="84"/>
      <c r="AH2078" s="84"/>
      <c r="AK2078">
        <v>0.32</v>
      </c>
      <c r="AL2078">
        <f t="shared" si="1146"/>
        <v>0</v>
      </c>
      <c r="AM2078">
        <f t="shared" si="1147"/>
        <v>0</v>
      </c>
      <c r="AN2078">
        <f t="shared" si="1148"/>
        <v>0</v>
      </c>
      <c r="AO2078" t="s">
        <v>5811</v>
      </c>
      <c r="AV2078" t="str">
        <f>IF(F2078&gt;0,(COUNT($AV$1:AV2077)+1),"")</f>
        <v/>
      </c>
    </row>
    <row r="2079" spans="1:48" ht="15" customHeight="1" x14ac:dyDescent="0.25">
      <c r="A2079" s="1"/>
      <c r="B2079" s="31">
        <v>21061</v>
      </c>
      <c r="C2079" s="16">
        <v>4607941900527</v>
      </c>
      <c r="D2079" s="226" t="s">
        <v>6307</v>
      </c>
      <c r="E2079" s="69">
        <v>10</v>
      </c>
      <c r="F2079" s="222"/>
      <c r="G2079" s="17">
        <v>144.30000000000001</v>
      </c>
      <c r="H2079" s="17">
        <v>153.4</v>
      </c>
      <c r="I2079" s="18">
        <v>165</v>
      </c>
      <c r="J2079" s="113" t="s">
        <v>5827</v>
      </c>
      <c r="K2079" s="44" t="s">
        <v>105</v>
      </c>
      <c r="L2079" s="442"/>
      <c r="M2079" s="480" t="s">
        <v>1856</v>
      </c>
      <c r="N2079" s="1015" t="s">
        <v>1856</v>
      </c>
      <c r="O2079" s="210"/>
      <c r="P2079" s="68" t="s">
        <v>50</v>
      </c>
      <c r="Q2079" s="100">
        <f t="shared" si="1141"/>
        <v>0</v>
      </c>
      <c r="R2079" s="13" t="str">
        <f t="shared" si="1145"/>
        <v>Фото &gt;&gt;</v>
      </c>
      <c r="S2079" s="14" t="s">
        <v>5893</v>
      </c>
      <c r="U2079" s="4"/>
      <c r="V2079" s="4"/>
      <c r="X2079" s="1186"/>
      <c r="AG2079" s="84"/>
      <c r="AH2079" s="84"/>
      <c r="AK2079">
        <v>0.32</v>
      </c>
      <c r="AL2079">
        <f t="shared" si="1142"/>
        <v>0</v>
      </c>
      <c r="AM2079">
        <f t="shared" si="1143"/>
        <v>0</v>
      </c>
      <c r="AN2079">
        <f t="shared" si="1144"/>
        <v>0</v>
      </c>
      <c r="AO2079" t="s">
        <v>5894</v>
      </c>
      <c r="AV2079" t="str">
        <f>IF(F2079&gt;0,(COUNT($AV$1:AV2078)+1),"")</f>
        <v/>
      </c>
    </row>
    <row r="2080" spans="1:48" ht="15" customHeight="1" x14ac:dyDescent="0.25">
      <c r="A2080" s="1"/>
      <c r="B2080" s="30">
        <v>21063</v>
      </c>
      <c r="C2080" s="20">
        <v>4627112870671</v>
      </c>
      <c r="D2080" s="225" t="s">
        <v>6308</v>
      </c>
      <c r="E2080" s="67">
        <v>10</v>
      </c>
      <c r="F2080" s="222"/>
      <c r="G2080" s="21">
        <v>157.30000000000001</v>
      </c>
      <c r="H2080" s="21">
        <v>167.2</v>
      </c>
      <c r="I2080" s="22">
        <v>179.5</v>
      </c>
      <c r="J2080" s="112" t="s">
        <v>5827</v>
      </c>
      <c r="K2080" s="45" t="s">
        <v>105</v>
      </c>
      <c r="L2080" s="437"/>
      <c r="M2080" s="474" t="s">
        <v>1856</v>
      </c>
      <c r="N2080" s="1013" t="s">
        <v>1856</v>
      </c>
      <c r="O2080" s="209"/>
      <c r="P2080" s="66" t="s">
        <v>50</v>
      </c>
      <c r="Q2080" s="100">
        <f t="shared" si="1141"/>
        <v>0</v>
      </c>
      <c r="R2080" s="13" t="str">
        <f t="shared" si="1145"/>
        <v>Фото &gt;&gt;</v>
      </c>
      <c r="S2080" s="14" t="s">
        <v>5790</v>
      </c>
      <c r="U2080" s="4"/>
      <c r="V2080" s="4"/>
      <c r="AG2080" s="84"/>
      <c r="AH2080" s="84"/>
      <c r="AK2080">
        <v>0.27</v>
      </c>
      <c r="AL2080">
        <f t="shared" si="1142"/>
        <v>0</v>
      </c>
      <c r="AM2080">
        <f t="shared" si="1143"/>
        <v>0</v>
      </c>
      <c r="AN2080">
        <f t="shared" si="1144"/>
        <v>0</v>
      </c>
      <c r="AO2080" t="s">
        <v>5905</v>
      </c>
      <c r="AV2080" t="str">
        <f>IF(F2080&gt;0,(COUNT($AV$1:AV2079)+1),"")</f>
        <v/>
      </c>
    </row>
    <row r="2081" spans="1:53" ht="15" customHeight="1" x14ac:dyDescent="0.25">
      <c r="A2081" s="1"/>
      <c r="B2081" s="31">
        <v>21016</v>
      </c>
      <c r="C2081" s="16">
        <v>4607941900077</v>
      </c>
      <c r="D2081" s="226" t="s">
        <v>6309</v>
      </c>
      <c r="E2081" s="69">
        <v>10</v>
      </c>
      <c r="F2081" s="222"/>
      <c r="G2081" s="17">
        <v>140</v>
      </c>
      <c r="H2081" s="17">
        <v>148.80000000000001</v>
      </c>
      <c r="I2081" s="18">
        <v>160</v>
      </c>
      <c r="J2081" s="113" t="s">
        <v>5827</v>
      </c>
      <c r="K2081" s="44" t="s">
        <v>105</v>
      </c>
      <c r="L2081" s="442"/>
      <c r="M2081" s="480" t="s">
        <v>1856</v>
      </c>
      <c r="N2081" s="1015" t="s">
        <v>1856</v>
      </c>
      <c r="O2081" s="210"/>
      <c r="P2081" s="68" t="s">
        <v>50</v>
      </c>
      <c r="Q2081" s="100">
        <f t="shared" si="1141"/>
        <v>0</v>
      </c>
      <c r="R2081" s="13" t="str">
        <f t="shared" si="1145"/>
        <v>Фото &gt;&gt;</v>
      </c>
      <c r="S2081" s="14" t="s">
        <v>5792</v>
      </c>
      <c r="U2081" s="4"/>
      <c r="V2081" s="4"/>
      <c r="AG2081" s="84"/>
      <c r="AH2081" s="84"/>
      <c r="AK2081">
        <v>0.27</v>
      </c>
      <c r="AL2081">
        <f t="shared" si="1142"/>
        <v>0</v>
      </c>
      <c r="AM2081">
        <f t="shared" si="1143"/>
        <v>0</v>
      </c>
      <c r="AN2081">
        <f t="shared" si="1144"/>
        <v>0</v>
      </c>
      <c r="AO2081" t="s">
        <v>5812</v>
      </c>
      <c r="AV2081" t="str">
        <f>IF(F2081&gt;0,(COUNT($AV$1:AV2080)+1),"")</f>
        <v/>
      </c>
    </row>
    <row r="2082" spans="1:53" ht="15" customHeight="1" x14ac:dyDescent="0.25">
      <c r="A2082" s="1"/>
      <c r="B2082" s="30">
        <v>21062</v>
      </c>
      <c r="C2082" s="20">
        <v>4627112870046</v>
      </c>
      <c r="D2082" s="225" t="s">
        <v>6310</v>
      </c>
      <c r="E2082" s="67">
        <v>10</v>
      </c>
      <c r="F2082" s="222"/>
      <c r="G2082" s="21">
        <v>139.30000000000001</v>
      </c>
      <c r="H2082" s="21">
        <v>148</v>
      </c>
      <c r="I2082" s="22">
        <v>159</v>
      </c>
      <c r="J2082" s="112" t="s">
        <v>5827</v>
      </c>
      <c r="K2082" s="45" t="s">
        <v>105</v>
      </c>
      <c r="L2082" s="437"/>
      <c r="M2082" s="474" t="s">
        <v>1856</v>
      </c>
      <c r="N2082" s="1013" t="s">
        <v>1856</v>
      </c>
      <c r="O2082" s="209"/>
      <c r="P2082" s="66" t="s">
        <v>50</v>
      </c>
      <c r="Q2082" s="100">
        <f t="shared" si="1141"/>
        <v>0</v>
      </c>
      <c r="R2082" s="13" t="str">
        <f t="shared" si="1145"/>
        <v>Фото &gt;&gt;</v>
      </c>
      <c r="S2082" s="14" t="s">
        <v>5791</v>
      </c>
      <c r="U2082" s="4"/>
      <c r="V2082" s="4"/>
      <c r="AG2082" s="84"/>
      <c r="AH2082" s="84"/>
      <c r="AK2082">
        <v>0.32</v>
      </c>
      <c r="AL2082">
        <f t="shared" si="1142"/>
        <v>0</v>
      </c>
      <c r="AM2082">
        <f t="shared" si="1143"/>
        <v>0</v>
      </c>
      <c r="AN2082">
        <f t="shared" si="1144"/>
        <v>0</v>
      </c>
      <c r="AO2082" t="s">
        <v>5898</v>
      </c>
      <c r="AV2082" t="str">
        <f>IF(F2082&gt;0,(COUNT($AV$1:AV2081)+1),"")</f>
        <v/>
      </c>
    </row>
    <row r="2083" spans="1:53" ht="15" customHeight="1" x14ac:dyDescent="0.25">
      <c r="A2083" s="1"/>
      <c r="B2083" s="32">
        <v>21060</v>
      </c>
      <c r="C2083" s="33">
        <v>4607941900442</v>
      </c>
      <c r="D2083" s="227" t="s">
        <v>6311</v>
      </c>
      <c r="E2083" s="71">
        <v>10</v>
      </c>
      <c r="F2083" s="223"/>
      <c r="G2083" s="34">
        <v>144.30000000000001</v>
      </c>
      <c r="H2083" s="34">
        <v>153.4</v>
      </c>
      <c r="I2083" s="35">
        <v>165</v>
      </c>
      <c r="J2083" s="114" t="s">
        <v>5827</v>
      </c>
      <c r="K2083" s="57" t="s">
        <v>105</v>
      </c>
      <c r="L2083" s="438"/>
      <c r="M2083" s="484" t="s">
        <v>1856</v>
      </c>
      <c r="N2083" s="1008" t="s">
        <v>1856</v>
      </c>
      <c r="O2083" s="219"/>
      <c r="P2083" s="70" t="s">
        <v>50</v>
      </c>
      <c r="Q2083" s="100">
        <f t="shared" si="1141"/>
        <v>0</v>
      </c>
      <c r="R2083" s="13" t="str">
        <f t="shared" si="1145"/>
        <v>Фото &gt;&gt;</v>
      </c>
      <c r="S2083" s="14" t="s">
        <v>5895</v>
      </c>
      <c r="U2083" s="4"/>
      <c r="V2083" s="4"/>
      <c r="AG2083" s="84"/>
      <c r="AH2083" s="84"/>
      <c r="AK2083">
        <v>0.32</v>
      </c>
      <c r="AL2083">
        <f t="shared" si="1142"/>
        <v>0</v>
      </c>
      <c r="AM2083">
        <f t="shared" si="1143"/>
        <v>0</v>
      </c>
      <c r="AN2083">
        <f t="shared" si="1144"/>
        <v>0</v>
      </c>
      <c r="AO2083" t="s">
        <v>5897</v>
      </c>
      <c r="AV2083" t="str">
        <f>IF(F2083&gt;0,(COUNT($AV$1:AV2082)+1),"")</f>
        <v/>
      </c>
    </row>
    <row r="2084" spans="1:53" ht="15" customHeight="1" x14ac:dyDescent="0.25">
      <c r="A2084" s="1"/>
      <c r="B2084" s="785">
        <v>21025</v>
      </c>
      <c r="C2084" s="786">
        <v>4607941900350</v>
      </c>
      <c r="D2084" s="787" t="s">
        <v>6312</v>
      </c>
      <c r="E2084" s="788">
        <v>8</v>
      </c>
      <c r="F2084" s="789"/>
      <c r="G2084" s="790">
        <v>170.8</v>
      </c>
      <c r="H2084" s="790">
        <v>177.8</v>
      </c>
      <c r="I2084" s="791">
        <v>184.6</v>
      </c>
      <c r="J2084" s="792" t="s">
        <v>5827</v>
      </c>
      <c r="K2084" s="793" t="s">
        <v>326</v>
      </c>
      <c r="L2084" s="781"/>
      <c r="M2084" s="782" t="s">
        <v>1856</v>
      </c>
      <c r="N2084" s="1009" t="s">
        <v>1856</v>
      </c>
      <c r="O2084" s="794"/>
      <c r="P2084" s="784" t="s">
        <v>100</v>
      </c>
      <c r="Q2084" s="100">
        <f t="shared" si="1141"/>
        <v>0</v>
      </c>
      <c r="R2084" s="13" t="str">
        <f t="shared" si="1145"/>
        <v>Фото &gt;&gt;</v>
      </c>
      <c r="S2084" s="14" t="s">
        <v>5795</v>
      </c>
      <c r="U2084" s="4"/>
      <c r="V2084" s="4"/>
      <c r="AG2084" s="84"/>
      <c r="AH2084" s="84"/>
      <c r="AK2084">
        <v>0.15</v>
      </c>
      <c r="AL2084">
        <f t="shared" si="1142"/>
        <v>0</v>
      </c>
      <c r="AM2084">
        <f t="shared" si="1143"/>
        <v>0</v>
      </c>
      <c r="AN2084">
        <f t="shared" si="1144"/>
        <v>0</v>
      </c>
      <c r="AO2084" t="s">
        <v>5813</v>
      </c>
      <c r="AV2084" t="str">
        <f>IF(F2084&gt;0,(COUNT($AV$1:AV2083)+1),"")</f>
        <v/>
      </c>
    </row>
    <row r="2085" spans="1:53" ht="15" customHeight="1" x14ac:dyDescent="0.25">
      <c r="A2085" s="1"/>
      <c r="B2085" s="31">
        <v>21026</v>
      </c>
      <c r="C2085" s="16">
        <v>4607941900039</v>
      </c>
      <c r="D2085" s="422" t="s">
        <v>7514</v>
      </c>
      <c r="E2085" s="69">
        <v>8</v>
      </c>
      <c r="F2085" s="222"/>
      <c r="G2085" s="415">
        <v>124.2</v>
      </c>
      <c r="H2085" s="415">
        <v>129.4</v>
      </c>
      <c r="I2085" s="416">
        <v>134.30000000000001</v>
      </c>
      <c r="J2085" s="113" t="s">
        <v>5827</v>
      </c>
      <c r="K2085" s="44" t="s">
        <v>326</v>
      </c>
      <c r="L2085" s="442"/>
      <c r="M2085" s="480" t="s">
        <v>1856</v>
      </c>
      <c r="N2085" s="1015" t="s">
        <v>1856</v>
      </c>
      <c r="O2085" s="210" t="s">
        <v>7503</v>
      </c>
      <c r="P2085" s="68" t="s">
        <v>100</v>
      </c>
      <c r="Q2085" s="100">
        <f t="shared" si="1141"/>
        <v>0</v>
      </c>
      <c r="R2085" s="13" t="str">
        <f t="shared" si="1145"/>
        <v>Фото &gt;&gt;</v>
      </c>
      <c r="S2085" s="14" t="s">
        <v>5794</v>
      </c>
      <c r="U2085" s="4"/>
      <c r="V2085" s="4"/>
      <c r="AG2085" s="84"/>
      <c r="AH2085" s="84"/>
      <c r="AK2085">
        <v>0.16</v>
      </c>
      <c r="AL2085">
        <f t="shared" ref="AL2085:AL2090" si="1149">F2085*G2085</f>
        <v>0</v>
      </c>
      <c r="AM2085">
        <f t="shared" ref="AM2085:AM2090" si="1150">F2085*H2085</f>
        <v>0</v>
      </c>
      <c r="AN2085">
        <f t="shared" ref="AN2085:AN2090" si="1151">AK2085*F2085+IF(E2085&gt;1.01,F2085/E2085*0.2,0)</f>
        <v>0</v>
      </c>
      <c r="AO2085" t="s">
        <v>5814</v>
      </c>
      <c r="AV2085" t="str">
        <f>IF(F2085&gt;0,(COUNT($AV$1:AV2084)+1),"")</f>
        <v/>
      </c>
    </row>
    <row r="2086" spans="1:53" ht="15" customHeight="1" x14ac:dyDescent="0.25">
      <c r="A2086" s="1"/>
      <c r="B2086" s="30">
        <v>21462</v>
      </c>
      <c r="C2086" s="20">
        <v>4607941900848</v>
      </c>
      <c r="D2086" s="421" t="s">
        <v>6828</v>
      </c>
      <c r="E2086" s="67">
        <v>8</v>
      </c>
      <c r="F2086" s="222"/>
      <c r="G2086" s="417">
        <v>151.1</v>
      </c>
      <c r="H2086" s="417">
        <v>157.19999999999999</v>
      </c>
      <c r="I2086" s="418">
        <v>163.5</v>
      </c>
      <c r="J2086" s="112" t="s">
        <v>5827</v>
      </c>
      <c r="K2086" s="45" t="s">
        <v>326</v>
      </c>
      <c r="L2086" s="437"/>
      <c r="M2086" s="474" t="s">
        <v>1856</v>
      </c>
      <c r="N2086" s="1013" t="s">
        <v>1856</v>
      </c>
      <c r="O2086" s="209" t="s">
        <v>7504</v>
      </c>
      <c r="P2086" s="66" t="s">
        <v>100</v>
      </c>
      <c r="Q2086" s="100">
        <f t="shared" si="1141"/>
        <v>0</v>
      </c>
      <c r="R2086" s="94" t="str">
        <f t="shared" si="1145"/>
        <v>Фото &gt;&gt;</v>
      </c>
      <c r="S2086" s="14" t="s">
        <v>6816</v>
      </c>
      <c r="U2086" s="4"/>
      <c r="V2086" s="4"/>
      <c r="AG2086" s="84"/>
      <c r="AH2086" s="84"/>
      <c r="AK2086">
        <v>0.16</v>
      </c>
      <c r="AL2086">
        <f t="shared" si="1149"/>
        <v>0</v>
      </c>
      <c r="AM2086">
        <f t="shared" si="1150"/>
        <v>0</v>
      </c>
      <c r="AN2086">
        <f t="shared" si="1151"/>
        <v>0</v>
      </c>
      <c r="AO2086" t="s">
        <v>6819</v>
      </c>
      <c r="AV2086" t="str">
        <f>IF(F2086&gt;0,(COUNT($AV$1:AV2085)+1),"")</f>
        <v/>
      </c>
    </row>
    <row r="2087" spans="1:53" ht="15" customHeight="1" x14ac:dyDescent="0.25">
      <c r="A2087" s="1"/>
      <c r="B2087" s="31">
        <v>21463</v>
      </c>
      <c r="C2087" s="16">
        <v>4607941900831</v>
      </c>
      <c r="D2087" s="422" t="s">
        <v>6831</v>
      </c>
      <c r="E2087" s="69">
        <v>8</v>
      </c>
      <c r="F2087" s="222"/>
      <c r="G2087" s="415">
        <v>146.30000000000001</v>
      </c>
      <c r="H2087" s="415">
        <v>152.30000000000001</v>
      </c>
      <c r="I2087" s="416">
        <v>158.4</v>
      </c>
      <c r="J2087" s="113" t="s">
        <v>5827</v>
      </c>
      <c r="K2087" s="44" t="s">
        <v>326</v>
      </c>
      <c r="L2087" s="442"/>
      <c r="M2087" s="480" t="s">
        <v>1856</v>
      </c>
      <c r="N2087" s="1015" t="s">
        <v>1856</v>
      </c>
      <c r="O2087" s="210" t="s">
        <v>7505</v>
      </c>
      <c r="P2087" s="68" t="s">
        <v>100</v>
      </c>
      <c r="Q2087" s="100">
        <f t="shared" si="1141"/>
        <v>0</v>
      </c>
      <c r="R2087" s="94" t="str">
        <f t="shared" si="1145"/>
        <v>Фото &gt;&gt;</v>
      </c>
      <c r="S2087" s="14" t="s">
        <v>6817</v>
      </c>
      <c r="U2087" s="4"/>
      <c r="V2087" s="4"/>
      <c r="AG2087" s="84"/>
      <c r="AH2087" s="84"/>
      <c r="AK2087">
        <v>0.16</v>
      </c>
      <c r="AL2087">
        <f t="shared" si="1149"/>
        <v>0</v>
      </c>
      <c r="AM2087">
        <f t="shared" si="1150"/>
        <v>0</v>
      </c>
      <c r="AN2087">
        <f t="shared" si="1151"/>
        <v>0</v>
      </c>
      <c r="AO2087" t="s">
        <v>6820</v>
      </c>
      <c r="AV2087" t="str">
        <f>IF(F2087&gt;0,(COUNT($AV$1:AV2086)+1),"")</f>
        <v/>
      </c>
    </row>
    <row r="2088" spans="1:53" ht="15" customHeight="1" x14ac:dyDescent="0.25">
      <c r="A2088" s="1"/>
      <c r="B2088" s="30">
        <v>21464</v>
      </c>
      <c r="C2088" s="20">
        <v>4607941900787</v>
      </c>
      <c r="D2088" s="421" t="s">
        <v>6832</v>
      </c>
      <c r="E2088" s="67">
        <v>8</v>
      </c>
      <c r="F2088" s="222"/>
      <c r="G2088" s="417">
        <v>129.30000000000001</v>
      </c>
      <c r="H2088" s="417">
        <v>134.6</v>
      </c>
      <c r="I2088" s="418">
        <v>140</v>
      </c>
      <c r="J2088" s="112" t="s">
        <v>5827</v>
      </c>
      <c r="K2088" s="45" t="s">
        <v>326</v>
      </c>
      <c r="L2088" s="437"/>
      <c r="M2088" s="474" t="s">
        <v>1856</v>
      </c>
      <c r="N2088" s="1013" t="s">
        <v>1856</v>
      </c>
      <c r="O2088" s="209" t="s">
        <v>7505</v>
      </c>
      <c r="P2088" s="66" t="s">
        <v>100</v>
      </c>
      <c r="Q2088" s="100">
        <f t="shared" si="1141"/>
        <v>0</v>
      </c>
      <c r="R2088" s="94" t="str">
        <f t="shared" si="1145"/>
        <v>Фото &gt;&gt;</v>
      </c>
      <c r="S2088" s="14" t="s">
        <v>6818</v>
      </c>
      <c r="U2088" s="4"/>
      <c r="V2088" s="4"/>
      <c r="AG2088" s="84"/>
      <c r="AH2088" s="84"/>
      <c r="AK2088">
        <v>0.16</v>
      </c>
      <c r="AL2088">
        <f t="shared" si="1149"/>
        <v>0</v>
      </c>
      <c r="AM2088">
        <f t="shared" si="1150"/>
        <v>0</v>
      </c>
      <c r="AN2088">
        <f t="shared" si="1151"/>
        <v>0</v>
      </c>
      <c r="AO2088" t="s">
        <v>6821</v>
      </c>
      <c r="AV2088" t="str">
        <f>IF(F2088&gt;0,(COUNT($AV$1:AV2087)+1),"")</f>
        <v/>
      </c>
      <c r="BA2088" s="1186"/>
    </row>
    <row r="2089" spans="1:53" ht="15" customHeight="1" x14ac:dyDescent="0.25">
      <c r="A2089" s="1"/>
      <c r="B2089" s="31">
        <v>21024</v>
      </c>
      <c r="C2089" s="16">
        <v>4607941900596</v>
      </c>
      <c r="D2089" s="422" t="s">
        <v>7515</v>
      </c>
      <c r="E2089" s="69">
        <v>8</v>
      </c>
      <c r="F2089" s="222"/>
      <c r="G2089" s="415">
        <v>149.69999999999999</v>
      </c>
      <c r="H2089" s="415">
        <v>155.80000000000001</v>
      </c>
      <c r="I2089" s="416">
        <v>162</v>
      </c>
      <c r="J2089" s="113" t="s">
        <v>5827</v>
      </c>
      <c r="K2089" s="44" t="s">
        <v>326</v>
      </c>
      <c r="L2089" s="442"/>
      <c r="M2089" s="480"/>
      <c r="N2089" s="1015" t="s">
        <v>1856</v>
      </c>
      <c r="O2089" s="210" t="s">
        <v>7506</v>
      </c>
      <c r="P2089" s="68" t="s">
        <v>100</v>
      </c>
      <c r="Q2089" s="100">
        <f t="shared" si="1141"/>
        <v>0</v>
      </c>
      <c r="R2089" s="13" t="str">
        <f t="shared" si="1145"/>
        <v>Фото &gt;&gt;</v>
      </c>
      <c r="S2089" s="14" t="s">
        <v>5826</v>
      </c>
      <c r="U2089" s="4"/>
      <c r="V2089" s="4"/>
      <c r="AG2089" s="84"/>
      <c r="AH2089" s="84"/>
      <c r="AK2089">
        <v>0.23</v>
      </c>
      <c r="AL2089">
        <f t="shared" si="1149"/>
        <v>0</v>
      </c>
      <c r="AM2089">
        <f t="shared" si="1150"/>
        <v>0</v>
      </c>
      <c r="AN2089">
        <f t="shared" si="1151"/>
        <v>0</v>
      </c>
      <c r="AO2089" t="s">
        <v>5815</v>
      </c>
      <c r="AV2089" t="str">
        <f>IF(F2089&gt;0,(COUNT($AV$1:AV2088)+1),"")</f>
        <v/>
      </c>
    </row>
    <row r="2090" spans="1:53" ht="15" customHeight="1" x14ac:dyDescent="0.25">
      <c r="A2090" s="1"/>
      <c r="B2090" s="30">
        <v>21020</v>
      </c>
      <c r="C2090" s="20">
        <v>4627112870299</v>
      </c>
      <c r="D2090" s="225" t="s">
        <v>6313</v>
      </c>
      <c r="E2090" s="67">
        <v>8</v>
      </c>
      <c r="F2090" s="222"/>
      <c r="G2090" s="21">
        <v>183.9</v>
      </c>
      <c r="H2090" s="21">
        <v>191.4</v>
      </c>
      <c r="I2090" s="22">
        <v>198.8</v>
      </c>
      <c r="J2090" s="112" t="s">
        <v>5827</v>
      </c>
      <c r="K2090" s="45" t="s">
        <v>326</v>
      </c>
      <c r="L2090" s="437"/>
      <c r="M2090" s="474"/>
      <c r="N2090" s="1013" t="s">
        <v>1856</v>
      </c>
      <c r="O2090" s="209"/>
      <c r="P2090" s="66" t="s">
        <v>100</v>
      </c>
      <c r="Q2090" s="100">
        <f t="shared" si="1141"/>
        <v>0</v>
      </c>
      <c r="R2090" s="13" t="str">
        <f t="shared" si="1145"/>
        <v>Фото &gt;&gt;</v>
      </c>
      <c r="S2090" s="14" t="s">
        <v>5796</v>
      </c>
      <c r="U2090" s="4"/>
      <c r="V2090" s="4"/>
      <c r="AG2090" s="84"/>
      <c r="AH2090" s="84"/>
      <c r="AK2090">
        <v>0.2</v>
      </c>
      <c r="AL2090">
        <f t="shared" si="1149"/>
        <v>0</v>
      </c>
      <c r="AM2090">
        <f t="shared" si="1150"/>
        <v>0</v>
      </c>
      <c r="AN2090">
        <f t="shared" si="1151"/>
        <v>0</v>
      </c>
      <c r="AO2090" t="s">
        <v>5816</v>
      </c>
      <c r="AV2090" t="str">
        <f>IF(F2090&gt;0,(COUNT($AV$1:AV2089)+1),"")</f>
        <v/>
      </c>
    </row>
    <row r="2091" spans="1:53" ht="15" customHeight="1" x14ac:dyDescent="0.25">
      <c r="A2091" s="1"/>
      <c r="B2091" s="31">
        <v>21021</v>
      </c>
      <c r="C2091" s="16">
        <v>4627112870251</v>
      </c>
      <c r="D2091" s="226" t="s">
        <v>6314</v>
      </c>
      <c r="E2091" s="69">
        <v>8</v>
      </c>
      <c r="F2091" s="222"/>
      <c r="G2091" s="17">
        <v>187.3</v>
      </c>
      <c r="H2091" s="17">
        <v>195</v>
      </c>
      <c r="I2091" s="18">
        <v>202.8</v>
      </c>
      <c r="J2091" s="113" t="s">
        <v>5827</v>
      </c>
      <c r="K2091" s="44" t="s">
        <v>326</v>
      </c>
      <c r="L2091" s="442"/>
      <c r="M2091" s="480"/>
      <c r="N2091" s="1015" t="s">
        <v>1856</v>
      </c>
      <c r="O2091" s="210"/>
      <c r="P2091" s="68" t="s">
        <v>100</v>
      </c>
      <c r="Q2091" s="100">
        <f t="shared" si="1141"/>
        <v>0</v>
      </c>
      <c r="R2091" s="13" t="str">
        <f t="shared" si="1145"/>
        <v>Фото &gt;&gt;</v>
      </c>
      <c r="S2091" s="14" t="s">
        <v>5797</v>
      </c>
      <c r="U2091" s="4"/>
      <c r="V2091" s="4"/>
      <c r="AG2091" s="84"/>
      <c r="AH2091" s="84"/>
      <c r="AK2091">
        <v>0.23</v>
      </c>
      <c r="AL2091">
        <f t="shared" ref="AL2091:AL2095" si="1152">F2091*G2091</f>
        <v>0</v>
      </c>
      <c r="AM2091">
        <f t="shared" ref="AM2091:AM2095" si="1153">F2091*H2091</f>
        <v>0</v>
      </c>
      <c r="AN2091">
        <f t="shared" ref="AN2091:AN2095" si="1154">AK2091*F2091+IF(E2091&gt;1.01,F2091/E2091*0.2,0)</f>
        <v>0</v>
      </c>
      <c r="AO2091" t="s">
        <v>5817</v>
      </c>
      <c r="AV2091" t="str">
        <f>IF(F2091&gt;0,(COUNT($AV$1:AV2090)+1),"")</f>
        <v/>
      </c>
    </row>
    <row r="2092" spans="1:53" ht="15" customHeight="1" x14ac:dyDescent="0.25">
      <c r="A2092" s="1"/>
      <c r="B2092" s="30">
        <v>21022</v>
      </c>
      <c r="C2092" s="20">
        <v>4627112870473</v>
      </c>
      <c r="D2092" s="421" t="s">
        <v>7516</v>
      </c>
      <c r="E2092" s="67">
        <v>8</v>
      </c>
      <c r="F2092" s="222"/>
      <c r="G2092" s="417">
        <v>139.30000000000001</v>
      </c>
      <c r="H2092" s="417">
        <v>145</v>
      </c>
      <c r="I2092" s="418">
        <v>151.19999999999999</v>
      </c>
      <c r="J2092" s="112" t="s">
        <v>5827</v>
      </c>
      <c r="K2092" s="45" t="s">
        <v>326</v>
      </c>
      <c r="L2092" s="437"/>
      <c r="M2092" s="474"/>
      <c r="N2092" s="1013" t="s">
        <v>1856</v>
      </c>
      <c r="O2092" s="209" t="s">
        <v>7507</v>
      </c>
      <c r="P2092" s="66" t="s">
        <v>100</v>
      </c>
      <c r="Q2092" s="100">
        <f t="shared" si="1141"/>
        <v>0</v>
      </c>
      <c r="R2092" s="13" t="str">
        <f t="shared" si="1145"/>
        <v>Фото &gt;&gt;</v>
      </c>
      <c r="S2092" s="14" t="s">
        <v>5798</v>
      </c>
      <c r="U2092" s="4"/>
      <c r="V2092" s="4"/>
      <c r="AG2092" s="84"/>
      <c r="AH2092" s="84"/>
      <c r="AK2092">
        <v>0.23</v>
      </c>
      <c r="AL2092">
        <f t="shared" si="1152"/>
        <v>0</v>
      </c>
      <c r="AM2092">
        <f t="shared" si="1153"/>
        <v>0</v>
      </c>
      <c r="AN2092">
        <f t="shared" si="1154"/>
        <v>0</v>
      </c>
      <c r="AO2092" t="s">
        <v>5818</v>
      </c>
      <c r="AV2092" t="str">
        <f>IF(F2092&gt;0,(COUNT($AV$1:AV2091)+1),"")</f>
        <v/>
      </c>
    </row>
    <row r="2093" spans="1:53" ht="15" customHeight="1" x14ac:dyDescent="0.25">
      <c r="A2093" s="1"/>
      <c r="B2093" s="31">
        <v>21065</v>
      </c>
      <c r="C2093" s="16">
        <v>4627112870268</v>
      </c>
      <c r="D2093" s="422" t="s">
        <v>7517</v>
      </c>
      <c r="E2093" s="69">
        <v>8</v>
      </c>
      <c r="F2093" s="222"/>
      <c r="G2093" s="415">
        <v>132.9</v>
      </c>
      <c r="H2093" s="415">
        <v>138.30000000000001</v>
      </c>
      <c r="I2093" s="416">
        <v>143.69999999999999</v>
      </c>
      <c r="J2093" s="113" t="s">
        <v>5827</v>
      </c>
      <c r="K2093" s="44" t="s">
        <v>326</v>
      </c>
      <c r="L2093" s="442"/>
      <c r="M2093" s="480"/>
      <c r="N2093" s="1015" t="s">
        <v>1856</v>
      </c>
      <c r="O2093" s="210" t="s">
        <v>7508</v>
      </c>
      <c r="P2093" s="68" t="s">
        <v>100</v>
      </c>
      <c r="Q2093" s="100">
        <f t="shared" si="1141"/>
        <v>0</v>
      </c>
      <c r="R2093" s="13" t="str">
        <f t="shared" si="1145"/>
        <v>Фото &gt;&gt;</v>
      </c>
      <c r="S2093" s="14" t="s">
        <v>6963</v>
      </c>
      <c r="U2093" s="4"/>
      <c r="V2093" s="4"/>
      <c r="AG2093" s="84"/>
      <c r="AH2093" s="84"/>
      <c r="AK2093">
        <v>0.23</v>
      </c>
      <c r="AL2093">
        <f t="shared" si="1152"/>
        <v>0</v>
      </c>
      <c r="AM2093">
        <f t="shared" si="1153"/>
        <v>0</v>
      </c>
      <c r="AN2093">
        <f t="shared" si="1154"/>
        <v>0</v>
      </c>
      <c r="AO2093" t="s">
        <v>6964</v>
      </c>
      <c r="AV2093" t="str">
        <f>IF(F2093&gt;0,(COUNT($AV$1:AV2092)+1),"")</f>
        <v/>
      </c>
    </row>
    <row r="2094" spans="1:53" ht="15" customHeight="1" x14ac:dyDescent="0.25">
      <c r="A2094" s="1"/>
      <c r="B2094" s="30">
        <v>21068</v>
      </c>
      <c r="C2094" s="20">
        <v>4607941900336</v>
      </c>
      <c r="D2094" s="421" t="s">
        <v>7518</v>
      </c>
      <c r="E2094" s="67">
        <v>8</v>
      </c>
      <c r="F2094" s="222"/>
      <c r="G2094" s="417">
        <v>138.19999999999999</v>
      </c>
      <c r="H2094" s="417">
        <v>143.80000000000001</v>
      </c>
      <c r="I2094" s="418">
        <v>149.5</v>
      </c>
      <c r="J2094" s="112" t="s">
        <v>5827</v>
      </c>
      <c r="K2094" s="45" t="s">
        <v>326</v>
      </c>
      <c r="L2094" s="437"/>
      <c r="M2094" s="474"/>
      <c r="N2094" s="1013" t="s">
        <v>1856</v>
      </c>
      <c r="O2094" s="209" t="s">
        <v>7509</v>
      </c>
      <c r="P2094" s="66" t="s">
        <v>100</v>
      </c>
      <c r="Q2094" s="100">
        <f t="shared" si="1141"/>
        <v>0</v>
      </c>
      <c r="R2094" s="13" t="str">
        <f t="shared" si="1145"/>
        <v>Фото &gt;&gt;</v>
      </c>
      <c r="S2094" s="14" t="s">
        <v>5901</v>
      </c>
      <c r="U2094" s="4"/>
      <c r="V2094" s="4"/>
      <c r="AG2094" s="84"/>
      <c r="AH2094" s="84"/>
      <c r="AK2094">
        <v>0.23</v>
      </c>
      <c r="AL2094">
        <f t="shared" si="1152"/>
        <v>0</v>
      </c>
      <c r="AM2094">
        <f t="shared" si="1153"/>
        <v>0</v>
      </c>
      <c r="AN2094">
        <f t="shared" si="1154"/>
        <v>0</v>
      </c>
      <c r="AO2094" t="s">
        <v>5902</v>
      </c>
      <c r="AV2094" t="str">
        <f>IF(F2094&gt;0,(COUNT($AV$1:AV2093)+1),"")</f>
        <v/>
      </c>
    </row>
    <row r="2095" spans="1:53" ht="15" customHeight="1" x14ac:dyDescent="0.25">
      <c r="A2095" s="1"/>
      <c r="B2095" s="31">
        <v>21066</v>
      </c>
      <c r="C2095" s="16">
        <v>4627112870374</v>
      </c>
      <c r="D2095" s="226" t="s">
        <v>6315</v>
      </c>
      <c r="E2095" s="69">
        <v>8</v>
      </c>
      <c r="F2095" s="222"/>
      <c r="G2095" s="17">
        <v>181.6</v>
      </c>
      <c r="H2095" s="17">
        <v>189</v>
      </c>
      <c r="I2095" s="18">
        <v>195.8</v>
      </c>
      <c r="J2095" s="113" t="s">
        <v>5827</v>
      </c>
      <c r="K2095" s="44" t="s">
        <v>326</v>
      </c>
      <c r="L2095" s="442"/>
      <c r="M2095" s="480"/>
      <c r="N2095" s="1015" t="s">
        <v>1856</v>
      </c>
      <c r="O2095" s="210"/>
      <c r="P2095" s="68" t="s">
        <v>100</v>
      </c>
      <c r="Q2095" s="100">
        <f t="shared" si="1141"/>
        <v>0</v>
      </c>
      <c r="R2095" s="13" t="str">
        <f t="shared" si="1145"/>
        <v>Фото &gt;&gt;</v>
      </c>
      <c r="S2095" s="14" t="s">
        <v>5899</v>
      </c>
      <c r="U2095" s="4"/>
      <c r="V2095" s="4"/>
      <c r="AG2095" s="84"/>
      <c r="AH2095" s="84"/>
      <c r="AK2095">
        <v>0.23</v>
      </c>
      <c r="AL2095">
        <f t="shared" si="1152"/>
        <v>0</v>
      </c>
      <c r="AM2095">
        <f t="shared" si="1153"/>
        <v>0</v>
      </c>
      <c r="AN2095">
        <f t="shared" si="1154"/>
        <v>0</v>
      </c>
      <c r="AO2095" t="s">
        <v>5903</v>
      </c>
      <c r="AV2095" t="str">
        <f>IF(F2095&gt;0,(COUNT($AV$1:AV2094)+1),"")</f>
        <v/>
      </c>
    </row>
    <row r="2096" spans="1:53" ht="15" customHeight="1" x14ac:dyDescent="0.25">
      <c r="A2096" s="1"/>
      <c r="B2096" s="30">
        <v>21447</v>
      </c>
      <c r="C2096" s="20">
        <v>4607941900589</v>
      </c>
      <c r="D2096" s="421" t="s">
        <v>6935</v>
      </c>
      <c r="E2096" s="67">
        <v>8</v>
      </c>
      <c r="F2096" s="222"/>
      <c r="G2096" s="21">
        <v>188.7</v>
      </c>
      <c r="H2096" s="21">
        <v>196.4</v>
      </c>
      <c r="I2096" s="22">
        <v>203.8</v>
      </c>
      <c r="J2096" s="112" t="s">
        <v>5827</v>
      </c>
      <c r="K2096" s="45" t="s">
        <v>326</v>
      </c>
      <c r="L2096" s="437"/>
      <c r="M2096" s="474"/>
      <c r="N2096" s="1013" t="s">
        <v>1856</v>
      </c>
      <c r="O2096" s="209" t="s">
        <v>1637</v>
      </c>
      <c r="P2096" s="66" t="s">
        <v>100</v>
      </c>
      <c r="Q2096" s="100">
        <f t="shared" si="1141"/>
        <v>0</v>
      </c>
      <c r="R2096" s="94" t="str">
        <f t="shared" si="1145"/>
        <v>Фото &gt;&gt;</v>
      </c>
      <c r="S2096" s="14" t="s">
        <v>6829</v>
      </c>
      <c r="U2096" s="4"/>
      <c r="V2096" s="4"/>
      <c r="AG2096" s="84"/>
      <c r="AH2096" s="84"/>
      <c r="AK2096">
        <v>0.23</v>
      </c>
      <c r="AL2096">
        <f t="shared" ref="AL2096:AL2105" si="1155">F2096*G2096</f>
        <v>0</v>
      </c>
      <c r="AM2096">
        <f t="shared" ref="AM2096:AM2105" si="1156">F2096*H2096</f>
        <v>0</v>
      </c>
      <c r="AN2096">
        <f t="shared" ref="AN2096:AN2105" si="1157">AK2096*F2096+IF(E2096&gt;1.01,F2096/E2096*0.2,0)</f>
        <v>0</v>
      </c>
      <c r="AO2096" t="s">
        <v>6830</v>
      </c>
      <c r="AV2096" t="str">
        <f>IF(F2096&gt;0,(COUNT($AV$1:AV2095)+1),"")</f>
        <v/>
      </c>
    </row>
    <row r="2097" spans="1:48" ht="15" customHeight="1" x14ac:dyDescent="0.25">
      <c r="A2097" s="1"/>
      <c r="B2097" s="31">
        <v>21064</v>
      </c>
      <c r="C2097" s="16">
        <v>4627112870275</v>
      </c>
      <c r="D2097" s="226" t="s">
        <v>6316</v>
      </c>
      <c r="E2097" s="69">
        <v>8</v>
      </c>
      <c r="F2097" s="222"/>
      <c r="G2097" s="17">
        <v>209.7</v>
      </c>
      <c r="H2097" s="17">
        <v>218.5</v>
      </c>
      <c r="I2097" s="18">
        <v>227</v>
      </c>
      <c r="J2097" s="113" t="s">
        <v>5827</v>
      </c>
      <c r="K2097" s="44" t="s">
        <v>326</v>
      </c>
      <c r="L2097" s="442"/>
      <c r="M2097" s="480"/>
      <c r="N2097" s="1015" t="s">
        <v>1856</v>
      </c>
      <c r="O2097" s="210"/>
      <c r="P2097" s="68" t="s">
        <v>100</v>
      </c>
      <c r="Q2097" s="100">
        <f t="shared" si="1141"/>
        <v>0</v>
      </c>
      <c r="R2097" s="13" t="str">
        <f t="shared" si="1145"/>
        <v>Фото &gt;&gt;</v>
      </c>
      <c r="S2097" s="14" t="s">
        <v>5900</v>
      </c>
      <c r="U2097" s="4"/>
      <c r="V2097" s="4"/>
      <c r="AG2097" s="84"/>
      <c r="AH2097" s="84"/>
      <c r="AK2097">
        <v>0.23</v>
      </c>
      <c r="AL2097">
        <f t="shared" si="1155"/>
        <v>0</v>
      </c>
      <c r="AM2097">
        <f t="shared" si="1156"/>
        <v>0</v>
      </c>
      <c r="AN2097">
        <f t="shared" si="1157"/>
        <v>0</v>
      </c>
      <c r="AO2097" t="s">
        <v>5904</v>
      </c>
      <c r="AV2097" t="str">
        <f>IF(F2097&gt;0,(COUNT($AV$1:AV2096)+1),"")</f>
        <v/>
      </c>
    </row>
    <row r="2098" spans="1:48" ht="15" customHeight="1" x14ac:dyDescent="0.25">
      <c r="A2098" s="1"/>
      <c r="B2098" s="37">
        <v>21023</v>
      </c>
      <c r="C2098" s="23">
        <v>4627112870497</v>
      </c>
      <c r="D2098" s="237" t="s">
        <v>6317</v>
      </c>
      <c r="E2098" s="75">
        <v>8</v>
      </c>
      <c r="F2098" s="223"/>
      <c r="G2098" s="5">
        <v>201.5</v>
      </c>
      <c r="H2098" s="5">
        <v>209.7</v>
      </c>
      <c r="I2098" s="24">
        <v>218</v>
      </c>
      <c r="J2098" s="115" t="s">
        <v>5827</v>
      </c>
      <c r="K2098" s="46" t="s">
        <v>326</v>
      </c>
      <c r="L2098" s="440"/>
      <c r="M2098" s="482"/>
      <c r="N2098" s="1002" t="s">
        <v>1856</v>
      </c>
      <c r="O2098" s="211"/>
      <c r="P2098" s="74" t="s">
        <v>100</v>
      </c>
      <c r="Q2098" s="100">
        <f t="shared" si="1141"/>
        <v>0</v>
      </c>
      <c r="R2098" s="13" t="str">
        <f t="shared" si="1145"/>
        <v>Фото &gt;&gt;</v>
      </c>
      <c r="S2098" s="14" t="s">
        <v>5799</v>
      </c>
      <c r="U2098" s="4"/>
      <c r="V2098" s="4"/>
      <c r="AG2098" s="84"/>
      <c r="AH2098" s="84"/>
      <c r="AK2098">
        <v>0.23</v>
      </c>
      <c r="AL2098">
        <f t="shared" si="1155"/>
        <v>0</v>
      </c>
      <c r="AM2098">
        <f t="shared" si="1156"/>
        <v>0</v>
      </c>
      <c r="AN2098">
        <f t="shared" si="1157"/>
        <v>0</v>
      </c>
      <c r="AO2098" t="s">
        <v>5819</v>
      </c>
      <c r="AV2098" t="str">
        <f>IF(F2098&gt;0,(COUNT($AV$1:AV2097)+1),"")</f>
        <v/>
      </c>
    </row>
    <row r="2099" spans="1:48" ht="15" customHeight="1" x14ac:dyDescent="0.25">
      <c r="A2099" s="1"/>
      <c r="B2099" s="795">
        <v>21445</v>
      </c>
      <c r="C2099" s="796">
        <v>4627112870039</v>
      </c>
      <c r="D2099" s="808" t="s">
        <v>6834</v>
      </c>
      <c r="E2099" s="798">
        <v>10</v>
      </c>
      <c r="F2099" s="789"/>
      <c r="G2099" s="799">
        <v>200</v>
      </c>
      <c r="H2099" s="799">
        <v>212.7</v>
      </c>
      <c r="I2099" s="800">
        <v>228.5</v>
      </c>
      <c r="J2099" s="801" t="s">
        <v>5827</v>
      </c>
      <c r="K2099" s="802" t="s">
        <v>78</v>
      </c>
      <c r="L2099" s="803"/>
      <c r="M2099" s="804"/>
      <c r="N2099" s="1006" t="s">
        <v>1856</v>
      </c>
      <c r="O2099" s="805" t="s">
        <v>1637</v>
      </c>
      <c r="P2099" s="806" t="s">
        <v>100</v>
      </c>
      <c r="Q2099" s="100">
        <f t="shared" si="1141"/>
        <v>0</v>
      </c>
      <c r="R2099" s="94" t="str">
        <f t="shared" si="1145"/>
        <v>Фото &gt;&gt;</v>
      </c>
      <c r="S2099" s="14" t="s">
        <v>6833</v>
      </c>
      <c r="U2099" s="4"/>
      <c r="V2099" s="4"/>
      <c r="AG2099" s="84"/>
      <c r="AH2099" s="84"/>
      <c r="AK2099">
        <v>0.52</v>
      </c>
      <c r="AL2099">
        <f t="shared" si="1155"/>
        <v>0</v>
      </c>
      <c r="AM2099">
        <f t="shared" si="1156"/>
        <v>0</v>
      </c>
      <c r="AN2099">
        <f t="shared" si="1157"/>
        <v>0</v>
      </c>
      <c r="AO2099" t="s">
        <v>6837</v>
      </c>
      <c r="AV2099" t="str">
        <f>IF(F2099&gt;0,(COUNT($AV$1:AV2098)+1),"")</f>
        <v/>
      </c>
    </row>
    <row r="2100" spans="1:48" ht="15" customHeight="1" x14ac:dyDescent="0.25">
      <c r="A2100" s="1"/>
      <c r="B2100" s="30">
        <v>21008</v>
      </c>
      <c r="C2100" s="20">
        <v>4607941900381</v>
      </c>
      <c r="D2100" s="225" t="s">
        <v>6318</v>
      </c>
      <c r="E2100" s="67">
        <v>10</v>
      </c>
      <c r="F2100" s="222"/>
      <c r="G2100" s="21">
        <v>145.19999999999999</v>
      </c>
      <c r="H2100" s="21">
        <v>154.4</v>
      </c>
      <c r="I2100" s="22">
        <v>165.8</v>
      </c>
      <c r="J2100" s="112" t="s">
        <v>5827</v>
      </c>
      <c r="K2100" s="45" t="s">
        <v>99</v>
      </c>
      <c r="L2100" s="437"/>
      <c r="M2100" s="474" t="s">
        <v>1856</v>
      </c>
      <c r="N2100" s="1013" t="s">
        <v>1856</v>
      </c>
      <c r="O2100" s="209"/>
      <c r="P2100" s="66" t="s">
        <v>100</v>
      </c>
      <c r="Q2100" s="100">
        <f t="shared" si="1141"/>
        <v>0</v>
      </c>
      <c r="R2100" s="13" t="str">
        <f t="shared" si="1145"/>
        <v>Фото &gt;&gt;</v>
      </c>
      <c r="S2100" s="14" t="s">
        <v>5803</v>
      </c>
      <c r="U2100" s="4"/>
      <c r="V2100" s="4"/>
      <c r="AG2100" s="84"/>
      <c r="AH2100" s="84"/>
      <c r="AK2100">
        <v>0.32</v>
      </c>
      <c r="AL2100">
        <f t="shared" si="1155"/>
        <v>0</v>
      </c>
      <c r="AM2100">
        <f t="shared" si="1156"/>
        <v>0</v>
      </c>
      <c r="AN2100">
        <f t="shared" si="1157"/>
        <v>0</v>
      </c>
      <c r="AO2100" t="s">
        <v>5820</v>
      </c>
      <c r="AV2100" t="str">
        <f>IF(F2100&gt;0,(COUNT($AV$1:AV2099)+1),"")</f>
        <v/>
      </c>
    </row>
    <row r="2101" spans="1:48" ht="15" customHeight="1" x14ac:dyDescent="0.25">
      <c r="A2101" s="1"/>
      <c r="B2101" s="31">
        <v>21009</v>
      </c>
      <c r="C2101" s="16">
        <v>4607941900374</v>
      </c>
      <c r="D2101" s="422" t="s">
        <v>7519</v>
      </c>
      <c r="E2101" s="69">
        <v>10</v>
      </c>
      <c r="F2101" s="222"/>
      <c r="G2101" s="415">
        <v>108.3</v>
      </c>
      <c r="H2101" s="415">
        <v>115.1</v>
      </c>
      <c r="I2101" s="416">
        <v>123.8</v>
      </c>
      <c r="J2101" s="113" t="s">
        <v>5827</v>
      </c>
      <c r="K2101" s="44" t="s">
        <v>99</v>
      </c>
      <c r="L2101" s="442"/>
      <c r="M2101" s="480" t="s">
        <v>1856</v>
      </c>
      <c r="N2101" s="1015" t="s">
        <v>1856</v>
      </c>
      <c r="O2101" s="210" t="s">
        <v>7510</v>
      </c>
      <c r="P2101" s="68" t="s">
        <v>100</v>
      </c>
      <c r="Q2101" s="100">
        <f t="shared" si="1141"/>
        <v>0</v>
      </c>
      <c r="R2101" s="13" t="str">
        <f t="shared" si="1145"/>
        <v>Фото &gt;&gt;</v>
      </c>
      <c r="S2101" s="14" t="s">
        <v>5801</v>
      </c>
      <c r="U2101" s="4"/>
      <c r="V2101" s="4"/>
      <c r="AG2101" s="84"/>
      <c r="AH2101" s="84"/>
      <c r="AK2101">
        <v>0.32</v>
      </c>
      <c r="AL2101">
        <f t="shared" si="1155"/>
        <v>0</v>
      </c>
      <c r="AM2101">
        <f t="shared" si="1156"/>
        <v>0</v>
      </c>
      <c r="AN2101">
        <f t="shared" si="1157"/>
        <v>0</v>
      </c>
      <c r="AO2101" t="s">
        <v>5821</v>
      </c>
      <c r="AV2101" t="str">
        <f>IF(F2101&gt;0,(COUNT($AV$1:AV2100)+1),"")</f>
        <v/>
      </c>
    </row>
    <row r="2102" spans="1:48" ht="15" customHeight="1" x14ac:dyDescent="0.25">
      <c r="A2102" s="1"/>
      <c r="B2102" s="30">
        <v>21007</v>
      </c>
      <c r="C2102" s="20">
        <v>4607941900343</v>
      </c>
      <c r="D2102" s="421" t="s">
        <v>7520</v>
      </c>
      <c r="E2102" s="67">
        <v>10</v>
      </c>
      <c r="F2102" s="222"/>
      <c r="G2102" s="417">
        <v>101.9</v>
      </c>
      <c r="H2102" s="417">
        <v>108.4</v>
      </c>
      <c r="I2102" s="418">
        <v>116.4</v>
      </c>
      <c r="J2102" s="112" t="s">
        <v>5827</v>
      </c>
      <c r="K2102" s="45" t="s">
        <v>99</v>
      </c>
      <c r="L2102" s="437"/>
      <c r="M2102" s="474" t="s">
        <v>1856</v>
      </c>
      <c r="N2102" s="1013" t="s">
        <v>1856</v>
      </c>
      <c r="O2102" s="209" t="s">
        <v>7511</v>
      </c>
      <c r="P2102" s="66" t="s">
        <v>100</v>
      </c>
      <c r="Q2102" s="100">
        <f t="shared" si="1141"/>
        <v>0</v>
      </c>
      <c r="R2102" s="13" t="str">
        <f t="shared" si="1145"/>
        <v>Фото &gt;&gt;</v>
      </c>
      <c r="S2102" s="14" t="s">
        <v>5804</v>
      </c>
      <c r="U2102" s="4"/>
      <c r="V2102" s="4"/>
      <c r="AG2102" s="84"/>
      <c r="AH2102" s="84"/>
      <c r="AK2102">
        <v>0.32</v>
      </c>
      <c r="AL2102">
        <f t="shared" si="1155"/>
        <v>0</v>
      </c>
      <c r="AM2102">
        <f t="shared" si="1156"/>
        <v>0</v>
      </c>
      <c r="AN2102">
        <f t="shared" si="1157"/>
        <v>0</v>
      </c>
      <c r="AO2102" t="s">
        <v>5822</v>
      </c>
      <c r="AV2102" t="str">
        <f>IF(F2102&gt;0,(COUNT($AV$1:AV2101)+1),"")</f>
        <v/>
      </c>
    </row>
    <row r="2103" spans="1:48" ht="15" customHeight="1" x14ac:dyDescent="0.25">
      <c r="A2103" s="1"/>
      <c r="B2103" s="31">
        <v>21010</v>
      </c>
      <c r="C2103" s="16">
        <v>4607941900473</v>
      </c>
      <c r="D2103" s="422" t="s">
        <v>7521</v>
      </c>
      <c r="E2103" s="69">
        <v>10</v>
      </c>
      <c r="F2103" s="222"/>
      <c r="G2103" s="415">
        <v>110.7</v>
      </c>
      <c r="H2103" s="415">
        <v>117.7</v>
      </c>
      <c r="I2103" s="416">
        <v>126.4</v>
      </c>
      <c r="J2103" s="113" t="s">
        <v>5827</v>
      </c>
      <c r="K2103" s="44" t="s">
        <v>99</v>
      </c>
      <c r="L2103" s="442"/>
      <c r="M2103" s="480" t="s">
        <v>1856</v>
      </c>
      <c r="N2103" s="1015" t="s">
        <v>1856</v>
      </c>
      <c r="O2103" s="210" t="s">
        <v>7512</v>
      </c>
      <c r="P2103" s="68" t="s">
        <v>100</v>
      </c>
      <c r="Q2103" s="100">
        <f t="shared" si="1141"/>
        <v>0</v>
      </c>
      <c r="R2103" s="13" t="str">
        <f t="shared" si="1145"/>
        <v>Фото &gt;&gt;</v>
      </c>
      <c r="S2103" s="14" t="s">
        <v>5802</v>
      </c>
      <c r="U2103" s="4"/>
      <c r="V2103" s="4"/>
      <c r="AG2103" s="84"/>
      <c r="AH2103" s="84"/>
      <c r="AK2103">
        <v>0.32</v>
      </c>
      <c r="AL2103">
        <f t="shared" si="1155"/>
        <v>0</v>
      </c>
      <c r="AM2103">
        <f t="shared" si="1156"/>
        <v>0</v>
      </c>
      <c r="AN2103">
        <f t="shared" si="1157"/>
        <v>0</v>
      </c>
      <c r="AO2103" t="s">
        <v>5823</v>
      </c>
      <c r="AV2103" t="str">
        <f>IF(F2103&gt;0,(COUNT($AV$1:AV2102)+1),"")</f>
        <v/>
      </c>
    </row>
    <row r="2104" spans="1:48" ht="15" customHeight="1" x14ac:dyDescent="0.25">
      <c r="A2104" s="1"/>
      <c r="B2104" s="30">
        <v>21449</v>
      </c>
      <c r="C2104" s="20">
        <v>4607941900466</v>
      </c>
      <c r="D2104" s="225" t="s">
        <v>7582</v>
      </c>
      <c r="E2104" s="67">
        <v>10</v>
      </c>
      <c r="F2104" s="222"/>
      <c r="G2104" s="21">
        <v>156.69999999999999</v>
      </c>
      <c r="H2104" s="21">
        <v>167.5</v>
      </c>
      <c r="I2104" s="22">
        <v>180</v>
      </c>
      <c r="J2104" s="112" t="s">
        <v>5827</v>
      </c>
      <c r="K2104" s="45" t="s">
        <v>99</v>
      </c>
      <c r="L2104" s="437"/>
      <c r="M2104" s="474" t="s">
        <v>1856</v>
      </c>
      <c r="N2104" s="1013" t="s">
        <v>1856</v>
      </c>
      <c r="O2104" s="209"/>
      <c r="P2104" s="66" t="s">
        <v>100</v>
      </c>
      <c r="Q2104" s="100">
        <f t="shared" si="1141"/>
        <v>0</v>
      </c>
      <c r="R2104" s="94" t="str">
        <f t="shared" si="1145"/>
        <v>Фото &gt;&gt;</v>
      </c>
      <c r="S2104" s="14" t="s">
        <v>6835</v>
      </c>
      <c r="U2104" s="4"/>
      <c r="V2104" s="4"/>
      <c r="AG2104" s="84"/>
      <c r="AH2104" s="84"/>
      <c r="AK2104">
        <v>0.32</v>
      </c>
      <c r="AL2104">
        <f t="shared" si="1155"/>
        <v>0</v>
      </c>
      <c r="AM2104">
        <f t="shared" si="1156"/>
        <v>0</v>
      </c>
      <c r="AN2104">
        <f t="shared" si="1157"/>
        <v>0</v>
      </c>
      <c r="AO2104" t="s">
        <v>6836</v>
      </c>
      <c r="AV2104" t="str">
        <f>IF(F2104&gt;0,(COUNT($AV$1:AV2103)+1),"")</f>
        <v/>
      </c>
    </row>
    <row r="2105" spans="1:48" ht="15" customHeight="1" x14ac:dyDescent="0.25">
      <c r="A2105" s="1"/>
      <c r="B2105" s="31">
        <v>21011</v>
      </c>
      <c r="C2105" s="16">
        <v>4607941900503</v>
      </c>
      <c r="D2105" s="422" t="s">
        <v>7522</v>
      </c>
      <c r="E2105" s="69">
        <v>10</v>
      </c>
      <c r="F2105" s="222"/>
      <c r="G2105" s="415">
        <v>132.30000000000001</v>
      </c>
      <c r="H2105" s="415">
        <v>140.69999999999999</v>
      </c>
      <c r="I2105" s="416">
        <v>151.1</v>
      </c>
      <c r="J2105" s="113" t="s">
        <v>5827</v>
      </c>
      <c r="K2105" s="44" t="s">
        <v>99</v>
      </c>
      <c r="L2105" s="442"/>
      <c r="M2105" s="480" t="s">
        <v>1856</v>
      </c>
      <c r="N2105" s="1015" t="s">
        <v>1856</v>
      </c>
      <c r="O2105" s="210" t="s">
        <v>7513</v>
      </c>
      <c r="P2105" s="68" t="s">
        <v>100</v>
      </c>
      <c r="Q2105" s="100">
        <f t="shared" si="1141"/>
        <v>0</v>
      </c>
      <c r="R2105" s="13" t="str">
        <f t="shared" si="1145"/>
        <v>Фото &gt;&gt;</v>
      </c>
      <c r="S2105" s="14" t="s">
        <v>5800</v>
      </c>
      <c r="U2105" s="4"/>
      <c r="V2105" s="4"/>
      <c r="AG2105" s="84"/>
      <c r="AH2105" s="84"/>
      <c r="AK2105">
        <v>0.32</v>
      </c>
      <c r="AL2105">
        <f t="shared" si="1155"/>
        <v>0</v>
      </c>
      <c r="AM2105">
        <f t="shared" si="1156"/>
        <v>0</v>
      </c>
      <c r="AN2105">
        <f t="shared" si="1157"/>
        <v>0</v>
      </c>
      <c r="AO2105" t="s">
        <v>5824</v>
      </c>
      <c r="AV2105" t="str">
        <f>IF(F2105&gt;0,(COUNT($AV$1:AV2104)+1),"")</f>
        <v/>
      </c>
    </row>
    <row r="2106" spans="1:48" ht="15" customHeight="1" x14ac:dyDescent="0.25">
      <c r="A2106" s="1"/>
      <c r="B2106" s="125"/>
      <c r="C2106" s="126"/>
      <c r="D2106" s="127"/>
      <c r="E2106" s="134"/>
      <c r="F2106" s="189"/>
      <c r="G2106" s="130"/>
      <c r="H2106" s="131"/>
      <c r="I2106" s="132"/>
      <c r="J2106" s="128"/>
      <c r="K2106" s="129"/>
      <c r="L2106" s="433"/>
      <c r="M2106" s="481"/>
      <c r="N2106" s="471"/>
      <c r="O2106" s="181"/>
      <c r="P2106" s="133"/>
      <c r="Q2106" s="135"/>
      <c r="R2106" s="13"/>
      <c r="S2106" s="207"/>
      <c r="T2106" s="208"/>
      <c r="AV2106" t="str">
        <f>IF(F2106&gt;0,(COUNT($AV$1:AV2105)+1),"")</f>
        <v/>
      </c>
    </row>
    <row r="2107" spans="1:48" ht="15" customHeight="1" thickBot="1" x14ac:dyDescent="0.3">
      <c r="A2107" s="1"/>
      <c r="B2107" s="158"/>
      <c r="C2107" s="159"/>
      <c r="D2107" s="160"/>
      <c r="E2107" s="167"/>
      <c r="F2107" s="191"/>
      <c r="G2107" s="163"/>
      <c r="H2107" s="164"/>
      <c r="I2107" s="165"/>
      <c r="J2107" s="161"/>
      <c r="K2107" s="162"/>
      <c r="L2107" s="439"/>
      <c r="M2107" s="475"/>
      <c r="N2107" s="467"/>
      <c r="O2107" s="183"/>
      <c r="P2107" s="166"/>
      <c r="Q2107" s="168"/>
      <c r="R2107" s="13"/>
      <c r="S2107" s="207"/>
      <c r="T2107" s="208"/>
      <c r="AV2107" t="str">
        <f>IF(F2107&gt;0,(COUNT($AV$1:AV2106)+1),"")</f>
        <v/>
      </c>
    </row>
    <row r="2108" spans="1:48" ht="24.95" customHeight="1" thickBot="1" x14ac:dyDescent="0.3">
      <c r="A2108" s="1"/>
      <c r="B2108" s="169"/>
      <c r="C2108" s="170"/>
      <c r="D2108" s="171" t="str">
        <f>CONCATENATE("Bezglutini","     |     Сумма заказа: ",AK2108," руб.")</f>
        <v>Bezglutini     |     Сумма заказа: 0 руб.</v>
      </c>
      <c r="E2108" s="176"/>
      <c r="F2108" s="177"/>
      <c r="G2108" s="180" t="str">
        <f>CONCATENATE("Ценовая колонка: ",AO2108,"   |   До следующей скидки: ",AJ2108," руб.")</f>
        <v>Ценовая колонка: 3   |   До следующей скидки: 3000 руб.</v>
      </c>
      <c r="H2108" s="174"/>
      <c r="I2108" s="174"/>
      <c r="J2108" s="172" t="s">
        <v>5550</v>
      </c>
      <c r="K2108" s="173"/>
      <c r="L2108" s="444"/>
      <c r="M2108" s="486" t="s">
        <v>104</v>
      </c>
      <c r="N2108" s="717"/>
      <c r="O2108" s="184"/>
      <c r="P2108" s="175"/>
      <c r="Q2108" s="178"/>
      <c r="R2108" s="179" t="s">
        <v>1558</v>
      </c>
      <c r="S2108" s="14"/>
      <c r="AG2108" s="84"/>
      <c r="AH2108" s="84"/>
      <c r="AJ2108">
        <f>ROUND(IF(AL2108&gt;15000,"0", IF(AND(AL2108&lt;15000,AM2108&gt;3000),15000-AL2108,3000-AM2108)),2)</f>
        <v>3000</v>
      </c>
      <c r="AK2108">
        <f>SUM(Q2110:Q2114)</f>
        <v>0</v>
      </c>
      <c r="AL2108">
        <f>SUM(AL2110:AL2114)</f>
        <v>0</v>
      </c>
      <c r="AM2108">
        <f>SUM(AM2110:AM2114)</f>
        <v>0</v>
      </c>
      <c r="AO2108">
        <f>IF(AM2108&gt;3000,IF(AL2108&gt;15000,1,2),3)</f>
        <v>3</v>
      </c>
      <c r="AV2108" t="str">
        <f>IF(F2108&gt;0,(COUNT($AV$1:AV2107)+1),"")</f>
        <v/>
      </c>
    </row>
    <row r="2109" spans="1:48" ht="15" customHeight="1" x14ac:dyDescent="0.25">
      <c r="A2109" s="1"/>
      <c r="B2109" s="297"/>
      <c r="C2109" s="283"/>
      <c r="D2109" s="284" t="s">
        <v>367</v>
      </c>
      <c r="E2109" s="285"/>
      <c r="F2109" s="286"/>
      <c r="G2109" s="40" t="s">
        <v>170</v>
      </c>
      <c r="H2109" s="41" t="s">
        <v>1461</v>
      </c>
      <c r="I2109" s="41" t="s">
        <v>221</v>
      </c>
      <c r="J2109" s="289"/>
      <c r="K2109" s="290"/>
      <c r="L2109" s="452"/>
      <c r="M2109" s="496" t="s">
        <v>104</v>
      </c>
      <c r="N2109" s="572"/>
      <c r="O2109" s="291"/>
      <c r="P2109" s="292"/>
      <c r="Q2109" s="293"/>
      <c r="R2109" s="425"/>
      <c r="S2109" s="6"/>
      <c r="AV2109" t="str">
        <f>IF(F2109&gt;0,(COUNT($AV$1:AV2108)+1),"")</f>
        <v/>
      </c>
    </row>
    <row r="2110" spans="1:48" ht="15" customHeight="1" x14ac:dyDescent="0.25">
      <c r="A2110" s="1"/>
      <c r="B2110" s="30">
        <v>21435</v>
      </c>
      <c r="C2110" s="20">
        <v>4620286090890</v>
      </c>
      <c r="D2110" s="421" t="s">
        <v>6777</v>
      </c>
      <c r="E2110" s="67">
        <v>14</v>
      </c>
      <c r="F2110" s="222"/>
      <c r="G2110" s="419">
        <v>130.30000000000001</v>
      </c>
      <c r="H2110" s="417">
        <v>136.9</v>
      </c>
      <c r="I2110" s="418">
        <v>144</v>
      </c>
      <c r="J2110" s="112" t="s">
        <v>5550</v>
      </c>
      <c r="K2110" s="45" t="s">
        <v>367</v>
      </c>
      <c r="L2110" s="437"/>
      <c r="M2110" s="474"/>
      <c r="N2110" s="1013"/>
      <c r="O2110" s="209" t="s">
        <v>7523</v>
      </c>
      <c r="P2110" s="66" t="s">
        <v>53</v>
      </c>
      <c r="Q2110" s="100">
        <f>IF($AO$2108=2,F2110*H2110,IF($AO$2108=1,F2110*G2110,F2110*I2110))</f>
        <v>0</v>
      </c>
      <c r="R2110" s="13" t="str">
        <f t="shared" ref="R2110" si="1158">IF(AO2110&gt;0,HYPERLINK(AO2110,"Фото &gt;&gt;"),"")</f>
        <v>Фото &gt;&gt;</v>
      </c>
      <c r="S2110" s="14" t="s">
        <v>6778</v>
      </c>
      <c r="U2110" s="4"/>
      <c r="V2110" s="4"/>
      <c r="AG2110" s="84"/>
      <c r="AH2110" s="84"/>
      <c r="AK2110">
        <v>0.1</v>
      </c>
      <c r="AL2110">
        <f t="shared" ref="AL2110:AL2114" si="1159">F2110*G2110</f>
        <v>0</v>
      </c>
      <c r="AM2110">
        <f t="shared" ref="AM2110:AM2114" si="1160">F2110*H2110</f>
        <v>0</v>
      </c>
      <c r="AN2110">
        <f t="shared" ref="AN2110:AN2114" si="1161">AK2110*F2110+IF(E2110&gt;1.01,F2110/E2110*0.2,0)</f>
        <v>0</v>
      </c>
      <c r="AO2110" t="s">
        <v>6776</v>
      </c>
      <c r="AV2110" t="str">
        <f>IF(F2110&gt;0,(COUNT($AV$1:AV2109)+1),"")</f>
        <v/>
      </c>
    </row>
    <row r="2111" spans="1:48" ht="15" customHeight="1" x14ac:dyDescent="0.25">
      <c r="A2111" s="1"/>
      <c r="B2111" s="31">
        <v>20933</v>
      </c>
      <c r="C2111" s="16">
        <v>4620286090036</v>
      </c>
      <c r="D2111" s="422" t="s">
        <v>7495</v>
      </c>
      <c r="E2111" s="69">
        <v>14</v>
      </c>
      <c r="F2111" s="222"/>
      <c r="G2111" s="420">
        <v>115.3</v>
      </c>
      <c r="H2111" s="415">
        <v>121.1</v>
      </c>
      <c r="I2111" s="416">
        <v>126.9</v>
      </c>
      <c r="J2111" s="113" t="s">
        <v>5550</v>
      </c>
      <c r="K2111" s="44" t="s">
        <v>367</v>
      </c>
      <c r="L2111" s="442"/>
      <c r="M2111" s="480"/>
      <c r="N2111" s="1015"/>
      <c r="O2111" s="210" t="s">
        <v>7524</v>
      </c>
      <c r="P2111" s="68" t="s">
        <v>53</v>
      </c>
      <c r="Q2111" s="100">
        <f>IF($AO$2108=2,F2111*H2111,IF($AO$2108=1,F2111*G2111,F2111*I2111))</f>
        <v>0</v>
      </c>
      <c r="R2111" s="13" t="str">
        <f t="shared" ref="R2111:R2113" si="1162">IF(AO2111&gt;0,HYPERLINK(AO2111,"Фото &gt;&gt;"),"")</f>
        <v>Фото &gt;&gt;</v>
      </c>
      <c r="S2111" s="14" t="s">
        <v>5558</v>
      </c>
      <c r="U2111" s="4"/>
      <c r="V2111" s="4"/>
      <c r="AG2111" s="84"/>
      <c r="AH2111" s="84"/>
      <c r="AK2111">
        <v>0.12</v>
      </c>
      <c r="AL2111">
        <f t="shared" si="1159"/>
        <v>0</v>
      </c>
      <c r="AM2111">
        <f t="shared" si="1160"/>
        <v>0</v>
      </c>
      <c r="AN2111">
        <f t="shared" si="1161"/>
        <v>0</v>
      </c>
      <c r="AO2111" t="s">
        <v>5551</v>
      </c>
      <c r="AV2111" t="str">
        <f>IF(F2111&gt;0,(COUNT($AV$1:AV2110)+1),"")</f>
        <v/>
      </c>
    </row>
    <row r="2112" spans="1:48" ht="15" customHeight="1" x14ac:dyDescent="0.25">
      <c r="A2112" s="1"/>
      <c r="B2112" s="30">
        <v>20914</v>
      </c>
      <c r="C2112" s="20">
        <v>4620286090043</v>
      </c>
      <c r="D2112" s="421" t="s">
        <v>5549</v>
      </c>
      <c r="E2112" s="67">
        <v>14</v>
      </c>
      <c r="F2112" s="222"/>
      <c r="G2112" s="419">
        <v>123.6</v>
      </c>
      <c r="H2112" s="417">
        <v>129.6</v>
      </c>
      <c r="I2112" s="418">
        <v>135.9</v>
      </c>
      <c r="J2112" s="112" t="s">
        <v>5550</v>
      </c>
      <c r="K2112" s="45" t="s">
        <v>326</v>
      </c>
      <c r="L2112" s="437"/>
      <c r="M2112" s="474" t="s">
        <v>1856</v>
      </c>
      <c r="N2112" s="1013" t="s">
        <v>1856</v>
      </c>
      <c r="O2112" s="209" t="s">
        <v>7524</v>
      </c>
      <c r="P2112" s="66" t="s">
        <v>53</v>
      </c>
      <c r="Q2112" s="100">
        <f>IF($AO$2108=2,F2112*H2112,IF($AO$2108=1,F2112*G2112,F2112*I2112))</f>
        <v>0</v>
      </c>
      <c r="R2112" s="13" t="str">
        <f t="shared" si="1162"/>
        <v>Фото &gt;&gt;</v>
      </c>
      <c r="S2112" s="14" t="s">
        <v>5555</v>
      </c>
      <c r="U2112" s="4"/>
      <c r="V2112" s="4"/>
      <c r="AG2112" s="84"/>
      <c r="AH2112" s="84"/>
      <c r="AK2112">
        <v>0.11</v>
      </c>
      <c r="AL2112">
        <f t="shared" si="1159"/>
        <v>0</v>
      </c>
      <c r="AM2112">
        <f t="shared" si="1160"/>
        <v>0</v>
      </c>
      <c r="AN2112">
        <f t="shared" si="1161"/>
        <v>0</v>
      </c>
      <c r="AO2112" t="s">
        <v>5552</v>
      </c>
      <c r="AV2112" t="str">
        <f>IF(F2112&gt;0,(COUNT($AV$1:AV2111)+1),"")</f>
        <v/>
      </c>
    </row>
    <row r="2113" spans="1:48" ht="15" customHeight="1" x14ac:dyDescent="0.25">
      <c r="A2113" s="1"/>
      <c r="B2113" s="31">
        <v>20916</v>
      </c>
      <c r="C2113" s="16">
        <v>4620286090166</v>
      </c>
      <c r="D2113" s="422" t="s">
        <v>7496</v>
      </c>
      <c r="E2113" s="69">
        <v>14</v>
      </c>
      <c r="F2113" s="222"/>
      <c r="G2113" s="420">
        <v>131.80000000000001</v>
      </c>
      <c r="H2113" s="415">
        <v>138.30000000000001</v>
      </c>
      <c r="I2113" s="416">
        <v>145.30000000000001</v>
      </c>
      <c r="J2113" s="113" t="s">
        <v>5550</v>
      </c>
      <c r="K2113" s="44" t="s">
        <v>326</v>
      </c>
      <c r="L2113" s="442"/>
      <c r="M2113" s="480" t="s">
        <v>1856</v>
      </c>
      <c r="N2113" s="1015" t="s">
        <v>1856</v>
      </c>
      <c r="O2113" s="210" t="s">
        <v>7524</v>
      </c>
      <c r="P2113" s="68" t="s">
        <v>53</v>
      </c>
      <c r="Q2113" s="100">
        <f>IF($AO$2108=2,F2113*H2113,IF($AO$2108=1,F2113*G2113,F2113*I2113))</f>
        <v>0</v>
      </c>
      <c r="R2113" s="13" t="str">
        <f t="shared" si="1162"/>
        <v>Фото &gt;&gt;</v>
      </c>
      <c r="S2113" s="14" t="s">
        <v>5556</v>
      </c>
      <c r="U2113" s="4"/>
      <c r="V2113" s="4"/>
      <c r="AG2113" s="84"/>
      <c r="AH2113" s="84"/>
      <c r="AK2113">
        <v>0.11</v>
      </c>
      <c r="AL2113">
        <f t="shared" si="1159"/>
        <v>0</v>
      </c>
      <c r="AM2113">
        <f t="shared" si="1160"/>
        <v>0</v>
      </c>
      <c r="AN2113">
        <f t="shared" si="1161"/>
        <v>0</v>
      </c>
      <c r="AO2113" t="s">
        <v>5553</v>
      </c>
      <c r="AV2113" t="str">
        <f>IF(F2113&gt;0,(COUNT($AV$1:AV2112)+1),"")</f>
        <v/>
      </c>
    </row>
    <row r="2114" spans="1:48" ht="15" customHeight="1" x14ac:dyDescent="0.25">
      <c r="A2114" s="1"/>
      <c r="B2114" s="30">
        <v>20915</v>
      </c>
      <c r="C2114" s="20">
        <v>4620286090050</v>
      </c>
      <c r="D2114" s="421" t="s">
        <v>7497</v>
      </c>
      <c r="E2114" s="67">
        <v>14</v>
      </c>
      <c r="F2114" s="222"/>
      <c r="G2114" s="419">
        <v>123.6</v>
      </c>
      <c r="H2114" s="417">
        <v>129.6</v>
      </c>
      <c r="I2114" s="418">
        <v>136.80000000000001</v>
      </c>
      <c r="J2114" s="112" t="s">
        <v>5550</v>
      </c>
      <c r="K2114" s="45" t="s">
        <v>326</v>
      </c>
      <c r="L2114" s="437"/>
      <c r="M2114" s="474" t="s">
        <v>1856</v>
      </c>
      <c r="N2114" s="1013" t="s">
        <v>1856</v>
      </c>
      <c r="O2114" s="209" t="s">
        <v>7524</v>
      </c>
      <c r="P2114" s="66" t="s">
        <v>53</v>
      </c>
      <c r="Q2114" s="100">
        <f>IF($AO$2108=2,F2114*H2114,IF($AO$2108=1,F2114*G2114,F2114*I2114))</f>
        <v>0</v>
      </c>
      <c r="R2114" s="13" t="str">
        <f t="shared" ref="R2114" si="1163">IF(AO2114&gt;0,HYPERLINK(AO2114,"Фото &gt;&gt;"),"")</f>
        <v>Фото &gt;&gt;</v>
      </c>
      <c r="S2114" s="14" t="s">
        <v>5557</v>
      </c>
      <c r="U2114" s="4"/>
      <c r="V2114" s="4"/>
      <c r="AG2114" s="84"/>
      <c r="AH2114" s="84"/>
      <c r="AK2114">
        <v>0.11</v>
      </c>
      <c r="AL2114">
        <f t="shared" si="1159"/>
        <v>0</v>
      </c>
      <c r="AM2114">
        <f t="shared" si="1160"/>
        <v>0</v>
      </c>
      <c r="AN2114">
        <f t="shared" si="1161"/>
        <v>0</v>
      </c>
      <c r="AO2114" t="s">
        <v>5554</v>
      </c>
      <c r="AV2114" t="str">
        <f>IF(F2114&gt;0,(COUNT($AV$1:AV2113)+1),"")</f>
        <v/>
      </c>
    </row>
    <row r="2115" spans="1:48" ht="15" customHeight="1" x14ac:dyDescent="0.25">
      <c r="A2115" s="1"/>
      <c r="B2115" s="125"/>
      <c r="C2115" s="126"/>
      <c r="D2115" s="127"/>
      <c r="E2115" s="134"/>
      <c r="F2115" s="189"/>
      <c r="G2115" s="130"/>
      <c r="H2115" s="131"/>
      <c r="I2115" s="132"/>
      <c r="J2115" s="128"/>
      <c r="K2115" s="129"/>
      <c r="L2115" s="433"/>
      <c r="M2115" s="481"/>
      <c r="N2115" s="471"/>
      <c r="O2115" s="181"/>
      <c r="P2115" s="133"/>
      <c r="Q2115" s="135"/>
      <c r="R2115" s="13"/>
      <c r="S2115" s="14"/>
      <c r="AV2115" t="str">
        <f>IF(F2115&gt;0,(COUNT($AV$1:AV2114)+1),"")</f>
        <v/>
      </c>
    </row>
    <row r="2116" spans="1:48" ht="15" customHeight="1" thickBot="1" x14ac:dyDescent="0.3">
      <c r="A2116" s="1"/>
      <c r="B2116" s="158"/>
      <c r="C2116" s="159"/>
      <c r="D2116" s="160"/>
      <c r="E2116" s="167"/>
      <c r="F2116" s="191"/>
      <c r="G2116" s="163"/>
      <c r="H2116" s="164"/>
      <c r="I2116" s="165"/>
      <c r="J2116" s="161"/>
      <c r="K2116" s="162"/>
      <c r="L2116" s="439"/>
      <c r="M2116" s="475"/>
      <c r="N2116" s="467"/>
      <c r="O2116" s="183"/>
      <c r="P2116" s="166"/>
      <c r="Q2116" s="168"/>
      <c r="R2116" s="13"/>
      <c r="S2116" s="14"/>
      <c r="AV2116" t="str">
        <f>IF(F2116&gt;0,(COUNT($AV$1:AV2115)+1),"")</f>
        <v/>
      </c>
    </row>
    <row r="2117" spans="1:48" ht="24.95" customHeight="1" thickBot="1" x14ac:dyDescent="0.3">
      <c r="A2117" s="1"/>
      <c r="B2117" s="266"/>
      <c r="C2117" s="267"/>
      <c r="D2117" s="268" t="str">
        <f>CONCATENATE("Масляный король","     |     Сумма заказа: ",AK2117," руб.")</f>
        <v>Масляный король     |     Сумма заказа: 0 руб.</v>
      </c>
      <c r="E2117" s="269"/>
      <c r="F2117" s="270"/>
      <c r="G2117" s="271" t="str">
        <f>CONCATENATE("Ценовая колонка: ",AO2117,"   |   До следующей скидки: ",AJ2117," руб.")</f>
        <v>Ценовая колонка: 3   |   До следующей скидки: 5000 руб.</v>
      </c>
      <c r="H2117" s="272"/>
      <c r="I2117" s="272"/>
      <c r="J2117" s="273" t="s">
        <v>735</v>
      </c>
      <c r="K2117" s="274"/>
      <c r="L2117" s="451"/>
      <c r="M2117" s="495" t="s">
        <v>104</v>
      </c>
      <c r="N2117" s="571"/>
      <c r="O2117" s="275"/>
      <c r="P2117" s="276"/>
      <c r="Q2117" s="277"/>
      <c r="R2117" s="265" t="s">
        <v>1558</v>
      </c>
      <c r="S2117" s="6"/>
      <c r="AG2117" s="400"/>
      <c r="AH2117" s="400"/>
      <c r="AJ2117">
        <f>ROUND(IF(AL2117&gt;20000,"0", IF(AND(AL2117&lt;20000,AM2117&gt;5000),20000-AL2117,5000-AM2117)),2)</f>
        <v>5000</v>
      </c>
      <c r="AK2117">
        <f>SUM(Q2119:Q2162)</f>
        <v>0</v>
      </c>
      <c r="AL2117">
        <f>SUM(AL2119:AL2162)</f>
        <v>0</v>
      </c>
      <c r="AM2117">
        <f>SUM(AM2119:AM2162)</f>
        <v>0</v>
      </c>
      <c r="AO2117">
        <f>IF(AM2117&gt;5000,IF(AL2117&gt;20000,1,2),3)</f>
        <v>3</v>
      </c>
      <c r="AV2117" t="str">
        <f>IF(F2117&gt;0,(COUNT($AV$1:AV2116)+1),"")</f>
        <v/>
      </c>
    </row>
    <row r="2118" spans="1:48" ht="15" customHeight="1" x14ac:dyDescent="0.25">
      <c r="A2118" s="1"/>
      <c r="B2118" s="296"/>
      <c r="C2118" s="38"/>
      <c r="D2118" s="39" t="s">
        <v>101</v>
      </c>
      <c r="E2118" s="82"/>
      <c r="F2118" s="97"/>
      <c r="G2118" s="40" t="s">
        <v>15</v>
      </c>
      <c r="H2118" s="41" t="s">
        <v>16</v>
      </c>
      <c r="I2118" s="41" t="s">
        <v>221</v>
      </c>
      <c r="J2118" s="52"/>
      <c r="K2118" s="48"/>
      <c r="L2118" s="448"/>
      <c r="M2118" s="491" t="s">
        <v>104</v>
      </c>
      <c r="N2118" s="715"/>
      <c r="O2118" s="187"/>
      <c r="P2118" s="81"/>
      <c r="Q2118" s="105"/>
      <c r="R2118" s="13"/>
      <c r="S2118" s="14"/>
      <c r="AV2118" t="str">
        <f>IF(F2118&gt;0,(COUNT($AV$1:AV2117)+1),"")</f>
        <v/>
      </c>
    </row>
    <row r="2119" spans="1:48" ht="15" customHeight="1" x14ac:dyDescent="0.25">
      <c r="A2119" s="1"/>
      <c r="B2119" s="30">
        <v>14961</v>
      </c>
      <c r="C2119" s="20">
        <v>4607081023674</v>
      </c>
      <c r="D2119" s="225" t="s">
        <v>1633</v>
      </c>
      <c r="E2119" s="67">
        <v>20</v>
      </c>
      <c r="F2119" s="222"/>
      <c r="G2119" s="107">
        <v>88.1</v>
      </c>
      <c r="H2119" s="21">
        <v>91.8</v>
      </c>
      <c r="I2119" s="22">
        <v>103</v>
      </c>
      <c r="J2119" s="112" t="s">
        <v>735</v>
      </c>
      <c r="K2119" s="45" t="s">
        <v>101</v>
      </c>
      <c r="L2119" s="437"/>
      <c r="M2119" s="474" t="s">
        <v>1856</v>
      </c>
      <c r="N2119" s="1013" t="s">
        <v>1856</v>
      </c>
      <c r="O2119" s="209"/>
      <c r="P2119" s="66" t="s">
        <v>72</v>
      </c>
      <c r="Q2119" s="100">
        <f>IF($AO$2117=2,F2119*H2119,IF($AO$2117=1,F2119*G2119,F2119*I2119))</f>
        <v>0</v>
      </c>
      <c r="R2119" s="13" t="str">
        <f t="shared" ref="R2119" si="1164">IF(AO2119&gt;0,HYPERLINK(AO2119,"Фото &gt;&gt;"),"")</f>
        <v>Фото &gt;&gt;</v>
      </c>
      <c r="S2119" s="14" t="s">
        <v>736</v>
      </c>
      <c r="AK2119">
        <v>0.32</v>
      </c>
      <c r="AL2119">
        <f t="shared" ref="AL2119:AL2149" si="1165">F2119*G2119</f>
        <v>0</v>
      </c>
      <c r="AM2119">
        <f t="shared" ref="AM2119:AM2149" si="1166">F2119*H2119</f>
        <v>0</v>
      </c>
      <c r="AN2119">
        <f t="shared" ref="AN2119:AN2162" si="1167">AK2119*F2119+IF(E2119&gt;1.01,F2119/E2119*0.2,0)</f>
        <v>0</v>
      </c>
      <c r="AO2119" t="s">
        <v>5025</v>
      </c>
      <c r="AV2119" t="str">
        <f>IF(F2119&gt;0,(COUNT($AV$1:AV2118)+1),"")</f>
        <v/>
      </c>
    </row>
    <row r="2120" spans="1:48" ht="15" customHeight="1" x14ac:dyDescent="0.25">
      <c r="A2120" s="1"/>
      <c r="B2120" s="31">
        <v>14960</v>
      </c>
      <c r="C2120" s="16">
        <v>4607081023575</v>
      </c>
      <c r="D2120" s="226" t="s">
        <v>2220</v>
      </c>
      <c r="E2120" s="69">
        <v>20</v>
      </c>
      <c r="F2120" s="222"/>
      <c r="G2120" s="108">
        <v>121.7</v>
      </c>
      <c r="H2120" s="17">
        <v>126.8</v>
      </c>
      <c r="I2120" s="18">
        <v>142</v>
      </c>
      <c r="J2120" s="113" t="s">
        <v>735</v>
      </c>
      <c r="K2120" s="44" t="s">
        <v>101</v>
      </c>
      <c r="L2120" s="442"/>
      <c r="M2120" s="480" t="s">
        <v>1856</v>
      </c>
      <c r="N2120" s="1015" t="s">
        <v>1856</v>
      </c>
      <c r="O2120" s="210"/>
      <c r="P2120" s="68" t="s">
        <v>72</v>
      </c>
      <c r="Q2120" s="100">
        <f>IF($AO$2117=2,F2120*H2120,IF($AO$2117=1,F2120*G2120,F2120*I2120))</f>
        <v>0</v>
      </c>
      <c r="R2120" s="13" t="str">
        <f t="shared" ref="R2120:R2181" si="1168">IF(AO2120&gt;0,HYPERLINK(AO2120,"Фото &gt;&gt;"),"")</f>
        <v>Фото &gt;&gt;</v>
      </c>
      <c r="S2120" s="14" t="s">
        <v>737</v>
      </c>
      <c r="AK2120">
        <v>0.32</v>
      </c>
      <c r="AL2120">
        <f t="shared" si="1165"/>
        <v>0</v>
      </c>
      <c r="AM2120">
        <f t="shared" si="1166"/>
        <v>0</v>
      </c>
      <c r="AN2120">
        <f t="shared" si="1167"/>
        <v>0</v>
      </c>
      <c r="AO2120" t="s">
        <v>5026</v>
      </c>
      <c r="AV2120" t="str">
        <f>IF(F2120&gt;0,(COUNT($AV$1:AV2119)+1),"")</f>
        <v/>
      </c>
    </row>
    <row r="2121" spans="1:48" ht="15" customHeight="1" x14ac:dyDescent="0.25">
      <c r="A2121" s="1"/>
      <c r="B2121" s="30">
        <v>14959</v>
      </c>
      <c r="C2121" s="20">
        <v>4607081023551</v>
      </c>
      <c r="D2121" s="225" t="s">
        <v>2221</v>
      </c>
      <c r="E2121" s="67">
        <v>20</v>
      </c>
      <c r="F2121" s="222"/>
      <c r="G2121" s="107">
        <v>111.4</v>
      </c>
      <c r="H2121" s="21">
        <v>116</v>
      </c>
      <c r="I2121" s="22">
        <v>129.9</v>
      </c>
      <c r="J2121" s="112" t="s">
        <v>735</v>
      </c>
      <c r="K2121" s="45" t="s">
        <v>101</v>
      </c>
      <c r="L2121" s="437"/>
      <c r="M2121" s="474" t="s">
        <v>1856</v>
      </c>
      <c r="N2121" s="1013" t="s">
        <v>1856</v>
      </c>
      <c r="O2121" s="209"/>
      <c r="P2121" s="66" t="s">
        <v>72</v>
      </c>
      <c r="Q2121" s="100">
        <f>IF($AO$2117=2,F2121*H2121,IF($AO$2117=1,F2121*G2121,F2121*I2121))</f>
        <v>0</v>
      </c>
      <c r="R2121" s="13" t="str">
        <f t="shared" ref="R2121:R2135" si="1169">IF(AO2121&gt;0,HYPERLINK(AO2121,"Фото &gt;&gt;"),"")</f>
        <v>Фото &gt;&gt;</v>
      </c>
      <c r="S2121" s="14" t="s">
        <v>738</v>
      </c>
      <c r="AK2121">
        <v>0.32</v>
      </c>
      <c r="AL2121">
        <f t="shared" si="1165"/>
        <v>0</v>
      </c>
      <c r="AM2121">
        <f t="shared" si="1166"/>
        <v>0</v>
      </c>
      <c r="AN2121">
        <f t="shared" si="1167"/>
        <v>0</v>
      </c>
      <c r="AO2121" t="s">
        <v>5027</v>
      </c>
      <c r="AV2121" t="str">
        <f>IF(F2121&gt;0,(COUNT($AV$1:AV2120)+1),"")</f>
        <v/>
      </c>
    </row>
    <row r="2122" spans="1:48" ht="15" customHeight="1" x14ac:dyDescent="0.25">
      <c r="A2122" s="1"/>
      <c r="B2122" s="31">
        <v>14958</v>
      </c>
      <c r="C2122" s="16">
        <v>4607081023537</v>
      </c>
      <c r="D2122" s="226" t="s">
        <v>2222</v>
      </c>
      <c r="E2122" s="69">
        <v>20</v>
      </c>
      <c r="F2122" s="222"/>
      <c r="G2122" s="108">
        <v>121.7</v>
      </c>
      <c r="H2122" s="17">
        <v>126.8</v>
      </c>
      <c r="I2122" s="18">
        <v>142</v>
      </c>
      <c r="J2122" s="113" t="s">
        <v>735</v>
      </c>
      <c r="K2122" s="44" t="s">
        <v>101</v>
      </c>
      <c r="L2122" s="442"/>
      <c r="M2122" s="480" t="s">
        <v>1856</v>
      </c>
      <c r="N2122" s="1015" t="s">
        <v>1856</v>
      </c>
      <c r="O2122" s="210"/>
      <c r="P2122" s="68" t="s">
        <v>72</v>
      </c>
      <c r="Q2122" s="100">
        <f>IF($AO$2117=2,F2122*H2122,IF($AO$2117=1,F2122*G2122,F2122*I2122))</f>
        <v>0</v>
      </c>
      <c r="R2122" s="13"/>
      <c r="S2122" s="14" t="s">
        <v>739</v>
      </c>
      <c r="AK2122">
        <v>0.32</v>
      </c>
      <c r="AL2122">
        <f t="shared" si="1165"/>
        <v>0</v>
      </c>
      <c r="AM2122">
        <f t="shared" si="1166"/>
        <v>0</v>
      </c>
      <c r="AN2122">
        <f t="shared" si="1167"/>
        <v>0</v>
      </c>
      <c r="AO2122" t="s">
        <v>104</v>
      </c>
      <c r="AV2122" t="str">
        <f>IF(F2122&gt;0,(COUNT($AV$1:AV2121)+1),"")</f>
        <v/>
      </c>
    </row>
    <row r="2123" spans="1:48" ht="15" customHeight="1" x14ac:dyDescent="0.25">
      <c r="A2123" s="1"/>
      <c r="B2123" s="30">
        <v>14957</v>
      </c>
      <c r="C2123" s="20">
        <v>4607081023599</v>
      </c>
      <c r="D2123" s="225" t="s">
        <v>2223</v>
      </c>
      <c r="E2123" s="67">
        <v>20</v>
      </c>
      <c r="F2123" s="222"/>
      <c r="G2123" s="107">
        <v>121.7</v>
      </c>
      <c r="H2123" s="21">
        <v>126.8</v>
      </c>
      <c r="I2123" s="22">
        <v>142</v>
      </c>
      <c r="J2123" s="112" t="s">
        <v>735</v>
      </c>
      <c r="K2123" s="45" t="s">
        <v>101</v>
      </c>
      <c r="L2123" s="437"/>
      <c r="M2123" s="474" t="s">
        <v>1856</v>
      </c>
      <c r="N2123" s="1013" t="s">
        <v>1856</v>
      </c>
      <c r="O2123" s="209"/>
      <c r="P2123" s="66" t="s">
        <v>72</v>
      </c>
      <c r="Q2123" s="100">
        <f>IF($AO$2117=2,F2123*H2123,IF($AO$2117=1,F2123*G2123,F2123*I2123))</f>
        <v>0</v>
      </c>
      <c r="R2123" s="13" t="str">
        <f t="shared" si="1169"/>
        <v>Фото &gt;&gt;</v>
      </c>
      <c r="S2123" s="14" t="s">
        <v>740</v>
      </c>
      <c r="AK2123">
        <v>0.32</v>
      </c>
      <c r="AL2123">
        <f t="shared" si="1165"/>
        <v>0</v>
      </c>
      <c r="AM2123">
        <f t="shared" si="1166"/>
        <v>0</v>
      </c>
      <c r="AN2123">
        <f t="shared" si="1167"/>
        <v>0</v>
      </c>
      <c r="AO2123" t="s">
        <v>5028</v>
      </c>
      <c r="AV2123" t="str">
        <f>IF(F2123&gt;0,(COUNT($AV$1:AV2122)+1),"")</f>
        <v/>
      </c>
    </row>
    <row r="2124" spans="1:48" ht="15" customHeight="1" x14ac:dyDescent="0.25">
      <c r="A2124" s="1"/>
      <c r="B2124" s="25"/>
      <c r="C2124" s="26"/>
      <c r="D2124" s="228" t="s">
        <v>4496</v>
      </c>
      <c r="E2124" s="80"/>
      <c r="F2124" s="96"/>
      <c r="G2124" s="28"/>
      <c r="H2124" s="29"/>
      <c r="I2124" s="29"/>
      <c r="J2124" s="51"/>
      <c r="K2124" s="47"/>
      <c r="L2124" s="447"/>
      <c r="M2124" s="489"/>
      <c r="N2124" s="716"/>
      <c r="O2124" s="406"/>
      <c r="P2124" s="79"/>
      <c r="Q2124" s="104"/>
      <c r="R2124" s="13"/>
      <c r="S2124" s="14"/>
      <c r="AL2124">
        <f t="shared" ref="AL2124" si="1170">F2124*G2124</f>
        <v>0</v>
      </c>
      <c r="AM2124">
        <f t="shared" ref="AM2124" si="1171">F2124*H2124</f>
        <v>0</v>
      </c>
      <c r="AN2124">
        <f t="shared" ref="AN2124" si="1172">AK2124*F2124+IF(E2124&gt;1.01,F2124/E2124*0.2,0)</f>
        <v>0</v>
      </c>
      <c r="AO2124" t="s">
        <v>104</v>
      </c>
      <c r="AV2124" t="str">
        <f>IF(F2124&gt;0,(COUNT($AV$1:AV2123)+1),"")</f>
        <v/>
      </c>
    </row>
    <row r="2125" spans="1:48" ht="15" customHeight="1" x14ac:dyDescent="0.25">
      <c r="A2125" s="1"/>
      <c r="B2125" s="30">
        <v>20810</v>
      </c>
      <c r="C2125" s="20">
        <v>4607081025968</v>
      </c>
      <c r="D2125" s="225" t="s">
        <v>5771</v>
      </c>
      <c r="E2125" s="67">
        <v>12</v>
      </c>
      <c r="F2125" s="222"/>
      <c r="G2125" s="107">
        <v>165</v>
      </c>
      <c r="H2125" s="21">
        <v>173.5</v>
      </c>
      <c r="I2125" s="22">
        <v>190</v>
      </c>
      <c r="J2125" s="112" t="s">
        <v>735</v>
      </c>
      <c r="K2125" s="45" t="s">
        <v>19</v>
      </c>
      <c r="L2125" s="437"/>
      <c r="M2125" s="474" t="s">
        <v>1856</v>
      </c>
      <c r="N2125" s="1013" t="s">
        <v>1856</v>
      </c>
      <c r="O2125" s="209"/>
      <c r="P2125" s="66" t="s">
        <v>72</v>
      </c>
      <c r="Q2125" s="100">
        <f t="shared" ref="Q2125:Q2131" si="1173">IF($AO$2117=2,F2125*H2125,IF($AO$2117=1,F2125*G2125,F2125*I2125))</f>
        <v>0</v>
      </c>
      <c r="R2125" s="13" t="str">
        <f t="shared" si="1169"/>
        <v>Фото &gt;&gt;</v>
      </c>
      <c r="S2125" s="14" t="s">
        <v>4497</v>
      </c>
      <c r="AK2125">
        <v>0.5</v>
      </c>
      <c r="AL2125">
        <f t="shared" ref="AL2125:AL2134" si="1174">F2125*G2125</f>
        <v>0</v>
      </c>
      <c r="AM2125">
        <f t="shared" ref="AM2125:AM2134" si="1175">F2125*H2125</f>
        <v>0</v>
      </c>
      <c r="AN2125">
        <f t="shared" ref="AN2125:AN2134" si="1176">AK2125*F2125+IF(E2125&gt;1.01,F2125/E2125*0.2,0)</f>
        <v>0</v>
      </c>
      <c r="AO2125" t="s">
        <v>4504</v>
      </c>
      <c r="AV2125" t="str">
        <f>IF(F2125&gt;0,(COUNT($AV$1:AV2124)+1),"")</f>
        <v/>
      </c>
    </row>
    <row r="2126" spans="1:48" ht="15" customHeight="1" x14ac:dyDescent="0.25">
      <c r="A2126" s="1"/>
      <c r="B2126" s="31">
        <v>20813</v>
      </c>
      <c r="C2126" s="16">
        <v>4607081026040</v>
      </c>
      <c r="D2126" s="226" t="s">
        <v>5772</v>
      </c>
      <c r="E2126" s="69">
        <v>12</v>
      </c>
      <c r="F2126" s="222"/>
      <c r="G2126" s="108">
        <v>165</v>
      </c>
      <c r="H2126" s="17">
        <v>173.5</v>
      </c>
      <c r="I2126" s="18">
        <v>190</v>
      </c>
      <c r="J2126" s="113" t="s">
        <v>735</v>
      </c>
      <c r="K2126" s="44" t="s">
        <v>19</v>
      </c>
      <c r="L2126" s="442"/>
      <c r="M2126" s="480" t="s">
        <v>1856</v>
      </c>
      <c r="N2126" s="1015" t="s">
        <v>1856</v>
      </c>
      <c r="O2126" s="210"/>
      <c r="P2126" s="68" t="s">
        <v>72</v>
      </c>
      <c r="Q2126" s="100">
        <f t="shared" si="1173"/>
        <v>0</v>
      </c>
      <c r="R2126" s="13" t="str">
        <f t="shared" si="1169"/>
        <v>Фото &gt;&gt;</v>
      </c>
      <c r="S2126" s="14" t="s">
        <v>4499</v>
      </c>
      <c r="AK2126">
        <v>0.5</v>
      </c>
      <c r="AL2126">
        <f t="shared" si="1174"/>
        <v>0</v>
      </c>
      <c r="AM2126">
        <f t="shared" si="1175"/>
        <v>0</v>
      </c>
      <c r="AN2126">
        <f t="shared" si="1176"/>
        <v>0</v>
      </c>
      <c r="AO2126" t="s">
        <v>4505</v>
      </c>
      <c r="AV2126" t="str">
        <f>IF(F2126&gt;0,(COUNT($AV$1:AV2125)+1),"")</f>
        <v/>
      </c>
    </row>
    <row r="2127" spans="1:48" ht="15" customHeight="1" x14ac:dyDescent="0.25">
      <c r="A2127" s="1"/>
      <c r="B2127" s="30">
        <v>20812</v>
      </c>
      <c r="C2127" s="20">
        <v>4607081025920</v>
      </c>
      <c r="D2127" s="225" t="s">
        <v>5773</v>
      </c>
      <c r="E2127" s="67">
        <v>12</v>
      </c>
      <c r="F2127" s="222"/>
      <c r="G2127" s="107">
        <v>165</v>
      </c>
      <c r="H2127" s="21">
        <v>173.5</v>
      </c>
      <c r="I2127" s="22">
        <v>190</v>
      </c>
      <c r="J2127" s="112" t="s">
        <v>735</v>
      </c>
      <c r="K2127" s="45" t="s">
        <v>19</v>
      </c>
      <c r="L2127" s="437"/>
      <c r="M2127" s="474" t="s">
        <v>1856</v>
      </c>
      <c r="N2127" s="1013" t="s">
        <v>1856</v>
      </c>
      <c r="O2127" s="209"/>
      <c r="P2127" s="66" t="s">
        <v>72</v>
      </c>
      <c r="Q2127" s="100">
        <f t="shared" si="1173"/>
        <v>0</v>
      </c>
      <c r="R2127" s="13" t="str">
        <f t="shared" si="1169"/>
        <v>Фото &gt;&gt;</v>
      </c>
      <c r="S2127" s="14" t="s">
        <v>4500</v>
      </c>
      <c r="AK2127">
        <v>0.5</v>
      </c>
      <c r="AL2127">
        <f t="shared" si="1174"/>
        <v>0</v>
      </c>
      <c r="AM2127">
        <f t="shared" si="1175"/>
        <v>0</v>
      </c>
      <c r="AN2127">
        <f t="shared" si="1176"/>
        <v>0</v>
      </c>
      <c r="AO2127" t="s">
        <v>4506</v>
      </c>
      <c r="AV2127" t="str">
        <f>IF(F2127&gt;0,(COUNT($AV$1:AV2126)+1),"")</f>
        <v/>
      </c>
    </row>
    <row r="2128" spans="1:48" ht="15" customHeight="1" x14ac:dyDescent="0.25">
      <c r="A2128" s="1"/>
      <c r="B2128" s="31">
        <v>20811</v>
      </c>
      <c r="C2128" s="16">
        <v>4607081025982</v>
      </c>
      <c r="D2128" s="226" t="s">
        <v>5774</v>
      </c>
      <c r="E2128" s="69">
        <v>12</v>
      </c>
      <c r="F2128" s="222"/>
      <c r="G2128" s="108">
        <v>165</v>
      </c>
      <c r="H2128" s="17">
        <v>173.5</v>
      </c>
      <c r="I2128" s="18">
        <v>190</v>
      </c>
      <c r="J2128" s="113" t="s">
        <v>735</v>
      </c>
      <c r="K2128" s="44" t="s">
        <v>19</v>
      </c>
      <c r="L2128" s="442"/>
      <c r="M2128" s="480" t="s">
        <v>1856</v>
      </c>
      <c r="N2128" s="1015" t="s">
        <v>1856</v>
      </c>
      <c r="O2128" s="210"/>
      <c r="P2128" s="68" t="s">
        <v>72</v>
      </c>
      <c r="Q2128" s="100">
        <f t="shared" si="1173"/>
        <v>0</v>
      </c>
      <c r="R2128" s="13" t="str">
        <f t="shared" si="1169"/>
        <v>Фото &gt;&gt;</v>
      </c>
      <c r="S2128" s="14" t="s">
        <v>4501</v>
      </c>
      <c r="AK2128">
        <v>0.5</v>
      </c>
      <c r="AL2128">
        <f t="shared" si="1174"/>
        <v>0</v>
      </c>
      <c r="AM2128">
        <f t="shared" si="1175"/>
        <v>0</v>
      </c>
      <c r="AN2128">
        <f t="shared" si="1176"/>
        <v>0</v>
      </c>
      <c r="AO2128" t="s">
        <v>4507</v>
      </c>
      <c r="AV2128" t="str">
        <f>IF(F2128&gt;0,(COUNT($AV$1:AV2127)+1),"")</f>
        <v/>
      </c>
    </row>
    <row r="2129" spans="1:48" ht="15" customHeight="1" x14ac:dyDescent="0.25">
      <c r="A2129" s="1"/>
      <c r="B2129" s="30">
        <v>20809</v>
      </c>
      <c r="C2129" s="20">
        <v>460781025944</v>
      </c>
      <c r="D2129" s="225" t="s">
        <v>5775</v>
      </c>
      <c r="E2129" s="67">
        <v>12</v>
      </c>
      <c r="F2129" s="222"/>
      <c r="G2129" s="107">
        <v>165</v>
      </c>
      <c r="H2129" s="21">
        <v>173.5</v>
      </c>
      <c r="I2129" s="22">
        <v>190</v>
      </c>
      <c r="J2129" s="112" t="s">
        <v>735</v>
      </c>
      <c r="K2129" s="45" t="s">
        <v>19</v>
      </c>
      <c r="L2129" s="437"/>
      <c r="M2129" s="474" t="s">
        <v>1856</v>
      </c>
      <c r="N2129" s="1013" t="s">
        <v>1856</v>
      </c>
      <c r="O2129" s="209"/>
      <c r="P2129" s="66" t="s">
        <v>72</v>
      </c>
      <c r="Q2129" s="100">
        <f t="shared" si="1173"/>
        <v>0</v>
      </c>
      <c r="R2129" s="13" t="str">
        <f t="shared" si="1169"/>
        <v>Фото &gt;&gt;</v>
      </c>
      <c r="S2129" s="14" t="s">
        <v>4498</v>
      </c>
      <c r="AK2129">
        <v>0.5</v>
      </c>
      <c r="AL2129">
        <f t="shared" si="1174"/>
        <v>0</v>
      </c>
      <c r="AM2129">
        <f t="shared" si="1175"/>
        <v>0</v>
      </c>
      <c r="AN2129">
        <f t="shared" si="1176"/>
        <v>0</v>
      </c>
      <c r="AO2129" t="s">
        <v>4508</v>
      </c>
      <c r="AV2129" t="str">
        <f>IF(F2129&gt;0,(COUNT($AV$1:AV2128)+1),"")</f>
        <v/>
      </c>
    </row>
    <row r="2130" spans="1:48" ht="15" customHeight="1" x14ac:dyDescent="0.25">
      <c r="A2130" s="1"/>
      <c r="B2130" s="31">
        <v>20815</v>
      </c>
      <c r="C2130" s="16">
        <v>4607081026637</v>
      </c>
      <c r="D2130" s="226" t="s">
        <v>5776</v>
      </c>
      <c r="E2130" s="69">
        <v>12</v>
      </c>
      <c r="F2130" s="222"/>
      <c r="G2130" s="108">
        <v>165</v>
      </c>
      <c r="H2130" s="17">
        <v>173.5</v>
      </c>
      <c r="I2130" s="18">
        <v>190</v>
      </c>
      <c r="J2130" s="113" t="s">
        <v>735</v>
      </c>
      <c r="K2130" s="44" t="s">
        <v>19</v>
      </c>
      <c r="L2130" s="442"/>
      <c r="M2130" s="480" t="s">
        <v>1856</v>
      </c>
      <c r="N2130" s="1015" t="s">
        <v>1856</v>
      </c>
      <c r="O2130" s="210"/>
      <c r="P2130" s="68" t="s">
        <v>72</v>
      </c>
      <c r="Q2130" s="100">
        <f t="shared" si="1173"/>
        <v>0</v>
      </c>
      <c r="R2130" s="13"/>
      <c r="S2130" s="14" t="s">
        <v>4503</v>
      </c>
      <c r="AK2130">
        <v>0.5</v>
      </c>
      <c r="AL2130">
        <f t="shared" si="1174"/>
        <v>0</v>
      </c>
      <c r="AM2130">
        <f t="shared" si="1175"/>
        <v>0</v>
      </c>
      <c r="AN2130">
        <f t="shared" si="1176"/>
        <v>0</v>
      </c>
      <c r="AO2130" t="s">
        <v>104</v>
      </c>
      <c r="AV2130" t="str">
        <f>IF(F2130&gt;0,(COUNT($AV$1:AV2129)+1),"")</f>
        <v/>
      </c>
    </row>
    <row r="2131" spans="1:48" ht="15" customHeight="1" x14ac:dyDescent="0.25">
      <c r="A2131" s="1"/>
      <c r="B2131" s="30">
        <v>20814</v>
      </c>
      <c r="C2131" s="20">
        <v>4607081026002</v>
      </c>
      <c r="D2131" s="225" t="s">
        <v>5777</v>
      </c>
      <c r="E2131" s="67">
        <v>12</v>
      </c>
      <c r="F2131" s="222"/>
      <c r="G2131" s="107">
        <v>165</v>
      </c>
      <c r="H2131" s="21">
        <v>173.5</v>
      </c>
      <c r="I2131" s="22">
        <v>190</v>
      </c>
      <c r="J2131" s="112" t="s">
        <v>735</v>
      </c>
      <c r="K2131" s="45" t="s">
        <v>19</v>
      </c>
      <c r="L2131" s="437"/>
      <c r="M2131" s="474" t="s">
        <v>1856</v>
      </c>
      <c r="N2131" s="1013" t="s">
        <v>1856</v>
      </c>
      <c r="O2131" s="209"/>
      <c r="P2131" s="66" t="s">
        <v>72</v>
      </c>
      <c r="Q2131" s="100">
        <f t="shared" si="1173"/>
        <v>0</v>
      </c>
      <c r="R2131" s="13" t="str">
        <f t="shared" si="1169"/>
        <v>Фото &gt;&gt;</v>
      </c>
      <c r="S2131" s="14" t="s">
        <v>4502</v>
      </c>
      <c r="AK2131">
        <v>0.5</v>
      </c>
      <c r="AL2131">
        <f t="shared" si="1174"/>
        <v>0</v>
      </c>
      <c r="AM2131">
        <f t="shared" si="1175"/>
        <v>0</v>
      </c>
      <c r="AN2131">
        <f t="shared" si="1176"/>
        <v>0</v>
      </c>
      <c r="AO2131" t="s">
        <v>4509</v>
      </c>
      <c r="AV2131" t="str">
        <f>IF(F2131&gt;0,(COUNT($AV$1:AV2130)+1),"")</f>
        <v/>
      </c>
    </row>
    <row r="2132" spans="1:48" ht="15" customHeight="1" x14ac:dyDescent="0.25">
      <c r="A2132" s="1"/>
      <c r="B2132" s="25"/>
      <c r="C2132" s="26"/>
      <c r="D2132" s="228" t="s">
        <v>19</v>
      </c>
      <c r="E2132" s="80"/>
      <c r="F2132" s="96"/>
      <c r="G2132" s="28"/>
      <c r="H2132" s="29"/>
      <c r="I2132" s="29"/>
      <c r="J2132" s="51"/>
      <c r="K2132" s="47"/>
      <c r="L2132" s="447"/>
      <c r="M2132" s="489"/>
      <c r="N2132" s="716"/>
      <c r="O2132" s="406"/>
      <c r="P2132" s="79"/>
      <c r="Q2132" s="104"/>
      <c r="R2132" s="13"/>
      <c r="S2132" s="14"/>
      <c r="AL2132">
        <f t="shared" si="1174"/>
        <v>0</v>
      </c>
      <c r="AM2132">
        <f t="shared" si="1175"/>
        <v>0</v>
      </c>
      <c r="AN2132">
        <f t="shared" si="1176"/>
        <v>0</v>
      </c>
      <c r="AO2132" t="s">
        <v>104</v>
      </c>
      <c r="AV2132" t="str">
        <f>IF(F2132&gt;0,(COUNT($AV$1:AV2131)+1),"")</f>
        <v/>
      </c>
    </row>
    <row r="2133" spans="1:48" ht="15" customHeight="1" x14ac:dyDescent="0.25">
      <c r="A2133" s="1"/>
      <c r="B2133" s="30">
        <v>15446</v>
      </c>
      <c r="C2133" s="20">
        <v>4607081024718</v>
      </c>
      <c r="D2133" s="225" t="s">
        <v>741</v>
      </c>
      <c r="E2133" s="67">
        <v>12</v>
      </c>
      <c r="F2133" s="222"/>
      <c r="G2133" s="107">
        <v>376.9</v>
      </c>
      <c r="H2133" s="21">
        <v>392.6</v>
      </c>
      <c r="I2133" s="22">
        <v>440</v>
      </c>
      <c r="J2133" s="112" t="s">
        <v>735</v>
      </c>
      <c r="K2133" s="45" t="s">
        <v>19</v>
      </c>
      <c r="L2133" s="437"/>
      <c r="M2133" s="474" t="s">
        <v>1856</v>
      </c>
      <c r="N2133" s="1013" t="s">
        <v>1856</v>
      </c>
      <c r="O2133" s="209"/>
      <c r="P2133" s="66" t="s">
        <v>72</v>
      </c>
      <c r="Q2133" s="100">
        <f t="shared" ref="Q2133:Q2157" si="1177">IF($AO$2117=2,F2133*H2133,IF($AO$2117=1,F2133*G2133,F2133*I2133))</f>
        <v>0</v>
      </c>
      <c r="R2133" s="13" t="str">
        <f t="shared" si="1169"/>
        <v>Фото &gt;&gt;</v>
      </c>
      <c r="S2133" s="14" t="s">
        <v>742</v>
      </c>
      <c r="AK2133">
        <v>0.5</v>
      </c>
      <c r="AL2133">
        <f t="shared" si="1174"/>
        <v>0</v>
      </c>
      <c r="AM2133">
        <f t="shared" si="1175"/>
        <v>0</v>
      </c>
      <c r="AN2133">
        <f t="shared" si="1176"/>
        <v>0</v>
      </c>
      <c r="AO2133" t="s">
        <v>5029</v>
      </c>
      <c r="AV2133" t="str">
        <f>IF(F2133&gt;0,(COUNT($AV$1:AV2132)+1),"")</f>
        <v/>
      </c>
    </row>
    <row r="2134" spans="1:48" ht="15" customHeight="1" x14ac:dyDescent="0.25">
      <c r="A2134" s="1"/>
      <c r="B2134" s="31">
        <v>20486</v>
      </c>
      <c r="C2134" s="16">
        <v>4607081026859</v>
      </c>
      <c r="D2134" s="226" t="s">
        <v>3912</v>
      </c>
      <c r="E2134" s="69">
        <v>12</v>
      </c>
      <c r="F2134" s="222"/>
      <c r="G2134" s="108">
        <v>780</v>
      </c>
      <c r="H2134" s="17">
        <v>819</v>
      </c>
      <c r="I2134" s="18">
        <v>870</v>
      </c>
      <c r="J2134" s="113" t="s">
        <v>735</v>
      </c>
      <c r="K2134" s="44" t="s">
        <v>19</v>
      </c>
      <c r="L2134" s="442"/>
      <c r="M2134" s="480" t="s">
        <v>1856</v>
      </c>
      <c r="N2134" s="1015" t="s">
        <v>1856</v>
      </c>
      <c r="O2134" s="210"/>
      <c r="P2134" s="68" t="s">
        <v>72</v>
      </c>
      <c r="Q2134" s="100">
        <f t="shared" si="1177"/>
        <v>0</v>
      </c>
      <c r="R2134" s="13" t="str">
        <f t="shared" si="1169"/>
        <v>Фото &gt;&gt;</v>
      </c>
      <c r="S2134" s="14" t="s">
        <v>3913</v>
      </c>
      <c r="AK2134">
        <v>0.5</v>
      </c>
      <c r="AL2134">
        <f t="shared" si="1174"/>
        <v>0</v>
      </c>
      <c r="AM2134">
        <f t="shared" si="1175"/>
        <v>0</v>
      </c>
      <c r="AN2134">
        <f t="shared" si="1176"/>
        <v>0</v>
      </c>
      <c r="AO2134" t="s">
        <v>3914</v>
      </c>
      <c r="AV2134" t="str">
        <f>IF(F2134&gt;0,(COUNT($AV$1:AV2133)+1),"")</f>
        <v/>
      </c>
    </row>
    <row r="2135" spans="1:48" ht="15" customHeight="1" x14ac:dyDescent="0.25">
      <c r="A2135" s="1"/>
      <c r="B2135" s="30">
        <v>13032</v>
      </c>
      <c r="C2135" s="20">
        <v>4607081021373</v>
      </c>
      <c r="D2135" s="225" t="s">
        <v>743</v>
      </c>
      <c r="E2135" s="67">
        <v>20</v>
      </c>
      <c r="F2135" s="222"/>
      <c r="G2135" s="107">
        <v>1001</v>
      </c>
      <c r="H2135" s="21">
        <v>1041</v>
      </c>
      <c r="I2135" s="22">
        <v>1121</v>
      </c>
      <c r="J2135" s="112" t="s">
        <v>735</v>
      </c>
      <c r="K2135" s="45" t="s">
        <v>19</v>
      </c>
      <c r="L2135" s="437"/>
      <c r="M2135" s="474" t="s">
        <v>1856</v>
      </c>
      <c r="N2135" s="1013" t="s">
        <v>1856</v>
      </c>
      <c r="O2135" s="209"/>
      <c r="P2135" s="66" t="s">
        <v>72</v>
      </c>
      <c r="Q2135" s="100">
        <f t="shared" si="1177"/>
        <v>0</v>
      </c>
      <c r="R2135" s="13" t="str">
        <f t="shared" si="1169"/>
        <v>Фото &gt;&gt;</v>
      </c>
      <c r="S2135" s="14" t="s">
        <v>744</v>
      </c>
      <c r="AK2135">
        <v>0.23</v>
      </c>
      <c r="AL2135">
        <f t="shared" si="1165"/>
        <v>0</v>
      </c>
      <c r="AM2135">
        <f t="shared" si="1166"/>
        <v>0</v>
      </c>
      <c r="AN2135">
        <f t="shared" si="1167"/>
        <v>0</v>
      </c>
      <c r="AO2135" t="s">
        <v>5030</v>
      </c>
      <c r="AV2135" t="str">
        <f>IF(F2135&gt;0,(COUNT($AV$1:AV2134)+1),"")</f>
        <v/>
      </c>
    </row>
    <row r="2136" spans="1:48" ht="15" customHeight="1" x14ac:dyDescent="0.25">
      <c r="A2136" s="1"/>
      <c r="B2136" s="31">
        <v>13889</v>
      </c>
      <c r="C2136" s="16">
        <v>4607081020338</v>
      </c>
      <c r="D2136" s="226" t="s">
        <v>746</v>
      </c>
      <c r="E2136" s="69">
        <v>10</v>
      </c>
      <c r="F2136" s="222"/>
      <c r="G2136" s="108">
        <v>258</v>
      </c>
      <c r="H2136" s="17">
        <v>268</v>
      </c>
      <c r="I2136" s="18">
        <v>289</v>
      </c>
      <c r="J2136" s="113" t="s">
        <v>735</v>
      </c>
      <c r="K2136" s="44" t="s">
        <v>19</v>
      </c>
      <c r="L2136" s="442"/>
      <c r="M2136" s="480" t="s">
        <v>1856</v>
      </c>
      <c r="N2136" s="1015" t="s">
        <v>1856</v>
      </c>
      <c r="O2136" s="210"/>
      <c r="P2136" s="68" t="s">
        <v>72</v>
      </c>
      <c r="Q2136" s="100">
        <f t="shared" si="1177"/>
        <v>0</v>
      </c>
      <c r="R2136" s="13" t="str">
        <f t="shared" si="1168"/>
        <v>Фото &gt;&gt;</v>
      </c>
      <c r="S2136" s="14" t="s">
        <v>745</v>
      </c>
      <c r="AK2136">
        <v>0.67</v>
      </c>
      <c r="AL2136">
        <f t="shared" si="1165"/>
        <v>0</v>
      </c>
      <c r="AM2136">
        <f t="shared" si="1166"/>
        <v>0</v>
      </c>
      <c r="AN2136">
        <f t="shared" si="1167"/>
        <v>0</v>
      </c>
      <c r="AO2136" t="s">
        <v>5031</v>
      </c>
      <c r="AV2136" t="str">
        <f>IF(F2136&gt;0,(COUNT($AV$1:AV2135)+1),"")</f>
        <v/>
      </c>
    </row>
    <row r="2137" spans="1:48" ht="15" customHeight="1" x14ac:dyDescent="0.25">
      <c r="A2137" s="1"/>
      <c r="B2137" s="30">
        <v>14670</v>
      </c>
      <c r="C2137" s="20">
        <v>4607081020840</v>
      </c>
      <c r="D2137" s="225" t="s">
        <v>749</v>
      </c>
      <c r="E2137" s="67">
        <v>10</v>
      </c>
      <c r="F2137" s="222"/>
      <c r="G2137" s="107">
        <v>210</v>
      </c>
      <c r="H2137" s="21">
        <v>218.4</v>
      </c>
      <c r="I2137" s="22">
        <v>235</v>
      </c>
      <c r="J2137" s="112" t="s">
        <v>735</v>
      </c>
      <c r="K2137" s="45" t="s">
        <v>19</v>
      </c>
      <c r="L2137" s="437"/>
      <c r="M2137" s="474" t="s">
        <v>1856</v>
      </c>
      <c r="N2137" s="1013" t="s">
        <v>1856</v>
      </c>
      <c r="O2137" s="209"/>
      <c r="P2137" s="66" t="s">
        <v>72</v>
      </c>
      <c r="Q2137" s="100">
        <f t="shared" si="1177"/>
        <v>0</v>
      </c>
      <c r="R2137" s="13" t="str">
        <f t="shared" si="1168"/>
        <v>Фото &gt;&gt;</v>
      </c>
      <c r="S2137" s="14" t="s">
        <v>748</v>
      </c>
      <c r="AK2137">
        <v>0.67</v>
      </c>
      <c r="AL2137">
        <f t="shared" si="1165"/>
        <v>0</v>
      </c>
      <c r="AM2137">
        <f t="shared" si="1166"/>
        <v>0</v>
      </c>
      <c r="AN2137">
        <f t="shared" si="1167"/>
        <v>0</v>
      </c>
      <c r="AO2137" t="s">
        <v>5032</v>
      </c>
      <c r="AV2137" t="str">
        <f>IF(F2137&gt;0,(COUNT($AV$1:AV2136)+1),"")</f>
        <v/>
      </c>
    </row>
    <row r="2138" spans="1:48" ht="15" customHeight="1" x14ac:dyDescent="0.25">
      <c r="A2138" s="1"/>
      <c r="B2138" s="31">
        <v>13864</v>
      </c>
      <c r="C2138" s="16">
        <v>4607081022271</v>
      </c>
      <c r="D2138" s="226" t="s">
        <v>4669</v>
      </c>
      <c r="E2138" s="69">
        <v>10</v>
      </c>
      <c r="F2138" s="222"/>
      <c r="G2138" s="108">
        <v>243.6</v>
      </c>
      <c r="H2138" s="17">
        <v>253.8</v>
      </c>
      <c r="I2138" s="18">
        <v>273</v>
      </c>
      <c r="J2138" s="113" t="s">
        <v>735</v>
      </c>
      <c r="K2138" s="44" t="s">
        <v>19</v>
      </c>
      <c r="L2138" s="442"/>
      <c r="M2138" s="480" t="s">
        <v>1856</v>
      </c>
      <c r="N2138" s="1015" t="s">
        <v>1856</v>
      </c>
      <c r="O2138" s="210"/>
      <c r="P2138" s="68" t="s">
        <v>72</v>
      </c>
      <c r="Q2138" s="100">
        <f t="shared" si="1177"/>
        <v>0</v>
      </c>
      <c r="R2138" s="13" t="str">
        <f t="shared" si="1168"/>
        <v>Фото &gt;&gt;</v>
      </c>
      <c r="S2138" s="14" t="s">
        <v>4670</v>
      </c>
      <c r="AK2138">
        <v>0.67</v>
      </c>
      <c r="AL2138">
        <f t="shared" si="1165"/>
        <v>0</v>
      </c>
      <c r="AM2138">
        <f t="shared" si="1166"/>
        <v>0</v>
      </c>
      <c r="AN2138">
        <f t="shared" si="1167"/>
        <v>0</v>
      </c>
      <c r="AO2138" t="s">
        <v>5033</v>
      </c>
      <c r="AV2138" t="str">
        <f>IF(F2138&gt;0,(COUNT($AV$1:AV2137)+1),"")</f>
        <v/>
      </c>
    </row>
    <row r="2139" spans="1:48" ht="15" customHeight="1" x14ac:dyDescent="0.25">
      <c r="A2139" s="1"/>
      <c r="B2139" s="30">
        <v>11730</v>
      </c>
      <c r="C2139" s="20">
        <v>4607081020222</v>
      </c>
      <c r="D2139" s="225" t="s">
        <v>236</v>
      </c>
      <c r="E2139" s="67">
        <v>20</v>
      </c>
      <c r="F2139" s="222"/>
      <c r="G2139" s="107">
        <v>478.5</v>
      </c>
      <c r="H2139" s="21">
        <v>497.6</v>
      </c>
      <c r="I2139" s="22">
        <v>536</v>
      </c>
      <c r="J2139" s="112" t="s">
        <v>735</v>
      </c>
      <c r="K2139" s="45" t="s">
        <v>19</v>
      </c>
      <c r="L2139" s="437"/>
      <c r="M2139" s="474" t="s">
        <v>1856</v>
      </c>
      <c r="N2139" s="1013" t="s">
        <v>1856</v>
      </c>
      <c r="O2139" s="209"/>
      <c r="P2139" s="66" t="s">
        <v>72</v>
      </c>
      <c r="Q2139" s="100">
        <f t="shared" si="1177"/>
        <v>0</v>
      </c>
      <c r="R2139" s="13" t="str">
        <f t="shared" si="1168"/>
        <v>Фото &gt;&gt;</v>
      </c>
      <c r="S2139" s="14" t="s">
        <v>750</v>
      </c>
      <c r="AK2139">
        <v>0.23</v>
      </c>
      <c r="AL2139">
        <f t="shared" si="1165"/>
        <v>0</v>
      </c>
      <c r="AM2139">
        <f t="shared" si="1166"/>
        <v>0</v>
      </c>
      <c r="AN2139">
        <f t="shared" si="1167"/>
        <v>0</v>
      </c>
      <c r="AO2139" t="s">
        <v>5034</v>
      </c>
      <c r="AV2139" t="str">
        <f>IF(F2139&gt;0,(COUNT($AV$1:AV2138)+1),"")</f>
        <v/>
      </c>
    </row>
    <row r="2140" spans="1:48" ht="15" customHeight="1" x14ac:dyDescent="0.25">
      <c r="A2140" s="1"/>
      <c r="B2140" s="31">
        <v>13395</v>
      </c>
      <c r="C2140" s="16">
        <v>4607081020581</v>
      </c>
      <c r="D2140" s="226" t="s">
        <v>17</v>
      </c>
      <c r="E2140" s="69">
        <v>20</v>
      </c>
      <c r="F2140" s="222"/>
      <c r="G2140" s="108">
        <v>238</v>
      </c>
      <c r="H2140" s="17">
        <v>247.7</v>
      </c>
      <c r="I2140" s="18">
        <v>266</v>
      </c>
      <c r="J2140" s="113" t="s">
        <v>735</v>
      </c>
      <c r="K2140" s="44" t="s">
        <v>19</v>
      </c>
      <c r="L2140" s="442"/>
      <c r="M2140" s="480" t="s">
        <v>1856</v>
      </c>
      <c r="N2140" s="1015" t="s">
        <v>1856</v>
      </c>
      <c r="O2140" s="210"/>
      <c r="P2140" s="68" t="s">
        <v>72</v>
      </c>
      <c r="Q2140" s="100">
        <f t="shared" si="1177"/>
        <v>0</v>
      </c>
      <c r="R2140" s="13" t="str">
        <f t="shared" si="1168"/>
        <v>Фото &gt;&gt;</v>
      </c>
      <c r="S2140" s="14" t="s">
        <v>751</v>
      </c>
      <c r="AK2140">
        <v>0.23</v>
      </c>
      <c r="AL2140">
        <f t="shared" si="1165"/>
        <v>0</v>
      </c>
      <c r="AM2140">
        <f t="shared" si="1166"/>
        <v>0</v>
      </c>
      <c r="AN2140">
        <f t="shared" si="1167"/>
        <v>0</v>
      </c>
      <c r="AO2140" t="s">
        <v>5035</v>
      </c>
      <c r="AV2140" t="str">
        <f>IF(F2140&gt;0,(COUNT($AV$1:AV2139)+1),"")</f>
        <v/>
      </c>
    </row>
    <row r="2141" spans="1:48" ht="15" customHeight="1" x14ac:dyDescent="0.25">
      <c r="A2141" s="1"/>
      <c r="B2141" s="30">
        <v>11729</v>
      </c>
      <c r="C2141" s="20">
        <v>4607081020277</v>
      </c>
      <c r="D2141" s="225" t="s">
        <v>241</v>
      </c>
      <c r="E2141" s="67">
        <v>20</v>
      </c>
      <c r="F2141" s="222"/>
      <c r="G2141" s="107">
        <v>203.9</v>
      </c>
      <c r="H2141" s="21">
        <v>212.5</v>
      </c>
      <c r="I2141" s="22">
        <v>238</v>
      </c>
      <c r="J2141" s="112" t="s">
        <v>735</v>
      </c>
      <c r="K2141" s="45" t="s">
        <v>19</v>
      </c>
      <c r="L2141" s="437"/>
      <c r="M2141" s="474" t="s">
        <v>1856</v>
      </c>
      <c r="N2141" s="1013" t="s">
        <v>1856</v>
      </c>
      <c r="O2141" s="209"/>
      <c r="P2141" s="66" t="s">
        <v>50</v>
      </c>
      <c r="Q2141" s="100">
        <f t="shared" si="1177"/>
        <v>0</v>
      </c>
      <c r="R2141" s="13" t="str">
        <f t="shared" si="1168"/>
        <v>Фото &gt;&gt;</v>
      </c>
      <c r="S2141" s="14" t="s">
        <v>752</v>
      </c>
      <c r="AK2141">
        <v>0.23</v>
      </c>
      <c r="AL2141">
        <f t="shared" si="1165"/>
        <v>0</v>
      </c>
      <c r="AM2141">
        <f t="shared" si="1166"/>
        <v>0</v>
      </c>
      <c r="AN2141">
        <f t="shared" si="1167"/>
        <v>0</v>
      </c>
      <c r="AO2141" t="s">
        <v>5036</v>
      </c>
      <c r="AV2141" t="str">
        <f>IF(F2141&gt;0,(COUNT($AV$1:AV2140)+1),"")</f>
        <v/>
      </c>
    </row>
    <row r="2142" spans="1:48" ht="15" customHeight="1" x14ac:dyDescent="0.25">
      <c r="A2142" s="1"/>
      <c r="B2142" s="31">
        <v>11919</v>
      </c>
      <c r="C2142" s="16">
        <v>4607081020291</v>
      </c>
      <c r="D2142" s="226" t="s">
        <v>753</v>
      </c>
      <c r="E2142" s="69">
        <v>10</v>
      </c>
      <c r="F2142" s="222"/>
      <c r="G2142" s="108">
        <v>580.5</v>
      </c>
      <c r="H2142" s="17">
        <v>603.70000000000005</v>
      </c>
      <c r="I2142" s="18">
        <v>650</v>
      </c>
      <c r="J2142" s="113" t="s">
        <v>735</v>
      </c>
      <c r="K2142" s="44" t="s">
        <v>19</v>
      </c>
      <c r="L2142" s="442"/>
      <c r="M2142" s="480" t="s">
        <v>1856</v>
      </c>
      <c r="N2142" s="1015" t="s">
        <v>1856</v>
      </c>
      <c r="O2142" s="210"/>
      <c r="P2142" s="68" t="s">
        <v>50</v>
      </c>
      <c r="Q2142" s="100">
        <f t="shared" si="1177"/>
        <v>0</v>
      </c>
      <c r="R2142" s="13" t="str">
        <f t="shared" si="1168"/>
        <v>Фото &gt;&gt;</v>
      </c>
      <c r="S2142" s="14" t="s">
        <v>752</v>
      </c>
      <c r="AK2142">
        <v>0.67</v>
      </c>
      <c r="AL2142">
        <f t="shared" si="1165"/>
        <v>0</v>
      </c>
      <c r="AM2142">
        <f t="shared" si="1166"/>
        <v>0</v>
      </c>
      <c r="AN2142">
        <f t="shared" si="1167"/>
        <v>0</v>
      </c>
      <c r="AO2142" t="s">
        <v>5037</v>
      </c>
      <c r="AV2142" t="str">
        <f>IF(F2142&gt;0,(COUNT($AV$1:AV2141)+1),"")</f>
        <v/>
      </c>
    </row>
    <row r="2143" spans="1:48" ht="15" customHeight="1" x14ac:dyDescent="0.25">
      <c r="A2143" s="1"/>
      <c r="B2143" s="30">
        <v>15543</v>
      </c>
      <c r="C2143" s="20">
        <v>4607081024909</v>
      </c>
      <c r="D2143" s="225" t="s">
        <v>244</v>
      </c>
      <c r="E2143" s="67">
        <v>20</v>
      </c>
      <c r="F2143" s="222"/>
      <c r="G2143" s="107">
        <v>79.8</v>
      </c>
      <c r="H2143" s="21">
        <v>82.9</v>
      </c>
      <c r="I2143" s="22">
        <v>89.3</v>
      </c>
      <c r="J2143" s="112" t="s">
        <v>735</v>
      </c>
      <c r="K2143" s="45" t="s">
        <v>19</v>
      </c>
      <c r="L2143" s="437"/>
      <c r="M2143" s="474" t="s">
        <v>1856</v>
      </c>
      <c r="N2143" s="1013" t="s">
        <v>1856</v>
      </c>
      <c r="O2143" s="209"/>
      <c r="P2143" s="66" t="s">
        <v>72</v>
      </c>
      <c r="Q2143" s="100">
        <f t="shared" si="1177"/>
        <v>0</v>
      </c>
      <c r="R2143" s="13" t="str">
        <f t="shared" si="1168"/>
        <v>Фото &gt;&gt;</v>
      </c>
      <c r="S2143" s="14" t="s">
        <v>754</v>
      </c>
      <c r="AK2143">
        <v>0.3</v>
      </c>
      <c r="AL2143">
        <f t="shared" si="1165"/>
        <v>0</v>
      </c>
      <c r="AM2143">
        <f t="shared" si="1166"/>
        <v>0</v>
      </c>
      <c r="AN2143">
        <f t="shared" si="1167"/>
        <v>0</v>
      </c>
      <c r="AO2143" t="s">
        <v>5038</v>
      </c>
      <c r="AV2143" t="str">
        <f>IF(F2143&gt;0,(COUNT($AV$1:AV2142)+1),"")</f>
        <v/>
      </c>
    </row>
    <row r="2144" spans="1:48" ht="15" customHeight="1" x14ac:dyDescent="0.25">
      <c r="A2144" s="1"/>
      <c r="B2144" s="31">
        <v>15445</v>
      </c>
      <c r="C2144" s="16">
        <v>4607081024572</v>
      </c>
      <c r="D2144" s="226" t="s">
        <v>246</v>
      </c>
      <c r="E2144" s="69">
        <v>12</v>
      </c>
      <c r="F2144" s="222"/>
      <c r="G2144" s="108">
        <v>137.1</v>
      </c>
      <c r="H2144" s="17">
        <v>142.6</v>
      </c>
      <c r="I2144" s="18">
        <v>153.5</v>
      </c>
      <c r="J2144" s="113" t="s">
        <v>735</v>
      </c>
      <c r="K2144" s="44" t="s">
        <v>19</v>
      </c>
      <c r="L2144" s="442"/>
      <c r="M2144" s="480" t="s">
        <v>1856</v>
      </c>
      <c r="N2144" s="1015" t="s">
        <v>1856</v>
      </c>
      <c r="O2144" s="210"/>
      <c r="P2144" s="68" t="s">
        <v>72</v>
      </c>
      <c r="Q2144" s="100">
        <f t="shared" si="1177"/>
        <v>0</v>
      </c>
      <c r="R2144" s="13" t="str">
        <f t="shared" si="1168"/>
        <v>Фото &gt;&gt;</v>
      </c>
      <c r="S2144" s="14" t="s">
        <v>754</v>
      </c>
      <c r="AK2144">
        <v>0.5</v>
      </c>
      <c r="AL2144">
        <f t="shared" si="1165"/>
        <v>0</v>
      </c>
      <c r="AM2144">
        <f t="shared" si="1166"/>
        <v>0</v>
      </c>
      <c r="AN2144">
        <f t="shared" si="1167"/>
        <v>0</v>
      </c>
      <c r="AO2144" t="s">
        <v>5039</v>
      </c>
      <c r="AV2144" t="str">
        <f>IF(F2144&gt;0,(COUNT($AV$1:AV2143)+1),"")</f>
        <v/>
      </c>
    </row>
    <row r="2145" spans="1:48" ht="15" customHeight="1" x14ac:dyDescent="0.25">
      <c r="A2145" s="1"/>
      <c r="B2145" s="30">
        <v>13850</v>
      </c>
      <c r="C2145" s="20">
        <v>4607081020949</v>
      </c>
      <c r="D2145" s="225" t="s">
        <v>755</v>
      </c>
      <c r="E2145" s="67">
        <v>10</v>
      </c>
      <c r="F2145" s="222"/>
      <c r="G2145" s="107">
        <v>176.3</v>
      </c>
      <c r="H2145" s="21">
        <v>183.3</v>
      </c>
      <c r="I2145" s="22">
        <v>197.4</v>
      </c>
      <c r="J2145" s="112" t="s">
        <v>735</v>
      </c>
      <c r="K2145" s="45" t="s">
        <v>19</v>
      </c>
      <c r="L2145" s="437"/>
      <c r="M2145" s="474" t="s">
        <v>1856</v>
      </c>
      <c r="N2145" s="1013" t="s">
        <v>1856</v>
      </c>
      <c r="O2145" s="209"/>
      <c r="P2145" s="66" t="s">
        <v>72</v>
      </c>
      <c r="Q2145" s="100">
        <f t="shared" si="1177"/>
        <v>0</v>
      </c>
      <c r="R2145" s="13" t="str">
        <f t="shared" si="1168"/>
        <v>Фото &gt;&gt;</v>
      </c>
      <c r="S2145" s="14" t="s">
        <v>754</v>
      </c>
      <c r="AK2145">
        <v>0.67</v>
      </c>
      <c r="AL2145">
        <f t="shared" si="1165"/>
        <v>0</v>
      </c>
      <c r="AM2145">
        <f t="shared" si="1166"/>
        <v>0</v>
      </c>
      <c r="AN2145">
        <f t="shared" si="1167"/>
        <v>0</v>
      </c>
      <c r="AO2145" t="s">
        <v>5039</v>
      </c>
      <c r="AV2145" t="str">
        <f>IF(F2145&gt;0,(COUNT($AV$1:AV2144)+1),"")</f>
        <v/>
      </c>
    </row>
    <row r="2146" spans="1:48" ht="15" customHeight="1" x14ac:dyDescent="0.25">
      <c r="A2146" s="1"/>
      <c r="B2146" s="31">
        <v>12948</v>
      </c>
      <c r="C2146" s="16">
        <v>4607081021519</v>
      </c>
      <c r="D2146" s="226" t="s">
        <v>756</v>
      </c>
      <c r="E2146" s="69">
        <v>20</v>
      </c>
      <c r="F2146" s="222"/>
      <c r="G2146" s="108">
        <v>183</v>
      </c>
      <c r="H2146" s="17">
        <v>190</v>
      </c>
      <c r="I2146" s="18">
        <v>205</v>
      </c>
      <c r="J2146" s="113" t="s">
        <v>735</v>
      </c>
      <c r="K2146" s="44" t="s">
        <v>19</v>
      </c>
      <c r="L2146" s="442"/>
      <c r="M2146" s="480" t="s">
        <v>1856</v>
      </c>
      <c r="N2146" s="1015" t="s">
        <v>1856</v>
      </c>
      <c r="O2146" s="210"/>
      <c r="P2146" s="68" t="s">
        <v>72</v>
      </c>
      <c r="Q2146" s="100">
        <f t="shared" si="1177"/>
        <v>0</v>
      </c>
      <c r="R2146" s="13" t="str">
        <f t="shared" si="1168"/>
        <v>Фото &gt;&gt;</v>
      </c>
      <c r="S2146" s="14" t="s">
        <v>757</v>
      </c>
      <c r="AK2146">
        <v>0.23</v>
      </c>
      <c r="AL2146">
        <f t="shared" si="1165"/>
        <v>0</v>
      </c>
      <c r="AM2146">
        <f t="shared" si="1166"/>
        <v>0</v>
      </c>
      <c r="AN2146">
        <f t="shared" si="1167"/>
        <v>0</v>
      </c>
      <c r="AO2146" t="s">
        <v>5040</v>
      </c>
      <c r="AV2146" t="str">
        <f>IF(F2146&gt;0,(COUNT($AV$1:AV2145)+1),"")</f>
        <v/>
      </c>
    </row>
    <row r="2147" spans="1:48" ht="15" customHeight="1" x14ac:dyDescent="0.25">
      <c r="A2147" s="1"/>
      <c r="B2147" s="30">
        <v>15447</v>
      </c>
      <c r="C2147" s="20">
        <v>4607081024152</v>
      </c>
      <c r="D2147" s="225" t="s">
        <v>758</v>
      </c>
      <c r="E2147" s="67">
        <v>12</v>
      </c>
      <c r="F2147" s="222"/>
      <c r="G2147" s="107">
        <v>384.6</v>
      </c>
      <c r="H2147" s="21">
        <v>400</v>
      </c>
      <c r="I2147" s="22">
        <v>431</v>
      </c>
      <c r="J2147" s="112" t="s">
        <v>735</v>
      </c>
      <c r="K2147" s="45" t="s">
        <v>19</v>
      </c>
      <c r="L2147" s="437"/>
      <c r="M2147" s="474" t="s">
        <v>1856</v>
      </c>
      <c r="N2147" s="1013" t="s">
        <v>1856</v>
      </c>
      <c r="O2147" s="209"/>
      <c r="P2147" s="66" t="s">
        <v>72</v>
      </c>
      <c r="Q2147" s="100">
        <f t="shared" si="1177"/>
        <v>0</v>
      </c>
      <c r="R2147" s="13" t="str">
        <f t="shared" si="1168"/>
        <v>Фото &gt;&gt;</v>
      </c>
      <c r="S2147" s="14" t="s">
        <v>759</v>
      </c>
      <c r="AK2147">
        <v>0.5</v>
      </c>
      <c r="AL2147">
        <f t="shared" si="1165"/>
        <v>0</v>
      </c>
      <c r="AM2147">
        <f t="shared" si="1166"/>
        <v>0</v>
      </c>
      <c r="AN2147">
        <f t="shared" si="1167"/>
        <v>0</v>
      </c>
      <c r="AO2147" t="s">
        <v>5041</v>
      </c>
      <c r="AV2147" t="str">
        <f>IF(F2147&gt;0,(COUNT($AV$1:AV2146)+1),"")</f>
        <v/>
      </c>
    </row>
    <row r="2148" spans="1:48" ht="15" customHeight="1" x14ac:dyDescent="0.25">
      <c r="A2148" s="1"/>
      <c r="B2148" s="31">
        <v>12217</v>
      </c>
      <c r="C2148" s="16">
        <v>4607081024527</v>
      </c>
      <c r="D2148" s="226" t="s">
        <v>598</v>
      </c>
      <c r="E2148" s="69">
        <v>10</v>
      </c>
      <c r="F2148" s="222"/>
      <c r="G2148" s="108">
        <v>291</v>
      </c>
      <c r="H2148" s="17">
        <v>303</v>
      </c>
      <c r="I2148" s="18">
        <v>326</v>
      </c>
      <c r="J2148" s="113" t="s">
        <v>735</v>
      </c>
      <c r="K2148" s="44" t="s">
        <v>19</v>
      </c>
      <c r="L2148" s="442"/>
      <c r="M2148" s="480" t="s">
        <v>1856</v>
      </c>
      <c r="N2148" s="1015" t="s">
        <v>1856</v>
      </c>
      <c r="O2148" s="210"/>
      <c r="P2148" s="68" t="s">
        <v>72</v>
      </c>
      <c r="Q2148" s="100">
        <f t="shared" si="1177"/>
        <v>0</v>
      </c>
      <c r="R2148" s="13" t="str">
        <f t="shared" si="1168"/>
        <v>Фото &gt;&gt;</v>
      </c>
      <c r="S2148" s="14" t="s">
        <v>760</v>
      </c>
      <c r="AK2148">
        <v>0.93</v>
      </c>
      <c r="AL2148">
        <f t="shared" si="1165"/>
        <v>0</v>
      </c>
      <c r="AM2148">
        <f t="shared" si="1166"/>
        <v>0</v>
      </c>
      <c r="AN2148">
        <f t="shared" si="1167"/>
        <v>0</v>
      </c>
      <c r="AO2148" t="s">
        <v>5042</v>
      </c>
      <c r="AV2148" t="str">
        <f>IF(F2148&gt;0,(COUNT($AV$1:AV2147)+1),"")</f>
        <v/>
      </c>
    </row>
    <row r="2149" spans="1:48" ht="15" customHeight="1" x14ac:dyDescent="0.25">
      <c r="A2149" s="1"/>
      <c r="B2149" s="30">
        <v>20721</v>
      </c>
      <c r="C2149" s="20">
        <v>4607081026811</v>
      </c>
      <c r="D2149" s="225" t="s">
        <v>4382</v>
      </c>
      <c r="E2149" s="67">
        <v>12</v>
      </c>
      <c r="F2149" s="222"/>
      <c r="G2149" s="107">
        <v>289</v>
      </c>
      <c r="H2149" s="21">
        <v>300</v>
      </c>
      <c r="I2149" s="22">
        <v>323</v>
      </c>
      <c r="J2149" s="112" t="s">
        <v>735</v>
      </c>
      <c r="K2149" s="45" t="s">
        <v>19</v>
      </c>
      <c r="L2149" s="437"/>
      <c r="M2149" s="474" t="s">
        <v>1856</v>
      </c>
      <c r="N2149" s="1013" t="s">
        <v>1856</v>
      </c>
      <c r="O2149" s="209"/>
      <c r="P2149" s="66" t="s">
        <v>72</v>
      </c>
      <c r="Q2149" s="100">
        <f t="shared" si="1177"/>
        <v>0</v>
      </c>
      <c r="R2149" s="13" t="str">
        <f t="shared" si="1168"/>
        <v>Фото &gt;&gt;</v>
      </c>
      <c r="S2149" s="14" t="s">
        <v>760</v>
      </c>
      <c r="AK2149">
        <v>0.85</v>
      </c>
      <c r="AL2149">
        <f t="shared" si="1165"/>
        <v>0</v>
      </c>
      <c r="AM2149">
        <f t="shared" si="1166"/>
        <v>0</v>
      </c>
      <c r="AN2149">
        <f t="shared" si="1167"/>
        <v>0</v>
      </c>
      <c r="AO2149" t="s">
        <v>4383</v>
      </c>
      <c r="AV2149" t="str">
        <f>IF(F2149&gt;0,(COUNT($AV$1:AV2148)+1),"")</f>
        <v/>
      </c>
    </row>
    <row r="2150" spans="1:48" ht="15" customHeight="1" x14ac:dyDescent="0.25">
      <c r="A2150" s="1"/>
      <c r="B2150" s="31">
        <v>11735</v>
      </c>
      <c r="C2150" s="16">
        <v>4607081020987</v>
      </c>
      <c r="D2150" s="226" t="s">
        <v>252</v>
      </c>
      <c r="E2150" s="69">
        <v>20</v>
      </c>
      <c r="F2150" s="222"/>
      <c r="G2150" s="108">
        <v>141.6</v>
      </c>
      <c r="H2150" s="17">
        <v>147.30000000000001</v>
      </c>
      <c r="I2150" s="18">
        <v>159</v>
      </c>
      <c r="J2150" s="113" t="s">
        <v>735</v>
      </c>
      <c r="K2150" s="44" t="s">
        <v>19</v>
      </c>
      <c r="L2150" s="442"/>
      <c r="M2150" s="480" t="s">
        <v>1856</v>
      </c>
      <c r="N2150" s="1015" t="s">
        <v>1856</v>
      </c>
      <c r="O2150" s="210"/>
      <c r="P2150" s="68" t="s">
        <v>72</v>
      </c>
      <c r="Q2150" s="100">
        <f t="shared" si="1177"/>
        <v>0</v>
      </c>
      <c r="R2150" s="13" t="str">
        <f t="shared" si="1168"/>
        <v>Фото &gt;&gt;</v>
      </c>
      <c r="S2150" s="14" t="s">
        <v>761</v>
      </c>
      <c r="AK2150">
        <v>0.23</v>
      </c>
      <c r="AL2150">
        <f t="shared" ref="AL2150:AL2162" si="1178">F2150*G2150</f>
        <v>0</v>
      </c>
      <c r="AM2150">
        <f t="shared" ref="AM2150:AM2162" si="1179">F2150*H2150</f>
        <v>0</v>
      </c>
      <c r="AN2150">
        <f t="shared" si="1167"/>
        <v>0</v>
      </c>
      <c r="AO2150" t="s">
        <v>5043</v>
      </c>
      <c r="AV2150" t="str">
        <f>IF(F2150&gt;0,(COUNT($AV$1:AV2149)+1),"")</f>
        <v/>
      </c>
    </row>
    <row r="2151" spans="1:48" ht="15" customHeight="1" x14ac:dyDescent="0.25">
      <c r="A2151" s="1"/>
      <c r="B2151" s="30">
        <v>12947</v>
      </c>
      <c r="C2151" s="20">
        <v>4607081021007</v>
      </c>
      <c r="D2151" s="225" t="s">
        <v>762</v>
      </c>
      <c r="E2151" s="67">
        <v>10</v>
      </c>
      <c r="F2151" s="222"/>
      <c r="G2151" s="107">
        <v>412</v>
      </c>
      <c r="H2151" s="21">
        <v>428.6</v>
      </c>
      <c r="I2151" s="22">
        <v>462</v>
      </c>
      <c r="J2151" s="112" t="s">
        <v>735</v>
      </c>
      <c r="K2151" s="45" t="s">
        <v>19</v>
      </c>
      <c r="L2151" s="437"/>
      <c r="M2151" s="474" t="s">
        <v>1856</v>
      </c>
      <c r="N2151" s="1013" t="s">
        <v>1856</v>
      </c>
      <c r="O2151" s="209"/>
      <c r="P2151" s="66" t="s">
        <v>72</v>
      </c>
      <c r="Q2151" s="100">
        <f t="shared" si="1177"/>
        <v>0</v>
      </c>
      <c r="R2151" s="13" t="str">
        <f t="shared" si="1168"/>
        <v>Фото &gt;&gt;</v>
      </c>
      <c r="S2151" s="14" t="s">
        <v>761</v>
      </c>
      <c r="AK2151">
        <v>0.67</v>
      </c>
      <c r="AL2151">
        <f t="shared" si="1178"/>
        <v>0</v>
      </c>
      <c r="AM2151">
        <f t="shared" si="1179"/>
        <v>0</v>
      </c>
      <c r="AN2151">
        <f t="shared" si="1167"/>
        <v>0</v>
      </c>
      <c r="AO2151" t="s">
        <v>5044</v>
      </c>
      <c r="AV2151" t="str">
        <f>IF(F2151&gt;0,(COUNT($AV$1:AV2150)+1),"")</f>
        <v/>
      </c>
    </row>
    <row r="2152" spans="1:48" ht="15" customHeight="1" x14ac:dyDescent="0.25">
      <c r="A2152" s="1"/>
      <c r="B2152" s="31">
        <v>11902</v>
      </c>
      <c r="C2152" s="16">
        <v>4607081020741</v>
      </c>
      <c r="D2152" s="226" t="s">
        <v>764</v>
      </c>
      <c r="E2152" s="69">
        <v>10</v>
      </c>
      <c r="F2152" s="222"/>
      <c r="G2152" s="108">
        <v>205.7</v>
      </c>
      <c r="H2152" s="17">
        <v>214.4</v>
      </c>
      <c r="I2152" s="18">
        <v>240</v>
      </c>
      <c r="J2152" s="113" t="s">
        <v>735</v>
      </c>
      <c r="K2152" s="44" t="s">
        <v>19</v>
      </c>
      <c r="L2152" s="442"/>
      <c r="M2152" s="480" t="s">
        <v>1856</v>
      </c>
      <c r="N2152" s="1015" t="s">
        <v>1856</v>
      </c>
      <c r="O2152" s="210"/>
      <c r="P2152" s="68" t="s">
        <v>72</v>
      </c>
      <c r="Q2152" s="100">
        <f t="shared" si="1177"/>
        <v>0</v>
      </c>
      <c r="R2152" s="13" t="str">
        <f t="shared" si="1168"/>
        <v>Фото &gt;&gt;</v>
      </c>
      <c r="S2152" s="14" t="s">
        <v>763</v>
      </c>
      <c r="AK2152">
        <v>0.67</v>
      </c>
      <c r="AL2152">
        <f t="shared" si="1178"/>
        <v>0</v>
      </c>
      <c r="AM2152">
        <f t="shared" si="1179"/>
        <v>0</v>
      </c>
      <c r="AN2152">
        <f t="shared" si="1167"/>
        <v>0</v>
      </c>
      <c r="AO2152" t="s">
        <v>5045</v>
      </c>
      <c r="AV2152" t="str">
        <f>IF(F2152&gt;0,(COUNT($AV$1:AV2151)+1),"")</f>
        <v/>
      </c>
    </row>
    <row r="2153" spans="1:48" ht="15" customHeight="1" x14ac:dyDescent="0.25">
      <c r="A2153" s="1"/>
      <c r="B2153" s="30">
        <v>11728</v>
      </c>
      <c r="C2153" s="20">
        <v>4607081020147</v>
      </c>
      <c r="D2153" s="225" t="s">
        <v>257</v>
      </c>
      <c r="E2153" s="67">
        <v>20</v>
      </c>
      <c r="F2153" s="222"/>
      <c r="G2153" s="107">
        <v>320.39999999999998</v>
      </c>
      <c r="H2153" s="21">
        <v>333</v>
      </c>
      <c r="I2153" s="22">
        <v>359</v>
      </c>
      <c r="J2153" s="112" t="s">
        <v>735</v>
      </c>
      <c r="K2153" s="45" t="s">
        <v>19</v>
      </c>
      <c r="L2153" s="437"/>
      <c r="M2153" s="474" t="s">
        <v>1856</v>
      </c>
      <c r="N2153" s="1013" t="s">
        <v>1856</v>
      </c>
      <c r="O2153" s="209"/>
      <c r="P2153" s="66" t="s">
        <v>50</v>
      </c>
      <c r="Q2153" s="100">
        <f t="shared" si="1177"/>
        <v>0</v>
      </c>
      <c r="R2153" s="13" t="str">
        <f t="shared" si="1168"/>
        <v>Фото &gt;&gt;</v>
      </c>
      <c r="S2153" s="14" t="s">
        <v>765</v>
      </c>
      <c r="AK2153">
        <v>0.23</v>
      </c>
      <c r="AL2153">
        <f t="shared" si="1178"/>
        <v>0</v>
      </c>
      <c r="AM2153">
        <f t="shared" si="1179"/>
        <v>0</v>
      </c>
      <c r="AN2153">
        <f t="shared" si="1167"/>
        <v>0</v>
      </c>
      <c r="AO2153" t="s">
        <v>5046</v>
      </c>
      <c r="AV2153" t="str">
        <f>IF(F2153&gt;0,(COUNT($AV$1:AV2152)+1),"")</f>
        <v/>
      </c>
    </row>
    <row r="2154" spans="1:48" ht="15" customHeight="1" x14ac:dyDescent="0.25">
      <c r="A2154" s="1"/>
      <c r="B2154" s="31">
        <v>11920</v>
      </c>
      <c r="C2154" s="16">
        <v>4607081020130</v>
      </c>
      <c r="D2154" s="226" t="s">
        <v>766</v>
      </c>
      <c r="E2154" s="69">
        <v>10</v>
      </c>
      <c r="F2154" s="222"/>
      <c r="G2154" s="108">
        <v>1062</v>
      </c>
      <c r="H2154" s="17">
        <v>1104</v>
      </c>
      <c r="I2154" s="18">
        <v>1189</v>
      </c>
      <c r="J2154" s="113" t="s">
        <v>735</v>
      </c>
      <c r="K2154" s="44" t="s">
        <v>19</v>
      </c>
      <c r="L2154" s="442"/>
      <c r="M2154" s="480" t="s">
        <v>1856</v>
      </c>
      <c r="N2154" s="1015" t="s">
        <v>1856</v>
      </c>
      <c r="O2154" s="210"/>
      <c r="P2154" s="68" t="s">
        <v>50</v>
      </c>
      <c r="Q2154" s="100">
        <f t="shared" si="1177"/>
        <v>0</v>
      </c>
      <c r="R2154" s="13" t="str">
        <f t="shared" si="1168"/>
        <v>Фото &gt;&gt;</v>
      </c>
      <c r="S2154" s="14" t="s">
        <v>765</v>
      </c>
      <c r="AK2154">
        <v>0.67</v>
      </c>
      <c r="AL2154">
        <f t="shared" si="1178"/>
        <v>0</v>
      </c>
      <c r="AM2154">
        <f t="shared" si="1179"/>
        <v>0</v>
      </c>
      <c r="AN2154">
        <f t="shared" si="1167"/>
        <v>0</v>
      </c>
      <c r="AO2154" t="s">
        <v>5047</v>
      </c>
      <c r="AV2154" t="str">
        <f>IF(F2154&gt;0,(COUNT($AV$1:AV2153)+1),"")</f>
        <v/>
      </c>
    </row>
    <row r="2155" spans="1:48" ht="15" customHeight="1" x14ac:dyDescent="0.25">
      <c r="A2155" s="1"/>
      <c r="B2155" s="30">
        <v>15669</v>
      </c>
      <c r="C2155" s="20">
        <v>4607081025005</v>
      </c>
      <c r="D2155" s="225" t="s">
        <v>767</v>
      </c>
      <c r="E2155" s="67">
        <v>10</v>
      </c>
      <c r="F2155" s="222"/>
      <c r="G2155" s="107">
        <v>205</v>
      </c>
      <c r="H2155" s="21">
        <v>213</v>
      </c>
      <c r="I2155" s="22">
        <v>230</v>
      </c>
      <c r="J2155" s="112" t="s">
        <v>735</v>
      </c>
      <c r="K2155" s="45" t="s">
        <v>19</v>
      </c>
      <c r="L2155" s="437"/>
      <c r="M2155" s="474" t="s">
        <v>1856</v>
      </c>
      <c r="N2155" s="1013" t="s">
        <v>1856</v>
      </c>
      <c r="O2155" s="209"/>
      <c r="P2155" s="66" t="s">
        <v>72</v>
      </c>
      <c r="Q2155" s="100">
        <f t="shared" si="1177"/>
        <v>0</v>
      </c>
      <c r="R2155" s="13" t="str">
        <f t="shared" si="1168"/>
        <v>Фото &gt;&gt;</v>
      </c>
      <c r="S2155" s="14" t="s">
        <v>768</v>
      </c>
      <c r="AK2155">
        <v>0.67</v>
      </c>
      <c r="AL2155">
        <f t="shared" si="1178"/>
        <v>0</v>
      </c>
      <c r="AM2155">
        <f t="shared" si="1179"/>
        <v>0</v>
      </c>
      <c r="AN2155">
        <f t="shared" si="1167"/>
        <v>0</v>
      </c>
      <c r="AO2155" t="s">
        <v>5047</v>
      </c>
      <c r="AV2155" t="str">
        <f>IF(F2155&gt;0,(COUNT($AV$1:AV2154)+1),"")</f>
        <v/>
      </c>
    </row>
    <row r="2156" spans="1:48" ht="15" customHeight="1" x14ac:dyDescent="0.25">
      <c r="A2156" s="1"/>
      <c r="B2156" s="31">
        <v>13863</v>
      </c>
      <c r="C2156" s="16">
        <v>4607081021472</v>
      </c>
      <c r="D2156" s="226" t="s">
        <v>263</v>
      </c>
      <c r="E2156" s="69">
        <v>20</v>
      </c>
      <c r="F2156" s="222"/>
      <c r="G2156" s="108">
        <v>410</v>
      </c>
      <c r="H2156" s="17">
        <v>426</v>
      </c>
      <c r="I2156" s="18">
        <v>459</v>
      </c>
      <c r="J2156" s="113" t="s">
        <v>735</v>
      </c>
      <c r="K2156" s="44" t="s">
        <v>19</v>
      </c>
      <c r="L2156" s="442"/>
      <c r="M2156" s="480" t="s">
        <v>1856</v>
      </c>
      <c r="N2156" s="1015" t="s">
        <v>1856</v>
      </c>
      <c r="O2156" s="210"/>
      <c r="P2156" s="68" t="s">
        <v>72</v>
      </c>
      <c r="Q2156" s="100">
        <f t="shared" si="1177"/>
        <v>0</v>
      </c>
      <c r="R2156" s="13" t="str">
        <f t="shared" si="1168"/>
        <v>Фото &gt;&gt;</v>
      </c>
      <c r="S2156" s="14" t="s">
        <v>769</v>
      </c>
      <c r="AK2156">
        <v>0.23</v>
      </c>
      <c r="AL2156">
        <f t="shared" si="1178"/>
        <v>0</v>
      </c>
      <c r="AM2156">
        <f t="shared" si="1179"/>
        <v>0</v>
      </c>
      <c r="AN2156">
        <f t="shared" si="1167"/>
        <v>0</v>
      </c>
      <c r="AO2156" t="s">
        <v>5048</v>
      </c>
      <c r="AV2156" t="str">
        <f>IF(F2156&gt;0,(COUNT($AV$1:AV2155)+1),"")</f>
        <v/>
      </c>
    </row>
    <row r="2157" spans="1:48" ht="15" customHeight="1" x14ac:dyDescent="0.25">
      <c r="A2157" s="1"/>
      <c r="B2157" s="30">
        <v>15443</v>
      </c>
      <c r="C2157" s="20">
        <v>4607081024695</v>
      </c>
      <c r="D2157" s="225" t="s">
        <v>770</v>
      </c>
      <c r="E2157" s="67">
        <v>20</v>
      </c>
      <c r="F2157" s="222"/>
      <c r="G2157" s="107">
        <v>244.8</v>
      </c>
      <c r="H2157" s="21">
        <v>254.5</v>
      </c>
      <c r="I2157" s="22">
        <v>274</v>
      </c>
      <c r="J2157" s="112" t="s">
        <v>735</v>
      </c>
      <c r="K2157" s="45" t="s">
        <v>19</v>
      </c>
      <c r="L2157" s="437"/>
      <c r="M2157" s="474" t="s">
        <v>1856</v>
      </c>
      <c r="N2157" s="1013" t="s">
        <v>1856</v>
      </c>
      <c r="O2157" s="209"/>
      <c r="P2157" s="66" t="s">
        <v>72</v>
      </c>
      <c r="Q2157" s="100">
        <f t="shared" si="1177"/>
        <v>0</v>
      </c>
      <c r="R2157" s="13" t="str">
        <f t="shared" si="1168"/>
        <v>Фото &gt;&gt;</v>
      </c>
      <c r="S2157" s="14" t="s">
        <v>771</v>
      </c>
      <c r="AK2157">
        <v>0.25</v>
      </c>
      <c r="AL2157">
        <f t="shared" si="1178"/>
        <v>0</v>
      </c>
      <c r="AM2157">
        <f t="shared" si="1179"/>
        <v>0</v>
      </c>
      <c r="AN2157">
        <f t="shared" si="1167"/>
        <v>0</v>
      </c>
      <c r="AO2157" t="s">
        <v>5049</v>
      </c>
      <c r="AV2157" t="str">
        <f>IF(F2157&gt;0,(COUNT($AV$1:AV2156)+1),"")</f>
        <v/>
      </c>
    </row>
    <row r="2158" spans="1:48" ht="15" customHeight="1" x14ac:dyDescent="0.25">
      <c r="A2158" s="1"/>
      <c r="B2158" s="25"/>
      <c r="C2158" s="26"/>
      <c r="D2158" s="27" t="s">
        <v>77</v>
      </c>
      <c r="E2158" s="80"/>
      <c r="F2158" s="96"/>
      <c r="G2158" s="28"/>
      <c r="H2158" s="29"/>
      <c r="I2158" s="29"/>
      <c r="J2158" s="51"/>
      <c r="K2158" s="47"/>
      <c r="L2158" s="447"/>
      <c r="M2158" s="489"/>
      <c r="N2158" s="716"/>
      <c r="O2158" s="186"/>
      <c r="P2158" s="79"/>
      <c r="Q2158" s="104"/>
      <c r="R2158" s="13"/>
      <c r="S2158" s="14"/>
      <c r="AL2158">
        <f t="shared" si="1178"/>
        <v>0</v>
      </c>
      <c r="AM2158">
        <f t="shared" si="1179"/>
        <v>0</v>
      </c>
      <c r="AN2158">
        <f t="shared" si="1167"/>
        <v>0</v>
      </c>
      <c r="AO2158" t="s">
        <v>104</v>
      </c>
      <c r="AV2158" t="str">
        <f>IF(F2158&gt;0,(COUNT($AV$1:AV2157)+1),"")</f>
        <v/>
      </c>
    </row>
    <row r="2159" spans="1:48" ht="15" customHeight="1" x14ac:dyDescent="0.25">
      <c r="A2159" s="1"/>
      <c r="B2159" s="30">
        <v>12548</v>
      </c>
      <c r="C2159" s="20">
        <v>4607081021311</v>
      </c>
      <c r="D2159" s="225" t="s">
        <v>772</v>
      </c>
      <c r="E2159" s="67">
        <v>20</v>
      </c>
      <c r="F2159" s="222"/>
      <c r="G2159" s="107">
        <v>123.8</v>
      </c>
      <c r="H2159" s="21">
        <v>128.69999999999999</v>
      </c>
      <c r="I2159" s="22">
        <v>138.6</v>
      </c>
      <c r="J2159" s="112" t="s">
        <v>735</v>
      </c>
      <c r="K2159" s="45" t="s">
        <v>78</v>
      </c>
      <c r="L2159" s="437"/>
      <c r="M2159" s="474" t="s">
        <v>1856</v>
      </c>
      <c r="N2159" s="1013" t="s">
        <v>1856</v>
      </c>
      <c r="O2159" s="209"/>
      <c r="P2159" s="66" t="s">
        <v>72</v>
      </c>
      <c r="Q2159" s="100">
        <f>IF($AO$2117=2,F2159*H2159,IF($AO$2117=1,F2159*G2159,F2159*I2159))</f>
        <v>0</v>
      </c>
      <c r="R2159" s="13" t="str">
        <f t="shared" si="1168"/>
        <v>Фото &gt;&gt;</v>
      </c>
      <c r="S2159" s="14" t="s">
        <v>568</v>
      </c>
      <c r="AK2159">
        <v>0.33</v>
      </c>
      <c r="AL2159">
        <f t="shared" si="1178"/>
        <v>0</v>
      </c>
      <c r="AM2159">
        <f t="shared" si="1179"/>
        <v>0</v>
      </c>
      <c r="AN2159">
        <f t="shared" si="1167"/>
        <v>0</v>
      </c>
      <c r="AO2159" t="s">
        <v>5050</v>
      </c>
      <c r="AV2159" t="str">
        <f>IF(F2159&gt;0,(COUNT($AV$1:AV2158)+1),"")</f>
        <v/>
      </c>
    </row>
    <row r="2160" spans="1:48" ht="15" customHeight="1" x14ac:dyDescent="0.25">
      <c r="A2160" s="1"/>
      <c r="B2160" s="31">
        <v>18462</v>
      </c>
      <c r="C2160" s="16">
        <v>4607081023872</v>
      </c>
      <c r="D2160" s="226" t="s">
        <v>775</v>
      </c>
      <c r="E2160" s="69">
        <v>20</v>
      </c>
      <c r="F2160" s="222"/>
      <c r="G2160" s="108">
        <v>108.6</v>
      </c>
      <c r="H2160" s="17">
        <v>113</v>
      </c>
      <c r="I2160" s="18">
        <v>122</v>
      </c>
      <c r="J2160" s="113" t="s">
        <v>735</v>
      </c>
      <c r="K2160" s="44" t="s">
        <v>78</v>
      </c>
      <c r="L2160" s="442"/>
      <c r="M2160" s="480" t="s">
        <v>1856</v>
      </c>
      <c r="N2160" s="1015" t="s">
        <v>1856</v>
      </c>
      <c r="O2160" s="210"/>
      <c r="P2160" s="68" t="s">
        <v>72</v>
      </c>
      <c r="Q2160" s="100">
        <f>IF($AO$2117=2,F2160*H2160,IF($AO$2117=1,F2160*G2160,F2160*I2160))</f>
        <v>0</v>
      </c>
      <c r="R2160" s="13" t="str">
        <f t="shared" si="1168"/>
        <v>Фото &gt;&gt;</v>
      </c>
      <c r="S2160" s="14" t="s">
        <v>1634</v>
      </c>
      <c r="AK2160">
        <v>0.43</v>
      </c>
      <c r="AL2160">
        <f t="shared" si="1178"/>
        <v>0</v>
      </c>
      <c r="AM2160">
        <f t="shared" si="1179"/>
        <v>0</v>
      </c>
      <c r="AN2160">
        <f t="shared" si="1167"/>
        <v>0</v>
      </c>
      <c r="AO2160" t="s">
        <v>5051</v>
      </c>
      <c r="AV2160" t="str">
        <f>IF(F2160&gt;0,(COUNT($AV$1:AV2159)+1),"")</f>
        <v/>
      </c>
    </row>
    <row r="2161" spans="1:48" ht="15" customHeight="1" x14ac:dyDescent="0.25">
      <c r="A2161" s="1"/>
      <c r="B2161" s="30">
        <v>11740</v>
      </c>
      <c r="C2161" s="20">
        <v>4607081021267</v>
      </c>
      <c r="D2161" s="225" t="s">
        <v>776</v>
      </c>
      <c r="E2161" s="67">
        <v>20</v>
      </c>
      <c r="F2161" s="222"/>
      <c r="G2161" s="107">
        <v>94.9</v>
      </c>
      <c r="H2161" s="21">
        <v>98.7</v>
      </c>
      <c r="I2161" s="22">
        <v>106.3</v>
      </c>
      <c r="J2161" s="112" t="s">
        <v>735</v>
      </c>
      <c r="K2161" s="45" t="s">
        <v>78</v>
      </c>
      <c r="L2161" s="437"/>
      <c r="M2161" s="474" t="s">
        <v>1856</v>
      </c>
      <c r="N2161" s="1013" t="s">
        <v>1856</v>
      </c>
      <c r="O2161" s="209"/>
      <c r="P2161" s="66" t="s">
        <v>72</v>
      </c>
      <c r="Q2161" s="100">
        <f>IF($AO$2117=2,F2161*H2161,IF($AO$2117=1,F2161*G2161,F2161*I2161))</f>
        <v>0</v>
      </c>
      <c r="R2161" s="13" t="str">
        <f t="shared" si="1168"/>
        <v>Фото &gt;&gt;</v>
      </c>
      <c r="S2161" s="14" t="s">
        <v>396</v>
      </c>
      <c r="AK2161">
        <v>0.33</v>
      </c>
      <c r="AL2161">
        <f t="shared" si="1178"/>
        <v>0</v>
      </c>
      <c r="AM2161">
        <f t="shared" si="1179"/>
        <v>0</v>
      </c>
      <c r="AN2161">
        <f t="shared" si="1167"/>
        <v>0</v>
      </c>
      <c r="AO2161" t="s">
        <v>5052</v>
      </c>
      <c r="AV2161" t="str">
        <f>IF(F2161&gt;0,(COUNT($AV$1:AV2160)+1),"")</f>
        <v/>
      </c>
    </row>
    <row r="2162" spans="1:48" ht="15" customHeight="1" x14ac:dyDescent="0.25">
      <c r="A2162" s="1"/>
      <c r="B2162" s="31">
        <v>18076</v>
      </c>
      <c r="C2162" s="16">
        <v>4607081023858</v>
      </c>
      <c r="D2162" s="226" t="s">
        <v>777</v>
      </c>
      <c r="E2162" s="69">
        <v>20</v>
      </c>
      <c r="F2162" s="222"/>
      <c r="G2162" s="108">
        <v>103.43</v>
      </c>
      <c r="H2162" s="17">
        <v>107.5</v>
      </c>
      <c r="I2162" s="18">
        <v>116</v>
      </c>
      <c r="J2162" s="113" t="s">
        <v>735</v>
      </c>
      <c r="K2162" s="44" t="s">
        <v>78</v>
      </c>
      <c r="L2162" s="442"/>
      <c r="M2162" s="480" t="s">
        <v>1856</v>
      </c>
      <c r="N2162" s="1015" t="s">
        <v>1856</v>
      </c>
      <c r="O2162" s="210"/>
      <c r="P2162" s="68" t="s">
        <v>72</v>
      </c>
      <c r="Q2162" s="100">
        <f>IF($AO$2117=2,F2162*H2162,IF($AO$2117=1,F2162*G2162,F2162*I2162))</f>
        <v>0</v>
      </c>
      <c r="R2162" s="13" t="str">
        <f t="shared" si="1168"/>
        <v>Фото &gt;&gt;</v>
      </c>
      <c r="S2162" s="14" t="s">
        <v>1636</v>
      </c>
      <c r="AK2162">
        <v>0.33</v>
      </c>
      <c r="AL2162">
        <f t="shared" si="1178"/>
        <v>0</v>
      </c>
      <c r="AM2162">
        <f t="shared" si="1179"/>
        <v>0</v>
      </c>
      <c r="AN2162">
        <f t="shared" si="1167"/>
        <v>0</v>
      </c>
      <c r="AO2162" t="s">
        <v>3818</v>
      </c>
      <c r="AV2162" t="str">
        <f>IF(F2162&gt;0,(COUNT($AV$1:AV2161)+1),"")</f>
        <v/>
      </c>
    </row>
    <row r="2163" spans="1:48" ht="15" customHeight="1" x14ac:dyDescent="0.25">
      <c r="A2163" s="1"/>
      <c r="B2163" s="125"/>
      <c r="C2163" s="126"/>
      <c r="D2163" s="127"/>
      <c r="E2163" s="134"/>
      <c r="F2163" s="189"/>
      <c r="G2163" s="130"/>
      <c r="H2163" s="131"/>
      <c r="I2163" s="132"/>
      <c r="J2163" s="128"/>
      <c r="K2163" s="129"/>
      <c r="L2163" s="433"/>
      <c r="M2163" s="481" t="s">
        <v>104</v>
      </c>
      <c r="N2163" s="471"/>
      <c r="O2163" s="181"/>
      <c r="P2163" s="133"/>
      <c r="Q2163" s="135"/>
      <c r="R2163" s="13"/>
      <c r="S2163" s="14"/>
      <c r="AV2163" t="str">
        <f>IF(F2163&gt;0,(COUNT($AV$1:AV2162)+1),"")</f>
        <v/>
      </c>
    </row>
    <row r="2164" spans="1:48" ht="15" customHeight="1" thickBot="1" x14ac:dyDescent="0.3">
      <c r="A2164" s="1"/>
      <c r="B2164" s="136"/>
      <c r="C2164" s="137"/>
      <c r="D2164" s="138"/>
      <c r="E2164" s="145"/>
      <c r="F2164" s="190"/>
      <c r="G2164" s="141"/>
      <c r="H2164" s="142"/>
      <c r="I2164" s="143"/>
      <c r="J2164" s="139"/>
      <c r="K2164" s="140"/>
      <c r="L2164" s="434"/>
      <c r="M2164" s="477" t="s">
        <v>104</v>
      </c>
      <c r="N2164" s="468"/>
      <c r="O2164" s="182"/>
      <c r="P2164" s="144"/>
      <c r="Q2164" s="146"/>
      <c r="R2164" s="13"/>
      <c r="S2164" s="14"/>
      <c r="AV2164" t="str">
        <f>IF(F2164&gt;0,(COUNT($AV$1:AV2163)+1),"")</f>
        <v/>
      </c>
    </row>
    <row r="2165" spans="1:48" ht="24.95" customHeight="1" thickBot="1" x14ac:dyDescent="0.3">
      <c r="A2165" s="1"/>
      <c r="B2165" s="169"/>
      <c r="C2165" s="170"/>
      <c r="D2165" s="171" t="str">
        <f>CONCATENATE("Новапродукт (Bionova, Ол лайт)","     |     Сумма заказа: ",AK2165," руб.")</f>
        <v>Новапродукт (Bionova, Ол лайт)     |     Сумма заказа: 0 руб.</v>
      </c>
      <c r="E2165" s="176"/>
      <c r="F2165" s="177"/>
      <c r="G2165" s="180" t="str">
        <f>CONCATENATE("Ценовая колонка: ",AO2165,"   |   До следующей скидки: ",AJ2165," руб.")</f>
        <v>Ценовая колонка: 3   |   До следующей скидки: 5000 руб.</v>
      </c>
      <c r="H2165" s="174"/>
      <c r="I2165" s="174"/>
      <c r="J2165" s="172" t="s">
        <v>778</v>
      </c>
      <c r="K2165" s="173"/>
      <c r="L2165" s="444"/>
      <c r="M2165" s="486" t="s">
        <v>104</v>
      </c>
      <c r="N2165" s="717"/>
      <c r="O2165" s="184"/>
      <c r="P2165" s="175"/>
      <c r="Q2165" s="178"/>
      <c r="R2165" s="179" t="s">
        <v>1558</v>
      </c>
      <c r="S2165" s="14"/>
      <c r="AJ2165">
        <f>ROUND(IF(AL2165&gt;20000,"0", IF(AND(AL2165&lt;20000,AM2165&gt;5000),20000-AL2165,5000-AM2165)),2)</f>
        <v>5000</v>
      </c>
      <c r="AK2165">
        <f>SUM(Q2167:Q2232)</f>
        <v>0</v>
      </c>
      <c r="AL2165">
        <f>SUM(AL2167:AL2232)</f>
        <v>0</v>
      </c>
      <c r="AM2165">
        <f>SUM(AM2167:AM2232)</f>
        <v>0</v>
      </c>
      <c r="AO2165">
        <f>IF(AM2165&gt;5000,IF(AL2165&gt;20000,1,2),3)</f>
        <v>3</v>
      </c>
      <c r="AV2165" t="str">
        <f>IF(F2165&gt;0,(COUNT($AV$1:AV2164)+1),"")</f>
        <v/>
      </c>
    </row>
    <row r="2166" spans="1:48" ht="15" customHeight="1" x14ac:dyDescent="0.25">
      <c r="A2166" s="1"/>
      <c r="B2166" s="296"/>
      <c r="C2166" s="38"/>
      <c r="D2166" s="39" t="s">
        <v>96</v>
      </c>
      <c r="E2166" s="82"/>
      <c r="F2166" s="97"/>
      <c r="G2166" s="40" t="s">
        <v>15</v>
      </c>
      <c r="H2166" s="41" t="s">
        <v>16</v>
      </c>
      <c r="I2166" s="41" t="s">
        <v>221</v>
      </c>
      <c r="J2166" s="52"/>
      <c r="K2166" s="48"/>
      <c r="L2166" s="448"/>
      <c r="M2166" s="491" t="s">
        <v>104</v>
      </c>
      <c r="N2166" s="715"/>
      <c r="O2166" s="187"/>
      <c r="P2166" s="81"/>
      <c r="Q2166" s="105"/>
      <c r="R2166" s="13"/>
      <c r="S2166" s="14"/>
      <c r="AV2166" t="str">
        <f>IF(F2166&gt;0,(COUNT($AV$1:AV2165)+1),"")</f>
        <v/>
      </c>
    </row>
    <row r="2167" spans="1:48" ht="15" customHeight="1" x14ac:dyDescent="0.25">
      <c r="A2167" s="1"/>
      <c r="B2167" s="31">
        <v>21050</v>
      </c>
      <c r="C2167" s="16">
        <v>4607013796942</v>
      </c>
      <c r="D2167" s="226" t="s">
        <v>6393</v>
      </c>
      <c r="E2167" s="323">
        <v>20</v>
      </c>
      <c r="F2167" s="222"/>
      <c r="G2167" s="108">
        <v>73.900000000000006</v>
      </c>
      <c r="H2167" s="17">
        <v>76.8</v>
      </c>
      <c r="I2167" s="18">
        <v>82.7</v>
      </c>
      <c r="J2167" s="113" t="s">
        <v>778</v>
      </c>
      <c r="K2167" s="44" t="s">
        <v>96</v>
      </c>
      <c r="L2167" s="442"/>
      <c r="M2167" s="480" t="s">
        <v>1856</v>
      </c>
      <c r="N2167" s="1015"/>
      <c r="O2167" s="217" t="s">
        <v>2271</v>
      </c>
      <c r="P2167" s="68" t="s">
        <v>72</v>
      </c>
      <c r="Q2167" s="100">
        <f t="shared" ref="Q2167:Q2181" si="1180">IF($AO$2165=2,F2167*H2167,IF($AO$2165=1,F2167*G2167,F2167*I2167))</f>
        <v>0</v>
      </c>
      <c r="R2167" s="13" t="str">
        <f t="shared" ref="R2167:R2179" si="1181">IF(AO2167&gt;0,HYPERLINK(AO2167,"Фото &gt;&gt;"),"")</f>
        <v>Фото &gt;&gt;</v>
      </c>
      <c r="S2167" s="14" t="s">
        <v>5886</v>
      </c>
      <c r="U2167" s="4"/>
      <c r="V2167" s="4"/>
      <c r="AK2167">
        <v>4.4999999999999998E-2</v>
      </c>
      <c r="AL2167">
        <f t="shared" ref="AL2167:AL2191" si="1182">F2167*G2167</f>
        <v>0</v>
      </c>
      <c r="AM2167">
        <f t="shared" ref="AM2167:AM2191" si="1183">F2167*H2167</f>
        <v>0</v>
      </c>
      <c r="AN2167">
        <f t="shared" ref="AN2167:AN2207" si="1184">AK2167*F2167+IF(E2167&gt;1.01,F2167/E2167*0.2,0)</f>
        <v>0</v>
      </c>
      <c r="AO2167" t="s">
        <v>5888</v>
      </c>
      <c r="AV2167" t="str">
        <f>IF(F2167&gt;0,(COUNT($AV$1:AV2166)+1),"")</f>
        <v/>
      </c>
    </row>
    <row r="2168" spans="1:48" ht="15" customHeight="1" x14ac:dyDescent="0.25">
      <c r="A2168" s="1"/>
      <c r="B2168" s="30">
        <v>21051</v>
      </c>
      <c r="C2168" s="20">
        <v>4607013796959</v>
      </c>
      <c r="D2168" s="225" t="s">
        <v>6394</v>
      </c>
      <c r="E2168" s="324">
        <v>20</v>
      </c>
      <c r="F2168" s="222"/>
      <c r="G2168" s="107">
        <v>73.900000000000006</v>
      </c>
      <c r="H2168" s="21">
        <v>76.8</v>
      </c>
      <c r="I2168" s="22">
        <v>82.7</v>
      </c>
      <c r="J2168" s="112" t="s">
        <v>778</v>
      </c>
      <c r="K2168" s="45" t="s">
        <v>96</v>
      </c>
      <c r="L2168" s="437"/>
      <c r="M2168" s="474" t="s">
        <v>1856</v>
      </c>
      <c r="N2168" s="1013"/>
      <c r="O2168" s="212" t="s">
        <v>2271</v>
      </c>
      <c r="P2168" s="66" t="s">
        <v>72</v>
      </c>
      <c r="Q2168" s="100">
        <f t="shared" si="1180"/>
        <v>0</v>
      </c>
      <c r="R2168" s="13" t="str">
        <f t="shared" si="1181"/>
        <v>Фото &gt;&gt;</v>
      </c>
      <c r="S2168" s="14" t="s">
        <v>5887</v>
      </c>
      <c r="U2168" s="4"/>
      <c r="V2168" s="4"/>
      <c r="AK2168">
        <v>4.4999999999999998E-2</v>
      </c>
      <c r="AL2168">
        <f t="shared" ref="AL2168:AL2171" si="1185">F2168*G2168</f>
        <v>0</v>
      </c>
      <c r="AM2168">
        <f t="shared" ref="AM2168:AM2171" si="1186">F2168*H2168</f>
        <v>0</v>
      </c>
      <c r="AN2168">
        <f t="shared" ref="AN2168:AN2171" si="1187">AK2168*F2168+IF(E2168&gt;1.01,F2168/E2168*0.2,0)</f>
        <v>0</v>
      </c>
      <c r="AO2168" t="s">
        <v>5889</v>
      </c>
      <c r="AV2168" t="str">
        <f>IF(F2168&gt;0,(COUNT($AV$1:AV2167)+1),"")</f>
        <v/>
      </c>
    </row>
    <row r="2169" spans="1:48" ht="15" customHeight="1" x14ac:dyDescent="0.25">
      <c r="A2169" s="1"/>
      <c r="B2169" s="31">
        <v>21049</v>
      </c>
      <c r="C2169" s="16">
        <v>4607013796966</v>
      </c>
      <c r="D2169" s="226" t="s">
        <v>6383</v>
      </c>
      <c r="E2169" s="323">
        <v>20</v>
      </c>
      <c r="F2169" s="222"/>
      <c r="G2169" s="108">
        <v>73.900000000000006</v>
      </c>
      <c r="H2169" s="17">
        <v>76.8</v>
      </c>
      <c r="I2169" s="18">
        <v>82.7</v>
      </c>
      <c r="J2169" s="113" t="s">
        <v>778</v>
      </c>
      <c r="K2169" s="44" t="s">
        <v>96</v>
      </c>
      <c r="L2169" s="442"/>
      <c r="M2169" s="480" t="s">
        <v>1856</v>
      </c>
      <c r="N2169" s="1015"/>
      <c r="O2169" s="217" t="s">
        <v>2271</v>
      </c>
      <c r="P2169" s="68" t="s">
        <v>72</v>
      </c>
      <c r="Q2169" s="100">
        <f t="shared" si="1180"/>
        <v>0</v>
      </c>
      <c r="R2169" s="13" t="str">
        <f t="shared" si="1181"/>
        <v>Фото &gt;&gt;</v>
      </c>
      <c r="S2169" s="14" t="s">
        <v>5885</v>
      </c>
      <c r="U2169" s="4"/>
      <c r="V2169" s="4"/>
      <c r="AK2169">
        <v>4.4999999999999998E-2</v>
      </c>
      <c r="AL2169">
        <f t="shared" si="1185"/>
        <v>0</v>
      </c>
      <c r="AM2169">
        <f t="shared" si="1186"/>
        <v>0</v>
      </c>
      <c r="AN2169">
        <f t="shared" si="1187"/>
        <v>0</v>
      </c>
      <c r="AO2169" t="s">
        <v>5890</v>
      </c>
      <c r="AV2169" t="str">
        <f>IF(F2169&gt;0,(COUNT($AV$1:AV2168)+1),"")</f>
        <v/>
      </c>
    </row>
    <row r="2170" spans="1:48" ht="15" customHeight="1" x14ac:dyDescent="0.25">
      <c r="A2170" s="1"/>
      <c r="B2170" s="30">
        <v>21047</v>
      </c>
      <c r="C2170" s="20">
        <v>4607013796928</v>
      </c>
      <c r="D2170" s="225" t="s">
        <v>6384</v>
      </c>
      <c r="E2170" s="324">
        <v>20</v>
      </c>
      <c r="F2170" s="222"/>
      <c r="G2170" s="107">
        <v>73.900000000000006</v>
      </c>
      <c r="H2170" s="21">
        <v>76.8</v>
      </c>
      <c r="I2170" s="22">
        <v>82.7</v>
      </c>
      <c r="J2170" s="112" t="s">
        <v>778</v>
      </c>
      <c r="K2170" s="45" t="s">
        <v>96</v>
      </c>
      <c r="L2170" s="437"/>
      <c r="M2170" s="474" t="s">
        <v>1856</v>
      </c>
      <c r="N2170" s="1013"/>
      <c r="O2170" s="212" t="s">
        <v>2271</v>
      </c>
      <c r="P2170" s="66" t="s">
        <v>72</v>
      </c>
      <c r="Q2170" s="100">
        <f t="shared" si="1180"/>
        <v>0</v>
      </c>
      <c r="R2170" s="13" t="str">
        <f t="shared" si="1181"/>
        <v>Фото &gt;&gt;</v>
      </c>
      <c r="S2170" s="14" t="s">
        <v>5884</v>
      </c>
      <c r="U2170" s="4"/>
      <c r="V2170" s="4"/>
      <c r="AK2170">
        <v>4.4999999999999998E-2</v>
      </c>
      <c r="AL2170">
        <f t="shared" si="1185"/>
        <v>0</v>
      </c>
      <c r="AM2170">
        <f t="shared" si="1186"/>
        <v>0</v>
      </c>
      <c r="AN2170">
        <f t="shared" si="1187"/>
        <v>0</v>
      </c>
      <c r="AO2170" t="s">
        <v>5891</v>
      </c>
      <c r="AV2170" t="str">
        <f>IF(F2170&gt;0,(COUNT($AV$1:AV2169)+1),"")</f>
        <v/>
      </c>
    </row>
    <row r="2171" spans="1:48" ht="15" customHeight="1" x14ac:dyDescent="0.25">
      <c r="A2171" s="1"/>
      <c r="B2171" s="31">
        <v>21048</v>
      </c>
      <c r="C2171" s="16">
        <v>4607013796935</v>
      </c>
      <c r="D2171" s="226" t="s">
        <v>6385</v>
      </c>
      <c r="E2171" s="323">
        <v>20</v>
      </c>
      <c r="F2171" s="222"/>
      <c r="G2171" s="108">
        <v>73.900000000000006</v>
      </c>
      <c r="H2171" s="17">
        <v>76.8</v>
      </c>
      <c r="I2171" s="18">
        <v>82.7</v>
      </c>
      <c r="J2171" s="113" t="s">
        <v>778</v>
      </c>
      <c r="K2171" s="44" t="s">
        <v>96</v>
      </c>
      <c r="L2171" s="442"/>
      <c r="M2171" s="480" t="s">
        <v>1856</v>
      </c>
      <c r="N2171" s="1015"/>
      <c r="O2171" s="217" t="s">
        <v>2271</v>
      </c>
      <c r="P2171" s="68" t="s">
        <v>72</v>
      </c>
      <c r="Q2171" s="100">
        <f t="shared" si="1180"/>
        <v>0</v>
      </c>
      <c r="R2171" s="13" t="str">
        <f t="shared" si="1181"/>
        <v>Фото &gt;&gt;</v>
      </c>
      <c r="S2171" s="14" t="s">
        <v>5883</v>
      </c>
      <c r="U2171" s="4"/>
      <c r="V2171" s="4"/>
      <c r="AK2171">
        <v>4.4999999999999998E-2</v>
      </c>
      <c r="AL2171">
        <f t="shared" si="1185"/>
        <v>0</v>
      </c>
      <c r="AM2171">
        <f t="shared" si="1186"/>
        <v>0</v>
      </c>
      <c r="AN2171">
        <f t="shared" si="1187"/>
        <v>0</v>
      </c>
      <c r="AO2171" t="s">
        <v>5892</v>
      </c>
      <c r="AV2171" t="str">
        <f>IF(F2171&gt;0,(COUNT($AV$1:AV2170)+1),"")</f>
        <v/>
      </c>
    </row>
    <row r="2172" spans="1:48" ht="15" customHeight="1" x14ac:dyDescent="0.25">
      <c r="A2172" s="1"/>
      <c r="B2172" s="30">
        <v>21077</v>
      </c>
      <c r="C2172" s="20">
        <v>4607013796836</v>
      </c>
      <c r="D2172" s="225" t="s">
        <v>7002</v>
      </c>
      <c r="E2172" s="324">
        <v>25</v>
      </c>
      <c r="F2172" s="222"/>
      <c r="G2172" s="107">
        <v>26.8</v>
      </c>
      <c r="H2172" s="21">
        <v>27.9</v>
      </c>
      <c r="I2172" s="22">
        <v>30</v>
      </c>
      <c r="J2172" s="112" t="s">
        <v>778</v>
      </c>
      <c r="K2172" s="45" t="s">
        <v>96</v>
      </c>
      <c r="L2172" s="437"/>
      <c r="M2172" s="474"/>
      <c r="N2172" s="1013" t="s">
        <v>1856</v>
      </c>
      <c r="O2172" s="212" t="s">
        <v>2931</v>
      </c>
      <c r="P2172" s="66" t="s">
        <v>72</v>
      </c>
      <c r="Q2172" s="100">
        <f t="shared" si="1180"/>
        <v>0</v>
      </c>
      <c r="R2172" s="13" t="str">
        <f t="shared" si="1181"/>
        <v>Фото &gt;&gt;</v>
      </c>
      <c r="S2172" s="14" t="s">
        <v>5979</v>
      </c>
      <c r="U2172" s="4"/>
      <c r="V2172" s="4"/>
      <c r="AK2172">
        <v>4.4999999999999998E-2</v>
      </c>
      <c r="AL2172">
        <f t="shared" ref="AL2172:AL2179" si="1188">F2172*G2172</f>
        <v>0</v>
      </c>
      <c r="AM2172">
        <f t="shared" ref="AM2172:AM2179" si="1189">F2172*H2172</f>
        <v>0</v>
      </c>
      <c r="AN2172">
        <f t="shared" ref="AN2172:AN2179" si="1190">AK2172*F2172+IF(E2172&gt;1.01,F2172/E2172*0.2,0)</f>
        <v>0</v>
      </c>
      <c r="AO2172" t="s">
        <v>5974</v>
      </c>
      <c r="AQ2172" s="520" t="str">
        <f>CONCATENATE("http://1.c8804.nichost.ru/pics/",B2172,".jpg")</f>
        <v>http://1.c8804.nichost.ru/pics/21077.jpg</v>
      </c>
      <c r="AV2172" t="str">
        <f>IF(F2172&gt;0,(COUNT($AV$1:AV2171)+1),"")</f>
        <v/>
      </c>
    </row>
    <row r="2173" spans="1:48" ht="15" customHeight="1" x14ac:dyDescent="0.25">
      <c r="A2173" s="1"/>
      <c r="B2173" s="31">
        <v>21080</v>
      </c>
      <c r="C2173" s="16">
        <v>4607013796805</v>
      </c>
      <c r="D2173" s="226" t="s">
        <v>7003</v>
      </c>
      <c r="E2173" s="323">
        <v>25</v>
      </c>
      <c r="F2173" s="222"/>
      <c r="G2173" s="108">
        <v>26.8</v>
      </c>
      <c r="H2173" s="17">
        <v>27.9</v>
      </c>
      <c r="I2173" s="18">
        <v>30</v>
      </c>
      <c r="J2173" s="113" t="s">
        <v>778</v>
      </c>
      <c r="K2173" s="44" t="s">
        <v>96</v>
      </c>
      <c r="L2173" s="442"/>
      <c r="M2173" s="480"/>
      <c r="N2173" s="1015" t="s">
        <v>1856</v>
      </c>
      <c r="O2173" s="217" t="s">
        <v>2931</v>
      </c>
      <c r="P2173" s="68" t="s">
        <v>72</v>
      </c>
      <c r="Q2173" s="100">
        <f t="shared" si="1180"/>
        <v>0</v>
      </c>
      <c r="R2173" s="13" t="str">
        <f t="shared" si="1181"/>
        <v>Фото &gt;&gt;</v>
      </c>
      <c r="S2173" s="14" t="s">
        <v>5980</v>
      </c>
      <c r="U2173" s="4"/>
      <c r="V2173" s="4"/>
      <c r="AK2173">
        <v>4.4999999999999998E-2</v>
      </c>
      <c r="AL2173">
        <f t="shared" si="1188"/>
        <v>0</v>
      </c>
      <c r="AM2173">
        <f t="shared" si="1189"/>
        <v>0</v>
      </c>
      <c r="AN2173">
        <f t="shared" si="1190"/>
        <v>0</v>
      </c>
      <c r="AO2173" t="s">
        <v>5975</v>
      </c>
      <c r="AQ2173" s="520" t="str">
        <f t="shared" ref="AQ2173:AQ2176" si="1191">CONCATENATE("http://1.c8804.nichost.ru/pics/",B2173,".jpg")</f>
        <v>http://1.c8804.nichost.ru/pics/21080.jpg</v>
      </c>
      <c r="AV2173" t="str">
        <f>IF(F2173&gt;0,(COUNT($AV$1:AV2172)+1),"")</f>
        <v/>
      </c>
    </row>
    <row r="2174" spans="1:48" ht="15" customHeight="1" x14ac:dyDescent="0.25">
      <c r="A2174" s="1"/>
      <c r="B2174" s="30">
        <v>21078</v>
      </c>
      <c r="C2174" s="20">
        <v>4607013796829</v>
      </c>
      <c r="D2174" s="225" t="s">
        <v>7004</v>
      </c>
      <c r="E2174" s="324">
        <v>25</v>
      </c>
      <c r="F2174" s="222"/>
      <c r="G2174" s="107">
        <v>26.8</v>
      </c>
      <c r="H2174" s="21">
        <v>27.9</v>
      </c>
      <c r="I2174" s="22">
        <v>30</v>
      </c>
      <c r="J2174" s="112" t="s">
        <v>778</v>
      </c>
      <c r="K2174" s="45" t="s">
        <v>96</v>
      </c>
      <c r="L2174" s="437"/>
      <c r="M2174" s="474"/>
      <c r="N2174" s="1013" t="s">
        <v>1856</v>
      </c>
      <c r="O2174" s="212" t="s">
        <v>2931</v>
      </c>
      <c r="P2174" s="66" t="s">
        <v>72</v>
      </c>
      <c r="Q2174" s="100">
        <f t="shared" si="1180"/>
        <v>0</v>
      </c>
      <c r="R2174" s="13" t="str">
        <f t="shared" si="1181"/>
        <v>Фото &gt;&gt;</v>
      </c>
      <c r="S2174" s="14" t="s">
        <v>5981</v>
      </c>
      <c r="U2174" s="4"/>
      <c r="V2174" s="4"/>
      <c r="AK2174">
        <v>4.4999999999999998E-2</v>
      </c>
      <c r="AL2174">
        <f t="shared" si="1188"/>
        <v>0</v>
      </c>
      <c r="AM2174">
        <f t="shared" si="1189"/>
        <v>0</v>
      </c>
      <c r="AN2174">
        <f t="shared" si="1190"/>
        <v>0</v>
      </c>
      <c r="AO2174" t="s">
        <v>5976</v>
      </c>
      <c r="AQ2174" s="520" t="str">
        <f t="shared" si="1191"/>
        <v>http://1.c8804.nichost.ru/pics/21078.jpg</v>
      </c>
      <c r="AV2174" t="str">
        <f>IF(F2174&gt;0,(COUNT($AV$1:AV2173)+1),"")</f>
        <v/>
      </c>
    </row>
    <row r="2175" spans="1:48" ht="15" customHeight="1" x14ac:dyDescent="0.25">
      <c r="A2175" s="1"/>
      <c r="B2175" s="31">
        <v>21079</v>
      </c>
      <c r="C2175" s="16">
        <v>4607013796812</v>
      </c>
      <c r="D2175" s="226" t="s">
        <v>7005</v>
      </c>
      <c r="E2175" s="323">
        <v>25</v>
      </c>
      <c r="F2175" s="222"/>
      <c r="G2175" s="108">
        <v>26.8</v>
      </c>
      <c r="H2175" s="17">
        <v>27.9</v>
      </c>
      <c r="I2175" s="18">
        <v>30</v>
      </c>
      <c r="J2175" s="113" t="s">
        <v>778</v>
      </c>
      <c r="K2175" s="44" t="s">
        <v>96</v>
      </c>
      <c r="L2175" s="442"/>
      <c r="M2175" s="480"/>
      <c r="N2175" s="1015" t="s">
        <v>1856</v>
      </c>
      <c r="O2175" s="217" t="s">
        <v>2931</v>
      </c>
      <c r="P2175" s="68" t="s">
        <v>72</v>
      </c>
      <c r="Q2175" s="100">
        <f t="shared" si="1180"/>
        <v>0</v>
      </c>
      <c r="R2175" s="13" t="str">
        <f t="shared" si="1181"/>
        <v>Фото &gt;&gt;</v>
      </c>
      <c r="S2175" s="14" t="s">
        <v>5982</v>
      </c>
      <c r="U2175" s="4"/>
      <c r="V2175" s="4"/>
      <c r="AK2175">
        <v>4.4999999999999998E-2</v>
      </c>
      <c r="AL2175">
        <f t="shared" si="1188"/>
        <v>0</v>
      </c>
      <c r="AM2175">
        <f t="shared" si="1189"/>
        <v>0</v>
      </c>
      <c r="AN2175">
        <f t="shared" si="1190"/>
        <v>0</v>
      </c>
      <c r="AO2175" t="s">
        <v>5977</v>
      </c>
      <c r="AQ2175" s="520" t="str">
        <f t="shared" si="1191"/>
        <v>http://1.c8804.nichost.ru/pics/21079.jpg</v>
      </c>
      <c r="AV2175" t="str">
        <f>IF(F2175&gt;0,(COUNT($AV$1:AV2174)+1),"")</f>
        <v/>
      </c>
    </row>
    <row r="2176" spans="1:48" ht="15" customHeight="1" x14ac:dyDescent="0.25">
      <c r="A2176" s="1"/>
      <c r="B2176" s="30">
        <v>21076</v>
      </c>
      <c r="C2176" s="20">
        <v>4607013796843</v>
      </c>
      <c r="D2176" s="225" t="s">
        <v>7006</v>
      </c>
      <c r="E2176" s="324">
        <v>25</v>
      </c>
      <c r="F2176" s="222"/>
      <c r="G2176" s="107">
        <v>26.8</v>
      </c>
      <c r="H2176" s="21">
        <v>27.9</v>
      </c>
      <c r="I2176" s="22">
        <v>30</v>
      </c>
      <c r="J2176" s="112" t="s">
        <v>778</v>
      </c>
      <c r="K2176" s="45" t="s">
        <v>96</v>
      </c>
      <c r="L2176" s="437"/>
      <c r="M2176" s="474"/>
      <c r="N2176" s="1013" t="s">
        <v>1856</v>
      </c>
      <c r="O2176" s="212" t="s">
        <v>2931</v>
      </c>
      <c r="P2176" s="66" t="s">
        <v>72</v>
      </c>
      <c r="Q2176" s="100">
        <f t="shared" si="1180"/>
        <v>0</v>
      </c>
      <c r="R2176" s="13" t="str">
        <f t="shared" si="1181"/>
        <v>Фото &gt;&gt;</v>
      </c>
      <c r="S2176" s="14" t="s">
        <v>5983</v>
      </c>
      <c r="U2176" s="4"/>
      <c r="V2176" s="4"/>
      <c r="AK2176">
        <v>4.4999999999999998E-2</v>
      </c>
      <c r="AL2176">
        <f t="shared" si="1188"/>
        <v>0</v>
      </c>
      <c r="AM2176">
        <f t="shared" si="1189"/>
        <v>0</v>
      </c>
      <c r="AN2176">
        <f t="shared" si="1190"/>
        <v>0</v>
      </c>
      <c r="AO2176" t="s">
        <v>5978</v>
      </c>
      <c r="AQ2176" s="520" t="str">
        <f t="shared" si="1191"/>
        <v>http://1.c8804.nichost.ru/pics/21076.jpg</v>
      </c>
      <c r="AV2176" t="str">
        <f>IF(F2176&gt;0,(COUNT($AV$1:AV2175)+1),"")</f>
        <v/>
      </c>
    </row>
    <row r="2177" spans="1:48" ht="15" customHeight="1" x14ac:dyDescent="0.25">
      <c r="A2177" s="1"/>
      <c r="B2177" s="31">
        <v>17804</v>
      </c>
      <c r="C2177" s="16">
        <v>4607013793446</v>
      </c>
      <c r="D2177" s="226" t="s">
        <v>5969</v>
      </c>
      <c r="E2177" s="323">
        <v>25</v>
      </c>
      <c r="F2177" s="222"/>
      <c r="G2177" s="108">
        <v>33.5</v>
      </c>
      <c r="H2177" s="17">
        <v>34.9</v>
      </c>
      <c r="I2177" s="18">
        <v>37.6</v>
      </c>
      <c r="J2177" s="113" t="s">
        <v>778</v>
      </c>
      <c r="K2177" s="44" t="s">
        <v>96</v>
      </c>
      <c r="L2177" s="442"/>
      <c r="M2177" s="480" t="s">
        <v>1856</v>
      </c>
      <c r="N2177" s="1015" t="s">
        <v>1856</v>
      </c>
      <c r="O2177" s="217" t="s">
        <v>2931</v>
      </c>
      <c r="P2177" s="68" t="s">
        <v>72</v>
      </c>
      <c r="Q2177" s="100">
        <f t="shared" si="1180"/>
        <v>0</v>
      </c>
      <c r="R2177" s="13" t="str">
        <f t="shared" si="1181"/>
        <v>Фото &gt;&gt;</v>
      </c>
      <c r="S2177" s="14" t="s">
        <v>3587</v>
      </c>
      <c r="U2177" s="4"/>
      <c r="V2177" s="4"/>
      <c r="AK2177">
        <v>3.5000000000000003E-2</v>
      </c>
      <c r="AL2177">
        <f t="shared" si="1188"/>
        <v>0</v>
      </c>
      <c r="AM2177">
        <f t="shared" si="1189"/>
        <v>0</v>
      </c>
      <c r="AN2177">
        <f t="shared" si="1190"/>
        <v>0</v>
      </c>
      <c r="AO2177" t="s">
        <v>5053</v>
      </c>
      <c r="AV2177" t="str">
        <f>IF(F2177&gt;0,(COUNT($AV$1:AV2176)+1),"")</f>
        <v/>
      </c>
    </row>
    <row r="2178" spans="1:48" ht="15" customHeight="1" x14ac:dyDescent="0.25">
      <c r="A2178" s="1"/>
      <c r="B2178" s="30">
        <v>17806</v>
      </c>
      <c r="C2178" s="20">
        <v>4607013794078</v>
      </c>
      <c r="D2178" s="225" t="s">
        <v>5970</v>
      </c>
      <c r="E2178" s="324">
        <v>25</v>
      </c>
      <c r="F2178" s="222"/>
      <c r="G2178" s="107">
        <v>33.5</v>
      </c>
      <c r="H2178" s="21">
        <v>34.9</v>
      </c>
      <c r="I2178" s="22">
        <v>37.6</v>
      </c>
      <c r="J2178" s="112" t="s">
        <v>778</v>
      </c>
      <c r="K2178" s="45" t="s">
        <v>96</v>
      </c>
      <c r="L2178" s="437"/>
      <c r="M2178" s="474" t="s">
        <v>1856</v>
      </c>
      <c r="N2178" s="1013" t="s">
        <v>1856</v>
      </c>
      <c r="O2178" s="212" t="s">
        <v>2931</v>
      </c>
      <c r="P2178" s="66" t="s">
        <v>72</v>
      </c>
      <c r="Q2178" s="100">
        <f t="shared" si="1180"/>
        <v>0</v>
      </c>
      <c r="R2178" s="13" t="str">
        <f t="shared" si="1181"/>
        <v>Фото &gt;&gt;</v>
      </c>
      <c r="S2178" s="14" t="s">
        <v>3586</v>
      </c>
      <c r="U2178" s="4"/>
      <c r="V2178" s="4"/>
      <c r="AK2178">
        <v>3.5000000000000003E-2</v>
      </c>
      <c r="AL2178">
        <f t="shared" si="1188"/>
        <v>0</v>
      </c>
      <c r="AM2178">
        <f t="shared" si="1189"/>
        <v>0</v>
      </c>
      <c r="AN2178">
        <f t="shared" si="1190"/>
        <v>0</v>
      </c>
      <c r="AO2178" t="s">
        <v>5054</v>
      </c>
      <c r="AV2178" t="str">
        <f>IF(F2178&gt;0,(COUNT($AV$1:AV2177)+1),"")</f>
        <v/>
      </c>
    </row>
    <row r="2179" spans="1:48" ht="15" customHeight="1" x14ac:dyDescent="0.25">
      <c r="A2179" s="1"/>
      <c r="B2179" s="31">
        <v>17807</v>
      </c>
      <c r="C2179" s="16">
        <v>4607013794092</v>
      </c>
      <c r="D2179" s="226" t="s">
        <v>5971</v>
      </c>
      <c r="E2179" s="323">
        <v>25</v>
      </c>
      <c r="F2179" s="222"/>
      <c r="G2179" s="108">
        <v>33.5</v>
      </c>
      <c r="H2179" s="17">
        <v>34.9</v>
      </c>
      <c r="I2179" s="18">
        <v>37.6</v>
      </c>
      <c r="J2179" s="113" t="s">
        <v>778</v>
      </c>
      <c r="K2179" s="44" t="s">
        <v>96</v>
      </c>
      <c r="L2179" s="442"/>
      <c r="M2179" s="480" t="s">
        <v>1856</v>
      </c>
      <c r="N2179" s="1015" t="s">
        <v>1856</v>
      </c>
      <c r="O2179" s="217" t="s">
        <v>2931</v>
      </c>
      <c r="P2179" s="68" t="s">
        <v>72</v>
      </c>
      <c r="Q2179" s="100">
        <f t="shared" si="1180"/>
        <v>0</v>
      </c>
      <c r="R2179" s="13" t="str">
        <f t="shared" si="1181"/>
        <v>Фото &gt;&gt;</v>
      </c>
      <c r="S2179" s="14" t="s">
        <v>3589</v>
      </c>
      <c r="U2179" s="4"/>
      <c r="V2179" s="4"/>
      <c r="AK2179">
        <v>3.5000000000000003E-2</v>
      </c>
      <c r="AL2179">
        <f t="shared" si="1188"/>
        <v>0</v>
      </c>
      <c r="AM2179">
        <f t="shared" si="1189"/>
        <v>0</v>
      </c>
      <c r="AN2179">
        <f t="shared" si="1190"/>
        <v>0</v>
      </c>
      <c r="AO2179" t="s">
        <v>5055</v>
      </c>
      <c r="AV2179" t="str">
        <f>IF(F2179&gt;0,(COUNT($AV$1:AV2178)+1),"")</f>
        <v/>
      </c>
    </row>
    <row r="2180" spans="1:48" ht="15" customHeight="1" x14ac:dyDescent="0.25">
      <c r="A2180" s="1"/>
      <c r="B2180" s="30">
        <v>17808</v>
      </c>
      <c r="C2180" s="20">
        <v>4607013793460</v>
      </c>
      <c r="D2180" s="225" t="s">
        <v>5972</v>
      </c>
      <c r="E2180" s="324">
        <v>25</v>
      </c>
      <c r="F2180" s="222"/>
      <c r="G2180" s="107">
        <v>33.5</v>
      </c>
      <c r="H2180" s="21">
        <v>34.9</v>
      </c>
      <c r="I2180" s="22">
        <v>37.6</v>
      </c>
      <c r="J2180" s="112" t="s">
        <v>778</v>
      </c>
      <c r="K2180" s="45" t="s">
        <v>96</v>
      </c>
      <c r="L2180" s="437"/>
      <c r="M2180" s="474" t="s">
        <v>1856</v>
      </c>
      <c r="N2180" s="1013" t="s">
        <v>1856</v>
      </c>
      <c r="O2180" s="212" t="s">
        <v>2931</v>
      </c>
      <c r="P2180" s="66" t="s">
        <v>72</v>
      </c>
      <c r="Q2180" s="100">
        <f t="shared" si="1180"/>
        <v>0</v>
      </c>
      <c r="R2180" s="13" t="str">
        <f t="shared" si="1168"/>
        <v>Фото &gt;&gt;</v>
      </c>
      <c r="S2180" s="14" t="s">
        <v>3588</v>
      </c>
      <c r="U2180" s="4"/>
      <c r="V2180" s="4"/>
      <c r="AK2180">
        <v>3.5000000000000003E-2</v>
      </c>
      <c r="AL2180">
        <f t="shared" si="1182"/>
        <v>0</v>
      </c>
      <c r="AM2180">
        <f t="shared" si="1183"/>
        <v>0</v>
      </c>
      <c r="AN2180">
        <f t="shared" si="1184"/>
        <v>0</v>
      </c>
      <c r="AO2180" t="s">
        <v>5056</v>
      </c>
      <c r="AV2180" t="str">
        <f>IF(F2180&gt;0,(COUNT($AV$1:AV2179)+1),"")</f>
        <v/>
      </c>
    </row>
    <row r="2181" spans="1:48" ht="15" customHeight="1" x14ac:dyDescent="0.25">
      <c r="A2181" s="1"/>
      <c r="B2181" s="31">
        <v>17802</v>
      </c>
      <c r="C2181" s="16">
        <v>4607013793507</v>
      </c>
      <c r="D2181" s="226" t="s">
        <v>5973</v>
      </c>
      <c r="E2181" s="323">
        <v>25</v>
      </c>
      <c r="F2181" s="222"/>
      <c r="G2181" s="108">
        <v>33.5</v>
      </c>
      <c r="H2181" s="17">
        <v>34.9</v>
      </c>
      <c r="I2181" s="18">
        <v>37.6</v>
      </c>
      <c r="J2181" s="113" t="s">
        <v>778</v>
      </c>
      <c r="K2181" s="44" t="s">
        <v>96</v>
      </c>
      <c r="L2181" s="442"/>
      <c r="M2181" s="480" t="s">
        <v>1856</v>
      </c>
      <c r="N2181" s="1015" t="s">
        <v>1856</v>
      </c>
      <c r="O2181" s="217" t="s">
        <v>2931</v>
      </c>
      <c r="P2181" s="68" t="s">
        <v>72</v>
      </c>
      <c r="Q2181" s="100">
        <f t="shared" si="1180"/>
        <v>0</v>
      </c>
      <c r="R2181" s="13" t="str">
        <f t="shared" si="1168"/>
        <v>Фото &gt;&gt;</v>
      </c>
      <c r="S2181" s="14" t="s">
        <v>3586</v>
      </c>
      <c r="U2181" s="4"/>
      <c r="V2181" s="4"/>
      <c r="AK2181">
        <v>3.5000000000000003E-2</v>
      </c>
      <c r="AL2181">
        <f t="shared" ref="AL2181:AL2184" si="1192">F2181*G2181</f>
        <v>0</v>
      </c>
      <c r="AM2181">
        <f t="shared" ref="AM2181:AM2184" si="1193">F2181*H2181</f>
        <v>0</v>
      </c>
      <c r="AN2181">
        <f t="shared" si="1184"/>
        <v>0</v>
      </c>
      <c r="AO2181" t="s">
        <v>5057</v>
      </c>
      <c r="AV2181" t="str">
        <f>IF(F2181&gt;0,(COUNT($AV$1:AV2180)+1),"")</f>
        <v/>
      </c>
    </row>
    <row r="2182" spans="1:48" ht="15" customHeight="1" x14ac:dyDescent="0.25">
      <c r="A2182" s="1"/>
      <c r="B2182" s="25"/>
      <c r="C2182" s="26"/>
      <c r="D2182" s="228" t="s">
        <v>5595</v>
      </c>
      <c r="E2182" s="80"/>
      <c r="F2182" s="96"/>
      <c r="G2182" s="28"/>
      <c r="H2182" s="29"/>
      <c r="I2182" s="29"/>
      <c r="J2182" s="51"/>
      <c r="K2182" s="47"/>
      <c r="L2182" s="447"/>
      <c r="M2182" s="489"/>
      <c r="N2182" s="716"/>
      <c r="O2182" s="186"/>
      <c r="P2182" s="79"/>
      <c r="Q2182" s="104"/>
      <c r="R2182" s="13"/>
      <c r="S2182" s="14"/>
      <c r="U2182" s="4"/>
      <c r="V2182" s="4"/>
      <c r="AL2182">
        <f t="shared" si="1192"/>
        <v>0</v>
      </c>
      <c r="AM2182">
        <f t="shared" si="1193"/>
        <v>0</v>
      </c>
      <c r="AN2182">
        <f t="shared" si="1184"/>
        <v>0</v>
      </c>
      <c r="AO2182" t="s">
        <v>104</v>
      </c>
      <c r="AV2182" t="str">
        <f>IF(F2182&gt;0,(COUNT($AV$1:AV2181)+1),"")</f>
        <v/>
      </c>
    </row>
    <row r="2183" spans="1:48" ht="15" customHeight="1" x14ac:dyDescent="0.25">
      <c r="A2183" s="1"/>
      <c r="B2183" s="31">
        <v>18476</v>
      </c>
      <c r="C2183" s="16">
        <v>4607013792593</v>
      </c>
      <c r="D2183" s="154" t="s">
        <v>5596</v>
      </c>
      <c r="E2183" s="69">
        <v>12</v>
      </c>
      <c r="F2183" s="222"/>
      <c r="G2183" s="108">
        <v>288.3</v>
      </c>
      <c r="H2183" s="17">
        <v>302.7</v>
      </c>
      <c r="I2183" s="18">
        <v>320</v>
      </c>
      <c r="J2183" s="113" t="s">
        <v>778</v>
      </c>
      <c r="K2183" s="44" t="s">
        <v>5519</v>
      </c>
      <c r="L2183" s="442"/>
      <c r="M2183" s="480" t="s">
        <v>1856</v>
      </c>
      <c r="N2183" s="1015" t="s">
        <v>1856</v>
      </c>
      <c r="O2183" s="217"/>
      <c r="P2183" s="68" t="s">
        <v>50</v>
      </c>
      <c r="Q2183" s="100">
        <f>IF($AO$2165=2,F2183*H2183,IF($AO$2165=1,F2183*G2183,F2183*I2183))</f>
        <v>0</v>
      </c>
      <c r="R2183" s="13" t="str">
        <f t="shared" ref="R2183:R2187" si="1194">IF(AO2183&gt;0,HYPERLINK(AO2183,"Фото &gt;&gt;"),"")</f>
        <v>Фото &gt;&gt;</v>
      </c>
      <c r="S2183" s="14" t="s">
        <v>5601</v>
      </c>
      <c r="U2183" s="4"/>
      <c r="V2183" s="4"/>
      <c r="AK2183">
        <v>0.21</v>
      </c>
      <c r="AL2183">
        <f t="shared" si="1192"/>
        <v>0</v>
      </c>
      <c r="AM2183">
        <f t="shared" si="1193"/>
        <v>0</v>
      </c>
      <c r="AN2183">
        <f t="shared" si="1184"/>
        <v>0</v>
      </c>
      <c r="AO2183" t="s">
        <v>5599</v>
      </c>
      <c r="AV2183" t="str">
        <f>IF(F2183&gt;0,(COUNT($AV$1:AV2182)+1),"")</f>
        <v/>
      </c>
    </row>
    <row r="2184" spans="1:48" ht="15" customHeight="1" x14ac:dyDescent="0.25">
      <c r="A2184" s="1"/>
      <c r="B2184" s="30">
        <v>17778</v>
      </c>
      <c r="C2184" s="20">
        <v>4607013790230</v>
      </c>
      <c r="D2184" s="153" t="s">
        <v>5597</v>
      </c>
      <c r="E2184" s="67">
        <v>12</v>
      </c>
      <c r="F2184" s="222"/>
      <c r="G2184" s="107">
        <v>133.69999999999999</v>
      </c>
      <c r="H2184" s="21">
        <v>139.1</v>
      </c>
      <c r="I2184" s="22">
        <v>149.80000000000001</v>
      </c>
      <c r="J2184" s="112" t="s">
        <v>778</v>
      </c>
      <c r="K2184" s="45" t="s">
        <v>5519</v>
      </c>
      <c r="L2184" s="437"/>
      <c r="M2184" s="474" t="s">
        <v>1856</v>
      </c>
      <c r="N2184" s="1013" t="s">
        <v>1856</v>
      </c>
      <c r="O2184" s="212"/>
      <c r="P2184" s="66" t="s">
        <v>50</v>
      </c>
      <c r="Q2184" s="100">
        <f>IF($AO$2165=2,F2184*H2184,IF($AO$2165=1,F2184*G2184,F2184*I2184))</f>
        <v>0</v>
      </c>
      <c r="R2184" s="13" t="str">
        <f t="shared" si="1194"/>
        <v>Фото &gt;&gt;</v>
      </c>
      <c r="S2184" s="14" t="s">
        <v>3621</v>
      </c>
      <c r="U2184" s="4"/>
      <c r="V2184" s="4"/>
      <c r="AK2184">
        <v>0.3</v>
      </c>
      <c r="AL2184">
        <f t="shared" si="1192"/>
        <v>0</v>
      </c>
      <c r="AM2184">
        <f t="shared" si="1193"/>
        <v>0</v>
      </c>
      <c r="AN2184">
        <f t="shared" si="1184"/>
        <v>0</v>
      </c>
      <c r="AO2184" t="s">
        <v>5437</v>
      </c>
      <c r="AV2184" t="str">
        <f>IF(F2184&gt;0,(COUNT($AV$1:AV2183)+1),"")</f>
        <v/>
      </c>
    </row>
    <row r="2185" spans="1:48" ht="15" customHeight="1" x14ac:dyDescent="0.25">
      <c r="A2185" s="1"/>
      <c r="B2185" s="31">
        <v>20928</v>
      </c>
      <c r="C2185" s="16">
        <v>4607013796263</v>
      </c>
      <c r="D2185" s="226" t="s">
        <v>5598</v>
      </c>
      <c r="E2185" s="69">
        <v>9</v>
      </c>
      <c r="F2185" s="222"/>
      <c r="G2185" s="108">
        <v>198.1</v>
      </c>
      <c r="H2185" s="17">
        <v>206.1</v>
      </c>
      <c r="I2185" s="18">
        <v>221.9</v>
      </c>
      <c r="J2185" s="113" t="s">
        <v>778</v>
      </c>
      <c r="K2185" s="44" t="s">
        <v>5519</v>
      </c>
      <c r="L2185" s="442" t="s">
        <v>3258</v>
      </c>
      <c r="M2185" s="480" t="s">
        <v>1856</v>
      </c>
      <c r="N2185" s="1015" t="s">
        <v>1856</v>
      </c>
      <c r="O2185" s="210"/>
      <c r="P2185" s="68" t="s">
        <v>50</v>
      </c>
      <c r="Q2185" s="100">
        <f>IF($AO$2165=2,F2185*H2185,IF($AO$2165=1,F2185*G2185,F2185*I2185))</f>
        <v>0</v>
      </c>
      <c r="R2185" s="13" t="str">
        <f t="shared" si="1194"/>
        <v>Фото &gt;&gt;</v>
      </c>
      <c r="S2185" s="14" t="s">
        <v>4736</v>
      </c>
      <c r="U2185" s="4"/>
      <c r="V2185" s="4"/>
      <c r="AK2185">
        <v>0.1</v>
      </c>
      <c r="AL2185">
        <f t="shared" ref="AL2185:AL2188" si="1195">F2185*G2185</f>
        <v>0</v>
      </c>
      <c r="AM2185">
        <f t="shared" ref="AM2185:AM2188" si="1196">F2185*H2185</f>
        <v>0</v>
      </c>
      <c r="AN2185">
        <f t="shared" ref="AN2185:AN2188" si="1197">AK2185*F2185+IF(E2185&gt;1.01,F2185/E2185*0.2,0)</f>
        <v>0</v>
      </c>
      <c r="AO2185" t="s">
        <v>4737</v>
      </c>
      <c r="AV2185" t="str">
        <f>IF(F2185&gt;0,(COUNT($AV$1:AV2184)+1),"")</f>
        <v/>
      </c>
    </row>
    <row r="2186" spans="1:48" ht="15" customHeight="1" x14ac:dyDescent="0.25">
      <c r="A2186" s="1"/>
      <c r="B2186" s="30">
        <v>19294</v>
      </c>
      <c r="C2186" s="20">
        <v>4607013794894</v>
      </c>
      <c r="D2186" s="225" t="s">
        <v>5600</v>
      </c>
      <c r="E2186" s="67">
        <v>12</v>
      </c>
      <c r="F2186" s="222"/>
      <c r="G2186" s="107">
        <v>321.39999999999998</v>
      </c>
      <c r="H2186" s="21">
        <v>375</v>
      </c>
      <c r="I2186" s="22">
        <v>393.5</v>
      </c>
      <c r="J2186" s="112" t="s">
        <v>778</v>
      </c>
      <c r="K2186" s="45" t="s">
        <v>5519</v>
      </c>
      <c r="L2186" s="437"/>
      <c r="M2186" s="474" t="s">
        <v>1856</v>
      </c>
      <c r="N2186" s="1013" t="s">
        <v>1856</v>
      </c>
      <c r="O2186" s="209"/>
      <c r="P2186" s="66" t="s">
        <v>50</v>
      </c>
      <c r="Q2186" s="100">
        <f>IF($AO$2165=2,F2186*H2186,IF($AO$2165=1,F2186*G2186,F2186*I2186))</f>
        <v>0</v>
      </c>
      <c r="R2186" s="13" t="str">
        <f t="shared" si="1194"/>
        <v>Фото &gt;&gt;</v>
      </c>
      <c r="S2186" s="14" t="s">
        <v>3622</v>
      </c>
      <c r="U2186" s="4"/>
      <c r="V2186" s="4"/>
      <c r="AK2186">
        <v>0.22</v>
      </c>
      <c r="AL2186">
        <f t="shared" si="1195"/>
        <v>0</v>
      </c>
      <c r="AM2186">
        <f t="shared" si="1196"/>
        <v>0</v>
      </c>
      <c r="AN2186">
        <f t="shared" si="1197"/>
        <v>0</v>
      </c>
      <c r="AO2186" t="s">
        <v>3626</v>
      </c>
      <c r="AV2186" t="str">
        <f>IF(F2186&gt;0,(COUNT($AV$1:AV2185)+1),"")</f>
        <v/>
      </c>
    </row>
    <row r="2187" spans="1:48" ht="15" customHeight="1" x14ac:dyDescent="0.25">
      <c r="A2187" s="1"/>
      <c r="B2187" s="31">
        <v>17833</v>
      </c>
      <c r="C2187" s="16">
        <v>4607013793750</v>
      </c>
      <c r="D2187" s="226" t="s">
        <v>6971</v>
      </c>
      <c r="E2187" s="69">
        <v>9</v>
      </c>
      <c r="F2187" s="222"/>
      <c r="G2187" s="108">
        <v>187</v>
      </c>
      <c r="H2187" s="17">
        <v>203</v>
      </c>
      <c r="I2187" s="18">
        <v>218</v>
      </c>
      <c r="J2187" s="113" t="s">
        <v>778</v>
      </c>
      <c r="K2187" s="44" t="s">
        <v>5519</v>
      </c>
      <c r="L2187" s="442"/>
      <c r="M2187" s="480" t="s">
        <v>1856</v>
      </c>
      <c r="N2187" s="1015" t="s">
        <v>1856</v>
      </c>
      <c r="O2187" s="210"/>
      <c r="P2187" s="68" t="s">
        <v>50</v>
      </c>
      <c r="Q2187" s="100">
        <f>IF($AO$2165=2,F2187*H2187,IF($AO$2165=1,F2187*G2187,F2187*I2187))</f>
        <v>0</v>
      </c>
      <c r="R2187" s="13" t="str">
        <f t="shared" si="1194"/>
        <v>Фото &gt;&gt;</v>
      </c>
      <c r="S2187" s="14" t="s">
        <v>6972</v>
      </c>
      <c r="U2187" s="4"/>
      <c r="V2187" s="4"/>
      <c r="AK2187">
        <v>0.1</v>
      </c>
      <c r="AL2187">
        <f t="shared" si="1195"/>
        <v>0</v>
      </c>
      <c r="AM2187">
        <f t="shared" si="1196"/>
        <v>0</v>
      </c>
      <c r="AN2187">
        <f t="shared" si="1197"/>
        <v>0</v>
      </c>
      <c r="AO2187" t="s">
        <v>6973</v>
      </c>
      <c r="AV2187" t="str">
        <f>IF(F2187&gt;0,(COUNT($AV$1:AV2186)+1),"")</f>
        <v/>
      </c>
    </row>
    <row r="2188" spans="1:48" ht="15" customHeight="1" x14ac:dyDescent="0.25">
      <c r="A2188" s="1"/>
      <c r="B2188" s="25"/>
      <c r="C2188" s="26"/>
      <c r="D2188" s="228" t="s">
        <v>1447</v>
      </c>
      <c r="E2188" s="80"/>
      <c r="F2188" s="96"/>
      <c r="G2188" s="28"/>
      <c r="H2188" s="29"/>
      <c r="I2188" s="29"/>
      <c r="J2188" s="51"/>
      <c r="K2188" s="47"/>
      <c r="L2188" s="447"/>
      <c r="M2188" s="489" t="s">
        <v>104</v>
      </c>
      <c r="N2188" s="716"/>
      <c r="O2188" s="229"/>
      <c r="P2188" s="79"/>
      <c r="Q2188" s="104"/>
      <c r="R2188" s="13"/>
      <c r="S2188" s="14"/>
      <c r="U2188" s="4"/>
      <c r="V2188" s="4"/>
      <c r="AL2188">
        <f t="shared" si="1195"/>
        <v>0</v>
      </c>
      <c r="AM2188">
        <f t="shared" si="1196"/>
        <v>0</v>
      </c>
      <c r="AN2188">
        <f t="shared" si="1197"/>
        <v>0</v>
      </c>
      <c r="AO2188" t="s">
        <v>104</v>
      </c>
      <c r="AV2188" t="str">
        <f>IF(F2188&gt;0,(COUNT($AV$1:AV2187)+1),"")</f>
        <v/>
      </c>
    </row>
    <row r="2189" spans="1:48" ht="15" customHeight="1" x14ac:dyDescent="0.25">
      <c r="A2189" s="1"/>
      <c r="B2189" s="30">
        <v>18668</v>
      </c>
      <c r="C2189" s="20">
        <v>4607013792180</v>
      </c>
      <c r="D2189" s="225" t="s">
        <v>1832</v>
      </c>
      <c r="E2189" s="67">
        <v>12</v>
      </c>
      <c r="F2189" s="222"/>
      <c r="G2189" s="107">
        <v>335.5</v>
      </c>
      <c r="H2189" s="21">
        <v>363.5</v>
      </c>
      <c r="I2189" s="22">
        <v>391</v>
      </c>
      <c r="J2189" s="112" t="s">
        <v>778</v>
      </c>
      <c r="K2189" s="45" t="s">
        <v>128</v>
      </c>
      <c r="L2189" s="437"/>
      <c r="M2189" s="474" t="s">
        <v>1856</v>
      </c>
      <c r="N2189" s="1013" t="s">
        <v>1856</v>
      </c>
      <c r="O2189" s="325"/>
      <c r="P2189" s="66" t="s">
        <v>72</v>
      </c>
      <c r="Q2189" s="100">
        <f t="shared" ref="Q2189:Q2205" si="1198">IF($AO$2165=2,F2189*H2189,IF($AO$2165=1,F2189*G2189,F2189*I2189))</f>
        <v>0</v>
      </c>
      <c r="R2189" s="13" t="str">
        <f t="shared" ref="R2189:R2230" si="1199">IF(AO2189&gt;0,HYPERLINK(AO2189,"Фото &gt;&gt;"),"")</f>
        <v>Фото &gt;&gt;</v>
      </c>
      <c r="S2189" s="14" t="s">
        <v>3596</v>
      </c>
      <c r="U2189" s="4"/>
      <c r="V2189" s="4"/>
      <c r="AK2189">
        <v>0.42</v>
      </c>
      <c r="AL2189">
        <f t="shared" si="1182"/>
        <v>0</v>
      </c>
      <c r="AM2189">
        <f t="shared" si="1183"/>
        <v>0</v>
      </c>
      <c r="AN2189">
        <f t="shared" si="1184"/>
        <v>0</v>
      </c>
      <c r="AO2189" t="s">
        <v>5058</v>
      </c>
      <c r="AV2189" t="str">
        <f>IF(F2189&gt;0,(COUNT($AV$1:AV2188)+1),"")</f>
        <v/>
      </c>
    </row>
    <row r="2190" spans="1:48" ht="15" customHeight="1" x14ac:dyDescent="0.25">
      <c r="A2190" s="1"/>
      <c r="B2190" s="31">
        <v>17797</v>
      </c>
      <c r="C2190" s="16">
        <v>4607013792197</v>
      </c>
      <c r="D2190" s="226" t="s">
        <v>5938</v>
      </c>
      <c r="E2190" s="69">
        <v>12</v>
      </c>
      <c r="F2190" s="222"/>
      <c r="G2190" s="108">
        <v>335.5</v>
      </c>
      <c r="H2190" s="17">
        <v>363.5</v>
      </c>
      <c r="I2190" s="18">
        <v>391</v>
      </c>
      <c r="J2190" s="113" t="s">
        <v>778</v>
      </c>
      <c r="K2190" s="44" t="s">
        <v>128</v>
      </c>
      <c r="L2190" s="442"/>
      <c r="M2190" s="480" t="s">
        <v>1856</v>
      </c>
      <c r="N2190" s="1015" t="s">
        <v>1856</v>
      </c>
      <c r="O2190" s="210"/>
      <c r="P2190" s="68" t="s">
        <v>72</v>
      </c>
      <c r="Q2190" s="100">
        <f t="shared" si="1198"/>
        <v>0</v>
      </c>
      <c r="R2190" s="13" t="str">
        <f t="shared" si="1199"/>
        <v>Фото &gt;&gt;</v>
      </c>
      <c r="S2190" s="14" t="s">
        <v>3591</v>
      </c>
      <c r="U2190" s="4"/>
      <c r="V2190" s="4"/>
      <c r="AK2190">
        <v>0.42</v>
      </c>
      <c r="AL2190">
        <f t="shared" si="1182"/>
        <v>0</v>
      </c>
      <c r="AM2190">
        <f t="shared" si="1183"/>
        <v>0</v>
      </c>
      <c r="AN2190">
        <f t="shared" si="1184"/>
        <v>0</v>
      </c>
      <c r="AO2190" t="s">
        <v>3628</v>
      </c>
      <c r="AV2190" t="str">
        <f>IF(F2190&gt;0,(COUNT($AV$1:AV2189)+1),"")</f>
        <v/>
      </c>
    </row>
    <row r="2191" spans="1:48" ht="15" customHeight="1" x14ac:dyDescent="0.25">
      <c r="A2191" s="1"/>
      <c r="B2191" s="30">
        <v>18670</v>
      </c>
      <c r="C2191" s="20">
        <v>4607013794795</v>
      </c>
      <c r="D2191" s="225" t="s">
        <v>5939</v>
      </c>
      <c r="E2191" s="67">
        <v>12</v>
      </c>
      <c r="F2191" s="222"/>
      <c r="G2191" s="107">
        <v>335.5</v>
      </c>
      <c r="H2191" s="21">
        <v>363.5</v>
      </c>
      <c r="I2191" s="22">
        <v>391</v>
      </c>
      <c r="J2191" s="112" t="s">
        <v>778</v>
      </c>
      <c r="K2191" s="45" t="s">
        <v>128</v>
      </c>
      <c r="L2191" s="437"/>
      <c r="M2191" s="474" t="s">
        <v>1856</v>
      </c>
      <c r="N2191" s="1013" t="s">
        <v>1856</v>
      </c>
      <c r="O2191" s="209"/>
      <c r="P2191" s="66" t="s">
        <v>72</v>
      </c>
      <c r="Q2191" s="100">
        <f t="shared" si="1198"/>
        <v>0</v>
      </c>
      <c r="R2191" s="13" t="str">
        <f t="shared" si="1199"/>
        <v>Фото &gt;&gt;</v>
      </c>
      <c r="S2191" s="14" t="s">
        <v>3594</v>
      </c>
      <c r="U2191" s="4"/>
      <c r="V2191" s="4"/>
      <c r="AK2191">
        <v>0.42</v>
      </c>
      <c r="AL2191">
        <f t="shared" si="1182"/>
        <v>0</v>
      </c>
      <c r="AM2191">
        <f t="shared" si="1183"/>
        <v>0</v>
      </c>
      <c r="AN2191">
        <f t="shared" si="1184"/>
        <v>0</v>
      </c>
      <c r="AO2191" t="s">
        <v>5059</v>
      </c>
      <c r="AV2191" t="str">
        <f>IF(F2191&gt;0,(COUNT($AV$1:AV2190)+1),"")</f>
        <v/>
      </c>
    </row>
    <row r="2192" spans="1:48" ht="15" customHeight="1" x14ac:dyDescent="0.25">
      <c r="A2192" s="1"/>
      <c r="B2192" s="31">
        <v>17796</v>
      </c>
      <c r="C2192" s="16">
        <v>4607013792203</v>
      </c>
      <c r="D2192" s="226" t="s">
        <v>1833</v>
      </c>
      <c r="E2192" s="69">
        <v>12</v>
      </c>
      <c r="F2192" s="222"/>
      <c r="G2192" s="108">
        <v>335.5</v>
      </c>
      <c r="H2192" s="17">
        <v>363.5</v>
      </c>
      <c r="I2192" s="18">
        <v>391</v>
      </c>
      <c r="J2192" s="113" t="s">
        <v>778</v>
      </c>
      <c r="K2192" s="44" t="s">
        <v>128</v>
      </c>
      <c r="L2192" s="442"/>
      <c r="M2192" s="480" t="s">
        <v>104</v>
      </c>
      <c r="N2192" s="1015"/>
      <c r="O2192" s="326"/>
      <c r="P2192" s="68" t="s">
        <v>72</v>
      </c>
      <c r="Q2192" s="100">
        <f t="shared" si="1198"/>
        <v>0</v>
      </c>
      <c r="R2192" s="13" t="str">
        <f t="shared" si="1199"/>
        <v>Фото &gt;&gt;</v>
      </c>
      <c r="S2192" s="14" t="s">
        <v>3593</v>
      </c>
      <c r="U2192" s="4"/>
      <c r="V2192" s="4"/>
      <c r="AK2192">
        <v>0.42</v>
      </c>
      <c r="AL2192">
        <f t="shared" ref="AL2192:AL2217" si="1200">F2192*G2192</f>
        <v>0</v>
      </c>
      <c r="AM2192">
        <f t="shared" ref="AM2192:AM2217" si="1201">F2192*H2192</f>
        <v>0</v>
      </c>
      <c r="AN2192">
        <f t="shared" si="1184"/>
        <v>0</v>
      </c>
      <c r="AO2192" t="s">
        <v>5060</v>
      </c>
      <c r="AV2192" t="str">
        <f>IF(F2192&gt;0,(COUNT($AV$1:AV2191)+1),"")</f>
        <v/>
      </c>
    </row>
    <row r="2193" spans="1:48" ht="15" customHeight="1" x14ac:dyDescent="0.25">
      <c r="A2193" s="1"/>
      <c r="B2193" s="30">
        <v>18669</v>
      </c>
      <c r="C2193" s="20">
        <v>4607013794801</v>
      </c>
      <c r="D2193" s="225" t="s">
        <v>5940</v>
      </c>
      <c r="E2193" s="67">
        <v>12</v>
      </c>
      <c r="F2193" s="222"/>
      <c r="G2193" s="107">
        <v>335.5</v>
      </c>
      <c r="H2193" s="21">
        <v>363.5</v>
      </c>
      <c r="I2193" s="22">
        <v>391</v>
      </c>
      <c r="J2193" s="112" t="s">
        <v>778</v>
      </c>
      <c r="K2193" s="45" t="s">
        <v>128</v>
      </c>
      <c r="L2193" s="437"/>
      <c r="M2193" s="474" t="s">
        <v>104</v>
      </c>
      <c r="N2193" s="1013"/>
      <c r="O2193" s="209"/>
      <c r="P2193" s="66" t="s">
        <v>72</v>
      </c>
      <c r="Q2193" s="100">
        <f t="shared" si="1198"/>
        <v>0</v>
      </c>
      <c r="R2193" s="13" t="str">
        <f t="shared" si="1199"/>
        <v>Фото &gt;&gt;</v>
      </c>
      <c r="S2193" s="14" t="s">
        <v>3595</v>
      </c>
      <c r="U2193" s="4"/>
      <c r="V2193" s="4"/>
      <c r="AK2193">
        <v>0.42</v>
      </c>
      <c r="AL2193">
        <f t="shared" si="1200"/>
        <v>0</v>
      </c>
      <c r="AM2193">
        <f t="shared" si="1201"/>
        <v>0</v>
      </c>
      <c r="AN2193">
        <f t="shared" si="1184"/>
        <v>0</v>
      </c>
      <c r="AO2193" t="s">
        <v>5061</v>
      </c>
      <c r="AV2193" t="str">
        <f>IF(F2193&gt;0,(COUNT($AV$1:AV2192)+1),"")</f>
        <v/>
      </c>
    </row>
    <row r="2194" spans="1:48" ht="15" customHeight="1" x14ac:dyDescent="0.25">
      <c r="A2194" s="1"/>
      <c r="B2194" s="31">
        <v>18665</v>
      </c>
      <c r="C2194" s="16">
        <v>4607013792166</v>
      </c>
      <c r="D2194" s="226" t="s">
        <v>5941</v>
      </c>
      <c r="E2194" s="69">
        <v>12</v>
      </c>
      <c r="F2194" s="222"/>
      <c r="G2194" s="108">
        <v>335.5</v>
      </c>
      <c r="H2194" s="17">
        <v>363.5</v>
      </c>
      <c r="I2194" s="18">
        <v>391</v>
      </c>
      <c r="J2194" s="113" t="s">
        <v>778</v>
      </c>
      <c r="K2194" s="44" t="s">
        <v>128</v>
      </c>
      <c r="L2194" s="442"/>
      <c r="M2194" s="480" t="s">
        <v>1856</v>
      </c>
      <c r="N2194" s="1015" t="s">
        <v>1856</v>
      </c>
      <c r="O2194" s="210"/>
      <c r="P2194" s="68" t="s">
        <v>72</v>
      </c>
      <c r="Q2194" s="100">
        <f t="shared" si="1198"/>
        <v>0</v>
      </c>
      <c r="R2194" s="13" t="str">
        <f t="shared" si="1199"/>
        <v>Фото &gt;&gt;</v>
      </c>
      <c r="S2194" s="14" t="s">
        <v>3592</v>
      </c>
      <c r="U2194" s="4"/>
      <c r="V2194" s="4"/>
      <c r="AK2194">
        <v>0.42</v>
      </c>
      <c r="AL2194">
        <f t="shared" si="1200"/>
        <v>0</v>
      </c>
      <c r="AM2194">
        <f t="shared" si="1201"/>
        <v>0</v>
      </c>
      <c r="AN2194">
        <f t="shared" si="1184"/>
        <v>0</v>
      </c>
      <c r="AO2194" t="s">
        <v>5062</v>
      </c>
      <c r="AV2194" t="str">
        <f>IF(F2194&gt;0,(COUNT($AV$1:AV2193)+1),"")</f>
        <v/>
      </c>
    </row>
    <row r="2195" spans="1:48" ht="15" customHeight="1" x14ac:dyDescent="0.25">
      <c r="A2195" s="1"/>
      <c r="B2195" s="30">
        <v>18667</v>
      </c>
      <c r="C2195" s="20">
        <v>4607013792173</v>
      </c>
      <c r="D2195" s="225" t="s">
        <v>5942</v>
      </c>
      <c r="E2195" s="67">
        <v>12</v>
      </c>
      <c r="F2195" s="222"/>
      <c r="G2195" s="107">
        <v>335.5</v>
      </c>
      <c r="H2195" s="21">
        <v>363.5</v>
      </c>
      <c r="I2195" s="22">
        <v>391</v>
      </c>
      <c r="J2195" s="112" t="s">
        <v>778</v>
      </c>
      <c r="K2195" s="45" t="s">
        <v>128</v>
      </c>
      <c r="L2195" s="437"/>
      <c r="M2195" s="474" t="s">
        <v>1856</v>
      </c>
      <c r="N2195" s="1013" t="s">
        <v>1856</v>
      </c>
      <c r="O2195" s="209"/>
      <c r="P2195" s="66" t="s">
        <v>72</v>
      </c>
      <c r="Q2195" s="100">
        <f t="shared" si="1198"/>
        <v>0</v>
      </c>
      <c r="R2195" s="13" t="str">
        <f t="shared" si="1199"/>
        <v>Фото &gt;&gt;</v>
      </c>
      <c r="S2195" s="14" t="s">
        <v>3590</v>
      </c>
      <c r="U2195" s="4"/>
      <c r="V2195" s="4"/>
      <c r="AK2195">
        <v>0.42</v>
      </c>
      <c r="AL2195">
        <f t="shared" si="1200"/>
        <v>0</v>
      </c>
      <c r="AM2195">
        <f t="shared" si="1201"/>
        <v>0</v>
      </c>
      <c r="AN2195">
        <f t="shared" si="1184"/>
        <v>0</v>
      </c>
      <c r="AO2195" t="s">
        <v>3627</v>
      </c>
      <c r="AV2195" t="str">
        <f>IF(F2195&gt;0,(COUNT($AV$1:AV2194)+1),"")</f>
        <v/>
      </c>
    </row>
    <row r="2196" spans="1:48" ht="15" customHeight="1" x14ac:dyDescent="0.25">
      <c r="A2196" s="1"/>
      <c r="B2196" s="31">
        <v>18489</v>
      </c>
      <c r="C2196" s="16">
        <v>4607013794658</v>
      </c>
      <c r="D2196" s="226" t="s">
        <v>1789</v>
      </c>
      <c r="E2196" s="86">
        <v>15</v>
      </c>
      <c r="F2196" s="222"/>
      <c r="G2196" s="108">
        <v>54.8</v>
      </c>
      <c r="H2196" s="17">
        <v>59.4</v>
      </c>
      <c r="I2196" s="18">
        <v>64</v>
      </c>
      <c r="J2196" s="113" t="s">
        <v>778</v>
      </c>
      <c r="K2196" s="44" t="s">
        <v>128</v>
      </c>
      <c r="L2196" s="442"/>
      <c r="M2196" s="480" t="s">
        <v>1856</v>
      </c>
      <c r="N2196" s="1015" t="s">
        <v>1856</v>
      </c>
      <c r="O2196" s="217" t="s">
        <v>3827</v>
      </c>
      <c r="P2196" s="68" t="s">
        <v>72</v>
      </c>
      <c r="Q2196" s="100">
        <f t="shared" si="1198"/>
        <v>0</v>
      </c>
      <c r="R2196" s="13" t="str">
        <f t="shared" si="1199"/>
        <v>Фото &gt;&gt;</v>
      </c>
      <c r="S2196" s="14" t="s">
        <v>3591</v>
      </c>
      <c r="U2196" s="4"/>
      <c r="V2196" s="4"/>
      <c r="AK2196">
        <v>6.5000000000000002E-2</v>
      </c>
      <c r="AL2196">
        <f t="shared" si="1200"/>
        <v>0</v>
      </c>
      <c r="AM2196">
        <f t="shared" si="1201"/>
        <v>0</v>
      </c>
      <c r="AN2196">
        <f t="shared" si="1184"/>
        <v>0</v>
      </c>
      <c r="AO2196" t="s">
        <v>3287</v>
      </c>
      <c r="AV2196" t="str">
        <f>IF(F2196&gt;0,(COUNT($AV$1:AV2195)+1),"")</f>
        <v/>
      </c>
    </row>
    <row r="2197" spans="1:48" ht="15" customHeight="1" x14ac:dyDescent="0.25">
      <c r="A2197" s="1"/>
      <c r="B2197" s="30">
        <v>18475</v>
      </c>
      <c r="C2197" s="20">
        <v>4607013794719</v>
      </c>
      <c r="D2197" s="153" t="s">
        <v>1620</v>
      </c>
      <c r="E2197" s="85">
        <v>15</v>
      </c>
      <c r="F2197" s="222"/>
      <c r="G2197" s="107">
        <v>54.8</v>
      </c>
      <c r="H2197" s="21">
        <v>59.4</v>
      </c>
      <c r="I2197" s="22">
        <v>64</v>
      </c>
      <c r="J2197" s="112" t="s">
        <v>778</v>
      </c>
      <c r="K2197" s="45" t="s">
        <v>128</v>
      </c>
      <c r="L2197" s="437"/>
      <c r="M2197" s="474" t="s">
        <v>1856</v>
      </c>
      <c r="N2197" s="1013" t="s">
        <v>1856</v>
      </c>
      <c r="O2197" s="212" t="s">
        <v>3827</v>
      </c>
      <c r="P2197" s="66" t="s">
        <v>72</v>
      </c>
      <c r="Q2197" s="100">
        <f t="shared" si="1198"/>
        <v>0</v>
      </c>
      <c r="R2197" s="13" t="str">
        <f t="shared" si="1199"/>
        <v>Фото &gt;&gt;</v>
      </c>
      <c r="S2197" s="14" t="s">
        <v>3594</v>
      </c>
      <c r="U2197" s="4"/>
      <c r="V2197" s="4"/>
      <c r="AK2197">
        <v>6.5000000000000002E-2</v>
      </c>
      <c r="AL2197">
        <f t="shared" si="1200"/>
        <v>0</v>
      </c>
      <c r="AM2197">
        <f t="shared" si="1201"/>
        <v>0</v>
      </c>
      <c r="AN2197">
        <f t="shared" si="1184"/>
        <v>0</v>
      </c>
      <c r="AO2197" t="s">
        <v>3288</v>
      </c>
      <c r="AV2197" t="str">
        <f>IF(F2197&gt;0,(COUNT($AV$1:AV2196)+1),"")</f>
        <v/>
      </c>
    </row>
    <row r="2198" spans="1:48" ht="15" customHeight="1" x14ac:dyDescent="0.25">
      <c r="A2198" s="1"/>
      <c r="B2198" s="31">
        <v>18488</v>
      </c>
      <c r="C2198" s="16">
        <v>4607013794641</v>
      </c>
      <c r="D2198" s="154" t="s">
        <v>1621</v>
      </c>
      <c r="E2198" s="86">
        <v>15</v>
      </c>
      <c r="F2198" s="222"/>
      <c r="G2198" s="108">
        <v>54.8</v>
      </c>
      <c r="H2198" s="17">
        <v>59.4</v>
      </c>
      <c r="I2198" s="18">
        <v>64</v>
      </c>
      <c r="J2198" s="113" t="s">
        <v>778</v>
      </c>
      <c r="K2198" s="44" t="s">
        <v>128</v>
      </c>
      <c r="L2198" s="442"/>
      <c r="M2198" s="480" t="s">
        <v>104</v>
      </c>
      <c r="N2198" s="1015"/>
      <c r="O2198" s="217" t="s">
        <v>3827</v>
      </c>
      <c r="P2198" s="68" t="s">
        <v>72</v>
      </c>
      <c r="Q2198" s="100">
        <f t="shared" si="1198"/>
        <v>0</v>
      </c>
      <c r="R2198" s="13" t="str">
        <f t="shared" si="1199"/>
        <v>Фото &gt;&gt;</v>
      </c>
      <c r="S2198" s="14" t="s">
        <v>3593</v>
      </c>
      <c r="U2198" s="4"/>
      <c r="V2198" s="4"/>
      <c r="AK2198">
        <v>6.5000000000000002E-2</v>
      </c>
      <c r="AL2198">
        <f t="shared" si="1200"/>
        <v>0</v>
      </c>
      <c r="AM2198">
        <f t="shared" si="1201"/>
        <v>0</v>
      </c>
      <c r="AN2198">
        <f t="shared" si="1184"/>
        <v>0</v>
      </c>
      <c r="AO2198" t="s">
        <v>3289</v>
      </c>
      <c r="AV2198" t="str">
        <f>IF(F2198&gt;0,(COUNT($AV$1:AV2197)+1),"")</f>
        <v/>
      </c>
    </row>
    <row r="2199" spans="1:48" ht="15" customHeight="1" x14ac:dyDescent="0.25">
      <c r="A2199" s="1"/>
      <c r="B2199" s="30">
        <v>18474</v>
      </c>
      <c r="C2199" s="20">
        <v>4607013794726</v>
      </c>
      <c r="D2199" s="153" t="s">
        <v>1622</v>
      </c>
      <c r="E2199" s="85">
        <v>15</v>
      </c>
      <c r="F2199" s="222"/>
      <c r="G2199" s="107">
        <v>54.8</v>
      </c>
      <c r="H2199" s="21">
        <v>59.4</v>
      </c>
      <c r="I2199" s="22">
        <v>64</v>
      </c>
      <c r="J2199" s="112" t="s">
        <v>778</v>
      </c>
      <c r="K2199" s="45" t="s">
        <v>128</v>
      </c>
      <c r="L2199" s="437"/>
      <c r="M2199" s="474" t="s">
        <v>104</v>
      </c>
      <c r="N2199" s="1013"/>
      <c r="O2199" s="212" t="s">
        <v>3827</v>
      </c>
      <c r="P2199" s="66" t="s">
        <v>72</v>
      </c>
      <c r="Q2199" s="100">
        <f t="shared" si="1198"/>
        <v>0</v>
      </c>
      <c r="R2199" s="13" t="str">
        <f t="shared" si="1199"/>
        <v>Фото &gt;&gt;</v>
      </c>
      <c r="S2199" s="14" t="s">
        <v>3595</v>
      </c>
      <c r="U2199" s="4"/>
      <c r="V2199" s="4"/>
      <c r="AK2199">
        <v>6.5000000000000002E-2</v>
      </c>
      <c r="AL2199">
        <f t="shared" si="1200"/>
        <v>0</v>
      </c>
      <c r="AM2199">
        <f t="shared" si="1201"/>
        <v>0</v>
      </c>
      <c r="AN2199">
        <f t="shared" si="1184"/>
        <v>0</v>
      </c>
      <c r="AO2199" t="s">
        <v>3290</v>
      </c>
      <c r="AV2199" t="str">
        <f>IF(F2199&gt;0,(COUNT($AV$1:AV2198)+1),"")</f>
        <v/>
      </c>
    </row>
    <row r="2200" spans="1:48" ht="15" customHeight="1" x14ac:dyDescent="0.25">
      <c r="A2200" s="1"/>
      <c r="B2200" s="31">
        <v>18472</v>
      </c>
      <c r="C2200" s="16">
        <v>4607013794672</v>
      </c>
      <c r="D2200" s="154" t="s">
        <v>1623</v>
      </c>
      <c r="E2200" s="86">
        <v>15</v>
      </c>
      <c r="F2200" s="222"/>
      <c r="G2200" s="108">
        <v>54.8</v>
      </c>
      <c r="H2200" s="17">
        <v>59.4</v>
      </c>
      <c r="I2200" s="18">
        <v>64</v>
      </c>
      <c r="J2200" s="113" t="s">
        <v>778</v>
      </c>
      <c r="K2200" s="44" t="s">
        <v>128</v>
      </c>
      <c r="L2200" s="442"/>
      <c r="M2200" s="480" t="s">
        <v>1856</v>
      </c>
      <c r="N2200" s="1015" t="s">
        <v>1856</v>
      </c>
      <c r="O2200" s="217" t="s">
        <v>3827</v>
      </c>
      <c r="P2200" s="68" t="s">
        <v>72</v>
      </c>
      <c r="Q2200" s="100">
        <f t="shared" si="1198"/>
        <v>0</v>
      </c>
      <c r="R2200" s="13" t="str">
        <f t="shared" si="1199"/>
        <v>Фото &gt;&gt;</v>
      </c>
      <c r="S2200" s="14" t="s">
        <v>3592</v>
      </c>
      <c r="U2200" s="4"/>
      <c r="V2200" s="4"/>
      <c r="AK2200">
        <v>6.5000000000000002E-2</v>
      </c>
      <c r="AL2200">
        <f t="shared" si="1200"/>
        <v>0</v>
      </c>
      <c r="AM2200">
        <f t="shared" si="1201"/>
        <v>0</v>
      </c>
      <c r="AN2200">
        <f t="shared" si="1184"/>
        <v>0</v>
      </c>
      <c r="AO2200" t="s">
        <v>3291</v>
      </c>
      <c r="AV2200" t="str">
        <f>IF(F2200&gt;0,(COUNT($AV$1:AV2199)+1),"")</f>
        <v/>
      </c>
    </row>
    <row r="2201" spans="1:48" ht="15" customHeight="1" x14ac:dyDescent="0.25">
      <c r="A2201" s="1"/>
      <c r="B2201" s="37">
        <v>18473</v>
      </c>
      <c r="C2201" s="23">
        <v>4607013794665</v>
      </c>
      <c r="D2201" s="156" t="s">
        <v>1624</v>
      </c>
      <c r="E2201" s="89">
        <v>15</v>
      </c>
      <c r="F2201" s="223"/>
      <c r="G2201" s="111">
        <v>54.8</v>
      </c>
      <c r="H2201" s="5">
        <v>59.4</v>
      </c>
      <c r="I2201" s="24">
        <v>64</v>
      </c>
      <c r="J2201" s="115" t="s">
        <v>778</v>
      </c>
      <c r="K2201" s="46" t="s">
        <v>128</v>
      </c>
      <c r="L2201" s="440"/>
      <c r="M2201" s="482" t="s">
        <v>1856</v>
      </c>
      <c r="N2201" s="1002" t="s">
        <v>1856</v>
      </c>
      <c r="O2201" s="214" t="s">
        <v>3827</v>
      </c>
      <c r="P2201" s="74" t="s">
        <v>72</v>
      </c>
      <c r="Q2201" s="100">
        <f t="shared" si="1198"/>
        <v>0</v>
      </c>
      <c r="R2201" s="13" t="str">
        <f t="shared" si="1199"/>
        <v>Фото &gt;&gt;</v>
      </c>
      <c r="S2201" s="14" t="s">
        <v>3590</v>
      </c>
      <c r="U2201" s="4"/>
      <c r="V2201" s="4"/>
      <c r="AK2201">
        <v>6.5000000000000002E-2</v>
      </c>
      <c r="AL2201">
        <f t="shared" si="1200"/>
        <v>0</v>
      </c>
      <c r="AM2201">
        <f t="shared" si="1201"/>
        <v>0</v>
      </c>
      <c r="AN2201">
        <f t="shared" si="1184"/>
        <v>0</v>
      </c>
      <c r="AO2201" t="s">
        <v>3292</v>
      </c>
      <c r="AV2201" t="str">
        <f>IF(F2201&gt;0,(COUNT($AV$1:AV2200)+1),"")</f>
        <v/>
      </c>
    </row>
    <row r="2202" spans="1:48" ht="15" customHeight="1" x14ac:dyDescent="0.25">
      <c r="A2202" s="1"/>
      <c r="B2202" s="1120">
        <v>17781</v>
      </c>
      <c r="C2202" s="1121">
        <v>4607013792432</v>
      </c>
      <c r="D2202" s="1122" t="s">
        <v>1804</v>
      </c>
      <c r="E2202" s="1123">
        <v>12</v>
      </c>
      <c r="F2202" s="673"/>
      <c r="G2202" s="1124">
        <v>173.5</v>
      </c>
      <c r="H2202" s="1125">
        <v>188</v>
      </c>
      <c r="I2202" s="1126">
        <v>207</v>
      </c>
      <c r="J2202" s="1127" t="s">
        <v>778</v>
      </c>
      <c r="K2202" s="1128" t="s">
        <v>128</v>
      </c>
      <c r="L2202" s="1129"/>
      <c r="M2202" s="1130" t="s">
        <v>104</v>
      </c>
      <c r="N2202" s="1131"/>
      <c r="O2202" s="1132"/>
      <c r="P2202" s="1133" t="s">
        <v>72</v>
      </c>
      <c r="Q2202" s="100">
        <f t="shared" si="1198"/>
        <v>0</v>
      </c>
      <c r="R2202" s="13" t="str">
        <f t="shared" ref="R2202:R2204" si="1202">IF(AO2202&gt;0,HYPERLINK(AO2202,"Фото &gt;&gt;"),"")</f>
        <v>Фото &gt;&gt;</v>
      </c>
      <c r="S2202" s="14" t="s">
        <v>3616</v>
      </c>
      <c r="U2202" s="4"/>
      <c r="V2202" s="4"/>
      <c r="AK2202">
        <v>0.3</v>
      </c>
      <c r="AL2202">
        <f t="shared" si="1200"/>
        <v>0</v>
      </c>
      <c r="AM2202">
        <f t="shared" si="1201"/>
        <v>0</v>
      </c>
      <c r="AN2202">
        <f t="shared" si="1184"/>
        <v>0</v>
      </c>
      <c r="AO2202" t="s">
        <v>5063</v>
      </c>
      <c r="AV2202" t="str">
        <f>IF(F2202&gt;0,(COUNT($AV$1:AV2201)+1),"")</f>
        <v/>
      </c>
    </row>
    <row r="2203" spans="1:48" ht="15" customHeight="1" x14ac:dyDescent="0.25">
      <c r="A2203" s="1"/>
      <c r="B2203" s="30">
        <v>17782</v>
      </c>
      <c r="C2203" s="20">
        <v>4607013792456</v>
      </c>
      <c r="D2203" s="225" t="s">
        <v>1805</v>
      </c>
      <c r="E2203" s="67">
        <v>12</v>
      </c>
      <c r="F2203" s="222"/>
      <c r="G2203" s="107">
        <v>173.5</v>
      </c>
      <c r="H2203" s="21">
        <v>188</v>
      </c>
      <c r="I2203" s="22">
        <v>207</v>
      </c>
      <c r="J2203" s="112" t="s">
        <v>778</v>
      </c>
      <c r="K2203" s="45" t="s">
        <v>128</v>
      </c>
      <c r="L2203" s="437"/>
      <c r="M2203" s="474" t="s">
        <v>104</v>
      </c>
      <c r="N2203" s="1013"/>
      <c r="O2203" s="325"/>
      <c r="P2203" s="66" t="s">
        <v>72</v>
      </c>
      <c r="Q2203" s="100">
        <f t="shared" si="1198"/>
        <v>0</v>
      </c>
      <c r="R2203" s="13" t="str">
        <f t="shared" si="1202"/>
        <v>Фото &gt;&gt;</v>
      </c>
      <c r="S2203" s="14" t="s">
        <v>3613</v>
      </c>
      <c r="U2203" s="4"/>
      <c r="V2203" s="4"/>
      <c r="AK2203">
        <v>0.3</v>
      </c>
      <c r="AL2203">
        <f t="shared" si="1200"/>
        <v>0</v>
      </c>
      <c r="AM2203">
        <f t="shared" si="1201"/>
        <v>0</v>
      </c>
      <c r="AN2203">
        <f t="shared" si="1184"/>
        <v>0</v>
      </c>
      <c r="AO2203" t="s">
        <v>5064</v>
      </c>
      <c r="AV2203" t="str">
        <f>IF(F2203&gt;0,(COUNT($AV$1:AV2202)+1),"")</f>
        <v/>
      </c>
    </row>
    <row r="2204" spans="1:48" ht="15" customHeight="1" x14ac:dyDescent="0.25">
      <c r="A2204" s="1"/>
      <c r="B2204" s="31">
        <v>17783</v>
      </c>
      <c r="C2204" s="16">
        <v>4607013792449</v>
      </c>
      <c r="D2204" s="226" t="s">
        <v>1806</v>
      </c>
      <c r="E2204" s="69">
        <v>12</v>
      </c>
      <c r="F2204" s="222"/>
      <c r="G2204" s="108">
        <v>173.5</v>
      </c>
      <c r="H2204" s="17">
        <v>188</v>
      </c>
      <c r="I2204" s="18">
        <v>207</v>
      </c>
      <c r="J2204" s="113" t="s">
        <v>778</v>
      </c>
      <c r="K2204" s="44" t="s">
        <v>128</v>
      </c>
      <c r="L2204" s="442"/>
      <c r="M2204" s="480" t="s">
        <v>104</v>
      </c>
      <c r="N2204" s="1015"/>
      <c r="O2204" s="326"/>
      <c r="P2204" s="68" t="s">
        <v>72</v>
      </c>
      <c r="Q2204" s="100">
        <f t="shared" si="1198"/>
        <v>0</v>
      </c>
      <c r="R2204" s="13" t="str">
        <f t="shared" si="1202"/>
        <v>Фото &gt;&gt;</v>
      </c>
      <c r="S2204" s="14" t="s">
        <v>3614</v>
      </c>
      <c r="U2204" s="4"/>
      <c r="V2204" s="4"/>
      <c r="AK2204">
        <v>0.3</v>
      </c>
      <c r="AL2204">
        <f t="shared" si="1200"/>
        <v>0</v>
      </c>
      <c r="AM2204">
        <f t="shared" si="1201"/>
        <v>0</v>
      </c>
      <c r="AN2204">
        <f t="shared" si="1184"/>
        <v>0</v>
      </c>
      <c r="AO2204" t="s">
        <v>5065</v>
      </c>
      <c r="AV2204" t="str">
        <f>IF(F2204&gt;0,(COUNT($AV$1:AV2203)+1),"")</f>
        <v/>
      </c>
    </row>
    <row r="2205" spans="1:48" ht="15" customHeight="1" x14ac:dyDescent="0.25">
      <c r="A2205" s="1"/>
      <c r="B2205" s="30">
        <v>18490</v>
      </c>
      <c r="C2205" s="20">
        <v>4607013792579</v>
      </c>
      <c r="D2205" s="153" t="s">
        <v>1978</v>
      </c>
      <c r="E2205" s="67">
        <v>12</v>
      </c>
      <c r="F2205" s="222"/>
      <c r="G2205" s="107">
        <v>173.5</v>
      </c>
      <c r="H2205" s="21">
        <v>188</v>
      </c>
      <c r="I2205" s="22">
        <v>207</v>
      </c>
      <c r="J2205" s="112" t="s">
        <v>778</v>
      </c>
      <c r="K2205" s="45" t="s">
        <v>128</v>
      </c>
      <c r="L2205" s="437"/>
      <c r="M2205" s="474" t="s">
        <v>104</v>
      </c>
      <c r="N2205" s="1013"/>
      <c r="O2205" s="325"/>
      <c r="P2205" s="66" t="s">
        <v>72</v>
      </c>
      <c r="Q2205" s="100">
        <f t="shared" si="1198"/>
        <v>0</v>
      </c>
      <c r="R2205" s="13" t="str">
        <f t="shared" si="1199"/>
        <v>Фото &gt;&gt;</v>
      </c>
      <c r="S2205" s="14" t="s">
        <v>3615</v>
      </c>
      <c r="U2205" s="4"/>
      <c r="V2205" s="4"/>
      <c r="AK2205">
        <v>0.3</v>
      </c>
      <c r="AL2205">
        <f t="shared" si="1200"/>
        <v>0</v>
      </c>
      <c r="AM2205">
        <f t="shared" si="1201"/>
        <v>0</v>
      </c>
      <c r="AN2205">
        <f t="shared" si="1184"/>
        <v>0</v>
      </c>
      <c r="AO2205" t="s">
        <v>5066</v>
      </c>
      <c r="AV2205" t="str">
        <f>IF(F2205&gt;0,(COUNT($AV$1:AV2204)+1),"")</f>
        <v/>
      </c>
    </row>
    <row r="2206" spans="1:48" ht="15" customHeight="1" x14ac:dyDescent="0.25">
      <c r="A2206" s="1"/>
      <c r="B2206" s="25"/>
      <c r="C2206" s="26"/>
      <c r="D2206" s="27" t="s">
        <v>106</v>
      </c>
      <c r="E2206" s="80"/>
      <c r="F2206" s="96"/>
      <c r="G2206" s="28"/>
      <c r="H2206" s="29"/>
      <c r="I2206" s="29"/>
      <c r="J2206" s="51"/>
      <c r="K2206" s="47"/>
      <c r="L2206" s="447"/>
      <c r="M2206" s="489" t="s">
        <v>104</v>
      </c>
      <c r="N2206" s="716"/>
      <c r="O2206" s="186"/>
      <c r="P2206" s="79"/>
      <c r="Q2206" s="104"/>
      <c r="R2206" s="13"/>
      <c r="S2206" s="14"/>
      <c r="U2206" s="4"/>
      <c r="V2206" s="4"/>
      <c r="AL2206">
        <f t="shared" si="1200"/>
        <v>0</v>
      </c>
      <c r="AM2206">
        <f t="shared" si="1201"/>
        <v>0</v>
      </c>
      <c r="AN2206">
        <f t="shared" si="1184"/>
        <v>0</v>
      </c>
      <c r="AO2206" t="s">
        <v>104</v>
      </c>
      <c r="AV2206" t="str">
        <f>IF(F2206&gt;0,(COUNT($AV$1:AV2205)+1),"")</f>
        <v/>
      </c>
    </row>
    <row r="2207" spans="1:48" ht="15" customHeight="1" x14ac:dyDescent="0.25">
      <c r="A2207" s="1"/>
      <c r="B2207" s="31">
        <v>17855</v>
      </c>
      <c r="C2207" s="16">
        <v>4607013794276</v>
      </c>
      <c r="D2207" s="226" t="s">
        <v>1800</v>
      </c>
      <c r="E2207" s="86">
        <v>18</v>
      </c>
      <c r="F2207" s="222"/>
      <c r="G2207" s="108">
        <v>47.2</v>
      </c>
      <c r="H2207" s="17">
        <v>49</v>
      </c>
      <c r="I2207" s="18">
        <v>52.8</v>
      </c>
      <c r="J2207" s="113" t="s">
        <v>778</v>
      </c>
      <c r="K2207" s="44" t="s">
        <v>106</v>
      </c>
      <c r="L2207" s="442"/>
      <c r="M2207" s="480" t="s">
        <v>1856</v>
      </c>
      <c r="N2207" s="1015"/>
      <c r="O2207" s="217" t="s">
        <v>4779</v>
      </c>
      <c r="P2207" s="68" t="s">
        <v>72</v>
      </c>
      <c r="Q2207" s="100">
        <f>IF($AO$2165=2,F2207*H2207,IF($AO$2165=1,F2207*G2207,F2207*I2207))</f>
        <v>0</v>
      </c>
      <c r="R2207" s="13" t="str">
        <f t="shared" si="1199"/>
        <v>Фото &gt;&gt;</v>
      </c>
      <c r="S2207" s="14" t="s">
        <v>3609</v>
      </c>
      <c r="U2207" s="4"/>
      <c r="V2207" s="4"/>
      <c r="AK2207">
        <v>2.5000000000000001E-2</v>
      </c>
      <c r="AL2207">
        <f t="shared" si="1200"/>
        <v>0</v>
      </c>
      <c r="AM2207">
        <f t="shared" si="1201"/>
        <v>0</v>
      </c>
      <c r="AN2207">
        <f t="shared" si="1184"/>
        <v>0</v>
      </c>
      <c r="AO2207" t="s">
        <v>5067</v>
      </c>
      <c r="AV2207" t="str">
        <f>IF(F2207&gt;0,(COUNT($AV$1:AV2206)+1),"")</f>
        <v/>
      </c>
    </row>
    <row r="2208" spans="1:48" ht="15" customHeight="1" x14ac:dyDescent="0.25">
      <c r="A2208" s="1"/>
      <c r="B2208" s="30">
        <v>17854</v>
      </c>
      <c r="C2208" s="20">
        <v>4607013794252</v>
      </c>
      <c r="D2208" s="225" t="s">
        <v>1801</v>
      </c>
      <c r="E2208" s="85">
        <v>18</v>
      </c>
      <c r="F2208" s="222"/>
      <c r="G2208" s="107">
        <v>47.2</v>
      </c>
      <c r="H2208" s="21">
        <v>49</v>
      </c>
      <c r="I2208" s="22">
        <v>52.8</v>
      </c>
      <c r="J2208" s="112" t="s">
        <v>778</v>
      </c>
      <c r="K2208" s="45" t="s">
        <v>106</v>
      </c>
      <c r="L2208" s="437"/>
      <c r="M2208" s="474" t="s">
        <v>1856</v>
      </c>
      <c r="N2208" s="1013"/>
      <c r="O2208" s="212" t="s">
        <v>4779</v>
      </c>
      <c r="P2208" s="66" t="s">
        <v>72</v>
      </c>
      <c r="Q2208" s="100">
        <f>IF($AO$2165=2,F2208*H2208,IF($AO$2165=1,F2208*G2208,F2208*I2208))</f>
        <v>0</v>
      </c>
      <c r="R2208" s="13" t="str">
        <f t="shared" si="1199"/>
        <v>Фото &gt;&gt;</v>
      </c>
      <c r="S2208" s="14" t="s">
        <v>3607</v>
      </c>
      <c r="U2208" s="4"/>
      <c r="V2208" s="4"/>
      <c r="AK2208">
        <v>2.5000000000000001E-2</v>
      </c>
      <c r="AL2208">
        <f t="shared" si="1200"/>
        <v>0</v>
      </c>
      <c r="AM2208">
        <f t="shared" si="1201"/>
        <v>0</v>
      </c>
      <c r="AN2208">
        <f t="shared" ref="AN2208:AN2232" si="1203">AK2208*F2208+IF(E2208&gt;1.01,F2208/E2208*0.2,0)</f>
        <v>0</v>
      </c>
      <c r="AO2208" t="s">
        <v>5068</v>
      </c>
      <c r="AV2208" t="str">
        <f>IF(F2208&gt;0,(COUNT($AV$1:AV2207)+1),"")</f>
        <v/>
      </c>
    </row>
    <row r="2209" spans="1:48" ht="15" customHeight="1" x14ac:dyDescent="0.25">
      <c r="A2209" s="1"/>
      <c r="B2209" s="31">
        <v>17858</v>
      </c>
      <c r="C2209" s="16">
        <v>4607013794269</v>
      </c>
      <c r="D2209" s="226" t="s">
        <v>1802</v>
      </c>
      <c r="E2209" s="86">
        <v>18</v>
      </c>
      <c r="F2209" s="222"/>
      <c r="G2209" s="108">
        <v>47.2</v>
      </c>
      <c r="H2209" s="17">
        <v>49</v>
      </c>
      <c r="I2209" s="18">
        <v>52.8</v>
      </c>
      <c r="J2209" s="113" t="s">
        <v>778</v>
      </c>
      <c r="K2209" s="44" t="s">
        <v>106</v>
      </c>
      <c r="L2209" s="442"/>
      <c r="M2209" s="480" t="s">
        <v>1856</v>
      </c>
      <c r="N2209" s="1015"/>
      <c r="O2209" s="217" t="s">
        <v>4779</v>
      </c>
      <c r="P2209" s="68" t="s">
        <v>72</v>
      </c>
      <c r="Q2209" s="100">
        <f>IF($AO$2165=2,F2209*H2209,IF($AO$2165=1,F2209*G2209,F2209*I2209))</f>
        <v>0</v>
      </c>
      <c r="R2209" s="13" t="str">
        <f t="shared" si="1199"/>
        <v>Фото &gt;&gt;</v>
      </c>
      <c r="S2209" s="14" t="s">
        <v>3608</v>
      </c>
      <c r="U2209" s="4"/>
      <c r="V2209" s="4"/>
      <c r="AK2209">
        <v>2.5000000000000001E-2</v>
      </c>
      <c r="AL2209">
        <f t="shared" si="1200"/>
        <v>0</v>
      </c>
      <c r="AM2209">
        <f t="shared" si="1201"/>
        <v>0</v>
      </c>
      <c r="AN2209">
        <f t="shared" si="1203"/>
        <v>0</v>
      </c>
      <c r="AO2209" t="s">
        <v>5069</v>
      </c>
      <c r="AV2209" t="str">
        <f>IF(F2209&gt;0,(COUNT($AV$1:AV2208)+1),"")</f>
        <v/>
      </c>
    </row>
    <row r="2210" spans="1:48" ht="15" customHeight="1" x14ac:dyDescent="0.25">
      <c r="A2210" s="1"/>
      <c r="B2210" s="30">
        <v>17857</v>
      </c>
      <c r="C2210" s="20">
        <v>4607013794290</v>
      </c>
      <c r="D2210" s="225" t="s">
        <v>1803</v>
      </c>
      <c r="E2210" s="85">
        <v>18</v>
      </c>
      <c r="F2210" s="222"/>
      <c r="G2210" s="107">
        <v>47.2</v>
      </c>
      <c r="H2210" s="21">
        <v>49</v>
      </c>
      <c r="I2210" s="22">
        <v>52.8</v>
      </c>
      <c r="J2210" s="112" t="s">
        <v>778</v>
      </c>
      <c r="K2210" s="45" t="s">
        <v>106</v>
      </c>
      <c r="L2210" s="437"/>
      <c r="M2210" s="474" t="s">
        <v>1856</v>
      </c>
      <c r="N2210" s="1013" t="s">
        <v>1856</v>
      </c>
      <c r="O2210" s="212" t="s">
        <v>4779</v>
      </c>
      <c r="P2210" s="66" t="s">
        <v>72</v>
      </c>
      <c r="Q2210" s="100">
        <f>IF($AO$2165=2,F2210*H2210,IF($AO$2165=1,F2210*G2210,F2210*I2210))</f>
        <v>0</v>
      </c>
      <c r="R2210" s="13" t="str">
        <f t="shared" si="1199"/>
        <v>Фото &gt;&gt;</v>
      </c>
      <c r="S2210" s="14" t="s">
        <v>3610</v>
      </c>
      <c r="U2210" s="4"/>
      <c r="V2210" s="4"/>
      <c r="AK2210">
        <v>2.5000000000000001E-2</v>
      </c>
      <c r="AL2210">
        <f t="shared" si="1200"/>
        <v>0</v>
      </c>
      <c r="AM2210">
        <f t="shared" si="1201"/>
        <v>0</v>
      </c>
      <c r="AN2210">
        <f t="shared" si="1203"/>
        <v>0</v>
      </c>
      <c r="AO2210" t="s">
        <v>5070</v>
      </c>
      <c r="AV2210" t="str">
        <f>IF(F2210&gt;0,(COUNT($AV$1:AV2209)+1),"")</f>
        <v/>
      </c>
    </row>
    <row r="2211" spans="1:48" ht="15" customHeight="1" x14ac:dyDescent="0.25">
      <c r="A2211" s="1"/>
      <c r="B2211" s="25"/>
      <c r="C2211" s="26"/>
      <c r="D2211" s="228" t="s">
        <v>116</v>
      </c>
      <c r="E2211" s="80"/>
      <c r="F2211" s="96"/>
      <c r="G2211" s="28"/>
      <c r="H2211" s="29"/>
      <c r="I2211" s="29"/>
      <c r="J2211" s="51"/>
      <c r="K2211" s="47"/>
      <c r="L2211" s="447"/>
      <c r="M2211" s="489" t="s">
        <v>104</v>
      </c>
      <c r="N2211" s="716"/>
      <c r="O2211" s="186"/>
      <c r="P2211" s="79"/>
      <c r="Q2211" s="104"/>
      <c r="R2211" s="13"/>
      <c r="S2211" s="14"/>
      <c r="U2211" s="4"/>
      <c r="V2211" s="4"/>
      <c r="AL2211">
        <f t="shared" si="1200"/>
        <v>0</v>
      </c>
      <c r="AM2211">
        <f t="shared" si="1201"/>
        <v>0</v>
      </c>
      <c r="AN2211">
        <f t="shared" si="1203"/>
        <v>0</v>
      </c>
      <c r="AO2211" t="s">
        <v>104</v>
      </c>
      <c r="AV2211" t="str">
        <f>IF(F2211&gt;0,(COUNT($AV$1:AV2210)+1),"")</f>
        <v/>
      </c>
    </row>
    <row r="2212" spans="1:48" ht="15" customHeight="1" x14ac:dyDescent="0.25">
      <c r="A2212" s="1"/>
      <c r="B2212" s="328">
        <v>19808</v>
      </c>
      <c r="C2212" s="329">
        <v>4607013795082</v>
      </c>
      <c r="D2212" s="330" t="s">
        <v>2948</v>
      </c>
      <c r="E2212" s="336">
        <v>12</v>
      </c>
      <c r="F2212" s="222"/>
      <c r="G2212" s="331">
        <v>101.8</v>
      </c>
      <c r="H2212" s="332">
        <v>105.9</v>
      </c>
      <c r="I2212" s="333">
        <v>114</v>
      </c>
      <c r="J2212" s="334" t="s">
        <v>778</v>
      </c>
      <c r="K2212" s="335" t="s">
        <v>116</v>
      </c>
      <c r="L2212" s="454"/>
      <c r="M2212" s="500" t="s">
        <v>1856</v>
      </c>
      <c r="N2212" s="1030" t="s">
        <v>1856</v>
      </c>
      <c r="O2212" s="212"/>
      <c r="P2212" s="66" t="s">
        <v>50</v>
      </c>
      <c r="Q2212" s="100">
        <f t="shared" ref="Q2212:Q2222" si="1204">IF($AO$2165=2,F2212*H2212,IF($AO$2165=1,F2212*G2212,F2212*I2212))</f>
        <v>0</v>
      </c>
      <c r="R2212" s="13" t="str">
        <f t="shared" ref="R2212:R2215" si="1205">IF(AO2212&gt;0,HYPERLINK(AO2212,"Фото &gt;&gt;"),"")</f>
        <v>Фото &gt;&gt;</v>
      </c>
      <c r="S2212" s="14" t="s">
        <v>3623</v>
      </c>
      <c r="U2212" s="4"/>
      <c r="V2212" s="4"/>
      <c r="AK2212">
        <v>0.11</v>
      </c>
      <c r="AL2212">
        <f t="shared" si="1200"/>
        <v>0</v>
      </c>
      <c r="AM2212">
        <f t="shared" si="1201"/>
        <v>0</v>
      </c>
      <c r="AN2212">
        <f t="shared" si="1203"/>
        <v>0</v>
      </c>
      <c r="AO2212" t="s">
        <v>5438</v>
      </c>
      <c r="AV2212" t="str">
        <f>IF(F2212&gt;0,(COUNT($AV$1:AV2211)+1),"")</f>
        <v/>
      </c>
    </row>
    <row r="2213" spans="1:48" ht="15" customHeight="1" x14ac:dyDescent="0.25">
      <c r="A2213" s="1"/>
      <c r="B2213" s="31">
        <v>19598</v>
      </c>
      <c r="C2213" s="16">
        <v>4607013792265</v>
      </c>
      <c r="D2213" s="226" t="s">
        <v>5943</v>
      </c>
      <c r="E2213" s="69">
        <v>12</v>
      </c>
      <c r="F2213" s="222"/>
      <c r="G2213" s="108">
        <v>135.4</v>
      </c>
      <c r="H2213" s="17">
        <v>147</v>
      </c>
      <c r="I2213" s="18">
        <v>158</v>
      </c>
      <c r="J2213" s="113" t="s">
        <v>778</v>
      </c>
      <c r="K2213" s="44" t="s">
        <v>116</v>
      </c>
      <c r="L2213" s="442"/>
      <c r="M2213" s="480" t="s">
        <v>1856</v>
      </c>
      <c r="N2213" s="1015" t="s">
        <v>1856</v>
      </c>
      <c r="O2213" s="210"/>
      <c r="P2213" s="68" t="s">
        <v>50</v>
      </c>
      <c r="Q2213" s="100">
        <f t="shared" si="1204"/>
        <v>0</v>
      </c>
      <c r="R2213" s="13" t="str">
        <f t="shared" si="1205"/>
        <v>Фото &gt;&gt;</v>
      </c>
      <c r="S2213" s="14" t="s">
        <v>3611</v>
      </c>
      <c r="U2213" s="4"/>
      <c r="V2213" s="4"/>
      <c r="AK2213">
        <v>0.12</v>
      </c>
      <c r="AL2213">
        <f t="shared" ref="AL2213" si="1206">F2213*G2213</f>
        <v>0</v>
      </c>
      <c r="AM2213">
        <f t="shared" ref="AM2213" si="1207">F2213*H2213</f>
        <v>0</v>
      </c>
      <c r="AN2213">
        <f t="shared" si="1203"/>
        <v>0</v>
      </c>
      <c r="AO2213" t="s">
        <v>5439</v>
      </c>
      <c r="AV2213" t="str">
        <f>IF(F2213&gt;0,(COUNT($AV$1:AV2212)+1),"")</f>
        <v/>
      </c>
    </row>
    <row r="2214" spans="1:48" ht="15" customHeight="1" x14ac:dyDescent="0.25">
      <c r="A2214" s="1"/>
      <c r="B2214" s="328">
        <v>18541</v>
      </c>
      <c r="C2214" s="329">
        <v>4607013792227</v>
      </c>
      <c r="D2214" s="330" t="s">
        <v>5944</v>
      </c>
      <c r="E2214" s="336">
        <v>12</v>
      </c>
      <c r="F2214" s="222"/>
      <c r="G2214" s="331">
        <v>135.4</v>
      </c>
      <c r="H2214" s="332">
        <v>147</v>
      </c>
      <c r="I2214" s="333">
        <v>158</v>
      </c>
      <c r="J2214" s="334" t="s">
        <v>778</v>
      </c>
      <c r="K2214" s="335" t="s">
        <v>116</v>
      </c>
      <c r="L2214" s="454"/>
      <c r="M2214" s="500" t="s">
        <v>1856</v>
      </c>
      <c r="N2214" s="1030" t="s">
        <v>1856</v>
      </c>
      <c r="O2214" s="209"/>
      <c r="P2214" s="66" t="s">
        <v>50</v>
      </c>
      <c r="Q2214" s="100">
        <f t="shared" si="1204"/>
        <v>0</v>
      </c>
      <c r="R2214" s="13" t="str">
        <f t="shared" si="1205"/>
        <v>Фото &gt;&gt;</v>
      </c>
      <c r="S2214" s="14" t="s">
        <v>3612</v>
      </c>
      <c r="U2214" s="4"/>
      <c r="V2214" s="4"/>
      <c r="AK2214">
        <v>0.11</v>
      </c>
      <c r="AL2214">
        <f t="shared" si="1200"/>
        <v>0</v>
      </c>
      <c r="AM2214">
        <f t="shared" si="1201"/>
        <v>0</v>
      </c>
      <c r="AN2214">
        <f t="shared" si="1203"/>
        <v>0</v>
      </c>
      <c r="AO2214" t="s">
        <v>5440</v>
      </c>
      <c r="AV2214" t="str">
        <f>IF(F2214&gt;0,(COUNT($AV$1:AV2213)+1),"")</f>
        <v/>
      </c>
    </row>
    <row r="2215" spans="1:48" ht="15" customHeight="1" x14ac:dyDescent="0.25">
      <c r="A2215" s="1"/>
      <c r="B2215" s="31">
        <v>20244</v>
      </c>
      <c r="C2215" s="16">
        <v>4607013795938</v>
      </c>
      <c r="D2215" s="226" t="s">
        <v>3872</v>
      </c>
      <c r="E2215" s="69">
        <v>12</v>
      </c>
      <c r="F2215" s="222"/>
      <c r="G2215" s="108">
        <v>101.8</v>
      </c>
      <c r="H2215" s="17">
        <v>105.9</v>
      </c>
      <c r="I2215" s="18">
        <v>114</v>
      </c>
      <c r="J2215" s="113" t="s">
        <v>778</v>
      </c>
      <c r="K2215" s="44" t="s">
        <v>116</v>
      </c>
      <c r="L2215" s="442"/>
      <c r="M2215" s="480" t="s">
        <v>1856</v>
      </c>
      <c r="N2215" s="1015"/>
      <c r="O2215" s="210"/>
      <c r="P2215" s="68" t="s">
        <v>50</v>
      </c>
      <c r="Q2215" s="100">
        <f t="shared" si="1204"/>
        <v>0</v>
      </c>
      <c r="R2215" s="13" t="str">
        <f t="shared" si="1205"/>
        <v>Фото &gt;&gt;</v>
      </c>
      <c r="S2215" s="14" t="s">
        <v>3625</v>
      </c>
      <c r="U2215" s="4"/>
      <c r="V2215" s="4"/>
      <c r="AK2215">
        <v>0.11</v>
      </c>
      <c r="AL2215">
        <f t="shared" si="1200"/>
        <v>0</v>
      </c>
      <c r="AM2215">
        <f t="shared" si="1201"/>
        <v>0</v>
      </c>
      <c r="AN2215">
        <f t="shared" si="1203"/>
        <v>0</v>
      </c>
      <c r="AO2215" t="s">
        <v>5071</v>
      </c>
      <c r="AV2215" t="str">
        <f>IF(F2215&gt;0,(COUNT($AV$1:AV2214)+1),"")</f>
        <v/>
      </c>
    </row>
    <row r="2216" spans="1:48" ht="15" customHeight="1" x14ac:dyDescent="0.25">
      <c r="A2216" s="1"/>
      <c r="B2216" s="328">
        <v>20243</v>
      </c>
      <c r="C2216" s="329">
        <v>4607013795945</v>
      </c>
      <c r="D2216" s="330" t="s">
        <v>3873</v>
      </c>
      <c r="E2216" s="336">
        <v>12</v>
      </c>
      <c r="F2216" s="222"/>
      <c r="G2216" s="331">
        <v>101.8</v>
      </c>
      <c r="H2216" s="332">
        <v>105.9</v>
      </c>
      <c r="I2216" s="333">
        <v>114</v>
      </c>
      <c r="J2216" s="334" t="s">
        <v>778</v>
      </c>
      <c r="K2216" s="335" t="s">
        <v>116</v>
      </c>
      <c r="L2216" s="454"/>
      <c r="M2216" s="500" t="s">
        <v>1856</v>
      </c>
      <c r="N2216" s="1030" t="s">
        <v>1856</v>
      </c>
      <c r="O2216" s="209"/>
      <c r="P2216" s="66" t="s">
        <v>50</v>
      </c>
      <c r="Q2216" s="100">
        <f t="shared" si="1204"/>
        <v>0</v>
      </c>
      <c r="R2216" s="13" t="str">
        <f t="shared" ref="R2216:R2217" si="1208">IF(AO2216&gt;0,HYPERLINK(AO2216,"Фото &gt;&gt;"),"")</f>
        <v>Фото &gt;&gt;</v>
      </c>
      <c r="S2216" s="14" t="s">
        <v>3624</v>
      </c>
      <c r="U2216" s="4"/>
      <c r="V2216" s="4"/>
      <c r="AK2216">
        <v>0.11</v>
      </c>
      <c r="AL2216">
        <f t="shared" si="1200"/>
        <v>0</v>
      </c>
      <c r="AM2216">
        <f t="shared" si="1201"/>
        <v>0</v>
      </c>
      <c r="AN2216">
        <f t="shared" si="1203"/>
        <v>0</v>
      </c>
      <c r="AO2216" t="s">
        <v>5441</v>
      </c>
      <c r="AV2216" t="str">
        <f>IF(F2216&gt;0,(COUNT($AV$1:AV2215)+1),"")</f>
        <v/>
      </c>
    </row>
    <row r="2217" spans="1:48" ht="15" customHeight="1" x14ac:dyDescent="0.25">
      <c r="A2217" s="1"/>
      <c r="B2217" s="31">
        <v>20242</v>
      </c>
      <c r="C2217" s="16">
        <v>4607013795952</v>
      </c>
      <c r="D2217" s="226" t="s">
        <v>3874</v>
      </c>
      <c r="E2217" s="69">
        <v>12</v>
      </c>
      <c r="F2217" s="222"/>
      <c r="G2217" s="108">
        <v>96.1</v>
      </c>
      <c r="H2217" s="17">
        <v>104.2</v>
      </c>
      <c r="I2217" s="18">
        <v>113</v>
      </c>
      <c r="J2217" s="113" t="s">
        <v>778</v>
      </c>
      <c r="K2217" s="44" t="s">
        <v>116</v>
      </c>
      <c r="L2217" s="442"/>
      <c r="M2217" s="480" t="s">
        <v>1856</v>
      </c>
      <c r="N2217" s="1015" t="s">
        <v>1856</v>
      </c>
      <c r="O2217" s="210"/>
      <c r="P2217" s="68" t="s">
        <v>50</v>
      </c>
      <c r="Q2217" s="100">
        <f t="shared" si="1204"/>
        <v>0</v>
      </c>
      <c r="R2217" s="13" t="str">
        <f t="shared" si="1208"/>
        <v>Фото &gt;&gt;</v>
      </c>
      <c r="S2217" s="14" t="s">
        <v>3629</v>
      </c>
      <c r="U2217" s="4"/>
      <c r="V2217" s="4"/>
      <c r="AK2217">
        <v>0.11</v>
      </c>
      <c r="AL2217">
        <f t="shared" si="1200"/>
        <v>0</v>
      </c>
      <c r="AM2217">
        <f t="shared" si="1201"/>
        <v>0</v>
      </c>
      <c r="AN2217">
        <f t="shared" si="1203"/>
        <v>0</v>
      </c>
      <c r="AO2217" t="s">
        <v>5442</v>
      </c>
      <c r="AV2217" t="str">
        <f>IF(F2217&gt;0,(COUNT($AV$1:AV2216)+1),"")</f>
        <v/>
      </c>
    </row>
    <row r="2218" spans="1:48" ht="15" customHeight="1" x14ac:dyDescent="0.25">
      <c r="A2218" s="1"/>
      <c r="B2218" s="328">
        <v>17864</v>
      </c>
      <c r="C2218" s="329">
        <v>4607013794443</v>
      </c>
      <c r="D2218" s="330" t="s">
        <v>1873</v>
      </c>
      <c r="E2218" s="519">
        <v>18</v>
      </c>
      <c r="F2218" s="222"/>
      <c r="G2218" s="331">
        <v>47.2</v>
      </c>
      <c r="H2218" s="332">
        <v>49</v>
      </c>
      <c r="I2218" s="333">
        <v>52.8</v>
      </c>
      <c r="J2218" s="334" t="s">
        <v>778</v>
      </c>
      <c r="K2218" s="335" t="s">
        <v>116</v>
      </c>
      <c r="L2218" s="454"/>
      <c r="M2218" s="500" t="s">
        <v>1856</v>
      </c>
      <c r="N2218" s="1030" t="s">
        <v>1856</v>
      </c>
      <c r="O2218" s="212" t="s">
        <v>4779</v>
      </c>
      <c r="P2218" s="66" t="s">
        <v>72</v>
      </c>
      <c r="Q2218" s="100">
        <f t="shared" si="1204"/>
        <v>0</v>
      </c>
      <c r="R2218" s="13" t="str">
        <f t="shared" si="1199"/>
        <v>Фото &gt;&gt;</v>
      </c>
      <c r="S2218" s="14" t="s">
        <v>3605</v>
      </c>
      <c r="U2218" s="4"/>
      <c r="V2218" s="4"/>
      <c r="AK2218">
        <v>2.5000000000000001E-2</v>
      </c>
      <c r="AL2218">
        <f t="shared" ref="AL2218:AL2232" si="1209">F2218*G2218</f>
        <v>0</v>
      </c>
      <c r="AM2218">
        <f t="shared" ref="AM2218:AM2232" si="1210">F2218*H2218</f>
        <v>0</v>
      </c>
      <c r="AN2218">
        <f t="shared" si="1203"/>
        <v>0</v>
      </c>
      <c r="AO2218" t="s">
        <v>5072</v>
      </c>
      <c r="AV2218" t="str">
        <f>IF(F2218&gt;0,(COUNT($AV$1:AV2217)+1),"")</f>
        <v/>
      </c>
    </row>
    <row r="2219" spans="1:48" ht="15" customHeight="1" x14ac:dyDescent="0.25">
      <c r="A2219" s="1"/>
      <c r="B2219" s="31">
        <v>17865</v>
      </c>
      <c r="C2219" s="16">
        <v>4607013794405</v>
      </c>
      <c r="D2219" s="226" t="s">
        <v>1874</v>
      </c>
      <c r="E2219" s="519">
        <v>18</v>
      </c>
      <c r="F2219" s="222"/>
      <c r="G2219" s="108">
        <v>47.2</v>
      </c>
      <c r="H2219" s="17">
        <v>49</v>
      </c>
      <c r="I2219" s="18">
        <v>52.8</v>
      </c>
      <c r="J2219" s="113" t="s">
        <v>778</v>
      </c>
      <c r="K2219" s="44" t="s">
        <v>116</v>
      </c>
      <c r="L2219" s="442"/>
      <c r="M2219" s="480" t="s">
        <v>1856</v>
      </c>
      <c r="N2219" s="1015" t="s">
        <v>1856</v>
      </c>
      <c r="O2219" s="217" t="s">
        <v>4779</v>
      </c>
      <c r="P2219" s="68" t="s">
        <v>72</v>
      </c>
      <c r="Q2219" s="100">
        <f t="shared" si="1204"/>
        <v>0</v>
      </c>
      <c r="R2219" s="13" t="str">
        <f t="shared" si="1199"/>
        <v>Фото &gt;&gt;</v>
      </c>
      <c r="S2219" s="14" t="s">
        <v>3603</v>
      </c>
      <c r="U2219" s="4"/>
      <c r="V2219" s="4"/>
      <c r="AK2219">
        <v>2.5000000000000001E-2</v>
      </c>
      <c r="AL2219">
        <f t="shared" si="1209"/>
        <v>0</v>
      </c>
      <c r="AM2219">
        <f t="shared" si="1210"/>
        <v>0</v>
      </c>
      <c r="AN2219">
        <f t="shared" si="1203"/>
        <v>0</v>
      </c>
      <c r="AO2219" t="s">
        <v>5073</v>
      </c>
      <c r="AV2219" t="str">
        <f>IF(F2219&gt;0,(COUNT($AV$1:AV2218)+1),"")</f>
        <v/>
      </c>
    </row>
    <row r="2220" spans="1:48" ht="15" customHeight="1" x14ac:dyDescent="0.25">
      <c r="A2220" s="1"/>
      <c r="B2220" s="328">
        <v>17862</v>
      </c>
      <c r="C2220" s="329">
        <v>4607013794429</v>
      </c>
      <c r="D2220" s="330" t="s">
        <v>1875</v>
      </c>
      <c r="E2220" s="519">
        <v>18</v>
      </c>
      <c r="F2220" s="222"/>
      <c r="G2220" s="331">
        <v>47.2</v>
      </c>
      <c r="H2220" s="332">
        <v>49</v>
      </c>
      <c r="I2220" s="333">
        <v>52.8</v>
      </c>
      <c r="J2220" s="334" t="s">
        <v>778</v>
      </c>
      <c r="K2220" s="335" t="s">
        <v>116</v>
      </c>
      <c r="L2220" s="454"/>
      <c r="M2220" s="500" t="s">
        <v>1856</v>
      </c>
      <c r="N2220" s="1030" t="s">
        <v>1856</v>
      </c>
      <c r="O2220" s="212" t="s">
        <v>4779</v>
      </c>
      <c r="P2220" s="66" t="s">
        <v>72</v>
      </c>
      <c r="Q2220" s="100">
        <f t="shared" si="1204"/>
        <v>0</v>
      </c>
      <c r="R2220" s="13" t="str">
        <f t="shared" si="1199"/>
        <v>Фото &gt;&gt;</v>
      </c>
      <c r="S2220" s="14" t="s">
        <v>3606</v>
      </c>
      <c r="U2220" s="4"/>
      <c r="V2220" s="4"/>
      <c r="AK2220">
        <v>2.5000000000000001E-2</v>
      </c>
      <c r="AL2220">
        <f t="shared" si="1209"/>
        <v>0</v>
      </c>
      <c r="AM2220">
        <f t="shared" si="1210"/>
        <v>0</v>
      </c>
      <c r="AN2220">
        <f t="shared" si="1203"/>
        <v>0</v>
      </c>
      <c r="AO2220" t="s">
        <v>5074</v>
      </c>
      <c r="AV2220" t="str">
        <f>IF(F2220&gt;0,(COUNT($AV$1:AV2219)+1),"")</f>
        <v/>
      </c>
    </row>
    <row r="2221" spans="1:48" ht="15" customHeight="1" x14ac:dyDescent="0.25">
      <c r="A2221" s="1"/>
      <c r="B2221" s="31">
        <v>17861</v>
      </c>
      <c r="C2221" s="16">
        <v>4607013794382</v>
      </c>
      <c r="D2221" s="226" t="s">
        <v>1876</v>
      </c>
      <c r="E2221" s="519">
        <v>18</v>
      </c>
      <c r="F2221" s="222"/>
      <c r="G2221" s="108">
        <v>47.2</v>
      </c>
      <c r="H2221" s="17">
        <v>49</v>
      </c>
      <c r="I2221" s="18">
        <v>52.8</v>
      </c>
      <c r="J2221" s="113" t="s">
        <v>778</v>
      </c>
      <c r="K2221" s="44" t="s">
        <v>116</v>
      </c>
      <c r="L2221" s="442"/>
      <c r="M2221" s="480" t="s">
        <v>1856</v>
      </c>
      <c r="N2221" s="1015" t="s">
        <v>1856</v>
      </c>
      <c r="O2221" s="217" t="s">
        <v>4779</v>
      </c>
      <c r="P2221" s="68" t="s">
        <v>72</v>
      </c>
      <c r="Q2221" s="100">
        <f t="shared" si="1204"/>
        <v>0</v>
      </c>
      <c r="R2221" s="13" t="str">
        <f t="shared" si="1199"/>
        <v>Фото &gt;&gt;</v>
      </c>
      <c r="S2221" s="14" t="s">
        <v>3604</v>
      </c>
      <c r="U2221" s="4"/>
      <c r="V2221" s="4"/>
      <c r="AK2221">
        <v>2.5000000000000001E-2</v>
      </c>
      <c r="AL2221">
        <f t="shared" si="1209"/>
        <v>0</v>
      </c>
      <c r="AM2221">
        <f t="shared" si="1210"/>
        <v>0</v>
      </c>
      <c r="AN2221">
        <f t="shared" si="1203"/>
        <v>0</v>
      </c>
      <c r="AO2221" t="s">
        <v>5075</v>
      </c>
      <c r="AV2221" t="str">
        <f>IF(F2221&gt;0,(COUNT($AV$1:AV2220)+1),"")</f>
        <v/>
      </c>
    </row>
    <row r="2222" spans="1:48" ht="15" customHeight="1" x14ac:dyDescent="0.25">
      <c r="A2222" s="1"/>
      <c r="B2222" s="328">
        <v>17863</v>
      </c>
      <c r="C2222" s="329">
        <v>4607013794412</v>
      </c>
      <c r="D2222" s="330" t="s">
        <v>1877</v>
      </c>
      <c r="E2222" s="519">
        <v>18</v>
      </c>
      <c r="F2222" s="222"/>
      <c r="G2222" s="331">
        <v>47.2</v>
      </c>
      <c r="H2222" s="332">
        <v>49</v>
      </c>
      <c r="I2222" s="333">
        <v>52.8</v>
      </c>
      <c r="J2222" s="334" t="s">
        <v>778</v>
      </c>
      <c r="K2222" s="335" t="s">
        <v>116</v>
      </c>
      <c r="L2222" s="454"/>
      <c r="M2222" s="500" t="s">
        <v>1856</v>
      </c>
      <c r="N2222" s="1030" t="s">
        <v>1856</v>
      </c>
      <c r="O2222" s="212" t="s">
        <v>4779</v>
      </c>
      <c r="P2222" s="66" t="s">
        <v>72</v>
      </c>
      <c r="Q2222" s="100">
        <f t="shared" si="1204"/>
        <v>0</v>
      </c>
      <c r="R2222" s="13" t="str">
        <f t="shared" si="1199"/>
        <v>Фото &gt;&gt;</v>
      </c>
      <c r="S2222" s="14" t="s">
        <v>3602</v>
      </c>
      <c r="U2222" s="4"/>
      <c r="V2222" s="4"/>
      <c r="AK2222">
        <v>2.5000000000000001E-2</v>
      </c>
      <c r="AL2222">
        <f t="shared" si="1209"/>
        <v>0</v>
      </c>
      <c r="AM2222">
        <f t="shared" si="1210"/>
        <v>0</v>
      </c>
      <c r="AN2222">
        <f t="shared" si="1203"/>
        <v>0</v>
      </c>
      <c r="AO2222" t="s">
        <v>5076</v>
      </c>
      <c r="AV2222" t="str">
        <f>IF(F2222&gt;0,(COUNT($AV$1:AV2221)+1),"")</f>
        <v/>
      </c>
    </row>
    <row r="2223" spans="1:48" ht="15" customHeight="1" x14ac:dyDescent="0.25">
      <c r="A2223" s="1"/>
      <c r="B2223" s="25"/>
      <c r="C2223" s="26"/>
      <c r="D2223" s="228" t="s">
        <v>101</v>
      </c>
      <c r="E2223" s="80"/>
      <c r="F2223" s="96"/>
      <c r="G2223" s="28"/>
      <c r="H2223" s="29"/>
      <c r="I2223" s="29"/>
      <c r="J2223" s="51"/>
      <c r="K2223" s="47"/>
      <c r="L2223" s="447"/>
      <c r="M2223" s="489" t="s">
        <v>104</v>
      </c>
      <c r="N2223" s="716"/>
      <c r="O2223" s="186"/>
      <c r="P2223" s="79"/>
      <c r="Q2223" s="104"/>
      <c r="R2223" s="13"/>
      <c r="S2223" s="14"/>
      <c r="U2223" s="4"/>
      <c r="V2223" s="4"/>
      <c r="AL2223">
        <f t="shared" si="1209"/>
        <v>0</v>
      </c>
      <c r="AM2223">
        <f t="shared" si="1210"/>
        <v>0</v>
      </c>
      <c r="AN2223">
        <f t="shared" si="1203"/>
        <v>0</v>
      </c>
      <c r="AO2223" t="s">
        <v>104</v>
      </c>
      <c r="AV2223" t="str">
        <f>IF(F2223&gt;0,(COUNT($AV$1:AV2222)+1),"")</f>
        <v/>
      </c>
    </row>
    <row r="2224" spans="1:48" ht="15" customHeight="1" x14ac:dyDescent="0.25">
      <c r="A2224" s="1"/>
      <c r="B2224" s="31">
        <v>19292</v>
      </c>
      <c r="C2224" s="16">
        <v>4607013794245</v>
      </c>
      <c r="D2224" s="226" t="s">
        <v>1995</v>
      </c>
      <c r="E2224" s="86">
        <v>22</v>
      </c>
      <c r="F2224" s="222"/>
      <c r="G2224" s="108">
        <v>23.5</v>
      </c>
      <c r="H2224" s="17">
        <v>24.4</v>
      </c>
      <c r="I2224" s="18">
        <v>26.3</v>
      </c>
      <c r="J2224" s="113" t="s">
        <v>778</v>
      </c>
      <c r="K2224" s="44" t="s">
        <v>101</v>
      </c>
      <c r="L2224" s="442"/>
      <c r="M2224" s="480" t="s">
        <v>1856</v>
      </c>
      <c r="N2224" s="1015"/>
      <c r="O2224" s="217" t="s">
        <v>1994</v>
      </c>
      <c r="P2224" s="68" t="s">
        <v>72</v>
      </c>
      <c r="Q2224" s="100">
        <f t="shared" ref="Q2224:Q2232" si="1211">IF($AO$2165=2,F2224*H2224,IF($AO$2165=1,F2224*G2224,F2224*I2224))</f>
        <v>0</v>
      </c>
      <c r="R2224" s="13" t="str">
        <f t="shared" si="1199"/>
        <v>Фото &gt;&gt;</v>
      </c>
      <c r="S2224" s="14" t="s">
        <v>3620</v>
      </c>
      <c r="U2224" s="4"/>
      <c r="V2224" s="4"/>
      <c r="AK2224">
        <v>0.05</v>
      </c>
      <c r="AL2224">
        <f t="shared" ref="AL2224:AL2227" si="1212">F2224*G2224</f>
        <v>0</v>
      </c>
      <c r="AM2224">
        <f t="shared" ref="AM2224:AM2227" si="1213">F2224*H2224</f>
        <v>0</v>
      </c>
      <c r="AN2224">
        <f t="shared" si="1203"/>
        <v>0</v>
      </c>
      <c r="AO2224" t="s">
        <v>2756</v>
      </c>
      <c r="AV2224" t="str">
        <f>IF(F2224&gt;0,(COUNT($AV$1:AV2223)+1),"")</f>
        <v/>
      </c>
    </row>
    <row r="2225" spans="1:49" ht="15" customHeight="1" x14ac:dyDescent="0.25">
      <c r="A2225" s="1"/>
      <c r="B2225" s="30">
        <v>19290</v>
      </c>
      <c r="C2225" s="20">
        <v>4607013794214</v>
      </c>
      <c r="D2225" s="225" t="s">
        <v>1996</v>
      </c>
      <c r="E2225" s="85">
        <v>22</v>
      </c>
      <c r="F2225" s="222"/>
      <c r="G2225" s="107">
        <v>23.5</v>
      </c>
      <c r="H2225" s="21">
        <v>24.4</v>
      </c>
      <c r="I2225" s="22">
        <v>26.3</v>
      </c>
      <c r="J2225" s="112" t="s">
        <v>778</v>
      </c>
      <c r="K2225" s="45" t="s">
        <v>101</v>
      </c>
      <c r="L2225" s="437"/>
      <c r="M2225" s="474" t="s">
        <v>1856</v>
      </c>
      <c r="N2225" s="1013"/>
      <c r="O2225" s="212" t="s">
        <v>1994</v>
      </c>
      <c r="P2225" s="66" t="s">
        <v>72</v>
      </c>
      <c r="Q2225" s="100">
        <f t="shared" si="1211"/>
        <v>0</v>
      </c>
      <c r="R2225" s="13" t="str">
        <f t="shared" si="1199"/>
        <v>Фото &gt;&gt;</v>
      </c>
      <c r="S2225" s="14" t="s">
        <v>3618</v>
      </c>
      <c r="U2225" s="4"/>
      <c r="V2225" s="4"/>
      <c r="AK2225">
        <v>0.05</v>
      </c>
      <c r="AL2225">
        <f t="shared" si="1212"/>
        <v>0</v>
      </c>
      <c r="AM2225">
        <f t="shared" si="1213"/>
        <v>0</v>
      </c>
      <c r="AN2225">
        <f t="shared" si="1203"/>
        <v>0</v>
      </c>
      <c r="AO2225" t="s">
        <v>2757</v>
      </c>
      <c r="AV2225" t="str">
        <f>IF(F2225&gt;0,(COUNT($AV$1:AV2224)+1),"")</f>
        <v/>
      </c>
    </row>
    <row r="2226" spans="1:49" ht="15" customHeight="1" x14ac:dyDescent="0.25">
      <c r="A2226" s="1"/>
      <c r="B2226" s="31">
        <v>19291</v>
      </c>
      <c r="C2226" s="16">
        <v>4607013794238</v>
      </c>
      <c r="D2226" s="226" t="s">
        <v>1997</v>
      </c>
      <c r="E2226" s="86">
        <v>22</v>
      </c>
      <c r="F2226" s="222"/>
      <c r="G2226" s="108">
        <v>23.5</v>
      </c>
      <c r="H2226" s="17">
        <v>24.4</v>
      </c>
      <c r="I2226" s="18">
        <v>26.3</v>
      </c>
      <c r="J2226" s="113" t="s">
        <v>778</v>
      </c>
      <c r="K2226" s="44" t="s">
        <v>101</v>
      </c>
      <c r="L2226" s="442"/>
      <c r="M2226" s="480" t="s">
        <v>1856</v>
      </c>
      <c r="N2226" s="1015"/>
      <c r="O2226" s="217" t="s">
        <v>1994</v>
      </c>
      <c r="P2226" s="68" t="s">
        <v>72</v>
      </c>
      <c r="Q2226" s="100">
        <f t="shared" si="1211"/>
        <v>0</v>
      </c>
      <c r="R2226" s="13" t="str">
        <f t="shared" si="1199"/>
        <v>Фото &gt;&gt;</v>
      </c>
      <c r="S2226" s="14" t="s">
        <v>3619</v>
      </c>
      <c r="U2226" s="4"/>
      <c r="V2226" s="4"/>
      <c r="AK2226">
        <v>0.05</v>
      </c>
      <c r="AL2226">
        <f t="shared" si="1212"/>
        <v>0</v>
      </c>
      <c r="AM2226">
        <f t="shared" si="1213"/>
        <v>0</v>
      </c>
      <c r="AN2226">
        <f t="shared" si="1203"/>
        <v>0</v>
      </c>
      <c r="AO2226" t="s">
        <v>2758</v>
      </c>
      <c r="AV2226" t="str">
        <f>IF(F2226&gt;0,(COUNT($AV$1:AV2225)+1),"")</f>
        <v/>
      </c>
    </row>
    <row r="2227" spans="1:49" ht="15" customHeight="1" x14ac:dyDescent="0.25">
      <c r="A2227" s="1"/>
      <c r="B2227" s="30">
        <v>19289</v>
      </c>
      <c r="C2227" s="20">
        <v>4607013794207</v>
      </c>
      <c r="D2227" s="225" t="s">
        <v>2151</v>
      </c>
      <c r="E2227" s="85">
        <v>22</v>
      </c>
      <c r="F2227" s="222"/>
      <c r="G2227" s="107">
        <v>23.5</v>
      </c>
      <c r="H2227" s="21">
        <v>24.4</v>
      </c>
      <c r="I2227" s="22">
        <v>26.3</v>
      </c>
      <c r="J2227" s="112" t="s">
        <v>778</v>
      </c>
      <c r="K2227" s="45" t="s">
        <v>101</v>
      </c>
      <c r="L2227" s="437"/>
      <c r="M2227" s="474" t="s">
        <v>1856</v>
      </c>
      <c r="N2227" s="1013"/>
      <c r="O2227" s="212" t="s">
        <v>1994</v>
      </c>
      <c r="P2227" s="66" t="s">
        <v>72</v>
      </c>
      <c r="Q2227" s="100">
        <f t="shared" si="1211"/>
        <v>0</v>
      </c>
      <c r="R2227" s="13" t="str">
        <f t="shared" si="1199"/>
        <v>Фото &gt;&gt;</v>
      </c>
      <c r="S2227" s="14" t="s">
        <v>3617</v>
      </c>
      <c r="U2227" s="4"/>
      <c r="V2227" s="4"/>
      <c r="AK2227">
        <v>0.05</v>
      </c>
      <c r="AL2227">
        <f t="shared" si="1212"/>
        <v>0</v>
      </c>
      <c r="AM2227">
        <f t="shared" si="1213"/>
        <v>0</v>
      </c>
      <c r="AN2227">
        <f t="shared" si="1203"/>
        <v>0</v>
      </c>
      <c r="AO2227" t="s">
        <v>2759</v>
      </c>
      <c r="AV2227" t="str">
        <f>IF(F2227&gt;0,(COUNT($AV$1:AV2226)+1),"")</f>
        <v/>
      </c>
    </row>
    <row r="2228" spans="1:49" ht="15" customHeight="1" x14ac:dyDescent="0.25">
      <c r="A2228" s="1"/>
      <c r="B2228" s="31">
        <v>17790</v>
      </c>
      <c r="C2228" s="16">
        <v>4607013793927</v>
      </c>
      <c r="D2228" s="226" t="s">
        <v>1795</v>
      </c>
      <c r="E2228" s="86">
        <v>18</v>
      </c>
      <c r="F2228" s="222"/>
      <c r="G2228" s="108">
        <v>45</v>
      </c>
      <c r="H2228" s="17">
        <v>46.8</v>
      </c>
      <c r="I2228" s="18">
        <v>50.4</v>
      </c>
      <c r="J2228" s="113" t="s">
        <v>778</v>
      </c>
      <c r="K2228" s="44" t="s">
        <v>101</v>
      </c>
      <c r="L2228" s="442"/>
      <c r="M2228" s="480" t="s">
        <v>1856</v>
      </c>
      <c r="N2228" s="1015"/>
      <c r="O2228" s="217" t="s">
        <v>4779</v>
      </c>
      <c r="P2228" s="68" t="s">
        <v>72</v>
      </c>
      <c r="Q2228" s="100">
        <f t="shared" si="1211"/>
        <v>0</v>
      </c>
      <c r="R2228" s="13" t="str">
        <f t="shared" si="1199"/>
        <v>Фото &gt;&gt;</v>
      </c>
      <c r="S2228" s="14" t="s">
        <v>3601</v>
      </c>
      <c r="U2228" s="4"/>
      <c r="V2228" s="4"/>
      <c r="AK2228">
        <v>0.05</v>
      </c>
      <c r="AL2228">
        <f t="shared" si="1209"/>
        <v>0</v>
      </c>
      <c r="AM2228">
        <f t="shared" si="1210"/>
        <v>0</v>
      </c>
      <c r="AN2228">
        <f t="shared" si="1203"/>
        <v>0</v>
      </c>
      <c r="AO2228" t="s">
        <v>5077</v>
      </c>
      <c r="AV2228" t="str">
        <f>IF(F2228&gt;0,(COUNT($AV$1:AV2227)+1),"")</f>
        <v/>
      </c>
    </row>
    <row r="2229" spans="1:49" ht="15" customHeight="1" x14ac:dyDescent="0.25">
      <c r="A2229" s="1"/>
      <c r="B2229" s="30">
        <v>17785</v>
      </c>
      <c r="C2229" s="20">
        <v>4607013793897</v>
      </c>
      <c r="D2229" s="225" t="s">
        <v>1796</v>
      </c>
      <c r="E2229" s="86">
        <v>18</v>
      </c>
      <c r="F2229" s="222"/>
      <c r="G2229" s="107">
        <v>45</v>
      </c>
      <c r="H2229" s="21">
        <v>46.8</v>
      </c>
      <c r="I2229" s="22">
        <v>50.4</v>
      </c>
      <c r="J2229" s="112" t="s">
        <v>778</v>
      </c>
      <c r="K2229" s="45" t="s">
        <v>101</v>
      </c>
      <c r="L2229" s="437"/>
      <c r="M2229" s="474" t="s">
        <v>1856</v>
      </c>
      <c r="N2229" s="1013"/>
      <c r="O2229" s="212" t="s">
        <v>4779</v>
      </c>
      <c r="P2229" s="66" t="s">
        <v>72</v>
      </c>
      <c r="Q2229" s="100">
        <f t="shared" si="1211"/>
        <v>0</v>
      </c>
      <c r="R2229" s="13" t="str">
        <f t="shared" si="1199"/>
        <v>Фото &gt;&gt;</v>
      </c>
      <c r="S2229" s="14" t="s">
        <v>3598</v>
      </c>
      <c r="U2229" s="4"/>
      <c r="V2229" s="4"/>
      <c r="AK2229">
        <v>0.05</v>
      </c>
      <c r="AL2229">
        <f t="shared" si="1209"/>
        <v>0</v>
      </c>
      <c r="AM2229">
        <f t="shared" si="1210"/>
        <v>0</v>
      </c>
      <c r="AN2229">
        <f t="shared" si="1203"/>
        <v>0</v>
      </c>
      <c r="AO2229" t="s">
        <v>5078</v>
      </c>
      <c r="AV2229" t="str">
        <f>IF(F2229&gt;0,(COUNT($AV$1:AV2228)+1),"")</f>
        <v/>
      </c>
    </row>
    <row r="2230" spans="1:49" ht="15" customHeight="1" x14ac:dyDescent="0.25">
      <c r="A2230" s="1"/>
      <c r="B2230" s="31">
        <v>17788</v>
      </c>
      <c r="C2230" s="16">
        <v>4607013793903</v>
      </c>
      <c r="D2230" s="226" t="s">
        <v>1797</v>
      </c>
      <c r="E2230" s="86">
        <v>18</v>
      </c>
      <c r="F2230" s="222"/>
      <c r="G2230" s="108">
        <v>45</v>
      </c>
      <c r="H2230" s="17">
        <v>46.8</v>
      </c>
      <c r="I2230" s="18">
        <v>50.4</v>
      </c>
      <c r="J2230" s="113" t="s">
        <v>778</v>
      </c>
      <c r="K2230" s="44" t="s">
        <v>101</v>
      </c>
      <c r="L2230" s="442"/>
      <c r="M2230" s="480" t="s">
        <v>1856</v>
      </c>
      <c r="N2230" s="1015"/>
      <c r="O2230" s="217" t="s">
        <v>4779</v>
      </c>
      <c r="P2230" s="68" t="s">
        <v>72</v>
      </c>
      <c r="Q2230" s="100">
        <f t="shared" si="1211"/>
        <v>0</v>
      </c>
      <c r="R2230" s="13" t="str">
        <f t="shared" si="1199"/>
        <v>Фото &gt;&gt;</v>
      </c>
      <c r="S2230" s="14" t="s">
        <v>3599</v>
      </c>
      <c r="U2230" s="4"/>
      <c r="V2230" s="4"/>
      <c r="AK2230">
        <v>0.05</v>
      </c>
      <c r="AL2230">
        <f t="shared" si="1209"/>
        <v>0</v>
      </c>
      <c r="AM2230">
        <f t="shared" si="1210"/>
        <v>0</v>
      </c>
      <c r="AN2230">
        <f t="shared" si="1203"/>
        <v>0</v>
      </c>
      <c r="AO2230" t="s">
        <v>5079</v>
      </c>
      <c r="AV2230" t="str">
        <f>IF(F2230&gt;0,(COUNT($AV$1:AV2229)+1),"")</f>
        <v/>
      </c>
    </row>
    <row r="2231" spans="1:49" ht="15" customHeight="1" x14ac:dyDescent="0.25">
      <c r="A2231" s="1"/>
      <c r="B2231" s="30">
        <v>17784</v>
      </c>
      <c r="C2231" s="20">
        <v>4607013793866</v>
      </c>
      <c r="D2231" s="225" t="s">
        <v>1798</v>
      </c>
      <c r="E2231" s="86">
        <v>18</v>
      </c>
      <c r="F2231" s="222"/>
      <c r="G2231" s="107">
        <v>45</v>
      </c>
      <c r="H2231" s="21">
        <v>46.8</v>
      </c>
      <c r="I2231" s="22">
        <v>50.4</v>
      </c>
      <c r="J2231" s="112" t="s">
        <v>778</v>
      </c>
      <c r="K2231" s="45" t="s">
        <v>101</v>
      </c>
      <c r="L2231" s="437"/>
      <c r="M2231" s="474" t="s">
        <v>1856</v>
      </c>
      <c r="N2231" s="1013" t="s">
        <v>1856</v>
      </c>
      <c r="O2231" s="212" t="s">
        <v>4779</v>
      </c>
      <c r="P2231" s="66" t="s">
        <v>72</v>
      </c>
      <c r="Q2231" s="100">
        <f t="shared" si="1211"/>
        <v>0</v>
      </c>
      <c r="R2231" s="13" t="str">
        <f t="shared" ref="R2231:R2377" si="1214">IF(AO2231&gt;0,HYPERLINK(AO2231,"Фото &gt;&gt;"),"")</f>
        <v>Фото &gt;&gt;</v>
      </c>
      <c r="S2231" s="14" t="s">
        <v>3597</v>
      </c>
      <c r="U2231" s="4"/>
      <c r="V2231" s="4"/>
      <c r="AK2231">
        <v>0.05</v>
      </c>
      <c r="AL2231">
        <f t="shared" si="1209"/>
        <v>0</v>
      </c>
      <c r="AM2231">
        <f t="shared" si="1210"/>
        <v>0</v>
      </c>
      <c r="AN2231">
        <f t="shared" si="1203"/>
        <v>0</v>
      </c>
      <c r="AO2231" t="s">
        <v>5080</v>
      </c>
      <c r="AV2231" t="str">
        <f>IF(F2231&gt;0,(COUNT($AV$1:AV2230)+1),"")</f>
        <v/>
      </c>
    </row>
    <row r="2232" spans="1:49" ht="15" customHeight="1" x14ac:dyDescent="0.25">
      <c r="A2232" s="1"/>
      <c r="B2232" s="31">
        <v>17789</v>
      </c>
      <c r="C2232" s="16">
        <v>4607013793910</v>
      </c>
      <c r="D2232" s="226" t="s">
        <v>1799</v>
      </c>
      <c r="E2232" s="86">
        <v>18</v>
      </c>
      <c r="F2232" s="222"/>
      <c r="G2232" s="108">
        <v>45</v>
      </c>
      <c r="H2232" s="17">
        <v>46.8</v>
      </c>
      <c r="I2232" s="18">
        <v>50.4</v>
      </c>
      <c r="J2232" s="113" t="s">
        <v>778</v>
      </c>
      <c r="K2232" s="44" t="s">
        <v>101</v>
      </c>
      <c r="L2232" s="442"/>
      <c r="M2232" s="480" t="s">
        <v>1856</v>
      </c>
      <c r="N2232" s="1015"/>
      <c r="O2232" s="217" t="s">
        <v>4779</v>
      </c>
      <c r="P2232" s="68" t="s">
        <v>72</v>
      </c>
      <c r="Q2232" s="100">
        <f t="shared" si="1211"/>
        <v>0</v>
      </c>
      <c r="R2232" s="13" t="str">
        <f t="shared" si="1214"/>
        <v>Фото &gt;&gt;</v>
      </c>
      <c r="S2232" s="14" t="s">
        <v>3600</v>
      </c>
      <c r="U2232" s="4"/>
      <c r="V2232" s="4"/>
      <c r="AK2232">
        <v>0.05</v>
      </c>
      <c r="AL2232">
        <f t="shared" si="1209"/>
        <v>0</v>
      </c>
      <c r="AM2232">
        <f t="shared" si="1210"/>
        <v>0</v>
      </c>
      <c r="AN2232">
        <f t="shared" si="1203"/>
        <v>0</v>
      </c>
      <c r="AO2232" t="s">
        <v>5081</v>
      </c>
      <c r="AV2232" t="str">
        <f>IF(F2232&gt;0,(COUNT($AV$1:AV2231)+1),"")</f>
        <v/>
      </c>
    </row>
    <row r="2233" spans="1:49" ht="15" customHeight="1" x14ac:dyDescent="0.25">
      <c r="A2233" s="1"/>
      <c r="B2233" s="125"/>
      <c r="C2233" s="126"/>
      <c r="D2233" s="127"/>
      <c r="E2233" s="134"/>
      <c r="F2233" s="189"/>
      <c r="G2233" s="130"/>
      <c r="H2233" s="131"/>
      <c r="I2233" s="132"/>
      <c r="J2233" s="128"/>
      <c r="K2233" s="129"/>
      <c r="L2233" s="433"/>
      <c r="M2233" s="481"/>
      <c r="N2233" s="471"/>
      <c r="O2233" s="181"/>
      <c r="P2233" s="133"/>
      <c r="Q2233" s="135"/>
      <c r="R2233" s="13"/>
      <c r="S2233" s="14"/>
      <c r="AV2233" t="str">
        <f>IF(F2233&gt;0,(COUNT($AV$1:AV2232)+1),"")</f>
        <v/>
      </c>
      <c r="AW2233" t="str">
        <f>IFERROR(VLOOKUP(C2233,#REF!,2,0),"")</f>
        <v/>
      </c>
    </row>
    <row r="2234" spans="1:49" ht="15" customHeight="1" thickBot="1" x14ac:dyDescent="0.3">
      <c r="A2234" s="1"/>
      <c r="B2234" s="136"/>
      <c r="C2234" s="137"/>
      <c r="D2234" s="138"/>
      <c r="E2234" s="145"/>
      <c r="F2234" s="190"/>
      <c r="G2234" s="141"/>
      <c r="H2234" s="142"/>
      <c r="I2234" s="143"/>
      <c r="J2234" s="139"/>
      <c r="K2234" s="140"/>
      <c r="L2234" s="434"/>
      <c r="M2234" s="477" t="s">
        <v>104</v>
      </c>
      <c r="N2234" s="468"/>
      <c r="O2234" s="182"/>
      <c r="P2234" s="144"/>
      <c r="Q2234" s="146"/>
      <c r="R2234" s="13"/>
      <c r="S2234" s="14"/>
      <c r="AV2234" t="str">
        <f>IF(F2234&gt;0,(COUNT($AV$1:AV2233)+1),"")</f>
        <v/>
      </c>
      <c r="AW2234" t="str">
        <f>IFERROR(VLOOKUP(C2234,#REF!,2,0),"")</f>
        <v/>
      </c>
    </row>
    <row r="2235" spans="1:49" ht="24.95" customHeight="1" thickBot="1" x14ac:dyDescent="0.3">
      <c r="A2235" s="1"/>
      <c r="B2235" s="266"/>
      <c r="C2235" s="267"/>
      <c r="D2235" s="268" t="str">
        <f>CONCATENATE("Philosophia de Natura","     |     Сумма заказа: ",AK2235," руб.")</f>
        <v>Philosophia de Natura     |     Сумма заказа: 0 руб.</v>
      </c>
      <c r="E2235" s="269"/>
      <c r="F2235" s="270"/>
      <c r="G2235" s="271" t="str">
        <f>CONCATENATE("Ценовая колонка: ",AO2235,"   |   До следующей скидки: ",AJ2235," руб.")</f>
        <v>Ценовая колонка: 3   |   До следующей скидки: 5000 руб.</v>
      </c>
      <c r="H2235" s="272"/>
      <c r="I2235" s="272"/>
      <c r="J2235" s="273" t="s">
        <v>2963</v>
      </c>
      <c r="K2235" s="274"/>
      <c r="L2235" s="451"/>
      <c r="M2235" s="495"/>
      <c r="N2235" s="571"/>
      <c r="O2235" s="275"/>
      <c r="P2235" s="276"/>
      <c r="Q2235" s="277"/>
      <c r="R2235" s="265" t="s">
        <v>1558</v>
      </c>
      <c r="S2235" s="6"/>
      <c r="AJ2235">
        <f>ROUND(IF(AL2235&gt;10000,"0", IF(AND(AL2235&lt;10000,AM2235&gt;5000),10000-AL2235,5000-AM2235)),2)</f>
        <v>5000</v>
      </c>
      <c r="AK2235">
        <f>SUM(Q2241:Q2255)</f>
        <v>0</v>
      </c>
      <c r="AL2235">
        <f>SUM(AL2241:AL2255)</f>
        <v>0</v>
      </c>
      <c r="AM2235">
        <f>SUM(AM2241:AM2255)</f>
        <v>0</v>
      </c>
      <c r="AO2235">
        <f>IF(AM2235&gt;3000,IF(AL2235&gt;5000,1,2),3)</f>
        <v>3</v>
      </c>
      <c r="AV2235" t="str">
        <f>IF(F2235&gt;0,(COUNT($AV$1:AV2234)+1),"")</f>
        <v/>
      </c>
    </row>
    <row r="2236" spans="1:49" ht="15" customHeight="1" x14ac:dyDescent="0.25">
      <c r="A2236" s="1"/>
      <c r="B2236" s="294"/>
      <c r="C2236" s="243"/>
      <c r="D2236" s="263" t="s">
        <v>2964</v>
      </c>
      <c r="E2236" s="244"/>
      <c r="F2236" s="245"/>
      <c r="G2236" s="246"/>
      <c r="H2236" s="247"/>
      <c r="I2236" s="247"/>
      <c r="J2236" s="248"/>
      <c r="K2236" s="249"/>
      <c r="L2236" s="435"/>
      <c r="M2236" s="478"/>
      <c r="N2236" s="469"/>
      <c r="O2236" s="250"/>
      <c r="P2236" s="251"/>
      <c r="Q2236" s="252"/>
      <c r="R2236" s="13"/>
      <c r="S2236" s="14"/>
      <c r="AV2236" t="str">
        <f>IF(F2236&gt;0,(COUNT($AV$1:AV2235)+1),"")</f>
        <v/>
      </c>
    </row>
    <row r="2237" spans="1:49" ht="15" customHeight="1" x14ac:dyDescent="0.25">
      <c r="A2237" s="1"/>
      <c r="B2237" s="158"/>
      <c r="C2237" s="159"/>
      <c r="D2237" s="263" t="s">
        <v>2965</v>
      </c>
      <c r="E2237" s="238"/>
      <c r="F2237" s="203"/>
      <c r="G2237" s="239"/>
      <c r="H2237" s="240"/>
      <c r="I2237" s="240"/>
      <c r="J2237" s="241"/>
      <c r="K2237" s="201"/>
      <c r="L2237" s="428"/>
      <c r="M2237" s="475"/>
      <c r="N2237" s="467"/>
      <c r="O2237" s="166"/>
      <c r="P2237" s="242"/>
      <c r="Q2237" s="202"/>
      <c r="R2237" s="13"/>
      <c r="S2237" s="14"/>
      <c r="AV2237" t="str">
        <f>IF(F2237&gt;0,(COUNT($AV$1:AV2236)+1),"")</f>
        <v/>
      </c>
    </row>
    <row r="2238" spans="1:49" ht="15" customHeight="1" x14ac:dyDescent="0.25">
      <c r="A2238" s="1"/>
      <c r="B2238" s="158"/>
      <c r="C2238" s="159"/>
      <c r="D2238" s="263" t="s">
        <v>2966</v>
      </c>
      <c r="E2238" s="238"/>
      <c r="F2238" s="203"/>
      <c r="G2238" s="239"/>
      <c r="H2238" s="240"/>
      <c r="I2238" s="240"/>
      <c r="J2238" s="241"/>
      <c r="K2238" s="201"/>
      <c r="L2238" s="428"/>
      <c r="M2238" s="475"/>
      <c r="N2238" s="467"/>
      <c r="O2238" s="166"/>
      <c r="P2238" s="242"/>
      <c r="Q2238" s="202"/>
      <c r="R2238" s="13"/>
      <c r="S2238" s="14"/>
      <c r="AV2238" t="str">
        <f>IF(F2238&gt;0,(COUNT($AV$1:AV2237)+1),"")</f>
        <v/>
      </c>
    </row>
    <row r="2239" spans="1:49" ht="15" customHeight="1" x14ac:dyDescent="0.25">
      <c r="A2239" s="1"/>
      <c r="B2239" s="158"/>
      <c r="C2239" s="159"/>
      <c r="D2239" s="263" t="s">
        <v>2969</v>
      </c>
      <c r="E2239" s="238"/>
      <c r="F2239" s="203"/>
      <c r="G2239" s="239"/>
      <c r="H2239" s="240"/>
      <c r="I2239" s="240"/>
      <c r="J2239" s="241"/>
      <c r="K2239" s="201"/>
      <c r="L2239" s="428"/>
      <c r="M2239" s="475"/>
      <c r="N2239" s="467"/>
      <c r="O2239" s="166"/>
      <c r="P2239" s="242"/>
      <c r="Q2239" s="202"/>
      <c r="R2239" s="13"/>
      <c r="S2239" s="14"/>
      <c r="AV2239" t="str">
        <f>IF(F2239&gt;0,(COUNT($AV$1:AV2238)+1),"")</f>
        <v/>
      </c>
    </row>
    <row r="2240" spans="1:49" ht="15" customHeight="1" x14ac:dyDescent="0.25">
      <c r="A2240" s="1"/>
      <c r="B2240" s="295"/>
      <c r="C2240" s="253"/>
      <c r="D2240" s="263" t="s">
        <v>2967</v>
      </c>
      <c r="E2240" s="254"/>
      <c r="F2240" s="255"/>
      <c r="G2240" s="256"/>
      <c r="H2240" s="257"/>
      <c r="I2240" s="257"/>
      <c r="J2240" s="258"/>
      <c r="K2240" s="259"/>
      <c r="L2240" s="436"/>
      <c r="M2240" s="479"/>
      <c r="N2240" s="470"/>
      <c r="O2240" s="260"/>
      <c r="P2240" s="261"/>
      <c r="Q2240" s="262"/>
      <c r="R2240" s="13"/>
      <c r="S2240" s="14"/>
      <c r="AV2240" t="str">
        <f>IF(F2240&gt;0,(COUNT($AV$1:AV2239)+1),"")</f>
        <v/>
      </c>
    </row>
    <row r="2241" spans="1:48" ht="15" customHeight="1" x14ac:dyDescent="0.25">
      <c r="A2241" s="1"/>
      <c r="B2241" s="25"/>
      <c r="C2241" s="26"/>
      <c r="D2241" s="27" t="s">
        <v>556</v>
      </c>
      <c r="E2241" s="80"/>
      <c r="F2241" s="96"/>
      <c r="G2241" s="28" t="s">
        <v>104</v>
      </c>
      <c r="H2241" s="29" t="s">
        <v>104</v>
      </c>
      <c r="I2241" s="29" t="s">
        <v>104</v>
      </c>
      <c r="J2241" s="51"/>
      <c r="K2241" s="47"/>
      <c r="L2241" s="447"/>
      <c r="M2241" s="489"/>
      <c r="N2241" s="716"/>
      <c r="O2241" s="186"/>
      <c r="P2241" s="79"/>
      <c r="Q2241" s="104"/>
      <c r="R2241" s="13"/>
      <c r="S2241" s="14"/>
      <c r="AV2241" t="str">
        <f>IF(F2241&gt;0,(COUNT($AV$1:AV2240)+1),"")</f>
        <v/>
      </c>
    </row>
    <row r="2242" spans="1:48" ht="15" customHeight="1" x14ac:dyDescent="0.25">
      <c r="A2242" s="1"/>
      <c r="B2242" s="59">
        <v>20423</v>
      </c>
      <c r="C2242" s="23">
        <v>4606384000368</v>
      </c>
      <c r="D2242" s="399" t="s">
        <v>4643</v>
      </c>
      <c r="E2242" s="75">
        <v>10</v>
      </c>
      <c r="F2242" s="223"/>
      <c r="G2242" s="111">
        <v>113.9</v>
      </c>
      <c r="H2242" s="5">
        <v>118</v>
      </c>
      <c r="I2242" s="24">
        <v>123.1</v>
      </c>
      <c r="J2242" s="120" t="s">
        <v>2963</v>
      </c>
      <c r="K2242" s="46" t="s">
        <v>556</v>
      </c>
      <c r="L2242" s="440" t="s">
        <v>3258</v>
      </c>
      <c r="M2242" s="482"/>
      <c r="N2242" s="1002"/>
      <c r="O2242" s="211"/>
      <c r="P2242" s="74" t="s">
        <v>53</v>
      </c>
      <c r="Q2242" s="100">
        <f t="shared" ref="Q2242:Q2255" si="1215">IF($AO$2235=2,F2242*H2242,IF($AO$2235=1,F2242*G2242,F2242*I2242))</f>
        <v>0</v>
      </c>
      <c r="R2242" s="13" t="str">
        <f t="shared" ref="R2242:R2244" si="1216">IF(AO2242&gt;0,HYPERLINK(AO2242,"Фото &gt;&gt;"),"")</f>
        <v>Фото &gt;&gt;</v>
      </c>
      <c r="S2242" s="14" t="s">
        <v>3861</v>
      </c>
      <c r="AK2242">
        <v>0.35</v>
      </c>
      <c r="AL2242">
        <f t="shared" ref="AL2242:AL2244" si="1217">F2242*G2242</f>
        <v>0</v>
      </c>
      <c r="AM2242">
        <f t="shared" ref="AM2242:AM2244" si="1218">F2242*H2242</f>
        <v>0</v>
      </c>
      <c r="AN2242">
        <f t="shared" ref="AN2242:AN2244" si="1219">AK2242*F2242</f>
        <v>0</v>
      </c>
      <c r="AO2242" t="s">
        <v>3864</v>
      </c>
      <c r="AV2242" t="str">
        <f>IF(F2242&gt;0,(COUNT($AV$1:AV2241)+1),"")</f>
        <v/>
      </c>
    </row>
    <row r="2243" spans="1:48" ht="15" customHeight="1" x14ac:dyDescent="0.25">
      <c r="A2243" s="1"/>
      <c r="B2243" s="56">
        <v>20425</v>
      </c>
      <c r="C2243" s="33">
        <v>4606384000375</v>
      </c>
      <c r="D2243" s="395" t="s">
        <v>4644</v>
      </c>
      <c r="E2243" s="71">
        <v>10</v>
      </c>
      <c r="F2243" s="222"/>
      <c r="G2243" s="109">
        <v>114</v>
      </c>
      <c r="H2243" s="34">
        <v>119.5</v>
      </c>
      <c r="I2243" s="35">
        <v>126</v>
      </c>
      <c r="J2243" s="121" t="s">
        <v>2963</v>
      </c>
      <c r="K2243" s="57" t="s">
        <v>556</v>
      </c>
      <c r="L2243" s="438" t="s">
        <v>3258</v>
      </c>
      <c r="M2243" s="480"/>
      <c r="N2243" s="1015"/>
      <c r="O2243" s="219"/>
      <c r="P2243" s="70" t="s">
        <v>53</v>
      </c>
      <c r="Q2243" s="100">
        <f t="shared" si="1215"/>
        <v>0</v>
      </c>
      <c r="R2243" s="13" t="str">
        <f t="shared" si="1216"/>
        <v>Фото &gt;&gt;</v>
      </c>
      <c r="S2243" s="14" t="s">
        <v>3862</v>
      </c>
      <c r="AK2243">
        <v>0.35</v>
      </c>
      <c r="AL2243">
        <f t="shared" si="1217"/>
        <v>0</v>
      </c>
      <c r="AM2243">
        <f t="shared" si="1218"/>
        <v>0</v>
      </c>
      <c r="AN2243">
        <f t="shared" si="1219"/>
        <v>0</v>
      </c>
      <c r="AO2243" t="s">
        <v>3866</v>
      </c>
      <c r="AV2243" t="str">
        <f>IF(F2243&gt;0,(COUNT($AV$1:AV2242)+1),"")</f>
        <v/>
      </c>
    </row>
    <row r="2244" spans="1:48" ht="15" customHeight="1" x14ac:dyDescent="0.25">
      <c r="A2244" s="1"/>
      <c r="B2244" s="59">
        <v>20424</v>
      </c>
      <c r="C2244" s="23">
        <v>4606384000351</v>
      </c>
      <c r="D2244" s="399" t="s">
        <v>4645</v>
      </c>
      <c r="E2244" s="75">
        <v>10</v>
      </c>
      <c r="F2244" s="223"/>
      <c r="G2244" s="111">
        <v>118.5</v>
      </c>
      <c r="H2244" s="5">
        <v>122.4</v>
      </c>
      <c r="I2244" s="24">
        <v>127</v>
      </c>
      <c r="J2244" s="120" t="s">
        <v>2963</v>
      </c>
      <c r="K2244" s="46" t="s">
        <v>556</v>
      </c>
      <c r="L2244" s="440" t="s">
        <v>3258</v>
      </c>
      <c r="M2244" s="482"/>
      <c r="N2244" s="1002"/>
      <c r="O2244" s="211"/>
      <c r="P2244" s="74" t="s">
        <v>53</v>
      </c>
      <c r="Q2244" s="100">
        <f t="shared" si="1215"/>
        <v>0</v>
      </c>
      <c r="R2244" s="13" t="str">
        <f t="shared" si="1216"/>
        <v>Фото &gt;&gt;</v>
      </c>
      <c r="S2244" s="14" t="s">
        <v>3860</v>
      </c>
      <c r="AK2244">
        <v>0.35</v>
      </c>
      <c r="AL2244">
        <f t="shared" si="1217"/>
        <v>0</v>
      </c>
      <c r="AM2244">
        <f t="shared" si="1218"/>
        <v>0</v>
      </c>
      <c r="AN2244">
        <f t="shared" si="1219"/>
        <v>0</v>
      </c>
      <c r="AO2244" t="s">
        <v>3865</v>
      </c>
      <c r="AV2244" t="str">
        <f>IF(F2244&gt;0,(COUNT($AV$1:AV2243)+1),"")</f>
        <v/>
      </c>
    </row>
    <row r="2245" spans="1:48" ht="15" customHeight="1" x14ac:dyDescent="0.25">
      <c r="A2245" s="1"/>
      <c r="B2245" s="56">
        <v>20422</v>
      </c>
      <c r="C2245" s="33">
        <v>4606384000993</v>
      </c>
      <c r="D2245" s="395" t="s">
        <v>4646</v>
      </c>
      <c r="E2245" s="71">
        <v>10</v>
      </c>
      <c r="F2245" s="222"/>
      <c r="G2245" s="109">
        <v>110</v>
      </c>
      <c r="H2245" s="34">
        <v>114.3</v>
      </c>
      <c r="I2245" s="35">
        <v>120</v>
      </c>
      <c r="J2245" s="121" t="s">
        <v>2963</v>
      </c>
      <c r="K2245" s="57" t="s">
        <v>556</v>
      </c>
      <c r="L2245" s="438" t="s">
        <v>3258</v>
      </c>
      <c r="M2245" s="480"/>
      <c r="N2245" s="1015" t="s">
        <v>1856</v>
      </c>
      <c r="O2245" s="219"/>
      <c r="P2245" s="70" t="s">
        <v>53</v>
      </c>
      <c r="Q2245" s="100">
        <f t="shared" si="1215"/>
        <v>0</v>
      </c>
      <c r="R2245" s="13" t="str">
        <f t="shared" ref="R2245:R2255" si="1220">IF(AO2245&gt;0,HYPERLINK(AO2245,"Фото &gt;&gt;"),"")</f>
        <v>Фото &gt;&gt;</v>
      </c>
      <c r="S2245" s="14" t="s">
        <v>3859</v>
      </c>
      <c r="AK2245">
        <v>0.35</v>
      </c>
      <c r="AL2245">
        <f t="shared" ref="AL2245" si="1221">F2245*G2245</f>
        <v>0</v>
      </c>
      <c r="AM2245">
        <f t="shared" ref="AM2245" si="1222">F2245*H2245</f>
        <v>0</v>
      </c>
      <c r="AN2245">
        <f t="shared" ref="AN2245" si="1223">AK2245*F2245</f>
        <v>0</v>
      </c>
      <c r="AO2245" t="s">
        <v>3863</v>
      </c>
      <c r="AV2245" t="str">
        <f>IF(F2245&gt;0,(COUNT($AV$1:AV2244)+1),"")</f>
        <v/>
      </c>
    </row>
    <row r="2246" spans="1:48" ht="15" customHeight="1" x14ac:dyDescent="0.25">
      <c r="A2246" s="1"/>
      <c r="B2246" s="59">
        <v>20882</v>
      </c>
      <c r="C2246" s="23">
        <v>4606384001617</v>
      </c>
      <c r="D2246" s="567" t="s">
        <v>6154</v>
      </c>
      <c r="E2246" s="75">
        <v>6</v>
      </c>
      <c r="F2246" s="223"/>
      <c r="G2246" s="111">
        <v>130</v>
      </c>
      <c r="H2246" s="5">
        <v>136.5</v>
      </c>
      <c r="I2246" s="24">
        <v>150</v>
      </c>
      <c r="J2246" s="120" t="s">
        <v>2963</v>
      </c>
      <c r="K2246" s="46" t="s">
        <v>556</v>
      </c>
      <c r="L2246" s="440" t="s">
        <v>3258</v>
      </c>
      <c r="M2246" s="482" t="s">
        <v>1856</v>
      </c>
      <c r="N2246" s="1002"/>
      <c r="O2246" s="211"/>
      <c r="P2246" s="74" t="s">
        <v>72</v>
      </c>
      <c r="Q2246" s="100">
        <f t="shared" si="1215"/>
        <v>0</v>
      </c>
      <c r="R2246" s="13" t="str">
        <f t="shared" si="1220"/>
        <v>Фото &gt;&gt;</v>
      </c>
      <c r="S2246" s="14" t="s">
        <v>4649</v>
      </c>
      <c r="AK2246">
        <v>0.35</v>
      </c>
      <c r="AL2246">
        <f t="shared" ref="AL2246" si="1224">F2246*G2246</f>
        <v>0</v>
      </c>
      <c r="AM2246">
        <f t="shared" ref="AM2246" si="1225">F2246*H2246</f>
        <v>0</v>
      </c>
      <c r="AN2246">
        <f t="shared" ref="AN2246" si="1226">AK2246*F2246</f>
        <v>0</v>
      </c>
      <c r="AO2246" t="s">
        <v>4657</v>
      </c>
      <c r="AV2246" t="str">
        <f>IF(F2246&gt;0,(COUNT($AV$1:AV2245)+1),"")</f>
        <v/>
      </c>
    </row>
    <row r="2247" spans="1:48" ht="15" customHeight="1" x14ac:dyDescent="0.25">
      <c r="A2247" s="1"/>
      <c r="B2247" s="56">
        <v>20881</v>
      </c>
      <c r="C2247" s="33">
        <v>4606384001570</v>
      </c>
      <c r="D2247" s="566" t="s">
        <v>6155</v>
      </c>
      <c r="E2247" s="71">
        <v>6</v>
      </c>
      <c r="F2247" s="223"/>
      <c r="G2247" s="109">
        <v>171.2</v>
      </c>
      <c r="H2247" s="34">
        <v>177.9</v>
      </c>
      <c r="I2247" s="35">
        <v>196</v>
      </c>
      <c r="J2247" s="121" t="s">
        <v>2963</v>
      </c>
      <c r="K2247" s="57" t="s">
        <v>556</v>
      </c>
      <c r="L2247" s="438" t="s">
        <v>3258</v>
      </c>
      <c r="M2247" s="484"/>
      <c r="N2247" s="1008"/>
      <c r="O2247" s="219"/>
      <c r="P2247" s="70" t="s">
        <v>72</v>
      </c>
      <c r="Q2247" s="100">
        <f t="shared" si="1215"/>
        <v>0</v>
      </c>
      <c r="R2247" s="13" t="str">
        <f t="shared" si="1220"/>
        <v>Фото &gt;&gt;</v>
      </c>
      <c r="S2247" s="14" t="s">
        <v>4648</v>
      </c>
      <c r="AK2247">
        <v>0.35</v>
      </c>
      <c r="AL2247">
        <f t="shared" ref="AL2247" si="1227">F2247*G2247</f>
        <v>0</v>
      </c>
      <c r="AM2247">
        <f t="shared" ref="AM2247" si="1228">F2247*H2247</f>
        <v>0</v>
      </c>
      <c r="AN2247">
        <f t="shared" ref="AN2247" si="1229">AK2247*F2247</f>
        <v>0</v>
      </c>
      <c r="AO2247" t="s">
        <v>4658</v>
      </c>
      <c r="AV2247" t="str">
        <f>IF(F2247&gt;0,(COUNT($AV$1:AV2246)+1),"")</f>
        <v/>
      </c>
    </row>
    <row r="2248" spans="1:48" ht="15" customHeight="1" x14ac:dyDescent="0.25">
      <c r="A2248" s="1"/>
      <c r="B2248" s="889">
        <v>20883</v>
      </c>
      <c r="C2248" s="867">
        <v>4606384001693</v>
      </c>
      <c r="D2248" s="890" t="s">
        <v>6156</v>
      </c>
      <c r="E2248" s="869">
        <v>6</v>
      </c>
      <c r="F2248" s="870"/>
      <c r="G2248" s="871">
        <v>154.19999999999999</v>
      </c>
      <c r="H2248" s="872">
        <v>162</v>
      </c>
      <c r="I2248" s="873">
        <v>178.5</v>
      </c>
      <c r="J2248" s="891" t="s">
        <v>2963</v>
      </c>
      <c r="K2248" s="875" t="s">
        <v>556</v>
      </c>
      <c r="L2248" s="876" t="s">
        <v>3258</v>
      </c>
      <c r="M2248" s="877"/>
      <c r="N2248" s="1020"/>
      <c r="O2248" s="878"/>
      <c r="P2248" s="879" t="s">
        <v>72</v>
      </c>
      <c r="Q2248" s="100">
        <f t="shared" si="1215"/>
        <v>0</v>
      </c>
      <c r="R2248" s="13" t="str">
        <f t="shared" si="1220"/>
        <v>Фото &gt;&gt;</v>
      </c>
      <c r="S2248" s="14" t="s">
        <v>4647</v>
      </c>
      <c r="AK2248">
        <v>0.45</v>
      </c>
      <c r="AL2248">
        <f t="shared" ref="AL2248:AL2255" si="1230">F2248*G2248</f>
        <v>0</v>
      </c>
      <c r="AM2248">
        <f t="shared" ref="AM2248:AM2255" si="1231">F2248*H2248</f>
        <v>0</v>
      </c>
      <c r="AN2248">
        <f t="shared" ref="AN2248:AN2255" si="1232">AK2248*F2248</f>
        <v>0</v>
      </c>
      <c r="AO2248" t="s">
        <v>4659</v>
      </c>
      <c r="AV2248" t="str">
        <f>IF(F2248&gt;0,(COUNT($AV$1:AV2247)+1),"")</f>
        <v/>
      </c>
    </row>
    <row r="2249" spans="1:48" ht="15" customHeight="1" x14ac:dyDescent="0.25">
      <c r="A2249" s="1"/>
      <c r="B2249" s="56">
        <v>20887</v>
      </c>
      <c r="C2249" s="33">
        <v>4606384001518</v>
      </c>
      <c r="D2249" s="566" t="s">
        <v>6157</v>
      </c>
      <c r="E2249" s="71">
        <v>6</v>
      </c>
      <c r="F2249" s="222"/>
      <c r="G2249" s="109">
        <v>189.5</v>
      </c>
      <c r="H2249" s="34">
        <v>199.1</v>
      </c>
      <c r="I2249" s="35">
        <v>219</v>
      </c>
      <c r="J2249" s="121" t="s">
        <v>2963</v>
      </c>
      <c r="K2249" s="57" t="s">
        <v>556</v>
      </c>
      <c r="L2249" s="438" t="s">
        <v>3258</v>
      </c>
      <c r="M2249" s="480"/>
      <c r="N2249" s="1015" t="s">
        <v>1856</v>
      </c>
      <c r="O2249" s="219"/>
      <c r="P2249" s="70" t="s">
        <v>72</v>
      </c>
      <c r="Q2249" s="100">
        <f t="shared" si="1215"/>
        <v>0</v>
      </c>
      <c r="R2249" s="13" t="str">
        <f t="shared" si="1220"/>
        <v>Фото &gt;&gt;</v>
      </c>
      <c r="S2249" s="14" t="s">
        <v>4650</v>
      </c>
      <c r="AK2249">
        <v>0.45</v>
      </c>
      <c r="AL2249">
        <f t="shared" si="1230"/>
        <v>0</v>
      </c>
      <c r="AM2249">
        <f t="shared" si="1231"/>
        <v>0</v>
      </c>
      <c r="AN2249">
        <f t="shared" si="1232"/>
        <v>0</v>
      </c>
      <c r="AO2249" t="s">
        <v>4660</v>
      </c>
      <c r="AV2249" t="str">
        <f>IF(F2249&gt;0,(COUNT($AV$1:AV2248)+1),"")</f>
        <v/>
      </c>
    </row>
    <row r="2250" spans="1:48" ht="15" customHeight="1" x14ac:dyDescent="0.25">
      <c r="A2250" s="1"/>
      <c r="B2250" s="59">
        <v>20886</v>
      </c>
      <c r="C2250" s="23">
        <v>4606384001662</v>
      </c>
      <c r="D2250" s="567" t="s">
        <v>6158</v>
      </c>
      <c r="E2250" s="75">
        <v>6</v>
      </c>
      <c r="F2250" s="223"/>
      <c r="G2250" s="111">
        <v>207</v>
      </c>
      <c r="H2250" s="5">
        <v>217.3</v>
      </c>
      <c r="I2250" s="24">
        <v>239</v>
      </c>
      <c r="J2250" s="120" t="s">
        <v>2963</v>
      </c>
      <c r="K2250" s="46" t="s">
        <v>556</v>
      </c>
      <c r="L2250" s="440" t="s">
        <v>3258</v>
      </c>
      <c r="M2250" s="482"/>
      <c r="N2250" s="1002" t="s">
        <v>1856</v>
      </c>
      <c r="O2250" s="211"/>
      <c r="P2250" s="74" t="s">
        <v>72</v>
      </c>
      <c r="Q2250" s="100">
        <f t="shared" si="1215"/>
        <v>0</v>
      </c>
      <c r="R2250" s="13" t="str">
        <f t="shared" si="1220"/>
        <v>Фото &gt;&gt;</v>
      </c>
      <c r="S2250" s="14" t="s">
        <v>4651</v>
      </c>
      <c r="AK2250">
        <v>0.45</v>
      </c>
      <c r="AL2250">
        <f t="shared" si="1230"/>
        <v>0</v>
      </c>
      <c r="AM2250">
        <f t="shared" si="1231"/>
        <v>0</v>
      </c>
      <c r="AN2250">
        <f t="shared" si="1232"/>
        <v>0</v>
      </c>
      <c r="AO2250" t="s">
        <v>4661</v>
      </c>
      <c r="AV2250" t="str">
        <f>IF(F2250&gt;0,(COUNT($AV$1:AV2249)+1),"")</f>
        <v/>
      </c>
    </row>
    <row r="2251" spans="1:48" ht="15" customHeight="1" x14ac:dyDescent="0.25">
      <c r="A2251" s="1"/>
      <c r="B2251" s="56">
        <v>20884</v>
      </c>
      <c r="C2251" s="33">
        <v>4606384001488</v>
      </c>
      <c r="D2251" s="566" t="s">
        <v>6159</v>
      </c>
      <c r="E2251" s="71">
        <v>6</v>
      </c>
      <c r="F2251" s="222"/>
      <c r="G2251" s="109">
        <v>170</v>
      </c>
      <c r="H2251" s="34">
        <v>178.5</v>
      </c>
      <c r="I2251" s="35">
        <v>196</v>
      </c>
      <c r="J2251" s="121" t="s">
        <v>2963</v>
      </c>
      <c r="K2251" s="57" t="s">
        <v>556</v>
      </c>
      <c r="L2251" s="438" t="s">
        <v>3258</v>
      </c>
      <c r="M2251" s="480"/>
      <c r="N2251" s="1015" t="s">
        <v>1856</v>
      </c>
      <c r="O2251" s="219"/>
      <c r="P2251" s="70" t="s">
        <v>72</v>
      </c>
      <c r="Q2251" s="100">
        <f t="shared" si="1215"/>
        <v>0</v>
      </c>
      <c r="R2251" s="13" t="str">
        <f t="shared" si="1220"/>
        <v>Фото &gt;&gt;</v>
      </c>
      <c r="S2251" s="14" t="s">
        <v>4652</v>
      </c>
      <c r="AK2251">
        <v>0.45</v>
      </c>
      <c r="AL2251">
        <f t="shared" si="1230"/>
        <v>0</v>
      </c>
      <c r="AM2251">
        <f t="shared" si="1231"/>
        <v>0</v>
      </c>
      <c r="AN2251">
        <f t="shared" si="1232"/>
        <v>0</v>
      </c>
      <c r="AO2251" t="s">
        <v>4662</v>
      </c>
      <c r="AV2251" t="str">
        <f>IF(F2251&gt;0,(COUNT($AV$1:AV2250)+1),"")</f>
        <v/>
      </c>
    </row>
    <row r="2252" spans="1:48" ht="15" customHeight="1" x14ac:dyDescent="0.25">
      <c r="A2252" s="1"/>
      <c r="B2252" s="59">
        <v>20885</v>
      </c>
      <c r="C2252" s="23">
        <v>4606384001501</v>
      </c>
      <c r="D2252" s="567" t="s">
        <v>6160</v>
      </c>
      <c r="E2252" s="75">
        <v>6</v>
      </c>
      <c r="F2252" s="223"/>
      <c r="G2252" s="111">
        <v>183.6</v>
      </c>
      <c r="H2252" s="5">
        <v>192.6</v>
      </c>
      <c r="I2252" s="24">
        <v>213</v>
      </c>
      <c r="J2252" s="120" t="s">
        <v>2963</v>
      </c>
      <c r="K2252" s="46" t="s">
        <v>556</v>
      </c>
      <c r="L2252" s="440" t="s">
        <v>3258</v>
      </c>
      <c r="M2252" s="482"/>
      <c r="N2252" s="1002"/>
      <c r="O2252" s="211"/>
      <c r="P2252" s="74" t="s">
        <v>72</v>
      </c>
      <c r="Q2252" s="100">
        <f t="shared" si="1215"/>
        <v>0</v>
      </c>
      <c r="R2252" s="13" t="str">
        <f t="shared" si="1220"/>
        <v>Фото &gt;&gt;</v>
      </c>
      <c r="S2252" s="14" t="s">
        <v>4653</v>
      </c>
      <c r="AK2252">
        <v>0.45</v>
      </c>
      <c r="AL2252">
        <f t="shared" si="1230"/>
        <v>0</v>
      </c>
      <c r="AM2252">
        <f t="shared" si="1231"/>
        <v>0</v>
      </c>
      <c r="AN2252">
        <f t="shared" si="1232"/>
        <v>0</v>
      </c>
      <c r="AO2252" t="s">
        <v>4663</v>
      </c>
      <c r="AV2252" t="str">
        <f>IF(F2252&gt;0,(COUNT($AV$1:AV2251)+1),"")</f>
        <v/>
      </c>
    </row>
    <row r="2253" spans="1:48" ht="15" customHeight="1" x14ac:dyDescent="0.25">
      <c r="A2253" s="1"/>
      <c r="B2253" s="56">
        <v>20889</v>
      </c>
      <c r="C2253" s="33">
        <v>4606384002263</v>
      </c>
      <c r="D2253" s="566" t="s">
        <v>6161</v>
      </c>
      <c r="E2253" s="71">
        <v>6</v>
      </c>
      <c r="F2253" s="222"/>
      <c r="G2253" s="109">
        <v>186</v>
      </c>
      <c r="H2253" s="34">
        <v>195.4</v>
      </c>
      <c r="I2253" s="35">
        <v>215</v>
      </c>
      <c r="J2253" s="121" t="s">
        <v>2963</v>
      </c>
      <c r="K2253" s="57" t="s">
        <v>556</v>
      </c>
      <c r="L2253" s="438" t="s">
        <v>3258</v>
      </c>
      <c r="M2253" s="480"/>
      <c r="N2253" s="1015"/>
      <c r="O2253" s="219"/>
      <c r="P2253" s="70" t="s">
        <v>100</v>
      </c>
      <c r="Q2253" s="100">
        <f t="shared" si="1215"/>
        <v>0</v>
      </c>
      <c r="R2253" s="13" t="str">
        <f t="shared" si="1220"/>
        <v>Фото &gt;&gt;</v>
      </c>
      <c r="S2253" s="14" t="s">
        <v>4654</v>
      </c>
      <c r="AK2253">
        <v>0.45</v>
      </c>
      <c r="AL2253">
        <f t="shared" si="1230"/>
        <v>0</v>
      </c>
      <c r="AM2253">
        <f t="shared" si="1231"/>
        <v>0</v>
      </c>
      <c r="AN2253">
        <f t="shared" si="1232"/>
        <v>0</v>
      </c>
      <c r="AO2253" t="s">
        <v>4664</v>
      </c>
      <c r="AV2253" t="str">
        <f>IF(F2253&gt;0,(COUNT($AV$1:AV2252)+1),"")</f>
        <v/>
      </c>
    </row>
    <row r="2254" spans="1:48" ht="15" customHeight="1" x14ac:dyDescent="0.25">
      <c r="A2254" s="1"/>
      <c r="B2254" s="59">
        <v>20891</v>
      </c>
      <c r="C2254" s="23">
        <v>4606384002249</v>
      </c>
      <c r="D2254" s="567" t="s">
        <v>6162</v>
      </c>
      <c r="E2254" s="75">
        <v>6</v>
      </c>
      <c r="F2254" s="223"/>
      <c r="G2254" s="111">
        <v>167.5</v>
      </c>
      <c r="H2254" s="5">
        <v>176</v>
      </c>
      <c r="I2254" s="24">
        <v>194</v>
      </c>
      <c r="J2254" s="120" t="s">
        <v>2963</v>
      </c>
      <c r="K2254" s="46" t="s">
        <v>556</v>
      </c>
      <c r="L2254" s="440" t="s">
        <v>3258</v>
      </c>
      <c r="M2254" s="482"/>
      <c r="N2254" s="1002"/>
      <c r="O2254" s="211"/>
      <c r="P2254" s="74" t="s">
        <v>100</v>
      </c>
      <c r="Q2254" s="100">
        <f t="shared" si="1215"/>
        <v>0</v>
      </c>
      <c r="R2254" s="13" t="str">
        <f t="shared" si="1220"/>
        <v>Фото &gt;&gt;</v>
      </c>
      <c r="S2254" s="14" t="s">
        <v>4655</v>
      </c>
      <c r="AK2254">
        <v>0.45</v>
      </c>
      <c r="AL2254">
        <f t="shared" si="1230"/>
        <v>0</v>
      </c>
      <c r="AM2254">
        <f t="shared" si="1231"/>
        <v>0</v>
      </c>
      <c r="AN2254">
        <f t="shared" si="1232"/>
        <v>0</v>
      </c>
      <c r="AO2254" t="s">
        <v>4665</v>
      </c>
      <c r="AV2254" t="str">
        <f>IF(F2254&gt;0,(COUNT($AV$1:AV2253)+1),"")</f>
        <v/>
      </c>
    </row>
    <row r="2255" spans="1:48" ht="15" customHeight="1" x14ac:dyDescent="0.25">
      <c r="A2255" s="1"/>
      <c r="B2255" s="56">
        <v>20888</v>
      </c>
      <c r="C2255" s="33">
        <v>4606384001525</v>
      </c>
      <c r="D2255" s="566" t="s">
        <v>6163</v>
      </c>
      <c r="E2255" s="71">
        <v>6</v>
      </c>
      <c r="F2255" s="222"/>
      <c r="G2255" s="109">
        <v>149.80000000000001</v>
      </c>
      <c r="H2255" s="34">
        <v>157.30000000000001</v>
      </c>
      <c r="I2255" s="35">
        <v>174</v>
      </c>
      <c r="J2255" s="121" t="s">
        <v>2963</v>
      </c>
      <c r="K2255" s="57" t="s">
        <v>556</v>
      </c>
      <c r="L2255" s="438" t="s">
        <v>3258</v>
      </c>
      <c r="M2255" s="480"/>
      <c r="N2255" s="1015" t="s">
        <v>1856</v>
      </c>
      <c r="O2255" s="219"/>
      <c r="P2255" s="70" t="s">
        <v>72</v>
      </c>
      <c r="Q2255" s="100">
        <f t="shared" si="1215"/>
        <v>0</v>
      </c>
      <c r="R2255" s="13" t="str">
        <f t="shared" si="1220"/>
        <v>Фото &gt;&gt;</v>
      </c>
      <c r="S2255" s="14" t="s">
        <v>4656</v>
      </c>
      <c r="AK2255">
        <v>0.45</v>
      </c>
      <c r="AL2255">
        <f t="shared" si="1230"/>
        <v>0</v>
      </c>
      <c r="AM2255">
        <f t="shared" si="1231"/>
        <v>0</v>
      </c>
      <c r="AN2255">
        <f t="shared" si="1232"/>
        <v>0</v>
      </c>
      <c r="AO2255" t="s">
        <v>4666</v>
      </c>
      <c r="AV2255" t="str">
        <f>IF(F2255&gt;0,(COUNT($AV$1:AV2254)+1),"")</f>
        <v/>
      </c>
    </row>
    <row r="2256" spans="1:48" ht="15" customHeight="1" x14ac:dyDescent="0.25">
      <c r="A2256" s="1"/>
      <c r="B2256" s="125"/>
      <c r="C2256" s="126"/>
      <c r="D2256" s="127"/>
      <c r="E2256" s="134"/>
      <c r="F2256" s="189"/>
      <c r="G2256" s="130"/>
      <c r="H2256" s="131"/>
      <c r="I2256" s="132"/>
      <c r="J2256" s="128"/>
      <c r="K2256" s="129"/>
      <c r="L2256" s="433"/>
      <c r="M2256" s="481"/>
      <c r="N2256" s="471"/>
      <c r="O2256" s="181"/>
      <c r="P2256" s="133"/>
      <c r="Q2256" s="135"/>
      <c r="R2256" s="13"/>
      <c r="S2256" s="14"/>
      <c r="AV2256" t="str">
        <f>IF(F2256&gt;0,(COUNT($AV$1:AV2255)+1),"")</f>
        <v/>
      </c>
    </row>
    <row r="2257" spans="1:48" ht="15" customHeight="1" thickBot="1" x14ac:dyDescent="0.3">
      <c r="A2257" s="1"/>
      <c r="B2257" s="158"/>
      <c r="C2257" s="159"/>
      <c r="D2257" s="160"/>
      <c r="E2257" s="167"/>
      <c r="F2257" s="191"/>
      <c r="G2257" s="163"/>
      <c r="H2257" s="164"/>
      <c r="I2257" s="165"/>
      <c r="J2257" s="161"/>
      <c r="K2257" s="162"/>
      <c r="L2257" s="439"/>
      <c r="M2257" s="475"/>
      <c r="N2257" s="467"/>
      <c r="O2257" s="183"/>
      <c r="P2257" s="166"/>
      <c r="Q2257" s="168"/>
      <c r="R2257" s="13"/>
      <c r="S2257" s="14"/>
      <c r="AV2257" t="str">
        <f>IF(F2257&gt;0,(COUNT($AV$1:AV2256)+1),"")</f>
        <v/>
      </c>
    </row>
    <row r="2258" spans="1:48" ht="24.95" customHeight="1" thickBot="1" x14ac:dyDescent="0.3">
      <c r="A2258" s="1"/>
      <c r="B2258" s="266"/>
      <c r="C2258" s="267"/>
      <c r="D2258" s="268" t="str">
        <f>CONCATENATE("Нутсы (Шеллдон)","     |     Сумма заказа: ",AK2258," руб.")</f>
        <v>Нутсы (Шеллдон)     |     Сумма заказа: 0 руб.</v>
      </c>
      <c r="E2258" s="269"/>
      <c r="F2258" s="270"/>
      <c r="G2258" s="271" t="str">
        <f>CONCATENATE("Ценовая колонка: ",AO2258,"   |   До следующей скидки: ",AJ2258," руб.")</f>
        <v>Ценовая колонка: 3   |   До следующей скидки: 5000 руб.</v>
      </c>
      <c r="H2258" s="272"/>
      <c r="I2258" s="272"/>
      <c r="J2258" s="273" t="s">
        <v>5532</v>
      </c>
      <c r="K2258" s="274"/>
      <c r="L2258" s="451"/>
      <c r="M2258" s="495" t="s">
        <v>104</v>
      </c>
      <c r="N2258" s="571"/>
      <c r="O2258" s="275"/>
      <c r="P2258" s="276"/>
      <c r="Q2258" s="277"/>
      <c r="R2258" s="265" t="s">
        <v>1558</v>
      </c>
      <c r="S2258" s="6"/>
      <c r="AJ2258">
        <f>ROUND(IF(AL2258&gt;15000,"0", IF(AND(AL2258&lt;15000,AM2258&gt;5000),15000-AL2258,5000-AM2258)),2)</f>
        <v>5000</v>
      </c>
      <c r="AK2258">
        <f>SUM(Q2260:Q2267)</f>
        <v>0</v>
      </c>
      <c r="AL2258">
        <f>SUM(AL2260:AL2267)</f>
        <v>0</v>
      </c>
      <c r="AM2258">
        <f>SUM(AM2260:AM2267)</f>
        <v>0</v>
      </c>
      <c r="AO2258">
        <f>IF(AM2258&gt;5000,IF(AL2258&gt;15000,1,2),3)</f>
        <v>3</v>
      </c>
      <c r="AV2258" t="str">
        <f>IF(F2258&gt;0,(COUNT($AV$1:AV2257)+1),"")</f>
        <v/>
      </c>
    </row>
    <row r="2259" spans="1:48" ht="27.95" customHeight="1" x14ac:dyDescent="0.25">
      <c r="A2259" s="1"/>
      <c r="B2259" s="297"/>
      <c r="C2259" s="283"/>
      <c r="D2259" s="284" t="s">
        <v>1784</v>
      </c>
      <c r="E2259" s="285"/>
      <c r="F2259" s="286"/>
      <c r="G2259" s="1231" t="s">
        <v>7588</v>
      </c>
      <c r="H2259" s="288" t="s">
        <v>16</v>
      </c>
      <c r="I2259" s="288" t="s">
        <v>221</v>
      </c>
      <c r="J2259" s="289"/>
      <c r="K2259" s="290"/>
      <c r="L2259" s="452"/>
      <c r="M2259" s="496" t="s">
        <v>104</v>
      </c>
      <c r="N2259" s="572"/>
      <c r="O2259" s="291"/>
      <c r="P2259" s="292"/>
      <c r="Q2259" s="293"/>
      <c r="R2259" s="2"/>
      <c r="S2259" s="6"/>
      <c r="AV2259" t="str">
        <f>IF(F2259&gt;0,(COUNT($AV$1:AV2258)+1),"")</f>
        <v/>
      </c>
    </row>
    <row r="2260" spans="1:48" ht="15" customHeight="1" x14ac:dyDescent="0.25">
      <c r="A2260" s="1"/>
      <c r="B2260" s="19">
        <v>21126</v>
      </c>
      <c r="C2260" s="20">
        <v>4670030011039</v>
      </c>
      <c r="D2260" s="225" t="s">
        <v>7007</v>
      </c>
      <c r="E2260" s="67">
        <v>17</v>
      </c>
      <c r="F2260" s="222"/>
      <c r="G2260" s="107">
        <v>85</v>
      </c>
      <c r="H2260" s="21">
        <v>89.3</v>
      </c>
      <c r="I2260" s="22">
        <v>98</v>
      </c>
      <c r="J2260" s="112" t="s">
        <v>5532</v>
      </c>
      <c r="K2260" s="45" t="s">
        <v>478</v>
      </c>
      <c r="L2260" s="437"/>
      <c r="M2260" s="474" t="s">
        <v>1856</v>
      </c>
      <c r="N2260" s="1013" t="s">
        <v>1856</v>
      </c>
      <c r="O2260" s="209"/>
      <c r="P2260" s="66" t="s">
        <v>418</v>
      </c>
      <c r="Q2260" s="100">
        <f t="shared" ref="Q2260:Q2267" si="1233">IF(AND($AO$2258=1,MOD(F2260,E2260)=0),F2260*G2260,IF($AO$2258&lt;=2,F2260*H2260,F2260*I2260))</f>
        <v>0</v>
      </c>
      <c r="R2260" s="13" t="str">
        <f t="shared" ref="R2260:R2267" si="1234">IF(AO2260&gt;0,HYPERLINK(AO2260,"Фото &gt;&gt;"),"")</f>
        <v>Фото &gt;&gt;</v>
      </c>
      <c r="S2260" s="14" t="s">
        <v>6049</v>
      </c>
      <c r="T2260" s="221"/>
      <c r="AK2260">
        <v>0.06</v>
      </c>
      <c r="AL2260">
        <f t="shared" ref="AL2260:AL2263" si="1235">F2260*G2260</f>
        <v>0</v>
      </c>
      <c r="AM2260">
        <f t="shared" ref="AM2260:AM2263" si="1236">F2260*H2260</f>
        <v>0</v>
      </c>
      <c r="AN2260">
        <f t="shared" ref="AN2260:AN2263" si="1237">AK2260*F2260+IF(E2260&gt;1.01,F2260/E2260*0.2,0)</f>
        <v>0</v>
      </c>
      <c r="AO2260" t="s">
        <v>6051</v>
      </c>
      <c r="AV2260" t="str">
        <f>IF(F2260&gt;0,(COUNT($AV$1:AV2259)+1),"")</f>
        <v/>
      </c>
    </row>
    <row r="2261" spans="1:48" ht="15" customHeight="1" x14ac:dyDescent="0.25">
      <c r="A2261" s="1"/>
      <c r="B2261" s="15">
        <v>21124</v>
      </c>
      <c r="C2261" s="16">
        <v>4670030011022</v>
      </c>
      <c r="D2261" s="226" t="s">
        <v>7008</v>
      </c>
      <c r="E2261" s="69">
        <v>17</v>
      </c>
      <c r="F2261" s="222"/>
      <c r="G2261" s="108">
        <v>85</v>
      </c>
      <c r="H2261" s="17">
        <v>89.3</v>
      </c>
      <c r="I2261" s="18">
        <v>98</v>
      </c>
      <c r="J2261" s="113" t="s">
        <v>5532</v>
      </c>
      <c r="K2261" s="44" t="s">
        <v>478</v>
      </c>
      <c r="L2261" s="442"/>
      <c r="M2261" s="480" t="s">
        <v>1856</v>
      </c>
      <c r="N2261" s="1015"/>
      <c r="O2261" s="210"/>
      <c r="P2261" s="68" t="s">
        <v>418</v>
      </c>
      <c r="Q2261" s="100">
        <f t="shared" si="1233"/>
        <v>0</v>
      </c>
      <c r="R2261" s="13" t="str">
        <f t="shared" si="1234"/>
        <v>Фото &gt;&gt;</v>
      </c>
      <c r="S2261" s="14" t="s">
        <v>6048</v>
      </c>
      <c r="AK2261">
        <v>0.06</v>
      </c>
      <c r="AL2261">
        <f t="shared" ref="AL2261:AL2262" si="1238">F2261*G2261</f>
        <v>0</v>
      </c>
      <c r="AM2261">
        <f t="shared" ref="AM2261:AM2262" si="1239">F2261*H2261</f>
        <v>0</v>
      </c>
      <c r="AN2261">
        <f t="shared" ref="AN2261:AN2262" si="1240">AK2261*F2261+IF(E2261&gt;1.01,F2261/E2261*0.2,0)</f>
        <v>0</v>
      </c>
      <c r="AO2261" t="s">
        <v>6052</v>
      </c>
      <c r="AV2261" t="str">
        <f>IF(F2261&gt;0,(COUNT($AV$1:AV2260)+1),"")</f>
        <v/>
      </c>
    </row>
    <row r="2262" spans="1:48" ht="15" customHeight="1" x14ac:dyDescent="0.25">
      <c r="A2262" s="1"/>
      <c r="B2262" s="19">
        <v>21125</v>
      </c>
      <c r="C2262" s="20">
        <v>4670030011046</v>
      </c>
      <c r="D2262" s="225" t="s">
        <v>7009</v>
      </c>
      <c r="E2262" s="67">
        <v>17</v>
      </c>
      <c r="F2262" s="222"/>
      <c r="G2262" s="107">
        <v>85</v>
      </c>
      <c r="H2262" s="21">
        <v>89.3</v>
      </c>
      <c r="I2262" s="22">
        <v>98</v>
      </c>
      <c r="J2262" s="112" t="s">
        <v>5532</v>
      </c>
      <c r="K2262" s="45" t="s">
        <v>478</v>
      </c>
      <c r="L2262" s="437"/>
      <c r="M2262" s="474" t="s">
        <v>1856</v>
      </c>
      <c r="N2262" s="1013" t="s">
        <v>1856</v>
      </c>
      <c r="O2262" s="209"/>
      <c r="P2262" s="66" t="s">
        <v>418</v>
      </c>
      <c r="Q2262" s="100">
        <f t="shared" si="1233"/>
        <v>0</v>
      </c>
      <c r="R2262" s="13" t="str">
        <f t="shared" si="1234"/>
        <v>Фото &gt;&gt;</v>
      </c>
      <c r="S2262" s="14" t="s">
        <v>6050</v>
      </c>
      <c r="T2262" s="221"/>
      <c r="AK2262">
        <v>0.06</v>
      </c>
      <c r="AL2262">
        <f t="shared" si="1238"/>
        <v>0</v>
      </c>
      <c r="AM2262">
        <f t="shared" si="1239"/>
        <v>0</v>
      </c>
      <c r="AN2262">
        <f t="shared" si="1240"/>
        <v>0</v>
      </c>
      <c r="AO2262" t="s">
        <v>6053</v>
      </c>
      <c r="AV2262" t="str">
        <f>IF(F2262&gt;0,(COUNT($AV$1:AV2261)+1),"")</f>
        <v/>
      </c>
    </row>
    <row r="2263" spans="1:48" ht="15" customHeight="1" x14ac:dyDescent="0.25">
      <c r="A2263" s="1"/>
      <c r="B2263" s="15">
        <v>19890</v>
      </c>
      <c r="C2263" s="16">
        <v>4670030010810</v>
      </c>
      <c r="D2263" s="226" t="s">
        <v>2413</v>
      </c>
      <c r="E2263" s="69">
        <v>17</v>
      </c>
      <c r="F2263" s="222"/>
      <c r="G2263" s="108">
        <v>74</v>
      </c>
      <c r="H2263" s="17">
        <v>77.8</v>
      </c>
      <c r="I2263" s="18">
        <v>85.6</v>
      </c>
      <c r="J2263" s="113" t="s">
        <v>5532</v>
      </c>
      <c r="K2263" s="44" t="s">
        <v>478</v>
      </c>
      <c r="L2263" s="442"/>
      <c r="M2263" s="480" t="s">
        <v>1856</v>
      </c>
      <c r="N2263" s="1015"/>
      <c r="O2263" s="210"/>
      <c r="P2263" s="68" t="s">
        <v>418</v>
      </c>
      <c r="Q2263" s="100">
        <f t="shared" si="1233"/>
        <v>0</v>
      </c>
      <c r="R2263" s="13" t="str">
        <f t="shared" si="1234"/>
        <v>Фото &gt;&gt;</v>
      </c>
      <c r="S2263" s="14" t="s">
        <v>3630</v>
      </c>
      <c r="AK2263">
        <v>0.05</v>
      </c>
      <c r="AL2263">
        <f t="shared" si="1235"/>
        <v>0</v>
      </c>
      <c r="AM2263">
        <f t="shared" si="1236"/>
        <v>0</v>
      </c>
      <c r="AN2263">
        <f t="shared" si="1237"/>
        <v>0</v>
      </c>
      <c r="AO2263" t="s">
        <v>5612</v>
      </c>
      <c r="AV2263" t="str">
        <f>IF(F2263&gt;0,(COUNT($AV$1:AV2262)+1),"")</f>
        <v/>
      </c>
    </row>
    <row r="2264" spans="1:48" ht="15" customHeight="1" x14ac:dyDescent="0.25">
      <c r="A2264" s="1"/>
      <c r="B2264" s="19">
        <v>19152</v>
      </c>
      <c r="C2264" s="20">
        <v>4670030010360</v>
      </c>
      <c r="D2264" s="225" t="s">
        <v>4707</v>
      </c>
      <c r="E2264" s="67">
        <v>17</v>
      </c>
      <c r="F2264" s="222"/>
      <c r="G2264" s="107">
        <v>74</v>
      </c>
      <c r="H2264" s="21">
        <v>77.8</v>
      </c>
      <c r="I2264" s="22">
        <v>85.6</v>
      </c>
      <c r="J2264" s="112" t="s">
        <v>5532</v>
      </c>
      <c r="K2264" s="45" t="s">
        <v>478</v>
      </c>
      <c r="L2264" s="437"/>
      <c r="M2264" s="474" t="s">
        <v>1856</v>
      </c>
      <c r="N2264" s="1013" t="s">
        <v>1856</v>
      </c>
      <c r="O2264" s="209"/>
      <c r="P2264" s="66" t="s">
        <v>418</v>
      </c>
      <c r="Q2264" s="100">
        <f t="shared" si="1233"/>
        <v>0</v>
      </c>
      <c r="R2264" s="13" t="str">
        <f t="shared" si="1234"/>
        <v>Фото &gt;&gt;</v>
      </c>
      <c r="S2264" s="14" t="s">
        <v>1785</v>
      </c>
      <c r="T2264" s="221"/>
      <c r="AK2264">
        <v>0.06</v>
      </c>
      <c r="AL2264">
        <f t="shared" ref="AL2264:AL2267" si="1241">F2264*G2264</f>
        <v>0</v>
      </c>
      <c r="AM2264">
        <f t="shared" ref="AM2264:AM2267" si="1242">F2264*H2264</f>
        <v>0</v>
      </c>
      <c r="AN2264">
        <f t="shared" ref="AN2264:AN2267" si="1243">AK2264*F2264+IF(E2264&gt;1.01,F2264/E2264*0.2,0)</f>
        <v>0</v>
      </c>
      <c r="AO2264" t="s">
        <v>5608</v>
      </c>
      <c r="AV2264" t="str">
        <f>IF(F2264&gt;0,(COUNT($AV$1:AV2263)+1),"")</f>
        <v/>
      </c>
    </row>
    <row r="2265" spans="1:48" ht="15" customHeight="1" x14ac:dyDescent="0.25">
      <c r="A2265" s="1"/>
      <c r="B2265" s="15">
        <v>19151</v>
      </c>
      <c r="C2265" s="16">
        <v>4670030010438</v>
      </c>
      <c r="D2265" s="226" t="s">
        <v>4706</v>
      </c>
      <c r="E2265" s="69">
        <v>17</v>
      </c>
      <c r="F2265" s="222"/>
      <c r="G2265" s="108">
        <v>74</v>
      </c>
      <c r="H2265" s="17">
        <v>77.8</v>
      </c>
      <c r="I2265" s="18">
        <v>85.6</v>
      </c>
      <c r="J2265" s="113" t="s">
        <v>5532</v>
      </c>
      <c r="K2265" s="44" t="s">
        <v>478</v>
      </c>
      <c r="L2265" s="442"/>
      <c r="M2265" s="480" t="s">
        <v>1856</v>
      </c>
      <c r="N2265" s="1015"/>
      <c r="O2265" s="210"/>
      <c r="P2265" s="68" t="s">
        <v>418</v>
      </c>
      <c r="Q2265" s="100">
        <f t="shared" si="1233"/>
        <v>0</v>
      </c>
      <c r="R2265" s="13" t="str">
        <f t="shared" si="1234"/>
        <v>Фото &gt;&gt;</v>
      </c>
      <c r="S2265" s="14" t="s">
        <v>1787</v>
      </c>
      <c r="AK2265">
        <v>0.06</v>
      </c>
      <c r="AL2265">
        <f t="shared" ref="AL2265" si="1244">F2265*G2265</f>
        <v>0</v>
      </c>
      <c r="AM2265">
        <f t="shared" ref="AM2265" si="1245">F2265*H2265</f>
        <v>0</v>
      </c>
      <c r="AN2265">
        <f t="shared" ref="AN2265" si="1246">AK2265*F2265+IF(E2265&gt;1.01,F2265/E2265*0.2,0)</f>
        <v>0</v>
      </c>
      <c r="AO2265" t="s">
        <v>5609</v>
      </c>
      <c r="AV2265" t="str">
        <f>IF(F2265&gt;0,(COUNT($AV$1:AV2264)+1),"")</f>
        <v/>
      </c>
    </row>
    <row r="2266" spans="1:48" ht="15" customHeight="1" x14ac:dyDescent="0.25">
      <c r="A2266" s="1"/>
      <c r="B2266" s="19">
        <v>19155</v>
      </c>
      <c r="C2266" s="20">
        <v>4670030010568</v>
      </c>
      <c r="D2266" s="225" t="s">
        <v>2018</v>
      </c>
      <c r="E2266" s="67">
        <v>17</v>
      </c>
      <c r="F2266" s="222"/>
      <c r="G2266" s="107">
        <v>74</v>
      </c>
      <c r="H2266" s="21">
        <v>77.8</v>
      </c>
      <c r="I2266" s="22">
        <v>85.6</v>
      </c>
      <c r="J2266" s="112" t="s">
        <v>5532</v>
      </c>
      <c r="K2266" s="45" t="s">
        <v>478</v>
      </c>
      <c r="L2266" s="437"/>
      <c r="M2266" s="474" t="s">
        <v>1856</v>
      </c>
      <c r="N2266" s="1013"/>
      <c r="O2266" s="209"/>
      <c r="P2266" s="66" t="s">
        <v>418</v>
      </c>
      <c r="Q2266" s="100">
        <f t="shared" si="1233"/>
        <v>0</v>
      </c>
      <c r="R2266" s="13" t="str">
        <f t="shared" si="1234"/>
        <v>Фото &gt;&gt;</v>
      </c>
      <c r="S2266" s="14" t="s">
        <v>1786</v>
      </c>
      <c r="T2266" s="221"/>
      <c r="AK2266">
        <v>0.06</v>
      </c>
      <c r="AL2266">
        <f t="shared" si="1241"/>
        <v>0</v>
      </c>
      <c r="AM2266">
        <f t="shared" si="1242"/>
        <v>0</v>
      </c>
      <c r="AN2266">
        <f t="shared" si="1243"/>
        <v>0</v>
      </c>
      <c r="AO2266" t="s">
        <v>5611</v>
      </c>
      <c r="AV2266" t="str">
        <f>IF(F2266&gt;0,(COUNT($AV$1:AV2265)+1),"")</f>
        <v/>
      </c>
    </row>
    <row r="2267" spans="1:48" ht="15" customHeight="1" x14ac:dyDescent="0.25">
      <c r="A2267" s="1"/>
      <c r="B2267" s="15">
        <v>19154</v>
      </c>
      <c r="C2267" s="16">
        <v>4670030010520</v>
      </c>
      <c r="D2267" s="226" t="s">
        <v>2019</v>
      </c>
      <c r="E2267" s="69">
        <v>17</v>
      </c>
      <c r="F2267" s="222"/>
      <c r="G2267" s="108">
        <v>74</v>
      </c>
      <c r="H2267" s="17">
        <v>77.8</v>
      </c>
      <c r="I2267" s="18">
        <v>85.6</v>
      </c>
      <c r="J2267" s="113" t="s">
        <v>5532</v>
      </c>
      <c r="K2267" s="44" t="s">
        <v>478</v>
      </c>
      <c r="L2267" s="442"/>
      <c r="M2267" s="480" t="s">
        <v>1856</v>
      </c>
      <c r="N2267" s="1015" t="s">
        <v>1856</v>
      </c>
      <c r="O2267" s="210"/>
      <c r="P2267" s="68" t="s">
        <v>418</v>
      </c>
      <c r="Q2267" s="100">
        <f t="shared" si="1233"/>
        <v>0</v>
      </c>
      <c r="R2267" s="13" t="str">
        <f t="shared" si="1234"/>
        <v>Фото &gt;&gt;</v>
      </c>
      <c r="S2267" s="14" t="s">
        <v>1788</v>
      </c>
      <c r="AK2267">
        <v>0.06</v>
      </c>
      <c r="AL2267">
        <f t="shared" si="1241"/>
        <v>0</v>
      </c>
      <c r="AM2267">
        <f t="shared" si="1242"/>
        <v>0</v>
      </c>
      <c r="AN2267">
        <f t="shared" si="1243"/>
        <v>0</v>
      </c>
      <c r="AO2267" t="s">
        <v>5610</v>
      </c>
      <c r="AV2267" t="str">
        <f>IF(F2267&gt;0,(COUNT($AV$1:AV2266)+1),"")</f>
        <v/>
      </c>
    </row>
    <row r="2268" spans="1:48" ht="15" customHeight="1" x14ac:dyDescent="0.25">
      <c r="A2268" s="1"/>
      <c r="B2268" s="125"/>
      <c r="C2268" s="126"/>
      <c r="D2268" s="127"/>
      <c r="E2268" s="134"/>
      <c r="F2268" s="189"/>
      <c r="G2268" s="130"/>
      <c r="H2268" s="131"/>
      <c r="I2268" s="132"/>
      <c r="J2268" s="128"/>
      <c r="K2268" s="129"/>
      <c r="L2268" s="433"/>
      <c r="M2268" s="481" t="s">
        <v>104</v>
      </c>
      <c r="N2268" s="471"/>
      <c r="O2268" s="181"/>
      <c r="P2268" s="133"/>
      <c r="Q2268" s="135"/>
      <c r="R2268" s="13"/>
      <c r="S2268" s="14"/>
      <c r="AV2268" t="str">
        <f>IF(F2268&gt;0,(COUNT($AV$1:AV2267)+1),"")</f>
        <v/>
      </c>
    </row>
    <row r="2269" spans="1:48" ht="15" customHeight="1" thickBot="1" x14ac:dyDescent="0.3">
      <c r="A2269" s="1"/>
      <c r="B2269" s="158"/>
      <c r="C2269" s="159"/>
      <c r="D2269" s="160"/>
      <c r="E2269" s="167"/>
      <c r="F2269" s="191"/>
      <c r="G2269" s="163"/>
      <c r="H2269" s="164"/>
      <c r="I2269" s="165"/>
      <c r="J2269" s="161"/>
      <c r="K2269" s="162"/>
      <c r="L2269" s="439"/>
      <c r="M2269" s="475" t="s">
        <v>104</v>
      </c>
      <c r="N2269" s="467"/>
      <c r="O2269" s="183"/>
      <c r="P2269" s="166"/>
      <c r="Q2269" s="168"/>
      <c r="R2269" s="13"/>
      <c r="S2269" s="14"/>
      <c r="AV2269" t="str">
        <f>IF(F2269&gt;0,(COUNT($AV$1:AV2268)+1),"")</f>
        <v/>
      </c>
    </row>
    <row r="2270" spans="1:48" ht="24.95" customHeight="1" thickBot="1" x14ac:dyDescent="0.3">
      <c r="A2270" s="1"/>
      <c r="B2270" s="266"/>
      <c r="C2270" s="267"/>
      <c r="D2270" s="268" t="str">
        <f>CONCATENATE("Нат Виноград","     |     Сумма заказа: ",AK2270," руб.")</f>
        <v>Нат Виноград     |     Сумма заказа: 0 руб.</v>
      </c>
      <c r="E2270" s="269"/>
      <c r="F2270" s="270"/>
      <c r="G2270" s="271" t="str">
        <f>CONCATENATE("Ценовая колонка: ",AO2270,"   |   До следующей скидки: ",AJ2270," руб.")</f>
        <v>Ценовая колонка: 3   |   До следующей скидки: 5000 руб.</v>
      </c>
      <c r="H2270" s="272"/>
      <c r="I2270" s="272"/>
      <c r="J2270" s="273" t="s">
        <v>1792</v>
      </c>
      <c r="K2270" s="274"/>
      <c r="L2270" s="451"/>
      <c r="M2270" s="495" t="s">
        <v>104</v>
      </c>
      <c r="N2270" s="571"/>
      <c r="O2270" s="275"/>
      <c r="P2270" s="276"/>
      <c r="Q2270" s="277"/>
      <c r="R2270" s="265" t="s">
        <v>1558</v>
      </c>
      <c r="S2270" s="6"/>
      <c r="AJ2270">
        <f>ROUND(IF(AL2270&gt;15000,"0", IF(AND(AL2270&lt;15000,AM2270&gt;5000),15000-AL2270,5000-AM2270)),2)</f>
        <v>5000</v>
      </c>
      <c r="AK2270">
        <f>SUM(Q2272:Q2287)</f>
        <v>0</v>
      </c>
      <c r="AL2270">
        <f>SUM(AL2271:AL2287)</f>
        <v>0</v>
      </c>
      <c r="AM2270">
        <f>SUM(AM2271:AM2287)</f>
        <v>0</v>
      </c>
      <c r="AO2270">
        <f>IF(AM2270&gt;5000,IF(AL2270&gt;15000,1,2),3)</f>
        <v>3</v>
      </c>
      <c r="AV2270" t="str">
        <f>IF(F2270&gt;0,(COUNT($AV$1:AV2269)+1),"")</f>
        <v/>
      </c>
    </row>
    <row r="2271" spans="1:48" ht="15" customHeight="1" x14ac:dyDescent="0.25">
      <c r="A2271" s="1"/>
      <c r="B2271" s="776"/>
      <c r="C2271" s="777"/>
      <c r="D2271" s="39" t="s">
        <v>1740</v>
      </c>
      <c r="E2271" s="82"/>
      <c r="F2271" s="97"/>
      <c r="G2271" s="40" t="s">
        <v>170</v>
      </c>
      <c r="H2271" s="41" t="s">
        <v>16</v>
      </c>
      <c r="I2271" s="41" t="s">
        <v>221</v>
      </c>
      <c r="J2271" s="52"/>
      <c r="K2271" s="48"/>
      <c r="L2271" s="448"/>
      <c r="M2271" s="491" t="s">
        <v>104</v>
      </c>
      <c r="N2271" s="715"/>
      <c r="O2271" s="187"/>
      <c r="P2271" s="81"/>
      <c r="Q2271" s="102"/>
      <c r="R2271" s="2"/>
      <c r="S2271" s="14"/>
      <c r="AV2271" t="str">
        <f>IF(F2271&gt;0,(COUNT($AV$1:AV2270)+1),"")</f>
        <v/>
      </c>
    </row>
    <row r="2272" spans="1:48" ht="15" customHeight="1" x14ac:dyDescent="0.25">
      <c r="A2272" s="1"/>
      <c r="B2272" s="19">
        <v>19039</v>
      </c>
      <c r="C2272" s="20">
        <v>4600502147058</v>
      </c>
      <c r="D2272" s="225" t="s">
        <v>1730</v>
      </c>
      <c r="E2272" s="67">
        <v>12</v>
      </c>
      <c r="F2272" s="222"/>
      <c r="G2272" s="107">
        <v>68.7</v>
      </c>
      <c r="H2272" s="21">
        <v>71.599999999999994</v>
      </c>
      <c r="I2272" s="22">
        <v>77.8</v>
      </c>
      <c r="J2272" s="112" t="s">
        <v>1792</v>
      </c>
      <c r="K2272" s="45" t="s">
        <v>428</v>
      </c>
      <c r="L2272" s="437"/>
      <c r="M2272" s="474" t="s">
        <v>1856</v>
      </c>
      <c r="N2272" s="1013" t="s">
        <v>1856</v>
      </c>
      <c r="O2272" s="212"/>
      <c r="P2272" s="66" t="s">
        <v>53</v>
      </c>
      <c r="Q2272" s="100">
        <f t="shared" ref="Q2272:Q2287" si="1247">IF($AO$2270=2,F2272*H2272,IF($AO$2270=1,F2272*G2272,F2272*I2272))</f>
        <v>0</v>
      </c>
      <c r="R2272" s="13" t="str">
        <f t="shared" ref="R2272:R2287" si="1248">IF(AO2272&gt;0,HYPERLINK(AO2272,"Фото &gt;&gt;"),"")</f>
        <v>Фото &gt;&gt;</v>
      </c>
      <c r="S2272" s="14" t="s">
        <v>1737</v>
      </c>
      <c r="AK2272">
        <v>0.06</v>
      </c>
      <c r="AL2272">
        <f t="shared" ref="AL2272:AL2287" si="1249">F2272*G2272</f>
        <v>0</v>
      </c>
      <c r="AM2272">
        <f t="shared" ref="AM2272:AM2287" si="1250">F2272*H2272</f>
        <v>0</v>
      </c>
      <c r="AN2272">
        <f t="shared" ref="AN2272:AN2287" si="1251">AK2272*F2272+IF(E2272&gt;1.01,F2272/E2272*0.2,0)</f>
        <v>0</v>
      </c>
      <c r="AO2272" t="s">
        <v>5513</v>
      </c>
      <c r="AV2272" t="str">
        <f>IF(F2272&gt;0,(COUNT($AV$1:AV2271)+1),"")</f>
        <v/>
      </c>
    </row>
    <row r="2273" spans="1:48" ht="15" customHeight="1" x14ac:dyDescent="0.25">
      <c r="A2273" s="1"/>
      <c r="B2273" s="15">
        <v>19040</v>
      </c>
      <c r="C2273" s="16">
        <v>4600502147065</v>
      </c>
      <c r="D2273" s="226" t="s">
        <v>2369</v>
      </c>
      <c r="E2273" s="69">
        <v>12</v>
      </c>
      <c r="F2273" s="222"/>
      <c r="G2273" s="108">
        <v>77.599999999999994</v>
      </c>
      <c r="H2273" s="17">
        <v>80.8</v>
      </c>
      <c r="I2273" s="18">
        <v>87</v>
      </c>
      <c r="J2273" s="113" t="s">
        <v>1792</v>
      </c>
      <c r="K2273" s="44" t="s">
        <v>428</v>
      </c>
      <c r="L2273" s="442"/>
      <c r="M2273" s="480" t="s">
        <v>1856</v>
      </c>
      <c r="N2273" s="1015" t="s">
        <v>1856</v>
      </c>
      <c r="O2273" s="210"/>
      <c r="P2273" s="68" t="s">
        <v>53</v>
      </c>
      <c r="Q2273" s="100">
        <f t="shared" si="1247"/>
        <v>0</v>
      </c>
      <c r="R2273" s="13" t="str">
        <f t="shared" si="1248"/>
        <v>Фото &gt;&gt;</v>
      </c>
      <c r="S2273" s="14" t="s">
        <v>1736</v>
      </c>
      <c r="T2273" s="221"/>
      <c r="AK2273">
        <v>0.06</v>
      </c>
      <c r="AL2273">
        <f t="shared" si="1249"/>
        <v>0</v>
      </c>
      <c r="AM2273">
        <f t="shared" si="1250"/>
        <v>0</v>
      </c>
      <c r="AN2273">
        <f t="shared" si="1251"/>
        <v>0</v>
      </c>
      <c r="AO2273" t="s">
        <v>5514</v>
      </c>
      <c r="AV2273" t="str">
        <f>IF(F2273&gt;0,(COUNT($AV$1:AV2272)+1),"")</f>
        <v/>
      </c>
    </row>
    <row r="2274" spans="1:48" ht="15" customHeight="1" x14ac:dyDescent="0.25">
      <c r="A2274" s="1"/>
      <c r="B2274" s="59">
        <v>19038</v>
      </c>
      <c r="C2274" s="23">
        <v>4600502147041</v>
      </c>
      <c r="D2274" s="237" t="s">
        <v>2370</v>
      </c>
      <c r="E2274" s="75">
        <v>12</v>
      </c>
      <c r="F2274" s="223"/>
      <c r="G2274" s="111">
        <v>62.2</v>
      </c>
      <c r="H2274" s="5">
        <v>64.7</v>
      </c>
      <c r="I2274" s="24">
        <v>69.8</v>
      </c>
      <c r="J2274" s="115" t="s">
        <v>1792</v>
      </c>
      <c r="K2274" s="46" t="s">
        <v>428</v>
      </c>
      <c r="L2274" s="440"/>
      <c r="M2274" s="482" t="s">
        <v>1856</v>
      </c>
      <c r="N2274" s="1002" t="s">
        <v>1856</v>
      </c>
      <c r="O2274" s="214"/>
      <c r="P2274" s="74" t="s">
        <v>53</v>
      </c>
      <c r="Q2274" s="100">
        <f t="shared" si="1247"/>
        <v>0</v>
      </c>
      <c r="R2274" s="13" t="str">
        <f t="shared" si="1248"/>
        <v>Фото &gt;&gt;</v>
      </c>
      <c r="S2274" s="14" t="s">
        <v>1735</v>
      </c>
      <c r="AK2274">
        <v>0.06</v>
      </c>
      <c r="AL2274">
        <f t="shared" si="1249"/>
        <v>0</v>
      </c>
      <c r="AM2274">
        <f t="shared" si="1250"/>
        <v>0</v>
      </c>
      <c r="AN2274">
        <f t="shared" si="1251"/>
        <v>0</v>
      </c>
      <c r="AO2274" t="s">
        <v>5515</v>
      </c>
      <c r="AV2274" t="str">
        <f>IF(F2274&gt;0,(COUNT($AV$1:AV2273)+1),"")</f>
        <v/>
      </c>
    </row>
    <row r="2275" spans="1:48" ht="15" customHeight="1" x14ac:dyDescent="0.25">
      <c r="A2275" s="1"/>
      <c r="B2275" s="807">
        <v>21212</v>
      </c>
      <c r="C2275" s="796">
        <v>4607942730710</v>
      </c>
      <c r="D2275" s="797" t="s">
        <v>7294</v>
      </c>
      <c r="E2275" s="809">
        <v>20</v>
      </c>
      <c r="F2275" s="789"/>
      <c r="G2275" s="810">
        <v>16.5</v>
      </c>
      <c r="H2275" s="799">
        <v>18</v>
      </c>
      <c r="I2275" s="800">
        <v>21</v>
      </c>
      <c r="J2275" s="801" t="s">
        <v>1792</v>
      </c>
      <c r="K2275" s="802" t="s">
        <v>428</v>
      </c>
      <c r="L2275" s="803"/>
      <c r="M2275" s="804" t="s">
        <v>1856</v>
      </c>
      <c r="N2275" s="1006" t="s">
        <v>1856</v>
      </c>
      <c r="O2275" s="887" t="s">
        <v>2271</v>
      </c>
      <c r="P2275" s="806" t="s">
        <v>72</v>
      </c>
      <c r="Q2275" s="100">
        <f t="shared" si="1247"/>
        <v>0</v>
      </c>
      <c r="R2275" s="13" t="str">
        <f t="shared" si="1248"/>
        <v>Фото &gt;&gt;</v>
      </c>
      <c r="S2275" s="14" t="s">
        <v>1010</v>
      </c>
      <c r="T2275" s="221"/>
      <c r="AK2275">
        <v>0.05</v>
      </c>
      <c r="AL2275">
        <f t="shared" ref="AL2275:AL2282" si="1252">F2275*G2275</f>
        <v>0</v>
      </c>
      <c r="AM2275">
        <f t="shared" ref="AM2275:AM2282" si="1253">F2275*H2275</f>
        <v>0</v>
      </c>
      <c r="AN2275">
        <f t="shared" ref="AN2275:AN2282" si="1254">AK2275*F2275+IF(E2275&gt;1.01,F2275/E2275*0.2,0)</f>
        <v>0</v>
      </c>
      <c r="AO2275" t="s">
        <v>6273</v>
      </c>
      <c r="AV2275" t="str">
        <f>IF(F2275&gt;0,(COUNT($AV$1:AV2274)+1),"")</f>
        <v/>
      </c>
    </row>
    <row r="2276" spans="1:48" ht="15" customHeight="1" x14ac:dyDescent="0.25">
      <c r="A2276" s="1"/>
      <c r="B2276" s="19">
        <v>21213</v>
      </c>
      <c r="C2276" s="20">
        <v>4607942730703</v>
      </c>
      <c r="D2276" s="225" t="s">
        <v>7295</v>
      </c>
      <c r="E2276" s="324">
        <v>20</v>
      </c>
      <c r="F2276" s="222"/>
      <c r="G2276" s="107">
        <v>16</v>
      </c>
      <c r="H2276" s="21">
        <v>17.5</v>
      </c>
      <c r="I2276" s="22">
        <v>20</v>
      </c>
      <c r="J2276" s="112" t="s">
        <v>1792</v>
      </c>
      <c r="K2276" s="45" t="s">
        <v>428</v>
      </c>
      <c r="L2276" s="437"/>
      <c r="M2276" s="474" t="s">
        <v>1856</v>
      </c>
      <c r="N2276" s="1013" t="s">
        <v>1856</v>
      </c>
      <c r="O2276" s="212" t="s">
        <v>2271</v>
      </c>
      <c r="P2276" s="66" t="s">
        <v>72</v>
      </c>
      <c r="Q2276" s="100">
        <f t="shared" si="1247"/>
        <v>0</v>
      </c>
      <c r="R2276" s="13" t="str">
        <f t="shared" si="1248"/>
        <v>Фото &gt;&gt;</v>
      </c>
      <c r="S2276" s="14" t="s">
        <v>6271</v>
      </c>
      <c r="AK2276">
        <v>0.05</v>
      </c>
      <c r="AL2276">
        <f t="shared" si="1252"/>
        <v>0</v>
      </c>
      <c r="AM2276">
        <f t="shared" si="1253"/>
        <v>0</v>
      </c>
      <c r="AN2276">
        <f t="shared" si="1254"/>
        <v>0</v>
      </c>
      <c r="AO2276" t="s">
        <v>6274</v>
      </c>
      <c r="AV2276" t="str">
        <f>IF(F2276&gt;0,(COUNT($AV$1:AV2275)+1),"")</f>
        <v/>
      </c>
    </row>
    <row r="2277" spans="1:48" ht="15" customHeight="1" x14ac:dyDescent="0.25">
      <c r="A2277" s="1"/>
      <c r="B2277" s="15">
        <v>21211</v>
      </c>
      <c r="C2277" s="16">
        <v>4607942730697</v>
      </c>
      <c r="D2277" s="226" t="s">
        <v>7296</v>
      </c>
      <c r="E2277" s="323">
        <v>20</v>
      </c>
      <c r="F2277" s="222"/>
      <c r="G2277" s="108">
        <v>16</v>
      </c>
      <c r="H2277" s="17">
        <v>17.5</v>
      </c>
      <c r="I2277" s="18">
        <v>20</v>
      </c>
      <c r="J2277" s="113" t="s">
        <v>1792</v>
      </c>
      <c r="K2277" s="44" t="s">
        <v>428</v>
      </c>
      <c r="L2277" s="442"/>
      <c r="M2277" s="480" t="s">
        <v>1856</v>
      </c>
      <c r="N2277" s="1015" t="s">
        <v>1856</v>
      </c>
      <c r="O2277" s="217" t="s">
        <v>2271</v>
      </c>
      <c r="P2277" s="68" t="s">
        <v>72</v>
      </c>
      <c r="Q2277" s="100">
        <f t="shared" si="1247"/>
        <v>0</v>
      </c>
      <c r="R2277" s="13" t="str">
        <f t="shared" si="1248"/>
        <v>Фото &gt;&gt;</v>
      </c>
      <c r="S2277" s="14" t="s">
        <v>6272</v>
      </c>
      <c r="T2277" s="221"/>
      <c r="AK2277">
        <v>0.05</v>
      </c>
      <c r="AL2277">
        <f t="shared" si="1252"/>
        <v>0</v>
      </c>
      <c r="AM2277">
        <f t="shared" si="1253"/>
        <v>0</v>
      </c>
      <c r="AN2277">
        <f t="shared" si="1254"/>
        <v>0</v>
      </c>
      <c r="AO2277" t="s">
        <v>6275</v>
      </c>
      <c r="AV2277" t="str">
        <f>IF(F2277&gt;0,(COUNT($AV$1:AV2276)+1),"")</f>
        <v/>
      </c>
    </row>
    <row r="2278" spans="1:48" ht="15" customHeight="1" x14ac:dyDescent="0.25">
      <c r="A2278" s="1"/>
      <c r="B2278" s="19">
        <v>21214</v>
      </c>
      <c r="C2278" s="20">
        <v>4607942730727</v>
      </c>
      <c r="D2278" s="225" t="s">
        <v>7297</v>
      </c>
      <c r="E2278" s="324">
        <v>20</v>
      </c>
      <c r="F2278" s="222"/>
      <c r="G2278" s="107">
        <v>16.2</v>
      </c>
      <c r="H2278" s="21">
        <v>17.7</v>
      </c>
      <c r="I2278" s="22">
        <v>21.4</v>
      </c>
      <c r="J2278" s="112" t="s">
        <v>1792</v>
      </c>
      <c r="K2278" s="45" t="s">
        <v>428</v>
      </c>
      <c r="L2278" s="437"/>
      <c r="M2278" s="474" t="s">
        <v>1856</v>
      </c>
      <c r="N2278" s="1013" t="s">
        <v>1856</v>
      </c>
      <c r="O2278" s="212" t="s">
        <v>2271</v>
      </c>
      <c r="P2278" s="66" t="s">
        <v>72</v>
      </c>
      <c r="Q2278" s="100">
        <f t="shared" si="1247"/>
        <v>0</v>
      </c>
      <c r="R2278" s="13" t="str">
        <f t="shared" si="1248"/>
        <v>Фото &gt;&gt;</v>
      </c>
      <c r="S2278" s="14" t="s">
        <v>6270</v>
      </c>
      <c r="AK2278">
        <v>0.05</v>
      </c>
      <c r="AL2278">
        <f t="shared" si="1252"/>
        <v>0</v>
      </c>
      <c r="AM2278">
        <f t="shared" si="1253"/>
        <v>0</v>
      </c>
      <c r="AN2278">
        <f t="shared" si="1254"/>
        <v>0</v>
      </c>
      <c r="AO2278" t="s">
        <v>6276</v>
      </c>
      <c r="AV2278" t="str">
        <f>IF(F2278&gt;0,(COUNT($AV$1:AV2277)+1),"")</f>
        <v/>
      </c>
    </row>
    <row r="2279" spans="1:48" ht="15" customHeight="1" x14ac:dyDescent="0.25">
      <c r="A2279" s="1"/>
      <c r="B2279" s="15">
        <v>21216</v>
      </c>
      <c r="C2279" s="16">
        <v>4607942730734</v>
      </c>
      <c r="D2279" s="226" t="s">
        <v>7298</v>
      </c>
      <c r="E2279" s="323">
        <v>20</v>
      </c>
      <c r="F2279" s="222"/>
      <c r="G2279" s="108">
        <v>16</v>
      </c>
      <c r="H2279" s="17">
        <v>17.5</v>
      </c>
      <c r="I2279" s="18">
        <v>20</v>
      </c>
      <c r="J2279" s="113" t="s">
        <v>1792</v>
      </c>
      <c r="K2279" s="44" t="s">
        <v>428</v>
      </c>
      <c r="L2279" s="442"/>
      <c r="M2279" s="480" t="s">
        <v>1856</v>
      </c>
      <c r="N2279" s="1015" t="s">
        <v>1856</v>
      </c>
      <c r="O2279" s="217" t="s">
        <v>2271</v>
      </c>
      <c r="P2279" s="68" t="s">
        <v>72</v>
      </c>
      <c r="Q2279" s="100">
        <f t="shared" si="1247"/>
        <v>0</v>
      </c>
      <c r="R2279" s="13" t="str">
        <f t="shared" si="1248"/>
        <v>Фото &gt;&gt;</v>
      </c>
      <c r="S2279" s="14" t="s">
        <v>6268</v>
      </c>
      <c r="T2279" s="221"/>
      <c r="AK2279">
        <v>0.05</v>
      </c>
      <c r="AL2279">
        <f t="shared" si="1252"/>
        <v>0</v>
      </c>
      <c r="AM2279">
        <f t="shared" si="1253"/>
        <v>0</v>
      </c>
      <c r="AN2279">
        <f t="shared" si="1254"/>
        <v>0</v>
      </c>
      <c r="AO2279" t="s">
        <v>6277</v>
      </c>
      <c r="AV2279" t="str">
        <f>IF(F2279&gt;0,(COUNT($AV$1:AV2278)+1),"")</f>
        <v/>
      </c>
    </row>
    <row r="2280" spans="1:48" ht="15" customHeight="1" x14ac:dyDescent="0.25">
      <c r="A2280" s="1"/>
      <c r="B2280" s="19">
        <v>21215</v>
      </c>
      <c r="C2280" s="20">
        <v>4607942730741</v>
      </c>
      <c r="D2280" s="225" t="s">
        <v>7299</v>
      </c>
      <c r="E2280" s="324">
        <v>20</v>
      </c>
      <c r="F2280" s="222"/>
      <c r="G2280" s="107">
        <v>16.2</v>
      </c>
      <c r="H2280" s="21">
        <v>18.399999999999999</v>
      </c>
      <c r="I2280" s="22">
        <v>21.4</v>
      </c>
      <c r="J2280" s="112" t="s">
        <v>1792</v>
      </c>
      <c r="K2280" s="45" t="s">
        <v>428</v>
      </c>
      <c r="L2280" s="437"/>
      <c r="M2280" s="474" t="s">
        <v>1856</v>
      </c>
      <c r="N2280" s="1013" t="s">
        <v>1856</v>
      </c>
      <c r="O2280" s="212" t="s">
        <v>2271</v>
      </c>
      <c r="P2280" s="66" t="s">
        <v>72</v>
      </c>
      <c r="Q2280" s="100">
        <f t="shared" si="1247"/>
        <v>0</v>
      </c>
      <c r="R2280" s="13" t="str">
        <f t="shared" si="1248"/>
        <v>Фото &gt;&gt;</v>
      </c>
      <c r="S2280" s="14" t="s">
        <v>6269</v>
      </c>
      <c r="AK2280">
        <v>0.05</v>
      </c>
      <c r="AL2280">
        <f t="shared" si="1252"/>
        <v>0</v>
      </c>
      <c r="AM2280">
        <f t="shared" si="1253"/>
        <v>0</v>
      </c>
      <c r="AN2280">
        <f t="shared" si="1254"/>
        <v>0</v>
      </c>
      <c r="AO2280" t="s">
        <v>6278</v>
      </c>
      <c r="AV2280" t="str">
        <f>IF(F2280&gt;0,(COUNT($AV$1:AV2279)+1),"")</f>
        <v/>
      </c>
    </row>
    <row r="2281" spans="1:48" ht="15" customHeight="1" x14ac:dyDescent="0.25">
      <c r="A2281" s="1"/>
      <c r="B2281" s="15">
        <v>19036</v>
      </c>
      <c r="C2281" s="16">
        <v>4600502147089</v>
      </c>
      <c r="D2281" s="226" t="s">
        <v>2371</v>
      </c>
      <c r="E2281" s="69">
        <v>20</v>
      </c>
      <c r="F2281" s="222"/>
      <c r="G2281" s="108">
        <v>43.2</v>
      </c>
      <c r="H2281" s="17">
        <v>44.9</v>
      </c>
      <c r="I2281" s="18">
        <v>48.6</v>
      </c>
      <c r="J2281" s="113" t="s">
        <v>1792</v>
      </c>
      <c r="K2281" s="44" t="s">
        <v>428</v>
      </c>
      <c r="L2281" s="442"/>
      <c r="M2281" s="480" t="s">
        <v>1856</v>
      </c>
      <c r="N2281" s="1015" t="s">
        <v>1856</v>
      </c>
      <c r="O2281" s="210"/>
      <c r="P2281" s="68" t="s">
        <v>53</v>
      </c>
      <c r="Q2281" s="100">
        <f t="shared" si="1247"/>
        <v>0</v>
      </c>
      <c r="R2281" s="13" t="str">
        <f t="shared" si="1248"/>
        <v>Фото &gt;&gt;</v>
      </c>
      <c r="S2281" s="14" t="s">
        <v>1732</v>
      </c>
      <c r="T2281" s="221"/>
      <c r="AK2281">
        <v>0.05</v>
      </c>
      <c r="AL2281">
        <f t="shared" si="1252"/>
        <v>0</v>
      </c>
      <c r="AM2281">
        <f t="shared" si="1253"/>
        <v>0</v>
      </c>
      <c r="AN2281">
        <f t="shared" si="1254"/>
        <v>0</v>
      </c>
      <c r="AO2281" t="s">
        <v>5082</v>
      </c>
      <c r="AV2281" t="str">
        <f>IF(F2281&gt;0,(COUNT($AV$1:AV2280)+1),"")</f>
        <v/>
      </c>
    </row>
    <row r="2282" spans="1:48" ht="15" customHeight="1" x14ac:dyDescent="0.25">
      <c r="A2282" s="1"/>
      <c r="B2282" s="19">
        <v>19037</v>
      </c>
      <c r="C2282" s="20">
        <v>4600502147096</v>
      </c>
      <c r="D2282" s="225" t="s">
        <v>1867</v>
      </c>
      <c r="E2282" s="67">
        <v>20</v>
      </c>
      <c r="F2282" s="222"/>
      <c r="G2282" s="107">
        <v>40.4</v>
      </c>
      <c r="H2282" s="21">
        <v>41.9</v>
      </c>
      <c r="I2282" s="22">
        <v>45.6</v>
      </c>
      <c r="J2282" s="112" t="s">
        <v>1792</v>
      </c>
      <c r="K2282" s="45" t="s">
        <v>428</v>
      </c>
      <c r="L2282" s="437"/>
      <c r="M2282" s="474" t="s">
        <v>1856</v>
      </c>
      <c r="N2282" s="1013" t="s">
        <v>1856</v>
      </c>
      <c r="O2282" s="212"/>
      <c r="P2282" s="66" t="s">
        <v>53</v>
      </c>
      <c r="Q2282" s="100">
        <f t="shared" si="1247"/>
        <v>0</v>
      </c>
      <c r="R2282" s="13" t="str">
        <f t="shared" si="1248"/>
        <v>Фото &gt;&gt;</v>
      </c>
      <c r="S2282" s="14" t="s">
        <v>1739</v>
      </c>
      <c r="AK2282">
        <v>0.05</v>
      </c>
      <c r="AL2282">
        <f t="shared" si="1252"/>
        <v>0</v>
      </c>
      <c r="AM2282">
        <f t="shared" si="1253"/>
        <v>0</v>
      </c>
      <c r="AN2282">
        <f t="shared" si="1254"/>
        <v>0</v>
      </c>
      <c r="AO2282" t="s">
        <v>5083</v>
      </c>
      <c r="AV2282" t="str">
        <f>IF(F2282&gt;0,(COUNT($AV$1:AV2281)+1),"")</f>
        <v/>
      </c>
    </row>
    <row r="2283" spans="1:48" ht="15" customHeight="1" x14ac:dyDescent="0.25">
      <c r="A2283" s="1"/>
      <c r="B2283" s="56">
        <v>19035</v>
      </c>
      <c r="C2283" s="33">
        <v>4600502147072</v>
      </c>
      <c r="D2283" s="227" t="s">
        <v>2372</v>
      </c>
      <c r="E2283" s="71">
        <v>20</v>
      </c>
      <c r="F2283" s="223"/>
      <c r="G2283" s="109">
        <v>40.4</v>
      </c>
      <c r="H2283" s="34">
        <v>41.9</v>
      </c>
      <c r="I2283" s="35">
        <v>45.6</v>
      </c>
      <c r="J2283" s="114" t="s">
        <v>1792</v>
      </c>
      <c r="K2283" s="57" t="s">
        <v>428</v>
      </c>
      <c r="L2283" s="438"/>
      <c r="M2283" s="484" t="s">
        <v>1856</v>
      </c>
      <c r="N2283" s="1008" t="s">
        <v>1856</v>
      </c>
      <c r="O2283" s="219"/>
      <c r="P2283" s="70" t="s">
        <v>53</v>
      </c>
      <c r="Q2283" s="100">
        <f t="shared" si="1247"/>
        <v>0</v>
      </c>
      <c r="R2283" s="13" t="str">
        <f t="shared" si="1248"/>
        <v>Фото &gt;&gt;</v>
      </c>
      <c r="S2283" s="14" t="s">
        <v>1733</v>
      </c>
      <c r="T2283" s="221"/>
      <c r="AK2283">
        <v>0.05</v>
      </c>
      <c r="AL2283">
        <f t="shared" si="1249"/>
        <v>0</v>
      </c>
      <c r="AM2283">
        <f t="shared" si="1250"/>
        <v>0</v>
      </c>
      <c r="AN2283">
        <f t="shared" si="1251"/>
        <v>0</v>
      </c>
      <c r="AO2283" t="s">
        <v>5084</v>
      </c>
      <c r="AV2283" t="str">
        <f>IF(F2283&gt;0,(COUNT($AV$1:AV2282)+1),"")</f>
        <v/>
      </c>
    </row>
    <row r="2284" spans="1:48" ht="15" customHeight="1" x14ac:dyDescent="0.25">
      <c r="A2284" s="1"/>
      <c r="B2284" s="1187">
        <v>19033</v>
      </c>
      <c r="C2284" s="670">
        <v>4600502122994</v>
      </c>
      <c r="D2284" s="671" t="s">
        <v>2373</v>
      </c>
      <c r="E2284" s="672">
        <v>12</v>
      </c>
      <c r="F2284" s="673"/>
      <c r="G2284" s="674">
        <v>77.599999999999994</v>
      </c>
      <c r="H2284" s="675">
        <v>80.8</v>
      </c>
      <c r="I2284" s="676">
        <v>87</v>
      </c>
      <c r="J2284" s="899" t="s">
        <v>1792</v>
      </c>
      <c r="K2284" s="678" t="s">
        <v>428</v>
      </c>
      <c r="L2284" s="679"/>
      <c r="M2284" s="680" t="s">
        <v>1856</v>
      </c>
      <c r="N2284" s="1027" t="s">
        <v>1856</v>
      </c>
      <c r="O2284" s="1110"/>
      <c r="P2284" s="682" t="s">
        <v>100</v>
      </c>
      <c r="Q2284" s="100">
        <f t="shared" si="1247"/>
        <v>0</v>
      </c>
      <c r="R2284" s="13" t="str">
        <f t="shared" ref="R2284" si="1255">IF(AO2284&gt;0,HYPERLINK(AO2284,"Фото &gt;&gt;"),"")</f>
        <v>Фото &gt;&gt;</v>
      </c>
      <c r="S2284" s="14" t="s">
        <v>1739</v>
      </c>
      <c r="AK2284">
        <v>0.09</v>
      </c>
      <c r="AL2284">
        <f t="shared" ref="AL2284" si="1256">F2284*G2284</f>
        <v>0</v>
      </c>
      <c r="AM2284">
        <f t="shared" ref="AM2284" si="1257">F2284*H2284</f>
        <v>0</v>
      </c>
      <c r="AN2284">
        <f t="shared" ref="AN2284" si="1258">AK2284*F2284+IF(E2284&gt;1.01,F2284/E2284*0.2,0)</f>
        <v>0</v>
      </c>
      <c r="AO2284" t="s">
        <v>5085</v>
      </c>
      <c r="AV2284" t="str">
        <f>IF(F2284&gt;0,(COUNT($AV$1:AV2283)+1),"")</f>
        <v/>
      </c>
    </row>
    <row r="2285" spans="1:48" ht="15" customHeight="1" x14ac:dyDescent="0.25">
      <c r="A2285" s="1"/>
      <c r="B2285" s="15">
        <v>19032</v>
      </c>
      <c r="C2285" s="16">
        <v>4600502132993</v>
      </c>
      <c r="D2285" s="226" t="s">
        <v>2374</v>
      </c>
      <c r="E2285" s="69">
        <v>12</v>
      </c>
      <c r="F2285" s="222"/>
      <c r="G2285" s="108">
        <v>82.6</v>
      </c>
      <c r="H2285" s="17">
        <v>86</v>
      </c>
      <c r="I2285" s="18">
        <v>93</v>
      </c>
      <c r="J2285" s="113" t="s">
        <v>1792</v>
      </c>
      <c r="K2285" s="44" t="s">
        <v>428</v>
      </c>
      <c r="L2285" s="442"/>
      <c r="M2285" s="480" t="s">
        <v>1856</v>
      </c>
      <c r="N2285" s="1015" t="s">
        <v>1856</v>
      </c>
      <c r="O2285" s="210"/>
      <c r="P2285" s="68" t="s">
        <v>100</v>
      </c>
      <c r="Q2285" s="100">
        <f t="shared" si="1247"/>
        <v>0</v>
      </c>
      <c r="R2285" s="13" t="str">
        <f t="shared" si="1248"/>
        <v>Фото &gt;&gt;</v>
      </c>
      <c r="S2285" s="14" t="s">
        <v>1738</v>
      </c>
      <c r="T2285" s="221"/>
      <c r="AK2285">
        <v>0.09</v>
      </c>
      <c r="AL2285">
        <f t="shared" si="1249"/>
        <v>0</v>
      </c>
      <c r="AM2285">
        <f t="shared" si="1250"/>
        <v>0</v>
      </c>
      <c r="AN2285">
        <f t="shared" si="1251"/>
        <v>0</v>
      </c>
      <c r="AO2285" t="s">
        <v>4335</v>
      </c>
      <c r="AV2285" t="str">
        <f>IF(F2285&gt;0,(COUNT($AV$1:AV2284)+1),"")</f>
        <v/>
      </c>
    </row>
    <row r="2286" spans="1:48" ht="15" customHeight="1" x14ac:dyDescent="0.25">
      <c r="A2286" s="1"/>
      <c r="B2286" s="19">
        <v>19034</v>
      </c>
      <c r="C2286" s="20">
        <v>4600502232990</v>
      </c>
      <c r="D2286" s="225" t="s">
        <v>2375</v>
      </c>
      <c r="E2286" s="67">
        <v>12</v>
      </c>
      <c r="F2286" s="222"/>
      <c r="G2286" s="107">
        <v>95.8</v>
      </c>
      <c r="H2286" s="21">
        <v>99.8</v>
      </c>
      <c r="I2286" s="22">
        <v>108.2</v>
      </c>
      <c r="J2286" s="112" t="s">
        <v>1792</v>
      </c>
      <c r="K2286" s="45" t="s">
        <v>428</v>
      </c>
      <c r="L2286" s="437"/>
      <c r="M2286" s="474" t="s">
        <v>1856</v>
      </c>
      <c r="N2286" s="1013" t="s">
        <v>1856</v>
      </c>
      <c r="O2286" s="212"/>
      <c r="P2286" s="66" t="s">
        <v>100</v>
      </c>
      <c r="Q2286" s="100">
        <f t="shared" si="1247"/>
        <v>0</v>
      </c>
      <c r="R2286" s="13" t="str">
        <f t="shared" si="1248"/>
        <v>Фото &gt;&gt;</v>
      </c>
      <c r="S2286" s="14" t="s">
        <v>1734</v>
      </c>
      <c r="AK2286">
        <v>0.09</v>
      </c>
      <c r="AL2286">
        <f t="shared" si="1249"/>
        <v>0</v>
      </c>
      <c r="AM2286">
        <f t="shared" si="1250"/>
        <v>0</v>
      </c>
      <c r="AN2286">
        <f t="shared" si="1251"/>
        <v>0</v>
      </c>
      <c r="AO2286" t="s">
        <v>5086</v>
      </c>
      <c r="AV2286" t="str">
        <f>IF(F2286&gt;0,(COUNT($AV$1:AV2285)+1),"")</f>
        <v/>
      </c>
    </row>
    <row r="2287" spans="1:48" ht="15" customHeight="1" x14ac:dyDescent="0.25">
      <c r="A2287" s="1"/>
      <c r="B2287" s="15">
        <v>19029</v>
      </c>
      <c r="C2287" s="16">
        <v>4600502152991</v>
      </c>
      <c r="D2287" s="226" t="s">
        <v>1731</v>
      </c>
      <c r="E2287" s="69">
        <v>12</v>
      </c>
      <c r="F2287" s="222"/>
      <c r="G2287" s="108">
        <v>77.599999999999994</v>
      </c>
      <c r="H2287" s="17">
        <v>80.8</v>
      </c>
      <c r="I2287" s="18">
        <v>87</v>
      </c>
      <c r="J2287" s="113" t="s">
        <v>1792</v>
      </c>
      <c r="K2287" s="44" t="s">
        <v>428</v>
      </c>
      <c r="L2287" s="442"/>
      <c r="M2287" s="480" t="s">
        <v>1856</v>
      </c>
      <c r="N2287" s="1015" t="s">
        <v>1856</v>
      </c>
      <c r="O2287" s="210"/>
      <c r="P2287" s="68" t="s">
        <v>100</v>
      </c>
      <c r="Q2287" s="100">
        <f t="shared" si="1247"/>
        <v>0</v>
      </c>
      <c r="R2287" s="13" t="str">
        <f t="shared" si="1248"/>
        <v>Фото &gt;&gt;</v>
      </c>
      <c r="S2287" s="14" t="s">
        <v>1733</v>
      </c>
      <c r="T2287" s="221"/>
      <c r="AK2287">
        <v>0.09</v>
      </c>
      <c r="AL2287">
        <f t="shared" si="1249"/>
        <v>0</v>
      </c>
      <c r="AM2287">
        <f t="shared" si="1250"/>
        <v>0</v>
      </c>
      <c r="AN2287">
        <f t="shared" si="1251"/>
        <v>0</v>
      </c>
      <c r="AO2287" t="s">
        <v>5087</v>
      </c>
      <c r="AV2287" t="str">
        <f>IF(F2287&gt;0,(COUNT($AV$1:AV2286)+1),"")</f>
        <v/>
      </c>
    </row>
    <row r="2288" spans="1:48" ht="15" customHeight="1" x14ac:dyDescent="0.25">
      <c r="A2288" s="1"/>
      <c r="B2288" s="125"/>
      <c r="C2288" s="126"/>
      <c r="D2288" s="127"/>
      <c r="E2288" s="134"/>
      <c r="F2288" s="189"/>
      <c r="G2288" s="130"/>
      <c r="H2288" s="131"/>
      <c r="I2288" s="132"/>
      <c r="J2288" s="128"/>
      <c r="K2288" s="129"/>
      <c r="L2288" s="433"/>
      <c r="M2288" s="481" t="s">
        <v>104</v>
      </c>
      <c r="N2288" s="471"/>
      <c r="O2288" s="181"/>
      <c r="P2288" s="133"/>
      <c r="Q2288" s="135"/>
      <c r="R2288" s="13"/>
      <c r="S2288" s="14"/>
      <c r="AV2288" t="str">
        <f>IF(F2288&gt;0,(COUNT($AV$1:AV2287)+1),"")</f>
        <v/>
      </c>
    </row>
    <row r="2289" spans="1:48" ht="15" customHeight="1" thickBot="1" x14ac:dyDescent="0.3">
      <c r="A2289" s="1"/>
      <c r="B2289" s="158"/>
      <c r="C2289" s="159"/>
      <c r="D2289" s="160"/>
      <c r="E2289" s="167"/>
      <c r="F2289" s="191"/>
      <c r="G2289" s="163"/>
      <c r="H2289" s="164"/>
      <c r="I2289" s="165"/>
      <c r="J2289" s="161"/>
      <c r="K2289" s="162"/>
      <c r="L2289" s="439"/>
      <c r="M2289" s="475" t="s">
        <v>104</v>
      </c>
      <c r="N2289" s="467"/>
      <c r="O2289" s="183"/>
      <c r="P2289" s="166"/>
      <c r="Q2289" s="168"/>
      <c r="R2289" s="13"/>
      <c r="S2289" s="14"/>
      <c r="AV2289" t="str">
        <f>IF(F2289&gt;0,(COUNT($AV$1:AV2288)+1),"")</f>
        <v/>
      </c>
    </row>
    <row r="2290" spans="1:48" ht="24.95" customHeight="1" thickBot="1" x14ac:dyDescent="0.3">
      <c r="A2290" s="1"/>
      <c r="B2290" s="266"/>
      <c r="C2290" s="267"/>
      <c r="D2290" s="268" t="str">
        <f>CONCATENATE("Здоровцов (Живая еда)","     |     Сумма заказа: ",AK2290," руб.")</f>
        <v>Здоровцов (Живая еда)     |     Сумма заказа: 0 руб.</v>
      </c>
      <c r="E2290" s="269"/>
      <c r="F2290" s="270"/>
      <c r="G2290" s="271" t="str">
        <f>CONCATENATE("Ценовая колонка: ",AO2290,"   |   До следующей скидки: ",AJ2290," руб.")</f>
        <v>Ценовая колонка: 3   |   До следующей скидки: 5000 руб.</v>
      </c>
      <c r="H2290" s="272"/>
      <c r="I2290" s="272"/>
      <c r="J2290" s="273" t="s">
        <v>1689</v>
      </c>
      <c r="K2290" s="274"/>
      <c r="L2290" s="451"/>
      <c r="M2290" s="495" t="s">
        <v>104</v>
      </c>
      <c r="N2290" s="571"/>
      <c r="O2290" s="275"/>
      <c r="P2290" s="276"/>
      <c r="Q2290" s="277"/>
      <c r="R2290" s="265" t="s">
        <v>1558</v>
      </c>
      <c r="S2290" s="14"/>
      <c r="AJ2290">
        <f>ROUND(IF(AL2290&gt;15000,"0", IF(AND(AL2290&lt;15000,AM2290&gt;5000),15000-AL2290,5000-AM2290)),2)</f>
        <v>5000</v>
      </c>
      <c r="AK2290">
        <f>SUM(Q2292:Q2298)</f>
        <v>0</v>
      </c>
      <c r="AL2290">
        <f>SUM(AL2291:AL2298)</f>
        <v>0</v>
      </c>
      <c r="AM2290">
        <f>SUM(AM2291:AM2298)</f>
        <v>0</v>
      </c>
      <c r="AO2290">
        <f>IF(AM2290&gt;5000,IF(AL2290&gt;15000,1,2),3)</f>
        <v>3</v>
      </c>
      <c r="AV2290" t="str">
        <f>IF(F2290&gt;0,(COUNT($AV$1:AV2289)+1),"")</f>
        <v/>
      </c>
    </row>
    <row r="2291" spans="1:48" ht="15" customHeight="1" x14ac:dyDescent="0.25">
      <c r="A2291" s="1"/>
      <c r="B2291" s="7"/>
      <c r="C2291" s="8"/>
      <c r="D2291" s="9" t="s">
        <v>1678</v>
      </c>
      <c r="E2291" s="77"/>
      <c r="F2291" s="95"/>
      <c r="G2291" s="10" t="s">
        <v>170</v>
      </c>
      <c r="H2291" s="11" t="s">
        <v>16</v>
      </c>
      <c r="I2291" s="11" t="s">
        <v>221</v>
      </c>
      <c r="J2291" s="50"/>
      <c r="K2291" s="42"/>
      <c r="L2291" s="445"/>
      <c r="M2291" s="487" t="s">
        <v>104</v>
      </c>
      <c r="N2291" s="1017"/>
      <c r="O2291" s="185"/>
      <c r="P2291" s="76"/>
      <c r="Q2291" s="102"/>
      <c r="R2291" s="2"/>
      <c r="S2291" s="14"/>
      <c r="AV2291" t="str">
        <f>IF(F2291&gt;0,(COUNT($AV$1:AV2290)+1),"")</f>
        <v/>
      </c>
    </row>
    <row r="2292" spans="1:48" ht="15" customHeight="1" x14ac:dyDescent="0.25">
      <c r="A2292" s="1"/>
      <c r="B2292" s="19">
        <v>18895</v>
      </c>
      <c r="C2292" s="20">
        <v>4623722378804</v>
      </c>
      <c r="D2292" s="225" t="s">
        <v>5660</v>
      </c>
      <c r="E2292" s="67">
        <v>20</v>
      </c>
      <c r="F2292" s="222"/>
      <c r="G2292" s="107">
        <v>142.5</v>
      </c>
      <c r="H2292" s="21">
        <v>149.6</v>
      </c>
      <c r="I2292" s="22">
        <v>160</v>
      </c>
      <c r="J2292" s="112" t="s">
        <v>1689</v>
      </c>
      <c r="K2292" s="45" t="s">
        <v>478</v>
      </c>
      <c r="L2292" s="437"/>
      <c r="M2292" s="474" t="s">
        <v>1856</v>
      </c>
      <c r="N2292" s="1013" t="s">
        <v>1856</v>
      </c>
      <c r="O2292" s="209"/>
      <c r="P2292" s="66" t="s">
        <v>100</v>
      </c>
      <c r="Q2292" s="100">
        <f t="shared" ref="Q2292:Q2298" si="1259">IF($AO$2290=2,F2292*H2292,IF($AO$2290=1,F2292*G2292,F2292*I2292))</f>
        <v>0</v>
      </c>
      <c r="R2292" s="13" t="str">
        <f t="shared" ref="R2292:R2298" si="1260">IF(AO2292&gt;0,HYPERLINK(AO2292,"Фото &gt;&gt;"),"")</f>
        <v>Фото &gt;&gt;</v>
      </c>
      <c r="S2292" s="14" t="s">
        <v>1685</v>
      </c>
      <c r="AK2292">
        <v>0.1</v>
      </c>
      <c r="AL2292">
        <f t="shared" ref="AL2292:AL2298" si="1261">F2292*G2292</f>
        <v>0</v>
      </c>
      <c r="AM2292">
        <f t="shared" ref="AM2292:AM2298" si="1262">F2292*H2292</f>
        <v>0</v>
      </c>
      <c r="AN2292">
        <f t="shared" ref="AN2292:AN2298" si="1263">AK2292*F2292+IF(E2292&gt;1.01,F2292/E2292*0.2,0)</f>
        <v>0</v>
      </c>
      <c r="AO2292" t="s">
        <v>3633</v>
      </c>
      <c r="AV2292" t="str">
        <f>IF(F2292&gt;0,(COUNT($AV$1:AV2291)+1),"")</f>
        <v/>
      </c>
    </row>
    <row r="2293" spans="1:48" ht="15" customHeight="1" x14ac:dyDescent="0.25">
      <c r="A2293" s="1"/>
      <c r="B2293" s="15">
        <v>18896</v>
      </c>
      <c r="C2293" s="16">
        <v>4623722378767</v>
      </c>
      <c r="D2293" s="226" t="s">
        <v>5661</v>
      </c>
      <c r="E2293" s="69">
        <v>20</v>
      </c>
      <c r="F2293" s="222"/>
      <c r="G2293" s="108">
        <v>142.5</v>
      </c>
      <c r="H2293" s="17">
        <v>149.6</v>
      </c>
      <c r="I2293" s="18">
        <v>160</v>
      </c>
      <c r="J2293" s="113" t="s">
        <v>1689</v>
      </c>
      <c r="K2293" s="44" t="s">
        <v>478</v>
      </c>
      <c r="L2293" s="442"/>
      <c r="M2293" s="480" t="s">
        <v>1856</v>
      </c>
      <c r="N2293" s="1015" t="s">
        <v>1856</v>
      </c>
      <c r="O2293" s="210"/>
      <c r="P2293" s="68" t="s">
        <v>100</v>
      </c>
      <c r="Q2293" s="100">
        <f t="shared" si="1259"/>
        <v>0</v>
      </c>
      <c r="R2293" s="13" t="str">
        <f t="shared" si="1260"/>
        <v>Фото &gt;&gt;</v>
      </c>
      <c r="S2293" s="14" t="s">
        <v>1681</v>
      </c>
      <c r="AK2293">
        <v>0.1</v>
      </c>
      <c r="AL2293">
        <f t="shared" si="1261"/>
        <v>0</v>
      </c>
      <c r="AM2293">
        <f t="shared" si="1262"/>
        <v>0</v>
      </c>
      <c r="AN2293">
        <f t="shared" si="1263"/>
        <v>0</v>
      </c>
      <c r="AO2293" t="s">
        <v>3636</v>
      </c>
      <c r="AV2293" t="str">
        <f>IF(F2293&gt;0,(COUNT($AV$1:AV2292)+1),"")</f>
        <v/>
      </c>
    </row>
    <row r="2294" spans="1:48" ht="15" customHeight="1" x14ac:dyDescent="0.25">
      <c r="A2294" s="1"/>
      <c r="B2294" s="19">
        <v>18897</v>
      </c>
      <c r="C2294" s="20">
        <v>4623722378774</v>
      </c>
      <c r="D2294" s="225" t="s">
        <v>5662</v>
      </c>
      <c r="E2294" s="67">
        <v>20</v>
      </c>
      <c r="F2294" s="222"/>
      <c r="G2294" s="107">
        <v>142.5</v>
      </c>
      <c r="H2294" s="21">
        <v>149.6</v>
      </c>
      <c r="I2294" s="22">
        <v>160</v>
      </c>
      <c r="J2294" s="112" t="s">
        <v>1689</v>
      </c>
      <c r="K2294" s="45" t="s">
        <v>478</v>
      </c>
      <c r="L2294" s="437"/>
      <c r="M2294" s="474" t="s">
        <v>1856</v>
      </c>
      <c r="N2294" s="1013" t="s">
        <v>1856</v>
      </c>
      <c r="O2294" s="209"/>
      <c r="P2294" s="66" t="s">
        <v>100</v>
      </c>
      <c r="Q2294" s="100">
        <f t="shared" si="1259"/>
        <v>0</v>
      </c>
      <c r="R2294" s="13" t="str">
        <f t="shared" si="1260"/>
        <v>Фото &gt;&gt;</v>
      </c>
      <c r="S2294" s="14" t="s">
        <v>1682</v>
      </c>
      <c r="AK2294">
        <v>0.1</v>
      </c>
      <c r="AL2294">
        <f t="shared" si="1261"/>
        <v>0</v>
      </c>
      <c r="AM2294">
        <f t="shared" si="1262"/>
        <v>0</v>
      </c>
      <c r="AN2294">
        <f t="shared" si="1263"/>
        <v>0</v>
      </c>
      <c r="AO2294" t="s">
        <v>3637</v>
      </c>
      <c r="AV2294" t="str">
        <f>IF(F2294&gt;0,(COUNT($AV$1:AV2293)+1),"")</f>
        <v/>
      </c>
    </row>
    <row r="2295" spans="1:48" ht="15" customHeight="1" x14ac:dyDescent="0.25">
      <c r="A2295" s="1"/>
      <c r="B2295" s="15">
        <v>18898</v>
      </c>
      <c r="C2295" s="16">
        <v>4623723193420</v>
      </c>
      <c r="D2295" s="226" t="s">
        <v>5663</v>
      </c>
      <c r="E2295" s="69">
        <v>20</v>
      </c>
      <c r="F2295" s="222"/>
      <c r="G2295" s="108">
        <v>142.5</v>
      </c>
      <c r="H2295" s="17">
        <v>149.6</v>
      </c>
      <c r="I2295" s="18">
        <v>160</v>
      </c>
      <c r="J2295" s="113" t="s">
        <v>1689</v>
      </c>
      <c r="K2295" s="44" t="s">
        <v>478</v>
      </c>
      <c r="L2295" s="442"/>
      <c r="M2295" s="480" t="s">
        <v>1856</v>
      </c>
      <c r="N2295" s="1015" t="s">
        <v>1856</v>
      </c>
      <c r="O2295" s="210"/>
      <c r="P2295" s="68" t="s">
        <v>100</v>
      </c>
      <c r="Q2295" s="100">
        <f t="shared" si="1259"/>
        <v>0</v>
      </c>
      <c r="R2295" s="13" t="str">
        <f t="shared" si="1260"/>
        <v>Фото &gt;&gt;</v>
      </c>
      <c r="S2295" s="14" t="s">
        <v>1686</v>
      </c>
      <c r="AK2295">
        <v>0.1</v>
      </c>
      <c r="AL2295">
        <f t="shared" si="1261"/>
        <v>0</v>
      </c>
      <c r="AM2295">
        <f t="shared" si="1262"/>
        <v>0</v>
      </c>
      <c r="AN2295">
        <f t="shared" si="1263"/>
        <v>0</v>
      </c>
      <c r="AO2295" t="s">
        <v>3631</v>
      </c>
      <c r="AV2295" t="str">
        <f>IF(F2295&gt;0,(COUNT($AV$1:AV2294)+1),"")</f>
        <v/>
      </c>
    </row>
    <row r="2296" spans="1:48" ht="15" customHeight="1" x14ac:dyDescent="0.25">
      <c r="A2296" s="1"/>
      <c r="B2296" s="19">
        <v>18900</v>
      </c>
      <c r="C2296" s="20">
        <v>4623722378781</v>
      </c>
      <c r="D2296" s="225" t="s">
        <v>5664</v>
      </c>
      <c r="E2296" s="67">
        <v>20</v>
      </c>
      <c r="F2296" s="222"/>
      <c r="G2296" s="107">
        <v>142.5</v>
      </c>
      <c r="H2296" s="21">
        <v>149.6</v>
      </c>
      <c r="I2296" s="22">
        <v>160</v>
      </c>
      <c r="J2296" s="112" t="s">
        <v>1689</v>
      </c>
      <c r="K2296" s="45" t="s">
        <v>478</v>
      </c>
      <c r="L2296" s="437"/>
      <c r="M2296" s="474" t="s">
        <v>1856</v>
      </c>
      <c r="N2296" s="1013" t="s">
        <v>1856</v>
      </c>
      <c r="O2296" s="209"/>
      <c r="P2296" s="66" t="s">
        <v>100</v>
      </c>
      <c r="Q2296" s="100">
        <f t="shared" si="1259"/>
        <v>0</v>
      </c>
      <c r="R2296" s="13" t="str">
        <f t="shared" si="1260"/>
        <v>Фото &gt;&gt;</v>
      </c>
      <c r="S2296" s="14" t="s">
        <v>1684</v>
      </c>
      <c r="AK2296">
        <v>0.1</v>
      </c>
      <c r="AL2296">
        <f t="shared" si="1261"/>
        <v>0</v>
      </c>
      <c r="AM2296">
        <f t="shared" si="1262"/>
        <v>0</v>
      </c>
      <c r="AN2296">
        <f t="shared" si="1263"/>
        <v>0</v>
      </c>
      <c r="AO2296" t="s">
        <v>3632</v>
      </c>
      <c r="AV2296" t="str">
        <f>IF(F2296&gt;0,(COUNT($AV$1:AV2295)+1),"")</f>
        <v/>
      </c>
    </row>
    <row r="2297" spans="1:48" ht="15" customHeight="1" x14ac:dyDescent="0.25">
      <c r="A2297" s="1"/>
      <c r="B2297" s="15">
        <v>18899</v>
      </c>
      <c r="C2297" s="16">
        <v>4623723193444</v>
      </c>
      <c r="D2297" s="154" t="s">
        <v>1679</v>
      </c>
      <c r="E2297" s="69">
        <v>20</v>
      </c>
      <c r="F2297" s="222"/>
      <c r="G2297" s="108">
        <v>142.5</v>
      </c>
      <c r="H2297" s="17">
        <v>149.6</v>
      </c>
      <c r="I2297" s="18">
        <v>160</v>
      </c>
      <c r="J2297" s="113" t="s">
        <v>1689</v>
      </c>
      <c r="K2297" s="44" t="s">
        <v>478</v>
      </c>
      <c r="L2297" s="442"/>
      <c r="M2297" s="480" t="s">
        <v>1856</v>
      </c>
      <c r="N2297" s="1015" t="s">
        <v>1856</v>
      </c>
      <c r="O2297" s="210"/>
      <c r="P2297" s="68" t="s">
        <v>100</v>
      </c>
      <c r="Q2297" s="100">
        <f t="shared" si="1259"/>
        <v>0</v>
      </c>
      <c r="R2297" s="13" t="str">
        <f t="shared" si="1260"/>
        <v>Фото &gt;&gt;</v>
      </c>
      <c r="S2297" s="14" t="s">
        <v>1687</v>
      </c>
      <c r="AK2297">
        <v>0.1</v>
      </c>
      <c r="AL2297">
        <f t="shared" si="1261"/>
        <v>0</v>
      </c>
      <c r="AM2297">
        <f t="shared" si="1262"/>
        <v>0</v>
      </c>
      <c r="AN2297">
        <f t="shared" si="1263"/>
        <v>0</v>
      </c>
      <c r="AO2297" t="s">
        <v>3635</v>
      </c>
      <c r="AV2297" t="str">
        <f>IF(F2297&gt;0,(COUNT($AV$1:AV2296)+1),"")</f>
        <v/>
      </c>
    </row>
    <row r="2298" spans="1:48" ht="15" customHeight="1" x14ac:dyDescent="0.25">
      <c r="A2298" s="1"/>
      <c r="B2298" s="19">
        <v>18901</v>
      </c>
      <c r="C2298" s="20">
        <v>4623722378798</v>
      </c>
      <c r="D2298" s="153" t="s">
        <v>1680</v>
      </c>
      <c r="E2298" s="67">
        <v>20</v>
      </c>
      <c r="F2298" s="222"/>
      <c r="G2298" s="107">
        <v>142.5</v>
      </c>
      <c r="H2298" s="21">
        <v>149.6</v>
      </c>
      <c r="I2298" s="22">
        <v>160</v>
      </c>
      <c r="J2298" s="112" t="s">
        <v>1689</v>
      </c>
      <c r="K2298" s="45" t="s">
        <v>478</v>
      </c>
      <c r="L2298" s="437"/>
      <c r="M2298" s="474" t="s">
        <v>1856</v>
      </c>
      <c r="N2298" s="1013" t="s">
        <v>1856</v>
      </c>
      <c r="O2298" s="209"/>
      <c r="P2298" s="66" t="s">
        <v>100</v>
      </c>
      <c r="Q2298" s="100">
        <f t="shared" si="1259"/>
        <v>0</v>
      </c>
      <c r="R2298" s="13" t="str">
        <f t="shared" si="1260"/>
        <v>Фото &gt;&gt;</v>
      </c>
      <c r="S2298" s="14" t="s">
        <v>1683</v>
      </c>
      <c r="AG2298" s="84"/>
      <c r="AH2298" s="84"/>
      <c r="AK2298">
        <v>0.1</v>
      </c>
      <c r="AL2298">
        <f t="shared" si="1261"/>
        <v>0</v>
      </c>
      <c r="AM2298">
        <f t="shared" si="1262"/>
        <v>0</v>
      </c>
      <c r="AN2298">
        <f t="shared" si="1263"/>
        <v>0</v>
      </c>
      <c r="AO2298" t="s">
        <v>3634</v>
      </c>
      <c r="AV2298" t="str">
        <f>IF(F2298&gt;0,(COUNT($AV$1:AV2297)+1),"")</f>
        <v/>
      </c>
    </row>
    <row r="2299" spans="1:48" ht="15" customHeight="1" x14ac:dyDescent="0.25">
      <c r="A2299" s="1"/>
      <c r="B2299" s="125"/>
      <c r="C2299" s="126"/>
      <c r="D2299" s="127"/>
      <c r="E2299" s="134"/>
      <c r="F2299" s="189"/>
      <c r="G2299" s="130"/>
      <c r="H2299" s="131"/>
      <c r="I2299" s="132"/>
      <c r="J2299" s="128"/>
      <c r="K2299" s="129"/>
      <c r="L2299" s="433"/>
      <c r="M2299" s="481" t="s">
        <v>104</v>
      </c>
      <c r="N2299" s="471"/>
      <c r="O2299" s="181"/>
      <c r="P2299" s="133"/>
      <c r="Q2299" s="135"/>
      <c r="R2299" s="13"/>
      <c r="S2299" s="14"/>
      <c r="AV2299" t="str">
        <f>IF(F2299&gt;0,(COUNT($AV$1:AV2298)+1),"")</f>
        <v/>
      </c>
    </row>
    <row r="2300" spans="1:48" ht="15" customHeight="1" thickBot="1" x14ac:dyDescent="0.3">
      <c r="A2300" s="1"/>
      <c r="B2300" s="158"/>
      <c r="C2300" s="159"/>
      <c r="D2300" s="160"/>
      <c r="E2300" s="167"/>
      <c r="F2300" s="191"/>
      <c r="G2300" s="163"/>
      <c r="H2300" s="164"/>
      <c r="I2300" s="165"/>
      <c r="J2300" s="161"/>
      <c r="K2300" s="162"/>
      <c r="L2300" s="439"/>
      <c r="M2300" s="475" t="s">
        <v>104</v>
      </c>
      <c r="N2300" s="467"/>
      <c r="O2300" s="183"/>
      <c r="P2300" s="166"/>
      <c r="Q2300" s="168"/>
      <c r="R2300" s="13"/>
      <c r="S2300" s="14"/>
      <c r="AV2300" t="str">
        <f>IF(F2300&gt;0,(COUNT($AV$1:AV2299)+1),"")</f>
        <v/>
      </c>
    </row>
    <row r="2301" spans="1:48" ht="24.95" customHeight="1" thickBot="1" x14ac:dyDescent="0.3">
      <c r="A2301" s="1"/>
      <c r="B2301" s="169"/>
      <c r="C2301" s="170"/>
      <c r="D2301" s="171" t="str">
        <f>CONCATENATE("Биопродукты","     |     Сумма заказа: ",AK2301," руб.")</f>
        <v>Биопродукты     |     Сумма заказа: 0 руб.</v>
      </c>
      <c r="E2301" s="176"/>
      <c r="F2301" s="177"/>
      <c r="G2301" s="180" t="str">
        <f>CONCATENATE("Ценовая колонка: ",AO2301,"   |   До следующей скидки: ",AJ2301," руб.")</f>
        <v>Ценовая колонка: 3   |   До следующей скидки: 5000 руб.</v>
      </c>
      <c r="H2301" s="174"/>
      <c r="I2301" s="174"/>
      <c r="J2301" s="172" t="s">
        <v>780</v>
      </c>
      <c r="K2301" s="173"/>
      <c r="L2301" s="444"/>
      <c r="M2301" s="486" t="s">
        <v>104</v>
      </c>
      <c r="N2301" s="717"/>
      <c r="O2301" s="184"/>
      <c r="P2301" s="175"/>
      <c r="Q2301" s="178"/>
      <c r="R2301" s="179" t="s">
        <v>1558</v>
      </c>
      <c r="S2301" s="14"/>
      <c r="AJ2301">
        <f>ROUND(IF(AL2301&gt;25000,"0", IF(AND(AL2301&lt;25000,AM2301&gt;5000),25000-AL2301,5000-AM2301)),2)</f>
        <v>5000</v>
      </c>
      <c r="AK2301">
        <f>SUM(Q2303:Q2345)</f>
        <v>0</v>
      </c>
      <c r="AL2301">
        <f>SUM(AL2303:AL2345)</f>
        <v>0</v>
      </c>
      <c r="AM2301">
        <f>SUM(AM2303:AM2345)</f>
        <v>0</v>
      </c>
      <c r="AO2301">
        <f>IF(AM2301&gt;5000,IF(AL2301&gt;25000,1,2),3)</f>
        <v>3</v>
      </c>
      <c r="AV2301" t="str">
        <f>IF(F2301&gt;0,(COUNT($AV$1:AV2300)+1),"")</f>
        <v/>
      </c>
    </row>
    <row r="2302" spans="1:48" ht="27.95" customHeight="1" x14ac:dyDescent="0.25">
      <c r="A2302" s="1"/>
      <c r="B2302" s="296"/>
      <c r="C2302" s="38"/>
      <c r="D2302" s="39" t="s">
        <v>1954</v>
      </c>
      <c r="E2302" s="82"/>
      <c r="F2302" s="97"/>
      <c r="G2302" s="1235" t="s">
        <v>7589</v>
      </c>
      <c r="H2302" s="1116" t="s">
        <v>16</v>
      </c>
      <c r="I2302" s="29"/>
      <c r="J2302" s="52"/>
      <c r="K2302" s="48"/>
      <c r="L2302" s="448"/>
      <c r="M2302" s="491" t="s">
        <v>104</v>
      </c>
      <c r="N2302" s="715"/>
      <c r="O2302" s="187"/>
      <c r="P2302" s="81"/>
      <c r="Q2302" s="105"/>
      <c r="R2302" s="13"/>
      <c r="S2302" s="14"/>
      <c r="AV2302" t="str">
        <f>IF(F2302&gt;0,(COUNT($AV$1:AV2301)+1),"")</f>
        <v/>
      </c>
    </row>
    <row r="2303" spans="1:48" ht="15" customHeight="1" x14ac:dyDescent="0.25">
      <c r="A2303" s="1"/>
      <c r="B2303" s="30">
        <v>21545</v>
      </c>
      <c r="C2303" s="20"/>
      <c r="D2303" s="421" t="s">
        <v>7320</v>
      </c>
      <c r="E2303" s="324">
        <v>20</v>
      </c>
      <c r="F2303" s="222"/>
      <c r="G2303" s="107">
        <v>46.3</v>
      </c>
      <c r="H2303" s="21">
        <v>48.5</v>
      </c>
      <c r="I2303" s="22">
        <v>53</v>
      </c>
      <c r="J2303" s="112" t="s">
        <v>780</v>
      </c>
      <c r="K2303" s="45" t="s">
        <v>96</v>
      </c>
      <c r="L2303" s="437"/>
      <c r="M2303" s="474"/>
      <c r="N2303" s="1013" t="s">
        <v>1856</v>
      </c>
      <c r="O2303" s="1184" t="s">
        <v>7315</v>
      </c>
      <c r="P2303" s="66" t="s">
        <v>100</v>
      </c>
      <c r="Q2303" s="100">
        <f>IF(AND($AO$2301=1,MOD(F2303,E2303)=0),F2303*G2303,IF($AO$2301&lt;=2,F2303*H2303,F2303*I2303))</f>
        <v>0</v>
      </c>
      <c r="R2303" s="94" t="str">
        <f>IF(AO2303&gt;0,HYPERLINK(AO2303,"Фото &gt;&gt;"),"")</f>
        <v>Фото &gt;&gt;</v>
      </c>
      <c r="S2303" s="14" t="s">
        <v>7321</v>
      </c>
      <c r="AK2303">
        <v>0.05</v>
      </c>
      <c r="AL2303">
        <f>F2303*G2303</f>
        <v>0</v>
      </c>
      <c r="AM2303">
        <f>F2303*H2303</f>
        <v>0</v>
      </c>
      <c r="AN2303">
        <f t="shared" ref="AN2303:AN2313" si="1264">AK2303*F2303+IF(E2303&gt;1.01,F2303/E2303*0.2,0)</f>
        <v>0</v>
      </c>
      <c r="AO2303" t="s">
        <v>7316</v>
      </c>
      <c r="AV2303" t="str">
        <f>IF(F2303&gt;0,(COUNT($AV$1:AV2302)+1),"")</f>
        <v/>
      </c>
    </row>
    <row r="2304" spans="1:48" ht="15" customHeight="1" x14ac:dyDescent="0.25">
      <c r="A2304" s="1"/>
      <c r="B2304" s="31">
        <v>21544</v>
      </c>
      <c r="C2304" s="16"/>
      <c r="D2304" s="422" t="s">
        <v>7319</v>
      </c>
      <c r="E2304" s="323">
        <v>20</v>
      </c>
      <c r="F2304" s="222"/>
      <c r="G2304" s="108">
        <v>71.3</v>
      </c>
      <c r="H2304" s="17">
        <v>74.8</v>
      </c>
      <c r="I2304" s="18">
        <v>80</v>
      </c>
      <c r="J2304" s="113" t="s">
        <v>780</v>
      </c>
      <c r="K2304" s="44" t="s">
        <v>96</v>
      </c>
      <c r="L2304" s="442"/>
      <c r="M2304" s="480"/>
      <c r="N2304" s="1015"/>
      <c r="O2304" s="210" t="s">
        <v>7315</v>
      </c>
      <c r="P2304" s="68" t="s">
        <v>100</v>
      </c>
      <c r="Q2304" s="100">
        <f>IF(AND($AO$2301=1,MOD(F2304,E2304)=0),F2304*G2304,IF($AO$2301&lt;=2,F2304*H2304,F2304*I2304))</f>
        <v>0</v>
      </c>
      <c r="R2304" s="94" t="str">
        <f>IF(AO2304&gt;0,HYPERLINK(AO2304,"Фото &gt;&gt;"),"")</f>
        <v>Фото &gt;&gt;</v>
      </c>
      <c r="S2304" s="14" t="s">
        <v>7318</v>
      </c>
      <c r="AK2304">
        <v>0.05</v>
      </c>
      <c r="AL2304">
        <f>F2304*G2304</f>
        <v>0</v>
      </c>
      <c r="AM2304">
        <f>F2304*H2304</f>
        <v>0</v>
      </c>
      <c r="AN2304">
        <f t="shared" ref="AN2304" si="1265">AK2304*F2304+IF(E2304&gt;1.01,F2304/E2304*0.2,0)</f>
        <v>0</v>
      </c>
      <c r="AO2304" t="s">
        <v>7317</v>
      </c>
      <c r="AV2304" t="str">
        <f>IF(F2304&gt;0,(COUNT($AV$1:AV2303)+1),"")</f>
        <v/>
      </c>
    </row>
    <row r="2305" spans="1:48" ht="15" customHeight="1" x14ac:dyDescent="0.25">
      <c r="A2305" s="1"/>
      <c r="B2305" s="30">
        <v>21083</v>
      </c>
      <c r="C2305" s="20">
        <v>4670033531893</v>
      </c>
      <c r="D2305" s="225" t="s">
        <v>6395</v>
      </c>
      <c r="E2305" s="324">
        <v>20</v>
      </c>
      <c r="F2305" s="222"/>
      <c r="G2305" s="107">
        <v>42.5</v>
      </c>
      <c r="H2305" s="21">
        <v>44.3</v>
      </c>
      <c r="I2305" s="22">
        <v>49</v>
      </c>
      <c r="J2305" s="112" t="s">
        <v>780</v>
      </c>
      <c r="K2305" s="45" t="s">
        <v>96</v>
      </c>
      <c r="L2305" s="437"/>
      <c r="M2305" s="474"/>
      <c r="N2305" s="1013" t="s">
        <v>1856</v>
      </c>
      <c r="O2305" s="1185" t="s">
        <v>2271</v>
      </c>
      <c r="P2305" s="66" t="s">
        <v>100</v>
      </c>
      <c r="Q2305" s="100">
        <f>IF(AND($AO$2301=1,MOD(F2305,E2305)=0),F2305*G2305,IF($AO$2301&lt;=2,F2305*H2305,F2305*I2305))</f>
        <v>0</v>
      </c>
      <c r="R2305" s="94" t="str">
        <f t="shared" ref="R2305:R2309" si="1266">IF(AO2305&gt;0,HYPERLINK(AO2305,"Фото &gt;&gt;"),"")</f>
        <v>Фото &gt;&gt;</v>
      </c>
      <c r="S2305" s="14" t="s">
        <v>5963</v>
      </c>
      <c r="AK2305">
        <v>0.05</v>
      </c>
      <c r="AL2305">
        <f t="shared" ref="AL2305:AL2310" si="1267">F2305*G2305</f>
        <v>0</v>
      </c>
      <c r="AM2305">
        <f t="shared" ref="AM2305:AM2310" si="1268">F2305*H2305</f>
        <v>0</v>
      </c>
      <c r="AN2305">
        <f t="shared" ref="AN2305:AN2310" si="1269">AK2305*F2305+IF(E2305&gt;1.01,F2305/E2305*0.2,0)</f>
        <v>0</v>
      </c>
      <c r="AO2305" t="s">
        <v>5960</v>
      </c>
      <c r="AV2305" t="str">
        <f>IF(F2305&gt;0,(COUNT($AV$1:AV2304)+1),"")</f>
        <v/>
      </c>
    </row>
    <row r="2306" spans="1:48" ht="15" customHeight="1" x14ac:dyDescent="0.25">
      <c r="A2306" s="1"/>
      <c r="B2306" s="31">
        <v>21084</v>
      </c>
      <c r="C2306" s="16">
        <v>4670033531756</v>
      </c>
      <c r="D2306" s="226" t="s">
        <v>6396</v>
      </c>
      <c r="E2306" s="323">
        <v>20</v>
      </c>
      <c r="F2306" s="222"/>
      <c r="G2306" s="108">
        <v>46.3</v>
      </c>
      <c r="H2306" s="17">
        <v>48.2</v>
      </c>
      <c r="I2306" s="18">
        <v>53</v>
      </c>
      <c r="J2306" s="113" t="s">
        <v>780</v>
      </c>
      <c r="K2306" s="44" t="s">
        <v>96</v>
      </c>
      <c r="L2306" s="442"/>
      <c r="M2306" s="480"/>
      <c r="N2306" s="1015" t="s">
        <v>1856</v>
      </c>
      <c r="O2306" s="217" t="s">
        <v>2271</v>
      </c>
      <c r="P2306" s="68" t="s">
        <v>100</v>
      </c>
      <c r="Q2306" s="100">
        <f>IF(AND($AO$2301=1,MOD(F2306,E2306)=0),F2306*G2306,IF($AO$2301&lt;=2,F2306*H2306,F2306*I2306))</f>
        <v>0</v>
      </c>
      <c r="R2306" s="94" t="str">
        <f t="shared" si="1266"/>
        <v>Фото &gt;&gt;</v>
      </c>
      <c r="S2306" s="14" t="s">
        <v>5964</v>
      </c>
      <c r="AK2306">
        <v>0.05</v>
      </c>
      <c r="AL2306">
        <f t="shared" si="1267"/>
        <v>0</v>
      </c>
      <c r="AM2306">
        <f t="shared" si="1268"/>
        <v>0</v>
      </c>
      <c r="AN2306">
        <f t="shared" si="1269"/>
        <v>0</v>
      </c>
      <c r="AO2306" t="s">
        <v>5961</v>
      </c>
      <c r="AV2306" t="str">
        <f>IF(F2306&gt;0,(COUNT($AV$1:AV2305)+1),"")</f>
        <v/>
      </c>
    </row>
    <row r="2307" spans="1:48" ht="15" customHeight="1" x14ac:dyDescent="0.25">
      <c r="A2307" s="1"/>
      <c r="B2307" s="30">
        <v>21085</v>
      </c>
      <c r="C2307" s="20">
        <v>4670033531848</v>
      </c>
      <c r="D2307" s="225" t="s">
        <v>6397</v>
      </c>
      <c r="E2307" s="324">
        <v>20</v>
      </c>
      <c r="F2307" s="222"/>
      <c r="G2307" s="107">
        <v>42.5</v>
      </c>
      <c r="H2307" s="21">
        <v>44.5</v>
      </c>
      <c r="I2307" s="22">
        <v>50</v>
      </c>
      <c r="J2307" s="112" t="s">
        <v>780</v>
      </c>
      <c r="K2307" s="45" t="s">
        <v>96</v>
      </c>
      <c r="L2307" s="437"/>
      <c r="M2307" s="474"/>
      <c r="N2307" s="1013" t="s">
        <v>1856</v>
      </c>
      <c r="O2307" s="1185" t="s">
        <v>2271</v>
      </c>
      <c r="P2307" s="66" t="s">
        <v>100</v>
      </c>
      <c r="Q2307" s="100">
        <f>IF(AND($AO$2301=1,MOD(F2307,E2307)=0),F2307*G2307,IF($AO$2301&lt;=2,F2307*H2307,F2307*I2307))</f>
        <v>0</v>
      </c>
      <c r="R2307" s="94" t="str">
        <f t="shared" si="1266"/>
        <v>Фото &gt;&gt;</v>
      </c>
      <c r="S2307" s="14" t="s">
        <v>5965</v>
      </c>
      <c r="AK2307">
        <v>0.05</v>
      </c>
      <c r="AL2307">
        <f t="shared" si="1267"/>
        <v>0</v>
      </c>
      <c r="AM2307">
        <f t="shared" si="1268"/>
        <v>0</v>
      </c>
      <c r="AN2307">
        <f t="shared" si="1269"/>
        <v>0</v>
      </c>
      <c r="AO2307" t="s">
        <v>5962</v>
      </c>
      <c r="AV2307" t="str">
        <f>IF(F2307&gt;0,(COUNT($AV$1:AV2306)+1),"")</f>
        <v/>
      </c>
    </row>
    <row r="2308" spans="1:48" ht="15" customHeight="1" x14ac:dyDescent="0.25">
      <c r="A2308" s="1"/>
      <c r="B2308" s="25"/>
      <c r="C2308" s="26"/>
      <c r="D2308" s="27" t="s">
        <v>1954</v>
      </c>
      <c r="E2308" s="80"/>
      <c r="F2308" s="96"/>
      <c r="G2308" s="28"/>
      <c r="H2308" s="29"/>
      <c r="I2308" s="29"/>
      <c r="J2308" s="51"/>
      <c r="K2308" s="47"/>
      <c r="L2308" s="447"/>
      <c r="M2308" s="489" t="s">
        <v>104</v>
      </c>
      <c r="N2308" s="716"/>
      <c r="O2308" s="186"/>
      <c r="P2308" s="79"/>
      <c r="Q2308" s="79"/>
      <c r="R2308" s="13" t="str">
        <f t="shared" si="1266"/>
        <v/>
      </c>
      <c r="S2308" s="14"/>
      <c r="AV2308" t="str">
        <f>IF(F2308&gt;0,(COUNT($AV$1:AV2307)+1),"")</f>
        <v/>
      </c>
    </row>
    <row r="2309" spans="1:48" ht="15" customHeight="1" x14ac:dyDescent="0.25">
      <c r="A2309" s="1"/>
      <c r="B2309" s="30">
        <v>19720</v>
      </c>
      <c r="C2309" s="20">
        <v>4670033530452</v>
      </c>
      <c r="D2309" s="225" t="s">
        <v>2414</v>
      </c>
      <c r="E2309" s="67">
        <v>20</v>
      </c>
      <c r="F2309" s="222"/>
      <c r="G2309" s="107">
        <v>87.5</v>
      </c>
      <c r="H2309" s="21">
        <v>91.5</v>
      </c>
      <c r="I2309" s="22">
        <v>100</v>
      </c>
      <c r="J2309" s="112" t="s">
        <v>780</v>
      </c>
      <c r="K2309" s="45" t="s">
        <v>428</v>
      </c>
      <c r="L2309" s="437"/>
      <c r="M2309" s="474" t="s">
        <v>1856</v>
      </c>
      <c r="N2309" s="1013" t="s">
        <v>1856</v>
      </c>
      <c r="O2309" s="209"/>
      <c r="P2309" s="66" t="s">
        <v>72</v>
      </c>
      <c r="Q2309" s="100">
        <f t="shared" ref="Q2309:Q2327" si="1270">IF(AND($AO$2301=1,MOD(F2309,E2309)=0),F2309*G2309,IF($AO$2301&lt;=2,F2309*H2309,F2309*I2309))</f>
        <v>0</v>
      </c>
      <c r="R2309" s="13" t="str">
        <f t="shared" si="1266"/>
        <v>Фото &gt;&gt;</v>
      </c>
      <c r="S2309" s="14" t="s">
        <v>1965</v>
      </c>
      <c r="AK2309">
        <v>0.1</v>
      </c>
      <c r="AL2309">
        <f t="shared" si="1267"/>
        <v>0</v>
      </c>
      <c r="AM2309">
        <f t="shared" si="1268"/>
        <v>0</v>
      </c>
      <c r="AN2309">
        <f t="shared" si="1269"/>
        <v>0</v>
      </c>
      <c r="AO2309" t="s">
        <v>2760</v>
      </c>
      <c r="AV2309" t="str">
        <f>IF(F2309&gt;0,(COUNT($AV$1:AV2308)+1),"")</f>
        <v/>
      </c>
    </row>
    <row r="2310" spans="1:48" ht="15" customHeight="1" x14ac:dyDescent="0.25">
      <c r="A2310" s="1"/>
      <c r="B2310" s="31">
        <v>19717</v>
      </c>
      <c r="C2310" s="16">
        <v>4670033530735</v>
      </c>
      <c r="D2310" s="226" t="s">
        <v>2415</v>
      </c>
      <c r="E2310" s="69">
        <v>20</v>
      </c>
      <c r="F2310" s="222"/>
      <c r="G2310" s="108">
        <v>86.3</v>
      </c>
      <c r="H2310" s="17">
        <v>91.5</v>
      </c>
      <c r="I2310" s="18">
        <v>99</v>
      </c>
      <c r="J2310" s="113" t="s">
        <v>780</v>
      </c>
      <c r="K2310" s="44" t="s">
        <v>428</v>
      </c>
      <c r="L2310" s="442"/>
      <c r="M2310" s="480" t="s">
        <v>1856</v>
      </c>
      <c r="N2310" s="1015" t="s">
        <v>1856</v>
      </c>
      <c r="O2310" s="210"/>
      <c r="P2310" s="68" t="s">
        <v>72</v>
      </c>
      <c r="Q2310" s="100">
        <f t="shared" si="1270"/>
        <v>0</v>
      </c>
      <c r="R2310" s="13" t="str">
        <f t="shared" ref="R2310:R2327" si="1271">IF(AO2310&gt;0,HYPERLINK(AO2310,"Фото &gt;&gt;"),"")</f>
        <v>Фото &gt;&gt;</v>
      </c>
      <c r="S2310" s="14" t="s">
        <v>1961</v>
      </c>
      <c r="AK2310">
        <v>0.1</v>
      </c>
      <c r="AL2310">
        <f t="shared" si="1267"/>
        <v>0</v>
      </c>
      <c r="AM2310">
        <f t="shared" si="1268"/>
        <v>0</v>
      </c>
      <c r="AN2310">
        <f t="shared" si="1269"/>
        <v>0</v>
      </c>
      <c r="AO2310" t="s">
        <v>2761</v>
      </c>
      <c r="AV2310" t="str">
        <f>IF(F2310&gt;0,(COUNT($AV$1:AV2309)+1),"")</f>
        <v/>
      </c>
    </row>
    <row r="2311" spans="1:48" ht="15" customHeight="1" x14ac:dyDescent="0.25">
      <c r="A2311" s="1"/>
      <c r="B2311" s="30">
        <v>19718</v>
      </c>
      <c r="C2311" s="20">
        <v>4670033530742</v>
      </c>
      <c r="D2311" s="225" t="s">
        <v>2416</v>
      </c>
      <c r="E2311" s="67">
        <v>20</v>
      </c>
      <c r="F2311" s="222"/>
      <c r="G2311" s="107">
        <v>85</v>
      </c>
      <c r="H2311" s="21">
        <v>89.3</v>
      </c>
      <c r="I2311" s="22">
        <v>97</v>
      </c>
      <c r="J2311" s="112" t="s">
        <v>780</v>
      </c>
      <c r="K2311" s="45" t="s">
        <v>428</v>
      </c>
      <c r="L2311" s="437"/>
      <c r="M2311" s="474" t="s">
        <v>1856</v>
      </c>
      <c r="N2311" s="1013" t="s">
        <v>1856</v>
      </c>
      <c r="O2311" s="209"/>
      <c r="P2311" s="66" t="s">
        <v>72</v>
      </c>
      <c r="Q2311" s="100">
        <f t="shared" si="1270"/>
        <v>0</v>
      </c>
      <c r="R2311" s="13" t="str">
        <f t="shared" si="1271"/>
        <v>Фото &gt;&gt;</v>
      </c>
      <c r="S2311" s="14" t="s">
        <v>1962</v>
      </c>
      <c r="AK2311">
        <v>0.1</v>
      </c>
      <c r="AL2311">
        <f t="shared" ref="AL2311:AL2329" si="1272">F2311*G2311</f>
        <v>0</v>
      </c>
      <c r="AM2311">
        <f t="shared" ref="AM2311:AM2329" si="1273">F2311*H2311</f>
        <v>0</v>
      </c>
      <c r="AN2311">
        <f t="shared" si="1264"/>
        <v>0</v>
      </c>
      <c r="AO2311" t="s">
        <v>2762</v>
      </c>
      <c r="AV2311" t="str">
        <f>IF(F2311&gt;0,(COUNT($AV$1:AV2310)+1),"")</f>
        <v/>
      </c>
    </row>
    <row r="2312" spans="1:48" ht="15" customHeight="1" x14ac:dyDescent="0.25">
      <c r="A2312" s="1"/>
      <c r="B2312" s="31">
        <v>19719</v>
      </c>
      <c r="C2312" s="16">
        <v>4670033530759</v>
      </c>
      <c r="D2312" s="226" t="s">
        <v>2417</v>
      </c>
      <c r="E2312" s="69">
        <v>20</v>
      </c>
      <c r="F2312" s="222"/>
      <c r="G2312" s="108">
        <v>88.7</v>
      </c>
      <c r="H2312" s="17">
        <v>93</v>
      </c>
      <c r="I2312" s="18">
        <v>101</v>
      </c>
      <c r="J2312" s="113" t="s">
        <v>780</v>
      </c>
      <c r="K2312" s="44" t="s">
        <v>428</v>
      </c>
      <c r="L2312" s="442"/>
      <c r="M2312" s="480" t="s">
        <v>1856</v>
      </c>
      <c r="N2312" s="1015" t="s">
        <v>1856</v>
      </c>
      <c r="O2312" s="210"/>
      <c r="P2312" s="68" t="s">
        <v>72</v>
      </c>
      <c r="Q2312" s="100">
        <f t="shared" si="1270"/>
        <v>0</v>
      </c>
      <c r="R2312" s="13" t="str">
        <f t="shared" si="1271"/>
        <v>Фото &gt;&gt;</v>
      </c>
      <c r="S2312" s="14" t="s">
        <v>1963</v>
      </c>
      <c r="AK2312">
        <v>0.1</v>
      </c>
      <c r="AL2312">
        <f t="shared" si="1272"/>
        <v>0</v>
      </c>
      <c r="AM2312">
        <f t="shared" si="1273"/>
        <v>0</v>
      </c>
      <c r="AN2312">
        <f t="shared" si="1264"/>
        <v>0</v>
      </c>
      <c r="AO2312" t="s">
        <v>2763</v>
      </c>
      <c r="AV2312" t="str">
        <f>IF(F2312&gt;0,(COUNT($AV$1:AV2311)+1),"")</f>
        <v/>
      </c>
    </row>
    <row r="2313" spans="1:48" ht="15" customHeight="1" x14ac:dyDescent="0.25">
      <c r="A2313" s="1"/>
      <c r="B2313" s="30">
        <v>19721</v>
      </c>
      <c r="C2313" s="20">
        <v>4670033530766</v>
      </c>
      <c r="D2313" s="225" t="s">
        <v>2418</v>
      </c>
      <c r="E2313" s="67">
        <v>20</v>
      </c>
      <c r="F2313" s="222"/>
      <c r="G2313" s="107">
        <v>90</v>
      </c>
      <c r="H2313" s="21">
        <v>94.2</v>
      </c>
      <c r="I2313" s="22">
        <v>102.5</v>
      </c>
      <c r="J2313" s="112" t="s">
        <v>780</v>
      </c>
      <c r="K2313" s="45" t="s">
        <v>428</v>
      </c>
      <c r="L2313" s="437"/>
      <c r="M2313" s="474" t="s">
        <v>1856</v>
      </c>
      <c r="N2313" s="1013" t="s">
        <v>1856</v>
      </c>
      <c r="O2313" s="209"/>
      <c r="P2313" s="66" t="s">
        <v>72</v>
      </c>
      <c r="Q2313" s="100">
        <f t="shared" si="1270"/>
        <v>0</v>
      </c>
      <c r="R2313" s="13" t="str">
        <f t="shared" si="1271"/>
        <v>Фото &gt;&gt;</v>
      </c>
      <c r="S2313" s="14" t="s">
        <v>1964</v>
      </c>
      <c r="AK2313">
        <v>0.1</v>
      </c>
      <c r="AL2313">
        <f t="shared" si="1272"/>
        <v>0</v>
      </c>
      <c r="AM2313">
        <f t="shared" si="1273"/>
        <v>0</v>
      </c>
      <c r="AN2313">
        <f t="shared" si="1264"/>
        <v>0</v>
      </c>
      <c r="AO2313" t="s">
        <v>2764</v>
      </c>
      <c r="AV2313" t="str">
        <f>IF(F2313&gt;0,(COUNT($AV$1:AV2312)+1),"")</f>
        <v/>
      </c>
    </row>
    <row r="2314" spans="1:48" ht="15" customHeight="1" x14ac:dyDescent="0.25">
      <c r="A2314" s="1"/>
      <c r="B2314" s="31">
        <v>20962</v>
      </c>
      <c r="C2314" s="16">
        <v>1467003353289</v>
      </c>
      <c r="D2314" s="226" t="s">
        <v>6378</v>
      </c>
      <c r="E2314" s="69">
        <v>20</v>
      </c>
      <c r="F2314" s="222"/>
      <c r="G2314" s="108">
        <v>76.3</v>
      </c>
      <c r="H2314" s="17">
        <v>80</v>
      </c>
      <c r="I2314" s="18">
        <v>87</v>
      </c>
      <c r="J2314" s="113" t="s">
        <v>780</v>
      </c>
      <c r="K2314" s="44" t="s">
        <v>428</v>
      </c>
      <c r="L2314" s="442"/>
      <c r="M2314" s="480" t="s">
        <v>1856</v>
      </c>
      <c r="N2314" s="1015" t="s">
        <v>1856</v>
      </c>
      <c r="O2314" s="210"/>
      <c r="P2314" s="68" t="s">
        <v>72</v>
      </c>
      <c r="Q2314" s="100">
        <f t="shared" si="1270"/>
        <v>0</v>
      </c>
      <c r="R2314" s="13" t="str">
        <f t="shared" ref="R2314:R2325" si="1274">IF(AO2314&gt;0,HYPERLINK(AO2314,"Фото &gt;&gt;"),"")</f>
        <v>Фото &gt;&gt;</v>
      </c>
      <c r="S2314" s="14" t="s">
        <v>5726</v>
      </c>
      <c r="AK2314">
        <v>7.0000000000000007E-2</v>
      </c>
      <c r="AL2314">
        <f t="shared" ref="AL2314:AL2325" si="1275">F2314*G2314</f>
        <v>0</v>
      </c>
      <c r="AM2314">
        <f t="shared" ref="AM2314:AM2325" si="1276">F2314*H2314</f>
        <v>0</v>
      </c>
      <c r="AN2314">
        <f t="shared" ref="AN2314:AN2325" si="1277">AK2314*F2314+IF(E2314&gt;1.01,F2314/E2314*0.2,0)</f>
        <v>0</v>
      </c>
      <c r="AO2314" t="s">
        <v>5731</v>
      </c>
      <c r="AV2314" t="str">
        <f>IF(F2314&gt;0,(COUNT($AV$1:AV2313)+1),"")</f>
        <v/>
      </c>
    </row>
    <row r="2315" spans="1:48" ht="15" customHeight="1" x14ac:dyDescent="0.25">
      <c r="A2315" s="1"/>
      <c r="B2315" s="30">
        <v>19723</v>
      </c>
      <c r="C2315" s="20">
        <v>4670033530179</v>
      </c>
      <c r="D2315" s="225" t="s">
        <v>2419</v>
      </c>
      <c r="E2315" s="67">
        <v>20</v>
      </c>
      <c r="F2315" s="222"/>
      <c r="G2315" s="107">
        <v>73.7</v>
      </c>
      <c r="H2315" s="21">
        <v>78.5</v>
      </c>
      <c r="I2315" s="22">
        <v>86</v>
      </c>
      <c r="J2315" s="112" t="s">
        <v>780</v>
      </c>
      <c r="K2315" s="45" t="s">
        <v>428</v>
      </c>
      <c r="L2315" s="437"/>
      <c r="M2315" s="474" t="s">
        <v>1856</v>
      </c>
      <c r="N2315" s="1013" t="s">
        <v>1856</v>
      </c>
      <c r="O2315" s="209"/>
      <c r="P2315" s="66" t="s">
        <v>72</v>
      </c>
      <c r="Q2315" s="100">
        <f t="shared" si="1270"/>
        <v>0</v>
      </c>
      <c r="R2315" s="13" t="str">
        <f t="shared" si="1274"/>
        <v>Фото &gt;&gt;</v>
      </c>
      <c r="S2315" s="14" t="s">
        <v>1955</v>
      </c>
      <c r="AK2315">
        <v>7.0000000000000007E-2</v>
      </c>
      <c r="AL2315">
        <f t="shared" si="1275"/>
        <v>0</v>
      </c>
      <c r="AM2315">
        <f t="shared" si="1276"/>
        <v>0</v>
      </c>
      <c r="AN2315">
        <f t="shared" si="1277"/>
        <v>0</v>
      </c>
      <c r="AO2315" t="s">
        <v>6024</v>
      </c>
      <c r="AV2315" t="str">
        <f>IF(F2315&gt;0,(COUNT($AV$1:AV2314)+1),"")</f>
        <v/>
      </c>
    </row>
    <row r="2316" spans="1:48" ht="15" customHeight="1" x14ac:dyDescent="0.25">
      <c r="A2316" s="1"/>
      <c r="B2316" s="31">
        <v>20960</v>
      </c>
      <c r="C2316" s="16">
        <v>1467003353284</v>
      </c>
      <c r="D2316" s="226" t="s">
        <v>6379</v>
      </c>
      <c r="E2316" s="69">
        <v>20</v>
      </c>
      <c r="F2316" s="222"/>
      <c r="G2316" s="108">
        <v>73.7</v>
      </c>
      <c r="H2316" s="17">
        <v>78.5</v>
      </c>
      <c r="I2316" s="18">
        <v>86</v>
      </c>
      <c r="J2316" s="113" t="s">
        <v>780</v>
      </c>
      <c r="K2316" s="44" t="s">
        <v>428</v>
      </c>
      <c r="L2316" s="442"/>
      <c r="M2316" s="480" t="s">
        <v>1856</v>
      </c>
      <c r="N2316" s="1015" t="s">
        <v>1856</v>
      </c>
      <c r="O2316" s="210"/>
      <c r="P2316" s="68" t="s">
        <v>72</v>
      </c>
      <c r="Q2316" s="100">
        <f t="shared" si="1270"/>
        <v>0</v>
      </c>
      <c r="R2316" s="13" t="str">
        <f t="shared" si="1274"/>
        <v>Фото &gt;&gt;</v>
      </c>
      <c r="S2316" s="14" t="s">
        <v>5727</v>
      </c>
      <c r="AK2316">
        <v>7.0000000000000007E-2</v>
      </c>
      <c r="AL2316">
        <f t="shared" si="1275"/>
        <v>0</v>
      </c>
      <c r="AM2316">
        <f t="shared" si="1276"/>
        <v>0</v>
      </c>
      <c r="AN2316">
        <f t="shared" si="1277"/>
        <v>0</v>
      </c>
      <c r="AO2316" t="s">
        <v>5732</v>
      </c>
      <c r="AV2316" t="str">
        <f>IF(F2316&gt;0,(COUNT($AV$1:AV2315)+1),"")</f>
        <v/>
      </c>
    </row>
    <row r="2317" spans="1:48" ht="15" customHeight="1" x14ac:dyDescent="0.25">
      <c r="A2317" s="1"/>
      <c r="B2317" s="30">
        <v>20961</v>
      </c>
      <c r="C2317" s="20">
        <v>1467003353286</v>
      </c>
      <c r="D2317" s="225" t="s">
        <v>6380</v>
      </c>
      <c r="E2317" s="67">
        <v>20</v>
      </c>
      <c r="F2317" s="222"/>
      <c r="G2317" s="107">
        <v>72.5</v>
      </c>
      <c r="H2317" s="21">
        <v>76</v>
      </c>
      <c r="I2317" s="22">
        <v>83</v>
      </c>
      <c r="J2317" s="112" t="s">
        <v>780</v>
      </c>
      <c r="K2317" s="45" t="s">
        <v>428</v>
      </c>
      <c r="L2317" s="437"/>
      <c r="M2317" s="474" t="s">
        <v>1856</v>
      </c>
      <c r="N2317" s="1013" t="s">
        <v>1856</v>
      </c>
      <c r="O2317" s="209"/>
      <c r="P2317" s="66" t="s">
        <v>72</v>
      </c>
      <c r="Q2317" s="100">
        <f t="shared" si="1270"/>
        <v>0</v>
      </c>
      <c r="R2317" s="13" t="str">
        <f t="shared" si="1274"/>
        <v>Фото &gt;&gt;</v>
      </c>
      <c r="S2317" s="14" t="s">
        <v>5728</v>
      </c>
      <c r="AK2317">
        <v>7.0000000000000007E-2</v>
      </c>
      <c r="AL2317">
        <f t="shared" si="1275"/>
        <v>0</v>
      </c>
      <c r="AM2317">
        <f t="shared" si="1276"/>
        <v>0</v>
      </c>
      <c r="AN2317">
        <f t="shared" si="1277"/>
        <v>0</v>
      </c>
      <c r="AO2317" t="s">
        <v>5733</v>
      </c>
      <c r="AV2317" t="str">
        <f>IF(F2317&gt;0,(COUNT($AV$1:AV2316)+1),"")</f>
        <v/>
      </c>
    </row>
    <row r="2318" spans="1:48" ht="15" customHeight="1" x14ac:dyDescent="0.25">
      <c r="A2318" s="1"/>
      <c r="B2318" s="31">
        <v>19726</v>
      </c>
      <c r="C2318" s="16">
        <v>4670033530230</v>
      </c>
      <c r="D2318" s="226" t="s">
        <v>2420</v>
      </c>
      <c r="E2318" s="69">
        <v>20</v>
      </c>
      <c r="F2318" s="222"/>
      <c r="G2318" s="108">
        <v>73.7</v>
      </c>
      <c r="H2318" s="17">
        <v>78.5</v>
      </c>
      <c r="I2318" s="18">
        <v>86</v>
      </c>
      <c r="J2318" s="113" t="s">
        <v>780</v>
      </c>
      <c r="K2318" s="44" t="s">
        <v>428</v>
      </c>
      <c r="L2318" s="442"/>
      <c r="M2318" s="480" t="s">
        <v>1856</v>
      </c>
      <c r="N2318" s="1015" t="s">
        <v>1856</v>
      </c>
      <c r="O2318" s="210"/>
      <c r="P2318" s="68" t="s">
        <v>72</v>
      </c>
      <c r="Q2318" s="100">
        <f t="shared" si="1270"/>
        <v>0</v>
      </c>
      <c r="R2318" s="13" t="str">
        <f t="shared" si="1274"/>
        <v>Фото &gt;&gt;</v>
      </c>
      <c r="S2318" s="14" t="s">
        <v>1957</v>
      </c>
      <c r="AK2318">
        <v>7.0000000000000007E-2</v>
      </c>
      <c r="AL2318">
        <f t="shared" si="1275"/>
        <v>0</v>
      </c>
      <c r="AM2318">
        <f t="shared" si="1276"/>
        <v>0</v>
      </c>
      <c r="AN2318">
        <f t="shared" si="1277"/>
        <v>0</v>
      </c>
      <c r="AO2318" t="s">
        <v>6025</v>
      </c>
      <c r="AV2318" t="str">
        <f>IF(F2318&gt;0,(COUNT($AV$1:AV2317)+1),"")</f>
        <v/>
      </c>
    </row>
    <row r="2319" spans="1:48" ht="15" customHeight="1" x14ac:dyDescent="0.25">
      <c r="A2319" s="1"/>
      <c r="B2319" s="30">
        <v>19725</v>
      </c>
      <c r="C2319" s="20">
        <v>4670033530223</v>
      </c>
      <c r="D2319" s="225" t="s">
        <v>2421</v>
      </c>
      <c r="E2319" s="67">
        <v>20</v>
      </c>
      <c r="F2319" s="222"/>
      <c r="G2319" s="107">
        <v>73.7</v>
      </c>
      <c r="H2319" s="21">
        <v>78.5</v>
      </c>
      <c r="I2319" s="22">
        <v>86</v>
      </c>
      <c r="J2319" s="112" t="s">
        <v>780</v>
      </c>
      <c r="K2319" s="45" t="s">
        <v>428</v>
      </c>
      <c r="L2319" s="437"/>
      <c r="M2319" s="474" t="s">
        <v>1856</v>
      </c>
      <c r="N2319" s="1013" t="s">
        <v>1856</v>
      </c>
      <c r="O2319" s="209"/>
      <c r="P2319" s="66" t="s">
        <v>72</v>
      </c>
      <c r="Q2319" s="100">
        <f t="shared" si="1270"/>
        <v>0</v>
      </c>
      <c r="R2319" s="13" t="str">
        <f t="shared" si="1274"/>
        <v>Фото &gt;&gt;</v>
      </c>
      <c r="S2319" s="14" t="s">
        <v>1956</v>
      </c>
      <c r="AK2319">
        <v>7.0000000000000007E-2</v>
      </c>
      <c r="AL2319">
        <f t="shared" si="1275"/>
        <v>0</v>
      </c>
      <c r="AM2319">
        <f t="shared" si="1276"/>
        <v>0</v>
      </c>
      <c r="AN2319">
        <f t="shared" si="1277"/>
        <v>0</v>
      </c>
      <c r="AO2319" t="s">
        <v>6026</v>
      </c>
      <c r="AV2319" t="str">
        <f>IF(F2319&gt;0,(COUNT($AV$1:AV2318)+1),"")</f>
        <v/>
      </c>
    </row>
    <row r="2320" spans="1:48" ht="15" customHeight="1" x14ac:dyDescent="0.25">
      <c r="A2320" s="1"/>
      <c r="B2320" s="31">
        <v>19727</v>
      </c>
      <c r="C2320" s="16">
        <v>4670033530247</v>
      </c>
      <c r="D2320" s="226" t="s">
        <v>2422</v>
      </c>
      <c r="E2320" s="69">
        <v>20</v>
      </c>
      <c r="F2320" s="222"/>
      <c r="G2320" s="108">
        <v>73.75</v>
      </c>
      <c r="H2320" s="17">
        <v>78.5</v>
      </c>
      <c r="I2320" s="18">
        <v>86</v>
      </c>
      <c r="J2320" s="113" t="s">
        <v>780</v>
      </c>
      <c r="K2320" s="44" t="s">
        <v>428</v>
      </c>
      <c r="L2320" s="442"/>
      <c r="M2320" s="480" t="s">
        <v>1856</v>
      </c>
      <c r="N2320" s="1015" t="s">
        <v>1856</v>
      </c>
      <c r="O2320" s="210"/>
      <c r="P2320" s="68" t="s">
        <v>72</v>
      </c>
      <c r="Q2320" s="100">
        <f t="shared" si="1270"/>
        <v>0</v>
      </c>
      <c r="R2320" s="13" t="str">
        <f t="shared" si="1274"/>
        <v>Фото &gt;&gt;</v>
      </c>
      <c r="S2320" s="14" t="s">
        <v>1958</v>
      </c>
      <c r="AK2320">
        <v>7.0000000000000007E-2</v>
      </c>
      <c r="AL2320">
        <f t="shared" si="1275"/>
        <v>0</v>
      </c>
      <c r="AM2320">
        <f t="shared" si="1276"/>
        <v>0</v>
      </c>
      <c r="AN2320">
        <f t="shared" si="1277"/>
        <v>0</v>
      </c>
      <c r="AO2320" t="s">
        <v>6027</v>
      </c>
      <c r="AV2320" t="str">
        <f>IF(F2320&gt;0,(COUNT($AV$1:AV2319)+1),"")</f>
        <v/>
      </c>
    </row>
    <row r="2321" spans="1:48" ht="15" customHeight="1" x14ac:dyDescent="0.25">
      <c r="A2321" s="1"/>
      <c r="B2321" s="30">
        <v>20964</v>
      </c>
      <c r="C2321" s="20">
        <v>1467003353292</v>
      </c>
      <c r="D2321" s="225" t="s">
        <v>6381</v>
      </c>
      <c r="E2321" s="67">
        <v>20</v>
      </c>
      <c r="F2321" s="222"/>
      <c r="G2321" s="107">
        <v>76.3</v>
      </c>
      <c r="H2321" s="21">
        <v>80</v>
      </c>
      <c r="I2321" s="22">
        <v>87</v>
      </c>
      <c r="J2321" s="112" t="s">
        <v>780</v>
      </c>
      <c r="K2321" s="45" t="s">
        <v>428</v>
      </c>
      <c r="L2321" s="437"/>
      <c r="M2321" s="474" t="s">
        <v>1856</v>
      </c>
      <c r="N2321" s="1013" t="s">
        <v>1856</v>
      </c>
      <c r="O2321" s="209"/>
      <c r="P2321" s="66" t="s">
        <v>72</v>
      </c>
      <c r="Q2321" s="100">
        <f t="shared" si="1270"/>
        <v>0</v>
      </c>
      <c r="R2321" s="13" t="str">
        <f t="shared" si="1274"/>
        <v>Фото &gt;&gt;</v>
      </c>
      <c r="S2321" s="14" t="s">
        <v>5730</v>
      </c>
      <c r="AK2321">
        <v>7.0000000000000007E-2</v>
      </c>
      <c r="AL2321">
        <f t="shared" si="1275"/>
        <v>0</v>
      </c>
      <c r="AM2321">
        <f t="shared" si="1276"/>
        <v>0</v>
      </c>
      <c r="AN2321">
        <f t="shared" si="1277"/>
        <v>0</v>
      </c>
      <c r="AO2321" t="s">
        <v>5734</v>
      </c>
      <c r="AV2321" t="str">
        <f>IF(F2321&gt;0,(COUNT($AV$1:AV2320)+1),"")</f>
        <v/>
      </c>
    </row>
    <row r="2322" spans="1:48" ht="15" customHeight="1" x14ac:dyDescent="0.25">
      <c r="A2322" s="1"/>
      <c r="B2322" s="31">
        <v>19724</v>
      </c>
      <c r="C2322" s="16">
        <v>4670033530278</v>
      </c>
      <c r="D2322" s="226" t="s">
        <v>2423</v>
      </c>
      <c r="E2322" s="69">
        <v>20</v>
      </c>
      <c r="F2322" s="222"/>
      <c r="G2322" s="108">
        <v>73.7</v>
      </c>
      <c r="H2322" s="17">
        <v>78.5</v>
      </c>
      <c r="I2322" s="18">
        <v>86</v>
      </c>
      <c r="J2322" s="113" t="s">
        <v>780</v>
      </c>
      <c r="K2322" s="44" t="s">
        <v>428</v>
      </c>
      <c r="L2322" s="442"/>
      <c r="M2322" s="480" t="s">
        <v>1856</v>
      </c>
      <c r="N2322" s="1015" t="s">
        <v>1856</v>
      </c>
      <c r="O2322" s="210"/>
      <c r="P2322" s="68" t="s">
        <v>72</v>
      </c>
      <c r="Q2322" s="100">
        <f t="shared" si="1270"/>
        <v>0</v>
      </c>
      <c r="R2322" s="13" t="str">
        <f t="shared" si="1274"/>
        <v>Фото &gt;&gt;</v>
      </c>
      <c r="S2322" s="14" t="s">
        <v>1960</v>
      </c>
      <c r="AK2322">
        <v>7.0000000000000007E-2</v>
      </c>
      <c r="AL2322">
        <f t="shared" si="1275"/>
        <v>0</v>
      </c>
      <c r="AM2322">
        <f t="shared" si="1276"/>
        <v>0</v>
      </c>
      <c r="AN2322">
        <f t="shared" si="1277"/>
        <v>0</v>
      </c>
      <c r="AO2322" t="s">
        <v>6028</v>
      </c>
      <c r="AV2322" t="str">
        <f>IF(F2322&gt;0,(COUNT($AV$1:AV2321)+1),"")</f>
        <v/>
      </c>
    </row>
    <row r="2323" spans="1:48" ht="15" customHeight="1" x14ac:dyDescent="0.25">
      <c r="A2323" s="1"/>
      <c r="B2323" s="30">
        <v>20963</v>
      </c>
      <c r="C2323" s="20">
        <v>1467003353291</v>
      </c>
      <c r="D2323" s="225" t="s">
        <v>6382</v>
      </c>
      <c r="E2323" s="67">
        <v>20</v>
      </c>
      <c r="F2323" s="222"/>
      <c r="G2323" s="107">
        <v>76.3</v>
      </c>
      <c r="H2323" s="21">
        <v>80</v>
      </c>
      <c r="I2323" s="22">
        <v>87</v>
      </c>
      <c r="J2323" s="112" t="s">
        <v>780</v>
      </c>
      <c r="K2323" s="45" t="s">
        <v>428</v>
      </c>
      <c r="L2323" s="437"/>
      <c r="M2323" s="474" t="s">
        <v>1856</v>
      </c>
      <c r="N2323" s="1013" t="s">
        <v>1856</v>
      </c>
      <c r="O2323" s="209"/>
      <c r="P2323" s="66" t="s">
        <v>72</v>
      </c>
      <c r="Q2323" s="100">
        <f t="shared" si="1270"/>
        <v>0</v>
      </c>
      <c r="R2323" s="13" t="str">
        <f t="shared" si="1274"/>
        <v>Фото &gt;&gt;</v>
      </c>
      <c r="S2323" s="14" t="s">
        <v>5729</v>
      </c>
      <c r="AK2323">
        <v>7.0000000000000007E-2</v>
      </c>
      <c r="AL2323">
        <f t="shared" si="1275"/>
        <v>0</v>
      </c>
      <c r="AM2323">
        <f t="shared" si="1276"/>
        <v>0</v>
      </c>
      <c r="AN2323">
        <f t="shared" si="1277"/>
        <v>0</v>
      </c>
      <c r="AO2323" t="s">
        <v>5735</v>
      </c>
      <c r="AV2323" t="str">
        <f>IF(F2323&gt;0,(COUNT($AV$1:AV2322)+1),"")</f>
        <v/>
      </c>
    </row>
    <row r="2324" spans="1:48" ht="15" customHeight="1" x14ac:dyDescent="0.25">
      <c r="A2324" s="1"/>
      <c r="B2324" s="31">
        <v>19722</v>
      </c>
      <c r="C2324" s="16">
        <v>4670033530933</v>
      </c>
      <c r="D2324" s="226" t="s">
        <v>2424</v>
      </c>
      <c r="E2324" s="69">
        <v>20</v>
      </c>
      <c r="F2324" s="222"/>
      <c r="G2324" s="108">
        <v>73.7</v>
      </c>
      <c r="H2324" s="17">
        <v>78.5</v>
      </c>
      <c r="I2324" s="18">
        <v>86</v>
      </c>
      <c r="J2324" s="113" t="s">
        <v>780</v>
      </c>
      <c r="K2324" s="44" t="s">
        <v>428</v>
      </c>
      <c r="L2324" s="442"/>
      <c r="M2324" s="480" t="s">
        <v>1856</v>
      </c>
      <c r="N2324" s="1015" t="s">
        <v>1856</v>
      </c>
      <c r="O2324" s="210"/>
      <c r="P2324" s="68" t="s">
        <v>72</v>
      </c>
      <c r="Q2324" s="100">
        <f t="shared" si="1270"/>
        <v>0</v>
      </c>
      <c r="R2324" s="13" t="str">
        <f t="shared" si="1274"/>
        <v>Фото &gt;&gt;</v>
      </c>
      <c r="S2324" s="14" t="s">
        <v>1966</v>
      </c>
      <c r="AK2324">
        <v>7.0000000000000007E-2</v>
      </c>
      <c r="AL2324">
        <f t="shared" si="1275"/>
        <v>0</v>
      </c>
      <c r="AM2324">
        <f t="shared" si="1276"/>
        <v>0</v>
      </c>
      <c r="AN2324">
        <f t="shared" si="1277"/>
        <v>0</v>
      </c>
      <c r="AO2324" t="s">
        <v>6029</v>
      </c>
      <c r="AV2324" t="str">
        <f>IF(F2324&gt;0,(COUNT($AV$1:AV2323)+1),"")</f>
        <v/>
      </c>
    </row>
    <row r="2325" spans="1:48" ht="15" customHeight="1" x14ac:dyDescent="0.25">
      <c r="A2325" s="1"/>
      <c r="B2325" s="37">
        <v>19728</v>
      </c>
      <c r="C2325" s="23">
        <v>4670033530261</v>
      </c>
      <c r="D2325" s="237" t="s">
        <v>2425</v>
      </c>
      <c r="E2325" s="75">
        <v>20</v>
      </c>
      <c r="F2325" s="223"/>
      <c r="G2325" s="111">
        <v>73.7</v>
      </c>
      <c r="H2325" s="5">
        <v>78.5</v>
      </c>
      <c r="I2325" s="24">
        <v>87</v>
      </c>
      <c r="J2325" s="115" t="s">
        <v>780</v>
      </c>
      <c r="K2325" s="46" t="s">
        <v>428</v>
      </c>
      <c r="L2325" s="440"/>
      <c r="M2325" s="482" t="s">
        <v>1856</v>
      </c>
      <c r="N2325" s="1002"/>
      <c r="O2325" s="211"/>
      <c r="P2325" s="74" t="s">
        <v>72</v>
      </c>
      <c r="Q2325" s="100">
        <f t="shared" si="1270"/>
        <v>0</v>
      </c>
      <c r="R2325" s="13" t="str">
        <f t="shared" si="1274"/>
        <v>Фото &gt;&gt;</v>
      </c>
      <c r="S2325" s="14" t="s">
        <v>1959</v>
      </c>
      <c r="AK2325">
        <v>7.0000000000000007E-2</v>
      </c>
      <c r="AL2325">
        <f t="shared" si="1275"/>
        <v>0</v>
      </c>
      <c r="AM2325">
        <f t="shared" si="1276"/>
        <v>0</v>
      </c>
      <c r="AN2325">
        <f t="shared" si="1277"/>
        <v>0</v>
      </c>
      <c r="AO2325" t="s">
        <v>6030</v>
      </c>
      <c r="AV2325" t="str">
        <f>IF(F2325&gt;0,(COUNT($AV$1:AV2324)+1),"")</f>
        <v/>
      </c>
    </row>
    <row r="2326" spans="1:48" ht="15" customHeight="1" x14ac:dyDescent="0.25">
      <c r="A2326" s="1"/>
      <c r="B2326" s="795">
        <v>20832</v>
      </c>
      <c r="C2326" s="796">
        <v>4670033530650</v>
      </c>
      <c r="D2326" s="797" t="s">
        <v>5778</v>
      </c>
      <c r="E2326" s="798">
        <v>16</v>
      </c>
      <c r="F2326" s="789"/>
      <c r="G2326" s="810">
        <v>341</v>
      </c>
      <c r="H2326" s="799">
        <v>354</v>
      </c>
      <c r="I2326" s="800">
        <v>382</v>
      </c>
      <c r="J2326" s="801" t="s">
        <v>780</v>
      </c>
      <c r="K2326" s="802" t="s">
        <v>428</v>
      </c>
      <c r="L2326" s="803"/>
      <c r="M2326" s="804" t="s">
        <v>1856</v>
      </c>
      <c r="N2326" s="1006" t="s">
        <v>1856</v>
      </c>
      <c r="O2326" s="805"/>
      <c r="P2326" s="806" t="s">
        <v>72</v>
      </c>
      <c r="Q2326" s="100">
        <f t="shared" si="1270"/>
        <v>0</v>
      </c>
      <c r="R2326" s="13" t="str">
        <f t="shared" si="1271"/>
        <v>Фото &gt;&gt;</v>
      </c>
      <c r="S2326" s="14" t="s">
        <v>4569</v>
      </c>
      <c r="AK2326">
        <v>0.27</v>
      </c>
      <c r="AL2326">
        <f t="shared" ref="AL2326:AL2327" si="1278">F2326*G2326</f>
        <v>0</v>
      </c>
      <c r="AM2326">
        <f t="shared" ref="AM2326:AM2327" si="1279">F2326*H2326</f>
        <v>0</v>
      </c>
      <c r="AN2326">
        <f t="shared" ref="AN2326:AN2327" si="1280">AK2326*F2326+IF(E2326&gt;1.01,F2326/E2326*0.2,0)</f>
        <v>0</v>
      </c>
      <c r="AO2326" t="s">
        <v>4571</v>
      </c>
      <c r="AV2326" t="str">
        <f>IF(F2326&gt;0,(COUNT($AV$1:AV2325)+1),"")</f>
        <v/>
      </c>
    </row>
    <row r="2327" spans="1:48" ht="15" customHeight="1" x14ac:dyDescent="0.25">
      <c r="A2327" s="1"/>
      <c r="B2327" s="30">
        <v>20831</v>
      </c>
      <c r="C2327" s="20">
        <v>4670033530643</v>
      </c>
      <c r="D2327" s="225" t="s">
        <v>5779</v>
      </c>
      <c r="E2327" s="67">
        <v>16</v>
      </c>
      <c r="F2327" s="222"/>
      <c r="G2327" s="107">
        <v>341</v>
      </c>
      <c r="H2327" s="21">
        <v>354</v>
      </c>
      <c r="I2327" s="22">
        <v>382</v>
      </c>
      <c r="J2327" s="112" t="s">
        <v>780</v>
      </c>
      <c r="K2327" s="45" t="s">
        <v>428</v>
      </c>
      <c r="L2327" s="437"/>
      <c r="M2327" s="474" t="s">
        <v>1856</v>
      </c>
      <c r="N2327" s="1013" t="s">
        <v>1856</v>
      </c>
      <c r="O2327" s="209"/>
      <c r="P2327" s="66" t="s">
        <v>72</v>
      </c>
      <c r="Q2327" s="100">
        <f t="shared" si="1270"/>
        <v>0</v>
      </c>
      <c r="R2327" s="13" t="str">
        <f t="shared" si="1271"/>
        <v>Фото &gt;&gt;</v>
      </c>
      <c r="S2327" s="14" t="s">
        <v>4570</v>
      </c>
      <c r="AK2327">
        <v>0.27</v>
      </c>
      <c r="AL2327">
        <f t="shared" si="1278"/>
        <v>0</v>
      </c>
      <c r="AM2327">
        <f t="shared" si="1279"/>
        <v>0</v>
      </c>
      <c r="AN2327">
        <f t="shared" si="1280"/>
        <v>0</v>
      </c>
      <c r="AO2327" t="s">
        <v>4572</v>
      </c>
      <c r="AV2327" t="str">
        <f>IF(F2327&gt;0,(COUNT($AV$1:AV2326)+1),"")</f>
        <v/>
      </c>
    </row>
    <row r="2328" spans="1:48" ht="15" customHeight="1" x14ac:dyDescent="0.25">
      <c r="A2328" s="1"/>
      <c r="B2328" s="25"/>
      <c r="C2328" s="26"/>
      <c r="D2328" s="27" t="s">
        <v>201</v>
      </c>
      <c r="E2328" s="80"/>
      <c r="F2328" s="96"/>
      <c r="G2328" s="28" t="s">
        <v>104</v>
      </c>
      <c r="H2328" s="29" t="s">
        <v>104</v>
      </c>
      <c r="I2328" s="29" t="s">
        <v>104</v>
      </c>
      <c r="J2328" s="51"/>
      <c r="K2328" s="47"/>
      <c r="L2328" s="447"/>
      <c r="M2328" s="489"/>
      <c r="N2328" s="716"/>
      <c r="O2328" s="186"/>
      <c r="P2328" s="79"/>
      <c r="Q2328" s="79"/>
      <c r="R2328" s="13"/>
      <c r="S2328" s="14"/>
      <c r="AV2328" t="str">
        <f>IF(F2328&gt;0,(COUNT($AV$1:AV2327)+1),"")</f>
        <v/>
      </c>
    </row>
    <row r="2329" spans="1:48" ht="15" customHeight="1" x14ac:dyDescent="0.25">
      <c r="A2329" s="1"/>
      <c r="B2329" s="30">
        <v>17118</v>
      </c>
      <c r="C2329" s="20">
        <v>4626017802299</v>
      </c>
      <c r="D2329" s="225" t="s">
        <v>779</v>
      </c>
      <c r="E2329" s="67">
        <v>8</v>
      </c>
      <c r="F2329" s="222"/>
      <c r="G2329" s="107">
        <v>222.5</v>
      </c>
      <c r="H2329" s="21">
        <v>231.4</v>
      </c>
      <c r="I2329" s="22">
        <v>249</v>
      </c>
      <c r="J2329" s="112" t="s">
        <v>780</v>
      </c>
      <c r="K2329" s="45" t="s">
        <v>201</v>
      </c>
      <c r="L2329" s="437"/>
      <c r="M2329" s="474" t="s">
        <v>1856</v>
      </c>
      <c r="N2329" s="1013" t="s">
        <v>1856</v>
      </c>
      <c r="O2329" s="209"/>
      <c r="P2329" s="66" t="s">
        <v>100</v>
      </c>
      <c r="Q2329" s="100">
        <f t="shared" ref="Q2329:Q2345" si="1281">IF(AND($AO$2301=1,MOD(F2329,E2329)=0),F2329*G2329,IF($AO$2301&lt;=2,F2329*H2329,F2329*I2329))</f>
        <v>0</v>
      </c>
      <c r="R2329" s="13" t="str">
        <f t="shared" ref="R2329:R2339" si="1282">IF(AO2329&gt;0,HYPERLINK(AO2329,"Фото &gt;&gt;"),"")</f>
        <v>Фото &gt;&gt;</v>
      </c>
      <c r="S2329" s="14" t="s">
        <v>4562</v>
      </c>
      <c r="AK2329">
        <v>0.4</v>
      </c>
      <c r="AL2329">
        <f t="shared" si="1272"/>
        <v>0</v>
      </c>
      <c r="AM2329">
        <f t="shared" si="1273"/>
        <v>0</v>
      </c>
      <c r="AN2329">
        <f t="shared" ref="AN2329:AN2345" si="1283">AK2329*F2329+IF(E2329&gt;1.01,F2329/E2329*0.2,0)</f>
        <v>0</v>
      </c>
      <c r="AO2329" t="s">
        <v>5088</v>
      </c>
      <c r="AV2329" t="str">
        <f>IF(F2329&gt;0,(COUNT($AV$1:AV2328)+1),"")</f>
        <v/>
      </c>
    </row>
    <row r="2330" spans="1:48" ht="15" customHeight="1" x14ac:dyDescent="0.25">
      <c r="A2330" s="1"/>
      <c r="B2330" s="31">
        <v>20833</v>
      </c>
      <c r="C2330" s="16">
        <v>4670033531671</v>
      </c>
      <c r="D2330" s="226" t="s">
        <v>5780</v>
      </c>
      <c r="E2330" s="69">
        <v>8</v>
      </c>
      <c r="F2330" s="222"/>
      <c r="G2330" s="108">
        <v>222.5</v>
      </c>
      <c r="H2330" s="17">
        <v>231.4</v>
      </c>
      <c r="I2330" s="18">
        <v>249</v>
      </c>
      <c r="J2330" s="113" t="s">
        <v>780</v>
      </c>
      <c r="K2330" s="44" t="s">
        <v>201</v>
      </c>
      <c r="L2330" s="442"/>
      <c r="M2330" s="480" t="s">
        <v>1856</v>
      </c>
      <c r="N2330" s="1015" t="s">
        <v>1856</v>
      </c>
      <c r="O2330" s="210"/>
      <c r="P2330" s="68" t="s">
        <v>100</v>
      </c>
      <c r="Q2330" s="100">
        <f t="shared" si="1281"/>
        <v>0</v>
      </c>
      <c r="R2330" s="13" t="str">
        <f t="shared" si="1282"/>
        <v>Фото &gt;&gt;</v>
      </c>
      <c r="S2330" s="14" t="s">
        <v>4561</v>
      </c>
      <c r="AK2330">
        <v>0.4</v>
      </c>
      <c r="AL2330">
        <f t="shared" ref="AL2330:AL2337" si="1284">F2330*G2330</f>
        <v>0</v>
      </c>
      <c r="AM2330">
        <f t="shared" ref="AM2330:AM2337" si="1285">F2330*H2330</f>
        <v>0</v>
      </c>
      <c r="AN2330">
        <f t="shared" ref="AN2330:AN2337" si="1286">AK2330*F2330+IF(E2330&gt;1.01,F2330/E2330*0.2,0)</f>
        <v>0</v>
      </c>
      <c r="AO2330" t="s">
        <v>4566</v>
      </c>
      <c r="AV2330" t="str">
        <f>IF(F2330&gt;0,(COUNT($AV$1:AV2329)+1),"")</f>
        <v/>
      </c>
    </row>
    <row r="2331" spans="1:48" ht="15" customHeight="1" x14ac:dyDescent="0.25">
      <c r="A2331" s="1"/>
      <c r="B2331" s="30">
        <v>17121</v>
      </c>
      <c r="C2331" s="20">
        <v>4626017824208</v>
      </c>
      <c r="D2331" s="225" t="s">
        <v>781</v>
      </c>
      <c r="E2331" s="67">
        <v>8</v>
      </c>
      <c r="F2331" s="222"/>
      <c r="G2331" s="107">
        <v>222.5</v>
      </c>
      <c r="H2331" s="21">
        <v>231.4</v>
      </c>
      <c r="I2331" s="22">
        <v>249</v>
      </c>
      <c r="J2331" s="112" t="s">
        <v>780</v>
      </c>
      <c r="K2331" s="45" t="s">
        <v>201</v>
      </c>
      <c r="L2331" s="437"/>
      <c r="M2331" s="474" t="s">
        <v>1856</v>
      </c>
      <c r="N2331" s="1013" t="s">
        <v>1856</v>
      </c>
      <c r="O2331" s="209"/>
      <c r="P2331" s="66" t="s">
        <v>100</v>
      </c>
      <c r="Q2331" s="100">
        <f t="shared" si="1281"/>
        <v>0</v>
      </c>
      <c r="R2331" s="13" t="str">
        <f t="shared" si="1282"/>
        <v>Фото &gt;&gt;</v>
      </c>
      <c r="S2331" s="14" t="s">
        <v>782</v>
      </c>
      <c r="AK2331">
        <v>0.4</v>
      </c>
      <c r="AL2331">
        <f t="shared" si="1284"/>
        <v>0</v>
      </c>
      <c r="AM2331">
        <f t="shared" si="1285"/>
        <v>0</v>
      </c>
      <c r="AN2331">
        <f t="shared" si="1286"/>
        <v>0</v>
      </c>
      <c r="AO2331" t="s">
        <v>5089</v>
      </c>
      <c r="AV2331" t="str">
        <f>IF(F2331&gt;0,(COUNT($AV$1:AV2330)+1),"")</f>
        <v/>
      </c>
    </row>
    <row r="2332" spans="1:48" ht="15" customHeight="1" x14ac:dyDescent="0.25">
      <c r="A2332" s="1"/>
      <c r="B2332" s="31">
        <v>17120</v>
      </c>
      <c r="C2332" s="16">
        <v>4626017824192</v>
      </c>
      <c r="D2332" s="226" t="s">
        <v>783</v>
      </c>
      <c r="E2332" s="69">
        <v>8</v>
      </c>
      <c r="F2332" s="222"/>
      <c r="G2332" s="108">
        <v>222.5</v>
      </c>
      <c r="H2332" s="17">
        <v>231.4</v>
      </c>
      <c r="I2332" s="18">
        <v>249</v>
      </c>
      <c r="J2332" s="113" t="s">
        <v>780</v>
      </c>
      <c r="K2332" s="44" t="s">
        <v>201</v>
      </c>
      <c r="L2332" s="442"/>
      <c r="M2332" s="480" t="s">
        <v>1856</v>
      </c>
      <c r="N2332" s="1015" t="s">
        <v>1856</v>
      </c>
      <c r="O2332" s="210"/>
      <c r="P2332" s="68" t="s">
        <v>100</v>
      </c>
      <c r="Q2332" s="100">
        <f t="shared" si="1281"/>
        <v>0</v>
      </c>
      <c r="R2332" s="13" t="str">
        <f t="shared" si="1282"/>
        <v>Фото &gt;&gt;</v>
      </c>
      <c r="S2332" s="14" t="s">
        <v>784</v>
      </c>
      <c r="AK2332">
        <v>0.4</v>
      </c>
      <c r="AL2332">
        <f t="shared" si="1284"/>
        <v>0</v>
      </c>
      <c r="AM2332">
        <f t="shared" si="1285"/>
        <v>0</v>
      </c>
      <c r="AN2332">
        <f t="shared" si="1286"/>
        <v>0</v>
      </c>
      <c r="AO2332" t="s">
        <v>5090</v>
      </c>
      <c r="AV2332" t="str">
        <f>IF(F2332&gt;0,(COUNT($AV$1:AV2331)+1),"")</f>
        <v/>
      </c>
    </row>
    <row r="2333" spans="1:48" ht="15" customHeight="1" x14ac:dyDescent="0.25">
      <c r="A2333" s="1"/>
      <c r="B2333" s="30">
        <v>17119</v>
      </c>
      <c r="C2333" s="20">
        <v>4626017824178</v>
      </c>
      <c r="D2333" s="225" t="s">
        <v>785</v>
      </c>
      <c r="E2333" s="67">
        <v>8</v>
      </c>
      <c r="F2333" s="222"/>
      <c r="G2333" s="107">
        <v>375</v>
      </c>
      <c r="H2333" s="21">
        <v>390</v>
      </c>
      <c r="I2333" s="22">
        <v>420</v>
      </c>
      <c r="J2333" s="112" t="s">
        <v>780</v>
      </c>
      <c r="K2333" s="45" t="s">
        <v>201</v>
      </c>
      <c r="L2333" s="437"/>
      <c r="M2333" s="474" t="s">
        <v>1856</v>
      </c>
      <c r="N2333" s="1013"/>
      <c r="O2333" s="209"/>
      <c r="P2333" s="66" t="s">
        <v>100</v>
      </c>
      <c r="Q2333" s="100">
        <f t="shared" si="1281"/>
        <v>0</v>
      </c>
      <c r="R2333" s="13" t="str">
        <f t="shared" si="1282"/>
        <v>Фото &gt;&gt;</v>
      </c>
      <c r="S2333" s="14" t="s">
        <v>786</v>
      </c>
      <c r="AK2333">
        <v>0.4</v>
      </c>
      <c r="AL2333">
        <f t="shared" si="1284"/>
        <v>0</v>
      </c>
      <c r="AM2333">
        <f t="shared" si="1285"/>
        <v>0</v>
      </c>
      <c r="AN2333">
        <f t="shared" si="1286"/>
        <v>0</v>
      </c>
      <c r="AO2333" t="s">
        <v>5091</v>
      </c>
      <c r="AV2333" t="str">
        <f>IF(F2333&gt;0,(COUNT($AV$1:AV2332)+1),"")</f>
        <v/>
      </c>
    </row>
    <row r="2334" spans="1:48" ht="15" customHeight="1" x14ac:dyDescent="0.25">
      <c r="A2334" s="1"/>
      <c r="B2334" s="31">
        <v>20834</v>
      </c>
      <c r="C2334" s="16">
        <v>4670033531688</v>
      </c>
      <c r="D2334" s="226" t="s">
        <v>5781</v>
      </c>
      <c r="E2334" s="69">
        <v>8</v>
      </c>
      <c r="F2334" s="222"/>
      <c r="G2334" s="108">
        <v>222.5</v>
      </c>
      <c r="H2334" s="17">
        <v>231.4</v>
      </c>
      <c r="I2334" s="18">
        <v>250</v>
      </c>
      <c r="J2334" s="113" t="s">
        <v>780</v>
      </c>
      <c r="K2334" s="44" t="s">
        <v>201</v>
      </c>
      <c r="L2334" s="442"/>
      <c r="M2334" s="480" t="s">
        <v>1856</v>
      </c>
      <c r="N2334" s="1015" t="s">
        <v>1856</v>
      </c>
      <c r="O2334" s="210"/>
      <c r="P2334" s="68" t="s">
        <v>100</v>
      </c>
      <c r="Q2334" s="100">
        <f t="shared" si="1281"/>
        <v>0</v>
      </c>
      <c r="R2334" s="13" t="str">
        <f t="shared" si="1282"/>
        <v>Фото &gt;&gt;</v>
      </c>
      <c r="S2334" s="14" t="s">
        <v>4563</v>
      </c>
      <c r="AK2334">
        <v>0.4</v>
      </c>
      <c r="AL2334">
        <f t="shared" si="1284"/>
        <v>0</v>
      </c>
      <c r="AM2334">
        <f t="shared" si="1285"/>
        <v>0</v>
      </c>
      <c r="AN2334">
        <f t="shared" si="1286"/>
        <v>0</v>
      </c>
      <c r="AO2334" t="s">
        <v>4567</v>
      </c>
      <c r="AV2334" t="str">
        <f>IF(F2334&gt;0,(COUNT($AV$1:AV2333)+1),"")</f>
        <v/>
      </c>
    </row>
    <row r="2335" spans="1:48" ht="15" customHeight="1" x14ac:dyDescent="0.25">
      <c r="A2335" s="1"/>
      <c r="B2335" s="30">
        <v>20835</v>
      </c>
      <c r="C2335" s="20">
        <v>4670033531695</v>
      </c>
      <c r="D2335" s="225" t="s">
        <v>4564</v>
      </c>
      <c r="E2335" s="67">
        <v>8</v>
      </c>
      <c r="F2335" s="222"/>
      <c r="G2335" s="107">
        <v>280</v>
      </c>
      <c r="H2335" s="21">
        <v>291.2</v>
      </c>
      <c r="I2335" s="22">
        <v>314</v>
      </c>
      <c r="J2335" s="112" t="s">
        <v>780</v>
      </c>
      <c r="K2335" s="45" t="s">
        <v>201</v>
      </c>
      <c r="L2335" s="437"/>
      <c r="M2335" s="474"/>
      <c r="N2335" s="1013"/>
      <c r="O2335" s="209"/>
      <c r="P2335" s="66" t="s">
        <v>100</v>
      </c>
      <c r="Q2335" s="100">
        <f t="shared" si="1281"/>
        <v>0</v>
      </c>
      <c r="R2335" s="13" t="str">
        <f t="shared" si="1282"/>
        <v>Фото &gt;&gt;</v>
      </c>
      <c r="S2335" s="14" t="s">
        <v>4565</v>
      </c>
      <c r="AK2335">
        <v>0.4</v>
      </c>
      <c r="AL2335">
        <f t="shared" si="1284"/>
        <v>0</v>
      </c>
      <c r="AM2335">
        <f t="shared" si="1285"/>
        <v>0</v>
      </c>
      <c r="AN2335">
        <f t="shared" si="1286"/>
        <v>0</v>
      </c>
      <c r="AO2335" t="s">
        <v>4568</v>
      </c>
      <c r="AV2335" t="str">
        <f>IF(F2335&gt;0,(COUNT($AV$1:AV2334)+1),"")</f>
        <v/>
      </c>
    </row>
    <row r="2336" spans="1:48" ht="15" customHeight="1" x14ac:dyDescent="0.25">
      <c r="A2336" s="1"/>
      <c r="B2336" s="31">
        <v>14231</v>
      </c>
      <c r="C2336" s="16">
        <v>4620747400039</v>
      </c>
      <c r="D2336" s="226" t="s">
        <v>787</v>
      </c>
      <c r="E2336" s="69">
        <v>8</v>
      </c>
      <c r="F2336" s="222"/>
      <c r="G2336" s="108">
        <v>330</v>
      </c>
      <c r="H2336" s="17">
        <v>343</v>
      </c>
      <c r="I2336" s="18">
        <v>370</v>
      </c>
      <c r="J2336" s="113" t="s">
        <v>780</v>
      </c>
      <c r="K2336" s="44" t="s">
        <v>201</v>
      </c>
      <c r="L2336" s="442"/>
      <c r="M2336" s="480" t="s">
        <v>1856</v>
      </c>
      <c r="N2336" s="1015" t="s">
        <v>1856</v>
      </c>
      <c r="O2336" s="210"/>
      <c r="P2336" s="68" t="s">
        <v>72</v>
      </c>
      <c r="Q2336" s="100">
        <f t="shared" si="1281"/>
        <v>0</v>
      </c>
      <c r="R2336" s="13" t="str">
        <f t="shared" si="1282"/>
        <v>Фото &gt;&gt;</v>
      </c>
      <c r="S2336" s="14" t="s">
        <v>788</v>
      </c>
      <c r="AK2336">
        <v>0.45</v>
      </c>
      <c r="AL2336">
        <f t="shared" si="1284"/>
        <v>0</v>
      </c>
      <c r="AM2336">
        <f t="shared" si="1285"/>
        <v>0</v>
      </c>
      <c r="AN2336">
        <f t="shared" si="1286"/>
        <v>0</v>
      </c>
      <c r="AO2336" t="s">
        <v>5443</v>
      </c>
      <c r="AV2336" t="str">
        <f>IF(F2336&gt;0,(COUNT($AV$1:AV2335)+1),"")</f>
        <v/>
      </c>
    </row>
    <row r="2337" spans="1:48" ht="15" customHeight="1" x14ac:dyDescent="0.25">
      <c r="A2337" s="1"/>
      <c r="B2337" s="30">
        <v>14234</v>
      </c>
      <c r="C2337" s="20">
        <v>4627092430056</v>
      </c>
      <c r="D2337" s="225" t="s">
        <v>789</v>
      </c>
      <c r="E2337" s="67">
        <v>8</v>
      </c>
      <c r="F2337" s="222"/>
      <c r="G2337" s="107">
        <v>210</v>
      </c>
      <c r="H2337" s="21">
        <v>218.6</v>
      </c>
      <c r="I2337" s="22">
        <v>240</v>
      </c>
      <c r="J2337" s="112" t="s">
        <v>780</v>
      </c>
      <c r="K2337" s="45" t="s">
        <v>201</v>
      </c>
      <c r="L2337" s="437"/>
      <c r="M2337" s="474" t="s">
        <v>1856</v>
      </c>
      <c r="N2337" s="1013" t="s">
        <v>1856</v>
      </c>
      <c r="O2337" s="209"/>
      <c r="P2337" s="66" t="s">
        <v>72</v>
      </c>
      <c r="Q2337" s="100">
        <f t="shared" si="1281"/>
        <v>0</v>
      </c>
      <c r="R2337" s="13" t="str">
        <f t="shared" si="1282"/>
        <v>Фото &gt;&gt;</v>
      </c>
      <c r="S2337" s="14" t="s">
        <v>523</v>
      </c>
      <c r="AK2337">
        <v>0.45</v>
      </c>
      <c r="AL2337">
        <f t="shared" si="1284"/>
        <v>0</v>
      </c>
      <c r="AM2337">
        <f t="shared" si="1285"/>
        <v>0</v>
      </c>
      <c r="AN2337">
        <f t="shared" si="1286"/>
        <v>0</v>
      </c>
      <c r="AO2337" t="s">
        <v>5444</v>
      </c>
      <c r="AV2337" t="str">
        <f>IF(F2337&gt;0,(COUNT($AV$1:AV2336)+1),"")</f>
        <v/>
      </c>
    </row>
    <row r="2338" spans="1:48" ht="15" customHeight="1" x14ac:dyDescent="0.25">
      <c r="A2338" s="1"/>
      <c r="B2338" s="31">
        <v>14229</v>
      </c>
      <c r="C2338" s="16">
        <v>4620747400046</v>
      </c>
      <c r="D2338" s="226" t="s">
        <v>790</v>
      </c>
      <c r="E2338" s="69">
        <v>8</v>
      </c>
      <c r="F2338" s="222"/>
      <c r="G2338" s="108">
        <v>254</v>
      </c>
      <c r="H2338" s="17">
        <v>264</v>
      </c>
      <c r="I2338" s="18">
        <v>284</v>
      </c>
      <c r="J2338" s="113" t="s">
        <v>780</v>
      </c>
      <c r="K2338" s="44" t="s">
        <v>201</v>
      </c>
      <c r="L2338" s="442"/>
      <c r="M2338" s="480" t="s">
        <v>1856</v>
      </c>
      <c r="N2338" s="1015" t="s">
        <v>1856</v>
      </c>
      <c r="O2338" s="210"/>
      <c r="P2338" s="68" t="s">
        <v>72</v>
      </c>
      <c r="Q2338" s="100">
        <f t="shared" si="1281"/>
        <v>0</v>
      </c>
      <c r="R2338" s="13" t="str">
        <f t="shared" si="1282"/>
        <v>Фото &gt;&gt;</v>
      </c>
      <c r="S2338" s="14" t="s">
        <v>791</v>
      </c>
      <c r="AK2338">
        <v>0.45</v>
      </c>
      <c r="AL2338">
        <f t="shared" ref="AL2338:AL2345" si="1287">F2338*G2338</f>
        <v>0</v>
      </c>
      <c r="AM2338">
        <f t="shared" ref="AM2338:AM2345" si="1288">F2338*H2338</f>
        <v>0</v>
      </c>
      <c r="AN2338">
        <f t="shared" si="1283"/>
        <v>0</v>
      </c>
      <c r="AO2338" t="s">
        <v>5445</v>
      </c>
      <c r="AV2338" t="str">
        <f>IF(F2338&gt;0,(COUNT($AV$1:AV2337)+1),"")</f>
        <v/>
      </c>
    </row>
    <row r="2339" spans="1:48" ht="15" customHeight="1" x14ac:dyDescent="0.25">
      <c r="A2339" s="1"/>
      <c r="B2339" s="30">
        <v>14236</v>
      </c>
      <c r="C2339" s="20">
        <v>4627092430018</v>
      </c>
      <c r="D2339" s="225" t="s">
        <v>792</v>
      </c>
      <c r="E2339" s="67">
        <v>8</v>
      </c>
      <c r="F2339" s="222"/>
      <c r="G2339" s="107">
        <v>375</v>
      </c>
      <c r="H2339" s="21">
        <v>390</v>
      </c>
      <c r="I2339" s="22">
        <v>420</v>
      </c>
      <c r="J2339" s="112" t="s">
        <v>780</v>
      </c>
      <c r="K2339" s="45" t="s">
        <v>201</v>
      </c>
      <c r="L2339" s="437"/>
      <c r="M2339" s="474" t="s">
        <v>1856</v>
      </c>
      <c r="N2339" s="1013" t="s">
        <v>1856</v>
      </c>
      <c r="O2339" s="209"/>
      <c r="P2339" s="66" t="s">
        <v>72</v>
      </c>
      <c r="Q2339" s="100">
        <f t="shared" si="1281"/>
        <v>0</v>
      </c>
      <c r="R2339" s="13" t="str">
        <f t="shared" si="1282"/>
        <v>Фото &gt;&gt;</v>
      </c>
      <c r="S2339" s="14" t="s">
        <v>793</v>
      </c>
      <c r="AK2339">
        <v>0.45</v>
      </c>
      <c r="AL2339">
        <f t="shared" si="1287"/>
        <v>0</v>
      </c>
      <c r="AM2339">
        <f t="shared" si="1288"/>
        <v>0</v>
      </c>
      <c r="AN2339">
        <f t="shared" si="1283"/>
        <v>0</v>
      </c>
      <c r="AO2339" t="s">
        <v>5446</v>
      </c>
      <c r="AV2339" t="str">
        <f>IF(F2339&gt;0,(COUNT($AV$1:AV2338)+1),"")</f>
        <v/>
      </c>
    </row>
    <row r="2340" spans="1:48" ht="15" customHeight="1" x14ac:dyDescent="0.25">
      <c r="A2340" s="1"/>
      <c r="B2340" s="31">
        <v>17117</v>
      </c>
      <c r="C2340" s="16">
        <v>4627092430742</v>
      </c>
      <c r="D2340" s="226" t="s">
        <v>794</v>
      </c>
      <c r="E2340" s="69">
        <v>8</v>
      </c>
      <c r="F2340" s="222"/>
      <c r="G2340" s="108">
        <v>295</v>
      </c>
      <c r="H2340" s="17">
        <v>308</v>
      </c>
      <c r="I2340" s="18">
        <v>335</v>
      </c>
      <c r="J2340" s="113" t="s">
        <v>780</v>
      </c>
      <c r="K2340" s="44" t="s">
        <v>201</v>
      </c>
      <c r="L2340" s="442"/>
      <c r="M2340" s="480" t="s">
        <v>1856</v>
      </c>
      <c r="N2340" s="1015" t="s">
        <v>1856</v>
      </c>
      <c r="O2340" s="210"/>
      <c r="P2340" s="68" t="s">
        <v>72</v>
      </c>
      <c r="Q2340" s="100">
        <f t="shared" si="1281"/>
        <v>0</v>
      </c>
      <c r="R2340" s="13" t="str">
        <f t="shared" si="1214"/>
        <v>Фото &gt;&gt;</v>
      </c>
      <c r="S2340" s="14" t="s">
        <v>524</v>
      </c>
      <c r="AK2340">
        <v>0.5</v>
      </c>
      <c r="AL2340">
        <f t="shared" si="1287"/>
        <v>0</v>
      </c>
      <c r="AM2340">
        <f t="shared" si="1288"/>
        <v>0</v>
      </c>
      <c r="AN2340">
        <f t="shared" si="1283"/>
        <v>0</v>
      </c>
      <c r="AO2340" t="s">
        <v>5447</v>
      </c>
      <c r="AV2340" t="str">
        <f>IF(F2340&gt;0,(COUNT($AV$1:AV2339)+1),"")</f>
        <v/>
      </c>
    </row>
    <row r="2341" spans="1:48" ht="15" customHeight="1" x14ac:dyDescent="0.25">
      <c r="A2341" s="1"/>
      <c r="B2341" s="30">
        <v>14237</v>
      </c>
      <c r="C2341" s="20">
        <v>4627092430131</v>
      </c>
      <c r="D2341" s="225" t="s">
        <v>795</v>
      </c>
      <c r="E2341" s="67">
        <v>8</v>
      </c>
      <c r="F2341" s="222"/>
      <c r="G2341" s="107">
        <v>272.5</v>
      </c>
      <c r="H2341" s="21">
        <v>283.39999999999998</v>
      </c>
      <c r="I2341" s="22">
        <v>305</v>
      </c>
      <c r="J2341" s="112" t="s">
        <v>780</v>
      </c>
      <c r="K2341" s="45" t="s">
        <v>201</v>
      </c>
      <c r="L2341" s="437"/>
      <c r="M2341" s="474" t="s">
        <v>1856</v>
      </c>
      <c r="N2341" s="1013" t="s">
        <v>1856</v>
      </c>
      <c r="O2341" s="209"/>
      <c r="P2341" s="66" t="s">
        <v>72</v>
      </c>
      <c r="Q2341" s="100">
        <f t="shared" si="1281"/>
        <v>0</v>
      </c>
      <c r="R2341" s="13" t="str">
        <f t="shared" si="1214"/>
        <v>Фото &gt;&gt;</v>
      </c>
      <c r="S2341" s="14" t="s">
        <v>525</v>
      </c>
      <c r="AK2341">
        <v>0.45</v>
      </c>
      <c r="AL2341">
        <f t="shared" si="1287"/>
        <v>0</v>
      </c>
      <c r="AM2341">
        <f t="shared" si="1288"/>
        <v>0</v>
      </c>
      <c r="AN2341">
        <f t="shared" si="1283"/>
        <v>0</v>
      </c>
      <c r="AO2341" t="s">
        <v>5448</v>
      </c>
      <c r="AV2341" t="str">
        <f>IF(F2341&gt;0,(COUNT($AV$1:AV2340)+1),"")</f>
        <v/>
      </c>
    </row>
    <row r="2342" spans="1:48" ht="15" customHeight="1" x14ac:dyDescent="0.25">
      <c r="A2342" s="1"/>
      <c r="B2342" s="31">
        <v>14238</v>
      </c>
      <c r="C2342" s="16">
        <v>4620747400022</v>
      </c>
      <c r="D2342" s="226" t="s">
        <v>796</v>
      </c>
      <c r="E2342" s="69">
        <v>8</v>
      </c>
      <c r="F2342" s="222"/>
      <c r="G2342" s="108">
        <v>147.5</v>
      </c>
      <c r="H2342" s="17">
        <v>154</v>
      </c>
      <c r="I2342" s="18">
        <v>167</v>
      </c>
      <c r="J2342" s="113" t="s">
        <v>780</v>
      </c>
      <c r="K2342" s="44" t="s">
        <v>201</v>
      </c>
      <c r="L2342" s="442"/>
      <c r="M2342" s="480" t="s">
        <v>1856</v>
      </c>
      <c r="N2342" s="1015" t="s">
        <v>1856</v>
      </c>
      <c r="O2342" s="210"/>
      <c r="P2342" s="68" t="s">
        <v>72</v>
      </c>
      <c r="Q2342" s="100">
        <f t="shared" si="1281"/>
        <v>0</v>
      </c>
      <c r="R2342" s="13" t="str">
        <f t="shared" si="1214"/>
        <v>Фото &gt;&gt;</v>
      </c>
      <c r="S2342" s="14" t="s">
        <v>797</v>
      </c>
      <c r="AK2342">
        <v>0.45</v>
      </c>
      <c r="AL2342">
        <f t="shared" si="1287"/>
        <v>0</v>
      </c>
      <c r="AM2342">
        <f t="shared" si="1288"/>
        <v>0</v>
      </c>
      <c r="AN2342">
        <f t="shared" si="1283"/>
        <v>0</v>
      </c>
      <c r="AO2342" t="s">
        <v>5449</v>
      </c>
      <c r="AV2342" t="str">
        <f>IF(F2342&gt;0,(COUNT($AV$1:AV2341)+1),"")</f>
        <v/>
      </c>
    </row>
    <row r="2343" spans="1:48" ht="15" customHeight="1" x14ac:dyDescent="0.25">
      <c r="A2343" s="1"/>
      <c r="B2343" s="30">
        <v>14235</v>
      </c>
      <c r="C2343" s="20">
        <v>4620747400060</v>
      </c>
      <c r="D2343" s="225" t="s">
        <v>798</v>
      </c>
      <c r="E2343" s="67">
        <v>8</v>
      </c>
      <c r="F2343" s="222"/>
      <c r="G2343" s="107">
        <v>457.5</v>
      </c>
      <c r="H2343" s="21">
        <v>476</v>
      </c>
      <c r="I2343" s="22">
        <v>520</v>
      </c>
      <c r="J2343" s="112" t="s">
        <v>780</v>
      </c>
      <c r="K2343" s="45" t="s">
        <v>201</v>
      </c>
      <c r="L2343" s="437"/>
      <c r="M2343" s="474" t="s">
        <v>1856</v>
      </c>
      <c r="N2343" s="1013" t="s">
        <v>1856</v>
      </c>
      <c r="O2343" s="209"/>
      <c r="P2343" s="66" t="s">
        <v>72</v>
      </c>
      <c r="Q2343" s="100">
        <f t="shared" si="1281"/>
        <v>0</v>
      </c>
      <c r="R2343" s="13" t="str">
        <f t="shared" si="1214"/>
        <v>Фото &gt;&gt;</v>
      </c>
      <c r="S2343" s="14" t="s">
        <v>799</v>
      </c>
      <c r="AK2343">
        <v>0.45</v>
      </c>
      <c r="AL2343">
        <f t="shared" si="1287"/>
        <v>0</v>
      </c>
      <c r="AM2343">
        <f t="shared" si="1288"/>
        <v>0</v>
      </c>
      <c r="AN2343">
        <f t="shared" si="1283"/>
        <v>0</v>
      </c>
      <c r="AO2343" t="s">
        <v>5450</v>
      </c>
      <c r="AV2343" t="str">
        <f>IF(F2343&gt;0,(COUNT($AV$1:AV2342)+1),"")</f>
        <v/>
      </c>
    </row>
    <row r="2344" spans="1:48" ht="15" customHeight="1" x14ac:dyDescent="0.25">
      <c r="A2344" s="1"/>
      <c r="B2344" s="31">
        <v>14240</v>
      </c>
      <c r="C2344" s="16">
        <v>4627092430179</v>
      </c>
      <c r="D2344" s="226" t="s">
        <v>800</v>
      </c>
      <c r="E2344" s="69">
        <v>8</v>
      </c>
      <c r="F2344" s="222"/>
      <c r="G2344" s="108">
        <v>154</v>
      </c>
      <c r="H2344" s="17">
        <v>160</v>
      </c>
      <c r="I2344" s="18">
        <v>174</v>
      </c>
      <c r="J2344" s="113" t="s">
        <v>780</v>
      </c>
      <c r="K2344" s="44" t="s">
        <v>201</v>
      </c>
      <c r="L2344" s="442"/>
      <c r="M2344" s="480" t="s">
        <v>1856</v>
      </c>
      <c r="N2344" s="1015" t="s">
        <v>1856</v>
      </c>
      <c r="O2344" s="210"/>
      <c r="P2344" s="68" t="s">
        <v>72</v>
      </c>
      <c r="Q2344" s="100">
        <f t="shared" si="1281"/>
        <v>0</v>
      </c>
      <c r="R2344" s="13" t="str">
        <f t="shared" si="1214"/>
        <v>Фото &gt;&gt;</v>
      </c>
      <c r="S2344" s="14" t="s">
        <v>801</v>
      </c>
      <c r="AK2344">
        <v>0.45</v>
      </c>
      <c r="AL2344">
        <f t="shared" si="1287"/>
        <v>0</v>
      </c>
      <c r="AM2344">
        <f t="shared" si="1288"/>
        <v>0</v>
      </c>
      <c r="AN2344">
        <f t="shared" si="1283"/>
        <v>0</v>
      </c>
      <c r="AO2344" t="s">
        <v>5451</v>
      </c>
      <c r="AV2344" t="str">
        <f>IF(F2344&gt;0,(COUNT($AV$1:AV2343)+1),"")</f>
        <v/>
      </c>
    </row>
    <row r="2345" spans="1:48" ht="15" customHeight="1" x14ac:dyDescent="0.25">
      <c r="A2345" s="1"/>
      <c r="B2345" s="30">
        <v>14232</v>
      </c>
      <c r="C2345" s="20">
        <v>4627092430032</v>
      </c>
      <c r="D2345" s="225" t="s">
        <v>802</v>
      </c>
      <c r="E2345" s="67">
        <v>8</v>
      </c>
      <c r="F2345" s="222"/>
      <c r="G2345" s="107">
        <v>341.3</v>
      </c>
      <c r="H2345" s="21">
        <v>355</v>
      </c>
      <c r="I2345" s="22">
        <v>382</v>
      </c>
      <c r="J2345" s="112" t="s">
        <v>780</v>
      </c>
      <c r="K2345" s="45" t="s">
        <v>201</v>
      </c>
      <c r="L2345" s="437"/>
      <c r="M2345" s="474" t="s">
        <v>1856</v>
      </c>
      <c r="N2345" s="1013" t="s">
        <v>1856</v>
      </c>
      <c r="O2345" s="209"/>
      <c r="P2345" s="66" t="s">
        <v>72</v>
      </c>
      <c r="Q2345" s="100">
        <f t="shared" si="1281"/>
        <v>0</v>
      </c>
      <c r="R2345" s="13" t="str">
        <f t="shared" si="1214"/>
        <v>Фото &gt;&gt;</v>
      </c>
      <c r="S2345" s="14" t="s">
        <v>803</v>
      </c>
      <c r="AK2345">
        <v>0.45</v>
      </c>
      <c r="AL2345">
        <f t="shared" si="1287"/>
        <v>0</v>
      </c>
      <c r="AM2345">
        <f t="shared" si="1288"/>
        <v>0</v>
      </c>
      <c r="AN2345">
        <f t="shared" si="1283"/>
        <v>0</v>
      </c>
      <c r="AO2345" t="s">
        <v>5452</v>
      </c>
      <c r="AV2345" t="str">
        <f>IF(F2345&gt;0,(COUNT($AV$1:AV2344)+1),"")</f>
        <v/>
      </c>
    </row>
    <row r="2346" spans="1:48" ht="15" customHeight="1" x14ac:dyDescent="0.25">
      <c r="A2346" s="1"/>
      <c r="B2346" s="125"/>
      <c r="C2346" s="126"/>
      <c r="D2346" s="127"/>
      <c r="E2346" s="134"/>
      <c r="F2346" s="189"/>
      <c r="G2346" s="130"/>
      <c r="H2346" s="131"/>
      <c r="I2346" s="132"/>
      <c r="J2346" s="128"/>
      <c r="K2346" s="129"/>
      <c r="L2346" s="433"/>
      <c r="M2346" s="481" t="s">
        <v>104</v>
      </c>
      <c r="N2346" s="471"/>
      <c r="O2346" s="181"/>
      <c r="P2346" s="133"/>
      <c r="Q2346" s="135"/>
      <c r="R2346" s="13"/>
      <c r="S2346" s="14"/>
      <c r="AV2346" t="str">
        <f>IF(F2346&gt;0,(COUNT($AV$1:AV2345)+1),"")</f>
        <v/>
      </c>
    </row>
    <row r="2347" spans="1:48" ht="15" customHeight="1" thickBot="1" x14ac:dyDescent="0.3">
      <c r="A2347" s="1"/>
      <c r="B2347" s="136"/>
      <c r="C2347" s="137"/>
      <c r="D2347" s="138"/>
      <c r="E2347" s="145"/>
      <c r="F2347" s="190"/>
      <c r="G2347" s="141"/>
      <c r="H2347" s="142"/>
      <c r="I2347" s="143"/>
      <c r="J2347" s="139"/>
      <c r="K2347" s="140"/>
      <c r="L2347" s="434"/>
      <c r="M2347" s="477" t="s">
        <v>104</v>
      </c>
      <c r="N2347" s="468"/>
      <c r="O2347" s="182"/>
      <c r="P2347" s="144"/>
      <c r="Q2347" s="146"/>
      <c r="R2347" s="13"/>
      <c r="S2347" s="14"/>
      <c r="AV2347" t="str">
        <f>IF(F2347&gt;0,(COUNT($AV$1:AV2346)+1),"")</f>
        <v/>
      </c>
    </row>
    <row r="2348" spans="1:48" ht="24.95" customHeight="1" thickBot="1" x14ac:dyDescent="0.3">
      <c r="A2348" s="1"/>
      <c r="B2348" s="169"/>
      <c r="C2348" s="170"/>
      <c r="D2348" s="171" t="str">
        <f>CONCATENATE("О самом главном (Фитокод)","     |     Сумма заказа: ",AK2348," руб.")</f>
        <v>О самом главном (Фитокод)     |     Сумма заказа: 0 руб.</v>
      </c>
      <c r="E2348" s="176"/>
      <c r="F2348" s="177"/>
      <c r="G2348" s="180" t="str">
        <f>CONCATENATE("Ценовая колонка: ",AO2348,"   |   До следующей скидки: ",AJ2348," руб.")</f>
        <v>Ценовая колонка: 3   |   До следующей скидки: 5000 руб.</v>
      </c>
      <c r="H2348" s="174"/>
      <c r="I2348" s="174"/>
      <c r="J2348" s="172" t="s">
        <v>5535</v>
      </c>
      <c r="K2348" s="173"/>
      <c r="L2348" s="444"/>
      <c r="M2348" s="486" t="s">
        <v>104</v>
      </c>
      <c r="N2348" s="717"/>
      <c r="O2348" s="184"/>
      <c r="P2348" s="175"/>
      <c r="Q2348" s="178"/>
      <c r="R2348" s="179" t="s">
        <v>1558</v>
      </c>
      <c r="S2348" s="14"/>
      <c r="AJ2348">
        <f>ROUND(IF(AL2348&gt;20000,"0", IF(AND(AL2348&lt;20000,AM2348&gt;5000),20000-AL2348,5000-AM2348)),2)</f>
        <v>5000</v>
      </c>
      <c r="AK2348">
        <f>SUM(Q2350:AI2368)</f>
        <v>0</v>
      </c>
      <c r="AL2348">
        <f>SUM(AL2350:AL2368)</f>
        <v>0</v>
      </c>
      <c r="AM2348">
        <f>SUM(AM2350:AM2368)</f>
        <v>0</v>
      </c>
      <c r="AO2348">
        <f>IF(AM2348&gt;5000,IF(AL2348&gt;20000,1,2),3)</f>
        <v>3</v>
      </c>
      <c r="AV2348" t="str">
        <f>IF(F2348&gt;0,(COUNT($AV$1:AV2347)+1),"")</f>
        <v/>
      </c>
    </row>
    <row r="2349" spans="1:48" ht="15" customHeight="1" x14ac:dyDescent="0.25">
      <c r="A2349" s="1"/>
      <c r="B2349" s="296"/>
      <c r="C2349" s="38"/>
      <c r="D2349" s="39" t="s">
        <v>117</v>
      </c>
      <c r="E2349" s="82"/>
      <c r="F2349" s="97"/>
      <c r="G2349" s="40" t="s">
        <v>15</v>
      </c>
      <c r="H2349" s="41" t="s">
        <v>16</v>
      </c>
      <c r="I2349" s="41" t="s">
        <v>221</v>
      </c>
      <c r="J2349" s="52"/>
      <c r="K2349" s="48"/>
      <c r="L2349" s="448"/>
      <c r="M2349" s="491" t="s">
        <v>104</v>
      </c>
      <c r="N2349" s="715"/>
      <c r="O2349" s="187"/>
      <c r="P2349" s="81"/>
      <c r="Q2349" s="105"/>
      <c r="R2349" s="13"/>
      <c r="S2349" s="14"/>
      <c r="AV2349" t="str">
        <f>IF(F2349&gt;0,(COUNT($AV$1:AV2348)+1),"")</f>
        <v/>
      </c>
    </row>
    <row r="2350" spans="1:48" ht="15" customHeight="1" x14ac:dyDescent="0.25">
      <c r="A2350" s="1"/>
      <c r="B2350" s="30">
        <v>11986</v>
      </c>
      <c r="C2350" s="20">
        <v>4612728750981</v>
      </c>
      <c r="D2350" s="153" t="s">
        <v>804</v>
      </c>
      <c r="E2350" s="67">
        <v>42</v>
      </c>
      <c r="F2350" s="222"/>
      <c r="G2350" s="107">
        <v>75</v>
      </c>
      <c r="H2350" s="21">
        <v>80</v>
      </c>
      <c r="I2350" s="22">
        <v>86.4</v>
      </c>
      <c r="J2350" s="112" t="s">
        <v>5535</v>
      </c>
      <c r="K2350" s="45" t="s">
        <v>117</v>
      </c>
      <c r="L2350" s="437"/>
      <c r="M2350" s="474" t="s">
        <v>1856</v>
      </c>
      <c r="N2350" s="1013" t="s">
        <v>1856</v>
      </c>
      <c r="O2350" s="212"/>
      <c r="P2350" s="66" t="s">
        <v>50</v>
      </c>
      <c r="Q2350" s="100">
        <f t="shared" ref="Q2350:Q2368" si="1289">IF($AO$2348=2,F2350*H2350,IF($AO$2348=1,F2350*G2350,F2350*I2350))</f>
        <v>0</v>
      </c>
      <c r="R2350" s="13" t="str">
        <f>IF(AO2350&gt;0,HYPERLINK(AO2350,"Фото &gt;&gt;"),"")</f>
        <v>Фото &gt;&gt;</v>
      </c>
      <c r="S2350" s="14" t="s">
        <v>805</v>
      </c>
      <c r="AK2350">
        <v>0.08</v>
      </c>
      <c r="AL2350">
        <f t="shared" ref="AL2350:AL2367" si="1290">F2350*G2350</f>
        <v>0</v>
      </c>
      <c r="AM2350">
        <f t="shared" ref="AM2350:AM2367" si="1291">F2350*H2350</f>
        <v>0</v>
      </c>
      <c r="AN2350">
        <f t="shared" ref="AN2350:AN2368" si="1292">AK2350*F2350+IF(E2350&gt;1.01,F2350/E2350*0.2,0)</f>
        <v>0</v>
      </c>
      <c r="AO2350" t="s">
        <v>5092</v>
      </c>
      <c r="AV2350" t="str">
        <f>IF(F2350&gt;0,(COUNT($AV$1:AV2349)+1),"")</f>
        <v/>
      </c>
    </row>
    <row r="2351" spans="1:48" ht="15" customHeight="1" x14ac:dyDescent="0.25">
      <c r="A2351" s="1"/>
      <c r="B2351" s="31">
        <v>11987</v>
      </c>
      <c r="C2351" s="16">
        <v>4612728750998</v>
      </c>
      <c r="D2351" s="154" t="s">
        <v>806</v>
      </c>
      <c r="E2351" s="69">
        <v>42</v>
      </c>
      <c r="F2351" s="222"/>
      <c r="G2351" s="108">
        <v>75</v>
      </c>
      <c r="H2351" s="17">
        <v>80</v>
      </c>
      <c r="I2351" s="18">
        <v>86.4</v>
      </c>
      <c r="J2351" s="113" t="s">
        <v>5535</v>
      </c>
      <c r="K2351" s="44" t="s">
        <v>117</v>
      </c>
      <c r="L2351" s="442"/>
      <c r="M2351" s="480" t="s">
        <v>1856</v>
      </c>
      <c r="N2351" s="1015" t="s">
        <v>1856</v>
      </c>
      <c r="O2351" s="217"/>
      <c r="P2351" s="68" t="s">
        <v>50</v>
      </c>
      <c r="Q2351" s="100">
        <f t="shared" si="1289"/>
        <v>0</v>
      </c>
      <c r="R2351" s="13" t="str">
        <f t="shared" si="1214"/>
        <v>Фото &gt;&gt;</v>
      </c>
      <c r="S2351" s="14" t="s">
        <v>807</v>
      </c>
      <c r="AK2351">
        <v>0.08</v>
      </c>
      <c r="AL2351">
        <f t="shared" si="1290"/>
        <v>0</v>
      </c>
      <c r="AM2351">
        <f t="shared" si="1291"/>
        <v>0</v>
      </c>
      <c r="AN2351">
        <f t="shared" si="1292"/>
        <v>0</v>
      </c>
      <c r="AO2351" t="s">
        <v>5093</v>
      </c>
      <c r="AV2351" t="str">
        <f>IF(F2351&gt;0,(COUNT($AV$1:AV2350)+1),"")</f>
        <v/>
      </c>
    </row>
    <row r="2352" spans="1:48" ht="15" customHeight="1" x14ac:dyDescent="0.25">
      <c r="A2352" s="1"/>
      <c r="B2352" s="30">
        <v>11994</v>
      </c>
      <c r="C2352" s="20">
        <v>4612728751001</v>
      </c>
      <c r="D2352" s="153" t="s">
        <v>808</v>
      </c>
      <c r="E2352" s="67">
        <v>42</v>
      </c>
      <c r="F2352" s="222"/>
      <c r="G2352" s="107">
        <v>75</v>
      </c>
      <c r="H2352" s="21">
        <v>80</v>
      </c>
      <c r="I2352" s="22">
        <v>86.4</v>
      </c>
      <c r="J2352" s="112" t="s">
        <v>5535</v>
      </c>
      <c r="K2352" s="45" t="s">
        <v>117</v>
      </c>
      <c r="L2352" s="437"/>
      <c r="M2352" s="474" t="s">
        <v>1856</v>
      </c>
      <c r="N2352" s="1013" t="s">
        <v>1856</v>
      </c>
      <c r="O2352" s="212"/>
      <c r="P2352" s="66" t="s">
        <v>50</v>
      </c>
      <c r="Q2352" s="100">
        <f t="shared" si="1289"/>
        <v>0</v>
      </c>
      <c r="R2352" s="13" t="str">
        <f t="shared" si="1214"/>
        <v>Фото &gt;&gt;</v>
      </c>
      <c r="S2352" s="14" t="s">
        <v>5534</v>
      </c>
      <c r="AK2352">
        <v>0.08</v>
      </c>
      <c r="AL2352">
        <f t="shared" si="1290"/>
        <v>0</v>
      </c>
      <c r="AM2352">
        <f t="shared" si="1291"/>
        <v>0</v>
      </c>
      <c r="AN2352">
        <f t="shared" si="1292"/>
        <v>0</v>
      </c>
      <c r="AO2352" t="s">
        <v>5094</v>
      </c>
      <c r="AV2352" t="str">
        <f>IF(F2352&gt;0,(COUNT($AV$1:AV2351)+1),"")</f>
        <v/>
      </c>
    </row>
    <row r="2353" spans="1:48" ht="15" customHeight="1" x14ac:dyDescent="0.25">
      <c r="A2353" s="1"/>
      <c r="B2353" s="31">
        <v>11988</v>
      </c>
      <c r="C2353" s="16">
        <v>4612728751018</v>
      </c>
      <c r="D2353" s="154" t="s">
        <v>809</v>
      </c>
      <c r="E2353" s="69">
        <v>42</v>
      </c>
      <c r="F2353" s="222"/>
      <c r="G2353" s="108">
        <v>75</v>
      </c>
      <c r="H2353" s="17">
        <v>80</v>
      </c>
      <c r="I2353" s="18">
        <v>86.4</v>
      </c>
      <c r="J2353" s="113" t="s">
        <v>5535</v>
      </c>
      <c r="K2353" s="44" t="s">
        <v>117</v>
      </c>
      <c r="L2353" s="442"/>
      <c r="M2353" s="480" t="s">
        <v>1856</v>
      </c>
      <c r="N2353" s="1015" t="s">
        <v>1856</v>
      </c>
      <c r="O2353" s="217"/>
      <c r="P2353" s="68" t="s">
        <v>50</v>
      </c>
      <c r="Q2353" s="100">
        <f t="shared" si="1289"/>
        <v>0</v>
      </c>
      <c r="R2353" s="13" t="str">
        <f t="shared" si="1214"/>
        <v>Фото &gt;&gt;</v>
      </c>
      <c r="S2353" s="14" t="s">
        <v>810</v>
      </c>
      <c r="AK2353">
        <v>0.08</v>
      </c>
      <c r="AL2353">
        <f t="shared" si="1290"/>
        <v>0</v>
      </c>
      <c r="AM2353">
        <f t="shared" si="1291"/>
        <v>0</v>
      </c>
      <c r="AN2353">
        <f t="shared" si="1292"/>
        <v>0</v>
      </c>
      <c r="AO2353" t="s">
        <v>5095</v>
      </c>
      <c r="AV2353" t="str">
        <f>IF(F2353&gt;0,(COUNT($AV$1:AV2352)+1),"")</f>
        <v/>
      </c>
    </row>
    <row r="2354" spans="1:48" ht="15" customHeight="1" x14ac:dyDescent="0.25">
      <c r="A2354" s="1"/>
      <c r="B2354" s="30">
        <v>11985</v>
      </c>
      <c r="C2354" s="20">
        <v>4612728751025</v>
      </c>
      <c r="D2354" s="153" t="s">
        <v>811</v>
      </c>
      <c r="E2354" s="67">
        <v>42</v>
      </c>
      <c r="F2354" s="222"/>
      <c r="G2354" s="107">
        <v>75</v>
      </c>
      <c r="H2354" s="21">
        <v>80</v>
      </c>
      <c r="I2354" s="22">
        <v>86.4</v>
      </c>
      <c r="J2354" s="112" t="s">
        <v>5535</v>
      </c>
      <c r="K2354" s="45" t="s">
        <v>117</v>
      </c>
      <c r="L2354" s="437"/>
      <c r="M2354" s="474" t="s">
        <v>1856</v>
      </c>
      <c r="N2354" s="1013" t="s">
        <v>1856</v>
      </c>
      <c r="O2354" s="212"/>
      <c r="P2354" s="66" t="s">
        <v>50</v>
      </c>
      <c r="Q2354" s="100">
        <f t="shared" si="1289"/>
        <v>0</v>
      </c>
      <c r="R2354" s="13" t="str">
        <f t="shared" si="1214"/>
        <v>Фото &gt;&gt;</v>
      </c>
      <c r="S2354" s="14" t="s">
        <v>812</v>
      </c>
      <c r="AK2354">
        <v>0.08</v>
      </c>
      <c r="AL2354">
        <f t="shared" si="1290"/>
        <v>0</v>
      </c>
      <c r="AM2354">
        <f t="shared" si="1291"/>
        <v>0</v>
      </c>
      <c r="AN2354">
        <f t="shared" si="1292"/>
        <v>0</v>
      </c>
      <c r="AO2354" t="s">
        <v>5096</v>
      </c>
      <c r="AV2354" t="str">
        <f>IF(F2354&gt;0,(COUNT($AV$1:AV2353)+1),"")</f>
        <v/>
      </c>
    </row>
    <row r="2355" spans="1:48" ht="15" customHeight="1" x14ac:dyDescent="0.25">
      <c r="A2355" s="1"/>
      <c r="B2355" s="31">
        <v>11992</v>
      </c>
      <c r="C2355" s="16">
        <v>4612728751032</v>
      </c>
      <c r="D2355" s="154" t="s">
        <v>813</v>
      </c>
      <c r="E2355" s="69">
        <v>42</v>
      </c>
      <c r="F2355" s="222"/>
      <c r="G2355" s="108">
        <v>75</v>
      </c>
      <c r="H2355" s="17">
        <v>80</v>
      </c>
      <c r="I2355" s="18">
        <v>86.4</v>
      </c>
      <c r="J2355" s="113" t="s">
        <v>5535</v>
      </c>
      <c r="K2355" s="44" t="s">
        <v>117</v>
      </c>
      <c r="L2355" s="442"/>
      <c r="M2355" s="480" t="s">
        <v>1856</v>
      </c>
      <c r="N2355" s="1015" t="s">
        <v>1856</v>
      </c>
      <c r="O2355" s="217"/>
      <c r="P2355" s="68" t="s">
        <v>50</v>
      </c>
      <c r="Q2355" s="100">
        <f t="shared" si="1289"/>
        <v>0</v>
      </c>
      <c r="R2355" s="13" t="str">
        <f t="shared" si="1214"/>
        <v>Фото &gt;&gt;</v>
      </c>
      <c r="S2355" s="14" t="s">
        <v>814</v>
      </c>
      <c r="AK2355">
        <v>0.08</v>
      </c>
      <c r="AL2355">
        <f t="shared" si="1290"/>
        <v>0</v>
      </c>
      <c r="AM2355">
        <f t="shared" si="1291"/>
        <v>0</v>
      </c>
      <c r="AN2355">
        <f t="shared" si="1292"/>
        <v>0</v>
      </c>
      <c r="AO2355" t="s">
        <v>5097</v>
      </c>
      <c r="AV2355" t="str">
        <f>IF(F2355&gt;0,(COUNT($AV$1:AV2354)+1),"")</f>
        <v/>
      </c>
    </row>
    <row r="2356" spans="1:48" ht="15" customHeight="1" x14ac:dyDescent="0.25">
      <c r="A2356" s="1"/>
      <c r="B2356" s="30">
        <v>11998</v>
      </c>
      <c r="C2356" s="20">
        <v>4612728750967</v>
      </c>
      <c r="D2356" s="153" t="s">
        <v>815</v>
      </c>
      <c r="E2356" s="67">
        <v>42</v>
      </c>
      <c r="F2356" s="222"/>
      <c r="G2356" s="107">
        <v>75</v>
      </c>
      <c r="H2356" s="21">
        <v>80</v>
      </c>
      <c r="I2356" s="22">
        <v>86.4</v>
      </c>
      <c r="J2356" s="112" t="s">
        <v>5535</v>
      </c>
      <c r="K2356" s="45" t="s">
        <v>117</v>
      </c>
      <c r="L2356" s="437"/>
      <c r="M2356" s="474" t="s">
        <v>1856</v>
      </c>
      <c r="N2356" s="1013" t="s">
        <v>1856</v>
      </c>
      <c r="O2356" s="212"/>
      <c r="P2356" s="66" t="s">
        <v>50</v>
      </c>
      <c r="Q2356" s="100">
        <f t="shared" si="1289"/>
        <v>0</v>
      </c>
      <c r="R2356" s="13" t="str">
        <f t="shared" si="1214"/>
        <v>Фото &gt;&gt;</v>
      </c>
      <c r="S2356" s="14" t="s">
        <v>3666</v>
      </c>
      <c r="AK2356">
        <v>0.08</v>
      </c>
      <c r="AL2356">
        <f t="shared" si="1290"/>
        <v>0</v>
      </c>
      <c r="AM2356">
        <f t="shared" si="1291"/>
        <v>0</v>
      </c>
      <c r="AN2356">
        <f t="shared" si="1292"/>
        <v>0</v>
      </c>
      <c r="AO2356" t="s">
        <v>5098</v>
      </c>
      <c r="AV2356" t="str">
        <f>IF(F2356&gt;0,(COUNT($AV$1:AV2355)+1),"")</f>
        <v/>
      </c>
    </row>
    <row r="2357" spans="1:48" ht="15" customHeight="1" x14ac:dyDescent="0.25">
      <c r="A2357" s="1"/>
      <c r="B2357" s="31">
        <v>11991</v>
      </c>
      <c r="C2357" s="16">
        <v>4612728751049</v>
      </c>
      <c r="D2357" s="154" t="s">
        <v>816</v>
      </c>
      <c r="E2357" s="69">
        <v>42</v>
      </c>
      <c r="F2357" s="222"/>
      <c r="G2357" s="108">
        <v>75</v>
      </c>
      <c r="H2357" s="17">
        <v>80</v>
      </c>
      <c r="I2357" s="18">
        <v>86.4</v>
      </c>
      <c r="J2357" s="113" t="s">
        <v>5535</v>
      </c>
      <c r="K2357" s="44" t="s">
        <v>117</v>
      </c>
      <c r="L2357" s="442"/>
      <c r="M2357" s="480" t="s">
        <v>1856</v>
      </c>
      <c r="N2357" s="1015" t="s">
        <v>1856</v>
      </c>
      <c r="O2357" s="217"/>
      <c r="P2357" s="68" t="s">
        <v>50</v>
      </c>
      <c r="Q2357" s="100">
        <f t="shared" si="1289"/>
        <v>0</v>
      </c>
      <c r="R2357" s="13" t="str">
        <f t="shared" si="1214"/>
        <v>Фото &gt;&gt;</v>
      </c>
      <c r="S2357" s="14" t="s">
        <v>3665</v>
      </c>
      <c r="AK2357">
        <v>0.08</v>
      </c>
      <c r="AL2357">
        <f t="shared" si="1290"/>
        <v>0</v>
      </c>
      <c r="AM2357">
        <f t="shared" si="1291"/>
        <v>0</v>
      </c>
      <c r="AN2357">
        <f t="shared" si="1292"/>
        <v>0</v>
      </c>
      <c r="AO2357" t="s">
        <v>5099</v>
      </c>
      <c r="AV2357" t="str">
        <f>IF(F2357&gt;0,(COUNT($AV$1:AV2356)+1),"")</f>
        <v/>
      </c>
    </row>
    <row r="2358" spans="1:48" ht="15" customHeight="1" x14ac:dyDescent="0.25">
      <c r="A2358" s="1"/>
      <c r="B2358" s="30">
        <v>11996</v>
      </c>
      <c r="C2358" s="20">
        <v>4612728751056</v>
      </c>
      <c r="D2358" s="153" t="s">
        <v>817</v>
      </c>
      <c r="E2358" s="67">
        <v>42</v>
      </c>
      <c r="F2358" s="222"/>
      <c r="G2358" s="107">
        <v>75</v>
      </c>
      <c r="H2358" s="21">
        <v>80</v>
      </c>
      <c r="I2358" s="22">
        <v>86.4</v>
      </c>
      <c r="J2358" s="112" t="s">
        <v>5535</v>
      </c>
      <c r="K2358" s="45" t="s">
        <v>117</v>
      </c>
      <c r="L2358" s="437"/>
      <c r="M2358" s="474" t="s">
        <v>1856</v>
      </c>
      <c r="N2358" s="1013" t="s">
        <v>1856</v>
      </c>
      <c r="O2358" s="212"/>
      <c r="P2358" s="66" t="s">
        <v>50</v>
      </c>
      <c r="Q2358" s="100">
        <f t="shared" si="1289"/>
        <v>0</v>
      </c>
      <c r="R2358" s="13" t="str">
        <f t="shared" si="1214"/>
        <v>Фото &gt;&gt;</v>
      </c>
      <c r="S2358" s="14" t="s">
        <v>818</v>
      </c>
      <c r="AK2358">
        <v>0.08</v>
      </c>
      <c r="AL2358">
        <f t="shared" si="1290"/>
        <v>0</v>
      </c>
      <c r="AM2358">
        <f t="shared" si="1291"/>
        <v>0</v>
      </c>
      <c r="AN2358">
        <f t="shared" si="1292"/>
        <v>0</v>
      </c>
      <c r="AO2358" t="s">
        <v>5100</v>
      </c>
      <c r="AV2358" t="str">
        <f>IF(F2358&gt;0,(COUNT($AV$1:AV2357)+1),"")</f>
        <v/>
      </c>
    </row>
    <row r="2359" spans="1:48" ht="15" customHeight="1" x14ac:dyDescent="0.25">
      <c r="A2359" s="1"/>
      <c r="B2359" s="31">
        <v>11997</v>
      </c>
      <c r="C2359" s="16">
        <v>4612728751063</v>
      </c>
      <c r="D2359" s="154" t="s">
        <v>819</v>
      </c>
      <c r="E2359" s="69">
        <v>42</v>
      </c>
      <c r="F2359" s="222"/>
      <c r="G2359" s="108">
        <v>75</v>
      </c>
      <c r="H2359" s="17">
        <v>80</v>
      </c>
      <c r="I2359" s="18">
        <v>86.4</v>
      </c>
      <c r="J2359" s="113" t="s">
        <v>5535</v>
      </c>
      <c r="K2359" s="44" t="s">
        <v>117</v>
      </c>
      <c r="L2359" s="442"/>
      <c r="M2359" s="480" t="s">
        <v>1856</v>
      </c>
      <c r="N2359" s="1015" t="s">
        <v>1856</v>
      </c>
      <c r="O2359" s="217"/>
      <c r="P2359" s="68" t="s">
        <v>50</v>
      </c>
      <c r="Q2359" s="100">
        <f t="shared" si="1289"/>
        <v>0</v>
      </c>
      <c r="R2359" s="13" t="str">
        <f t="shared" si="1214"/>
        <v>Фото &gt;&gt;</v>
      </c>
      <c r="S2359" s="14" t="s">
        <v>820</v>
      </c>
      <c r="AK2359">
        <v>0.08</v>
      </c>
      <c r="AL2359">
        <f t="shared" si="1290"/>
        <v>0</v>
      </c>
      <c r="AM2359">
        <f t="shared" si="1291"/>
        <v>0</v>
      </c>
      <c r="AN2359">
        <f t="shared" si="1292"/>
        <v>0</v>
      </c>
      <c r="AO2359" t="s">
        <v>5101</v>
      </c>
      <c r="AV2359" t="str">
        <f>IF(F2359&gt;0,(COUNT($AV$1:AV2358)+1),"")</f>
        <v/>
      </c>
    </row>
    <row r="2360" spans="1:48" ht="15" customHeight="1" x14ac:dyDescent="0.25">
      <c r="A2360" s="1"/>
      <c r="B2360" s="30">
        <v>11993</v>
      </c>
      <c r="C2360" s="20">
        <v>4612728751070</v>
      </c>
      <c r="D2360" s="153" t="s">
        <v>821</v>
      </c>
      <c r="E2360" s="67">
        <v>42</v>
      </c>
      <c r="F2360" s="222"/>
      <c r="G2360" s="107">
        <v>75</v>
      </c>
      <c r="H2360" s="21">
        <v>80</v>
      </c>
      <c r="I2360" s="22">
        <v>86.4</v>
      </c>
      <c r="J2360" s="112" t="s">
        <v>5535</v>
      </c>
      <c r="K2360" s="45" t="s">
        <v>117</v>
      </c>
      <c r="L2360" s="437"/>
      <c r="M2360" s="474" t="s">
        <v>1856</v>
      </c>
      <c r="N2360" s="1013" t="s">
        <v>1856</v>
      </c>
      <c r="O2360" s="212"/>
      <c r="P2360" s="66" t="s">
        <v>50</v>
      </c>
      <c r="Q2360" s="100">
        <f t="shared" si="1289"/>
        <v>0</v>
      </c>
      <c r="R2360" s="13" t="str">
        <f t="shared" si="1214"/>
        <v>Фото &gt;&gt;</v>
      </c>
      <c r="S2360" s="14" t="s">
        <v>822</v>
      </c>
      <c r="AK2360">
        <v>0.08</v>
      </c>
      <c r="AL2360">
        <f t="shared" si="1290"/>
        <v>0</v>
      </c>
      <c r="AM2360">
        <f t="shared" si="1291"/>
        <v>0</v>
      </c>
      <c r="AN2360">
        <f t="shared" si="1292"/>
        <v>0</v>
      </c>
      <c r="AO2360" t="s">
        <v>5102</v>
      </c>
      <c r="AV2360" t="str">
        <f>IF(F2360&gt;0,(COUNT($AV$1:AV2359)+1),"")</f>
        <v/>
      </c>
    </row>
    <row r="2361" spans="1:48" ht="15" customHeight="1" x14ac:dyDescent="0.25">
      <c r="A2361" s="1"/>
      <c r="B2361" s="31">
        <v>11999</v>
      </c>
      <c r="C2361" s="16">
        <v>4612728751087</v>
      </c>
      <c r="D2361" s="154" t="s">
        <v>823</v>
      </c>
      <c r="E2361" s="69">
        <v>42</v>
      </c>
      <c r="F2361" s="222"/>
      <c r="G2361" s="108">
        <v>75</v>
      </c>
      <c r="H2361" s="17">
        <v>80</v>
      </c>
      <c r="I2361" s="18">
        <v>86.4</v>
      </c>
      <c r="J2361" s="113" t="s">
        <v>5535</v>
      </c>
      <c r="K2361" s="44" t="s">
        <v>117</v>
      </c>
      <c r="L2361" s="442"/>
      <c r="M2361" s="480" t="s">
        <v>1856</v>
      </c>
      <c r="N2361" s="1015" t="s">
        <v>1856</v>
      </c>
      <c r="O2361" s="217"/>
      <c r="P2361" s="68" t="s">
        <v>50</v>
      </c>
      <c r="Q2361" s="100">
        <f t="shared" si="1289"/>
        <v>0</v>
      </c>
      <c r="R2361" s="13" t="str">
        <f t="shared" si="1214"/>
        <v>Фото &gt;&gt;</v>
      </c>
      <c r="S2361" s="14" t="s">
        <v>3664</v>
      </c>
      <c r="AK2361">
        <v>0.08</v>
      </c>
      <c r="AL2361">
        <f t="shared" si="1290"/>
        <v>0</v>
      </c>
      <c r="AM2361">
        <f t="shared" si="1291"/>
        <v>0</v>
      </c>
      <c r="AN2361">
        <f t="shared" si="1292"/>
        <v>0</v>
      </c>
      <c r="AO2361" t="s">
        <v>5103</v>
      </c>
      <c r="AV2361" t="str">
        <f>IF(F2361&gt;0,(COUNT($AV$1:AV2360)+1),"")</f>
        <v/>
      </c>
    </row>
    <row r="2362" spans="1:48" ht="15" customHeight="1" x14ac:dyDescent="0.25">
      <c r="A2362" s="1"/>
      <c r="B2362" s="30">
        <v>11995</v>
      </c>
      <c r="C2362" s="20">
        <v>4612728751094</v>
      </c>
      <c r="D2362" s="153" t="s">
        <v>824</v>
      </c>
      <c r="E2362" s="67">
        <v>42</v>
      </c>
      <c r="F2362" s="222"/>
      <c r="G2362" s="107">
        <v>75</v>
      </c>
      <c r="H2362" s="21">
        <v>80</v>
      </c>
      <c r="I2362" s="22">
        <v>86.4</v>
      </c>
      <c r="J2362" s="112" t="s">
        <v>5535</v>
      </c>
      <c r="K2362" s="45" t="s">
        <v>117</v>
      </c>
      <c r="L2362" s="437"/>
      <c r="M2362" s="474" t="s">
        <v>1856</v>
      </c>
      <c r="N2362" s="1013" t="s">
        <v>1856</v>
      </c>
      <c r="O2362" s="212"/>
      <c r="P2362" s="66" t="s">
        <v>50</v>
      </c>
      <c r="Q2362" s="100">
        <f t="shared" si="1289"/>
        <v>0</v>
      </c>
      <c r="R2362" s="13" t="str">
        <f t="shared" si="1214"/>
        <v>Фото &gt;&gt;</v>
      </c>
      <c r="S2362" s="14" t="s">
        <v>825</v>
      </c>
      <c r="AK2362">
        <v>0.08</v>
      </c>
      <c r="AL2362">
        <f t="shared" si="1290"/>
        <v>0</v>
      </c>
      <c r="AM2362">
        <f t="shared" si="1291"/>
        <v>0</v>
      </c>
      <c r="AN2362">
        <f t="shared" si="1292"/>
        <v>0</v>
      </c>
      <c r="AO2362" t="s">
        <v>5104</v>
      </c>
      <c r="AV2362" t="str">
        <f>IF(F2362&gt;0,(COUNT($AV$1:AV2361)+1),"")</f>
        <v/>
      </c>
    </row>
    <row r="2363" spans="1:48" ht="15" customHeight="1" x14ac:dyDescent="0.25">
      <c r="A2363" s="1"/>
      <c r="B2363" s="31">
        <v>11984</v>
      </c>
      <c r="C2363" s="16">
        <v>4612728750950</v>
      </c>
      <c r="D2363" s="154" t="s">
        <v>826</v>
      </c>
      <c r="E2363" s="69">
        <v>42</v>
      </c>
      <c r="F2363" s="222"/>
      <c r="G2363" s="108">
        <v>75</v>
      </c>
      <c r="H2363" s="17">
        <v>80</v>
      </c>
      <c r="I2363" s="18">
        <v>86.4</v>
      </c>
      <c r="J2363" s="113" t="s">
        <v>5535</v>
      </c>
      <c r="K2363" s="44" t="s">
        <v>117</v>
      </c>
      <c r="L2363" s="442"/>
      <c r="M2363" s="480" t="s">
        <v>1856</v>
      </c>
      <c r="N2363" s="1015" t="s">
        <v>1856</v>
      </c>
      <c r="O2363" s="217"/>
      <c r="P2363" s="68" t="s">
        <v>50</v>
      </c>
      <c r="Q2363" s="100">
        <f t="shared" si="1289"/>
        <v>0</v>
      </c>
      <c r="R2363" s="13" t="str">
        <f t="shared" si="1214"/>
        <v>Фото &gt;&gt;</v>
      </c>
      <c r="S2363" s="14" t="s">
        <v>3667</v>
      </c>
      <c r="AK2363">
        <v>0.08</v>
      </c>
      <c r="AL2363">
        <f t="shared" si="1290"/>
        <v>0</v>
      </c>
      <c r="AM2363">
        <f t="shared" si="1291"/>
        <v>0</v>
      </c>
      <c r="AN2363">
        <f t="shared" si="1292"/>
        <v>0</v>
      </c>
      <c r="AO2363" t="s">
        <v>5105</v>
      </c>
      <c r="AV2363" t="str">
        <f>IF(F2363&gt;0,(COUNT($AV$1:AV2362)+1),"")</f>
        <v/>
      </c>
    </row>
    <row r="2364" spans="1:48" ht="15" customHeight="1" x14ac:dyDescent="0.25">
      <c r="A2364" s="1"/>
      <c r="B2364" s="30">
        <v>11989</v>
      </c>
      <c r="C2364" s="20">
        <v>4612728751100</v>
      </c>
      <c r="D2364" s="153" t="s">
        <v>827</v>
      </c>
      <c r="E2364" s="67">
        <v>42</v>
      </c>
      <c r="F2364" s="222"/>
      <c r="G2364" s="107">
        <v>75</v>
      </c>
      <c r="H2364" s="21">
        <v>80</v>
      </c>
      <c r="I2364" s="22">
        <v>86.4</v>
      </c>
      <c r="J2364" s="112" t="s">
        <v>5535</v>
      </c>
      <c r="K2364" s="45" t="s">
        <v>117</v>
      </c>
      <c r="L2364" s="437"/>
      <c r="M2364" s="474" t="s">
        <v>1856</v>
      </c>
      <c r="N2364" s="1013" t="s">
        <v>1856</v>
      </c>
      <c r="O2364" s="212"/>
      <c r="P2364" s="66" t="s">
        <v>50</v>
      </c>
      <c r="Q2364" s="100">
        <f t="shared" si="1289"/>
        <v>0</v>
      </c>
      <c r="R2364" s="13" t="str">
        <f t="shared" si="1214"/>
        <v>Фото &gt;&gt;</v>
      </c>
      <c r="S2364" s="14" t="s">
        <v>5533</v>
      </c>
      <c r="AK2364">
        <v>0.08</v>
      </c>
      <c r="AL2364">
        <f t="shared" si="1290"/>
        <v>0</v>
      </c>
      <c r="AM2364">
        <f t="shared" si="1291"/>
        <v>0</v>
      </c>
      <c r="AN2364">
        <f t="shared" si="1292"/>
        <v>0</v>
      </c>
      <c r="AO2364" t="s">
        <v>5106</v>
      </c>
      <c r="AV2364" t="str">
        <f>IF(F2364&gt;0,(COUNT($AV$1:AV2363)+1),"")</f>
        <v/>
      </c>
    </row>
    <row r="2365" spans="1:48" ht="15" customHeight="1" x14ac:dyDescent="0.25">
      <c r="A2365" s="1"/>
      <c r="B2365" s="31">
        <v>11990</v>
      </c>
      <c r="C2365" s="16">
        <v>4612728751117</v>
      </c>
      <c r="D2365" s="154" t="s">
        <v>828</v>
      </c>
      <c r="E2365" s="69">
        <v>42</v>
      </c>
      <c r="F2365" s="222"/>
      <c r="G2365" s="108">
        <v>75</v>
      </c>
      <c r="H2365" s="17">
        <v>80</v>
      </c>
      <c r="I2365" s="18">
        <v>86.4</v>
      </c>
      <c r="J2365" s="113" t="s">
        <v>5535</v>
      </c>
      <c r="K2365" s="44" t="s">
        <v>117</v>
      </c>
      <c r="L2365" s="442"/>
      <c r="M2365" s="480" t="s">
        <v>1856</v>
      </c>
      <c r="N2365" s="1015" t="s">
        <v>1856</v>
      </c>
      <c r="O2365" s="217"/>
      <c r="P2365" s="68" t="s">
        <v>50</v>
      </c>
      <c r="Q2365" s="100">
        <f t="shared" si="1289"/>
        <v>0</v>
      </c>
      <c r="R2365" s="13" t="str">
        <f t="shared" si="1214"/>
        <v>Фото &gt;&gt;</v>
      </c>
      <c r="S2365" s="14" t="s">
        <v>829</v>
      </c>
      <c r="AK2365">
        <v>0.08</v>
      </c>
      <c r="AL2365">
        <f t="shared" si="1290"/>
        <v>0</v>
      </c>
      <c r="AM2365">
        <f t="shared" si="1291"/>
        <v>0</v>
      </c>
      <c r="AN2365">
        <f t="shared" si="1292"/>
        <v>0</v>
      </c>
      <c r="AO2365" t="s">
        <v>5107</v>
      </c>
      <c r="AV2365" t="str">
        <f>IF(F2365&gt;0,(COUNT($AV$1:AV2364)+1),"")</f>
        <v/>
      </c>
    </row>
    <row r="2366" spans="1:48" ht="15" customHeight="1" x14ac:dyDescent="0.25">
      <c r="A2366" s="1"/>
      <c r="B2366" s="30">
        <v>12000</v>
      </c>
      <c r="C2366" s="20">
        <v>4612728751124</v>
      </c>
      <c r="D2366" s="153" t="s">
        <v>830</v>
      </c>
      <c r="E2366" s="67">
        <v>42</v>
      </c>
      <c r="F2366" s="222"/>
      <c r="G2366" s="107">
        <v>75</v>
      </c>
      <c r="H2366" s="21">
        <v>80</v>
      </c>
      <c r="I2366" s="22">
        <v>86.4</v>
      </c>
      <c r="J2366" s="112" t="s">
        <v>5535</v>
      </c>
      <c r="K2366" s="45" t="s">
        <v>117</v>
      </c>
      <c r="L2366" s="437"/>
      <c r="M2366" s="474" t="s">
        <v>1856</v>
      </c>
      <c r="N2366" s="1013" t="s">
        <v>1856</v>
      </c>
      <c r="O2366" s="212"/>
      <c r="P2366" s="66" t="s">
        <v>50</v>
      </c>
      <c r="Q2366" s="100">
        <f t="shared" si="1289"/>
        <v>0</v>
      </c>
      <c r="R2366" s="13" t="str">
        <f t="shared" si="1214"/>
        <v>Фото &gt;&gt;</v>
      </c>
      <c r="S2366" s="14" t="s">
        <v>831</v>
      </c>
      <c r="AK2366">
        <v>0.08</v>
      </c>
      <c r="AL2366">
        <f t="shared" si="1290"/>
        <v>0</v>
      </c>
      <c r="AM2366">
        <f t="shared" si="1291"/>
        <v>0</v>
      </c>
      <c r="AN2366">
        <f t="shared" si="1292"/>
        <v>0</v>
      </c>
      <c r="AO2366" t="s">
        <v>5108</v>
      </c>
      <c r="AV2366" t="str">
        <f>IF(F2366&gt;0,(COUNT($AV$1:AV2365)+1),"")</f>
        <v/>
      </c>
    </row>
    <row r="2367" spans="1:48" ht="15" customHeight="1" x14ac:dyDescent="0.25">
      <c r="A2367" s="1"/>
      <c r="B2367" s="31">
        <v>19101</v>
      </c>
      <c r="C2367" s="16">
        <v>4612728752527</v>
      </c>
      <c r="D2367" s="154" t="s">
        <v>832</v>
      </c>
      <c r="E2367" s="69">
        <v>42</v>
      </c>
      <c r="F2367" s="222"/>
      <c r="G2367" s="108">
        <v>75</v>
      </c>
      <c r="H2367" s="17">
        <v>80</v>
      </c>
      <c r="I2367" s="18">
        <v>86.4</v>
      </c>
      <c r="J2367" s="113" t="s">
        <v>5535</v>
      </c>
      <c r="K2367" s="44" t="s">
        <v>117</v>
      </c>
      <c r="L2367" s="442"/>
      <c r="M2367" s="480" t="s">
        <v>1856</v>
      </c>
      <c r="N2367" s="1015" t="s">
        <v>1856</v>
      </c>
      <c r="O2367" s="217"/>
      <c r="P2367" s="68" t="s">
        <v>50</v>
      </c>
      <c r="Q2367" s="100">
        <f t="shared" si="1289"/>
        <v>0</v>
      </c>
      <c r="R2367" s="13" t="str">
        <f t="shared" si="1214"/>
        <v>Фото &gt;&gt;</v>
      </c>
      <c r="S2367" s="14" t="s">
        <v>3638</v>
      </c>
      <c r="AK2367">
        <v>0.06</v>
      </c>
      <c r="AL2367">
        <f t="shared" si="1290"/>
        <v>0</v>
      </c>
      <c r="AM2367">
        <f t="shared" si="1291"/>
        <v>0</v>
      </c>
      <c r="AN2367">
        <f t="shared" si="1292"/>
        <v>0</v>
      </c>
      <c r="AO2367" t="s">
        <v>5512</v>
      </c>
      <c r="AV2367" t="str">
        <f>IF(F2367&gt;0,(COUNT($AV$1:AV2366)+1),"")</f>
        <v/>
      </c>
    </row>
    <row r="2368" spans="1:48" ht="15" customHeight="1" x14ac:dyDescent="0.25">
      <c r="A2368" s="1"/>
      <c r="B2368" s="30">
        <v>19646</v>
      </c>
      <c r="C2368" s="20">
        <v>4612728752466</v>
      </c>
      <c r="D2368" s="225" t="s">
        <v>2094</v>
      </c>
      <c r="E2368" s="67">
        <v>42</v>
      </c>
      <c r="F2368" s="222"/>
      <c r="G2368" s="107">
        <v>75</v>
      </c>
      <c r="H2368" s="21">
        <v>80</v>
      </c>
      <c r="I2368" s="22">
        <v>86.4</v>
      </c>
      <c r="J2368" s="112" t="s">
        <v>5535</v>
      </c>
      <c r="K2368" s="45" t="s">
        <v>117</v>
      </c>
      <c r="L2368" s="437"/>
      <c r="M2368" s="474" t="s">
        <v>1856</v>
      </c>
      <c r="N2368" s="1013" t="s">
        <v>1856</v>
      </c>
      <c r="O2368" s="209"/>
      <c r="P2368" s="66" t="s">
        <v>50</v>
      </c>
      <c r="Q2368" s="100">
        <f t="shared" si="1289"/>
        <v>0</v>
      </c>
      <c r="R2368" s="13" t="str">
        <f t="shared" si="1214"/>
        <v>Фото &gt;&gt;</v>
      </c>
      <c r="S2368" s="14" t="s">
        <v>831</v>
      </c>
      <c r="AK2368">
        <v>0.08</v>
      </c>
      <c r="AL2368">
        <f t="shared" ref="AL2368" si="1293">F2368*G2368</f>
        <v>0</v>
      </c>
      <c r="AM2368">
        <f t="shared" ref="AM2368" si="1294">F2368*H2368</f>
        <v>0</v>
      </c>
      <c r="AN2368">
        <f t="shared" si="1292"/>
        <v>0</v>
      </c>
      <c r="AO2368" t="s">
        <v>5108</v>
      </c>
      <c r="AV2368" t="str">
        <f>IF(F2368&gt;0,(COUNT($AV$1:AV2367)+1),"")</f>
        <v/>
      </c>
    </row>
    <row r="2369" spans="1:48" ht="15" customHeight="1" x14ac:dyDescent="0.25">
      <c r="A2369" s="1"/>
      <c r="B2369" s="125"/>
      <c r="C2369" s="126"/>
      <c r="D2369" s="127"/>
      <c r="E2369" s="134"/>
      <c r="F2369" s="189"/>
      <c r="G2369" s="130"/>
      <c r="H2369" s="131"/>
      <c r="I2369" s="132"/>
      <c r="J2369" s="128"/>
      <c r="K2369" s="129"/>
      <c r="L2369" s="433"/>
      <c r="M2369" s="481" t="s">
        <v>104</v>
      </c>
      <c r="N2369" s="471"/>
      <c r="O2369" s="181"/>
      <c r="P2369" s="133"/>
      <c r="Q2369" s="135"/>
      <c r="R2369" s="13"/>
      <c r="S2369" s="14"/>
      <c r="AV2369" t="str">
        <f>IF(F2369&gt;0,(COUNT($AV$1:AV2368)+1),"")</f>
        <v/>
      </c>
    </row>
    <row r="2370" spans="1:48" ht="15" customHeight="1" thickBot="1" x14ac:dyDescent="0.3">
      <c r="A2370" s="1"/>
      <c r="B2370" s="136"/>
      <c r="C2370" s="137"/>
      <c r="D2370" s="138"/>
      <c r="E2370" s="145"/>
      <c r="F2370" s="190"/>
      <c r="G2370" s="141"/>
      <c r="H2370" s="142"/>
      <c r="I2370" s="143"/>
      <c r="J2370" s="139"/>
      <c r="K2370" s="140"/>
      <c r="L2370" s="434"/>
      <c r="M2370" s="477" t="s">
        <v>104</v>
      </c>
      <c r="N2370" s="468"/>
      <c r="O2370" s="182"/>
      <c r="P2370" s="144"/>
      <c r="Q2370" s="146"/>
      <c r="R2370" s="13"/>
      <c r="S2370" s="14"/>
      <c r="AV2370" t="str">
        <f>IF(F2370&gt;0,(COUNT($AV$1:AV2369)+1),"")</f>
        <v/>
      </c>
    </row>
    <row r="2371" spans="1:48" ht="24.95" customHeight="1" thickBot="1" x14ac:dyDescent="0.3">
      <c r="A2371" s="1"/>
      <c r="B2371" s="169"/>
      <c r="C2371" s="170"/>
      <c r="D2371" s="171" t="str">
        <f>CONCATENATE("Гурмайор","     |     Сумма заказа: ",AK2371," руб.")</f>
        <v>Гурмайор     |     Сумма заказа: 0 руб.</v>
      </c>
      <c r="E2371" s="176"/>
      <c r="F2371" s="177"/>
      <c r="G2371" s="180" t="str">
        <f>CONCATENATE("Ценовая колонка: ",AO2371,"   |   До следующей скидки: ",AJ2371," руб.")</f>
        <v>Ценовая колонка: 3   |   До следующей скидки: 5000 руб.</v>
      </c>
      <c r="H2371" s="174"/>
      <c r="I2371" s="174"/>
      <c r="J2371" s="172" t="s">
        <v>834</v>
      </c>
      <c r="K2371" s="173"/>
      <c r="L2371" s="444"/>
      <c r="M2371" s="486" t="s">
        <v>104</v>
      </c>
      <c r="N2371" s="717"/>
      <c r="O2371" s="184"/>
      <c r="P2371" s="175"/>
      <c r="Q2371" s="178"/>
      <c r="R2371" s="179" t="s">
        <v>1558</v>
      </c>
      <c r="S2371" s="14"/>
      <c r="AJ2371">
        <f>ROUND(IF(AL2371&gt;20000,"0", IF(AND(AL2371&lt;20000,AM2371&gt;5000),20000-AL2371,5000-AM2371)),2)</f>
        <v>5000</v>
      </c>
      <c r="AK2371">
        <f>SUM(Q2373:AI2418)</f>
        <v>0</v>
      </c>
      <c r="AL2371">
        <f>SUM(AL2373:AL2418)</f>
        <v>0</v>
      </c>
      <c r="AM2371">
        <f>SUM(AM2373:AM2418)</f>
        <v>0</v>
      </c>
      <c r="AO2371">
        <f>IF(AM2371&gt;5000,IF(AL2371&gt;20000,1,2),3)</f>
        <v>3</v>
      </c>
      <c r="AV2371" t="str">
        <f>IF(F2371&gt;0,(COUNT($AV$1:AV2370)+1),"")</f>
        <v/>
      </c>
    </row>
    <row r="2372" spans="1:48" ht="40.5" customHeight="1" x14ac:dyDescent="0.25">
      <c r="A2372" s="1"/>
      <c r="B2372" s="296"/>
      <c r="C2372" s="38"/>
      <c r="D2372" s="39" t="s">
        <v>5644</v>
      </c>
      <c r="E2372" s="719"/>
      <c r="F2372" s="97"/>
      <c r="G2372" s="1227" t="s">
        <v>7587</v>
      </c>
      <c r="H2372" s="41" t="s">
        <v>16</v>
      </c>
      <c r="I2372" s="41"/>
      <c r="J2372" s="52"/>
      <c r="K2372" s="48"/>
      <c r="L2372" s="448"/>
      <c r="M2372" s="491" t="s">
        <v>104</v>
      </c>
      <c r="N2372" s="715"/>
      <c r="O2372" s="187"/>
      <c r="P2372" s="81"/>
      <c r="Q2372" s="105"/>
      <c r="R2372" s="13"/>
      <c r="S2372" s="14"/>
      <c r="AV2372" t="str">
        <f>IF(F2372&gt;0,(COUNT($AV$1:AV2371)+1),"")</f>
        <v/>
      </c>
    </row>
    <row r="2373" spans="1:48" ht="15" customHeight="1" x14ac:dyDescent="0.25">
      <c r="A2373" s="1"/>
      <c r="B2373" s="30">
        <v>16755</v>
      </c>
      <c r="C2373" s="20">
        <v>4620005841161</v>
      </c>
      <c r="D2373" s="225" t="s">
        <v>833</v>
      </c>
      <c r="E2373" s="67">
        <v>10</v>
      </c>
      <c r="F2373" s="222"/>
      <c r="G2373" s="107">
        <v>177.8</v>
      </c>
      <c r="H2373" s="21">
        <v>184.2</v>
      </c>
      <c r="I2373" s="22">
        <v>197</v>
      </c>
      <c r="J2373" s="112" t="s">
        <v>834</v>
      </c>
      <c r="K2373" s="45" t="s">
        <v>106</v>
      </c>
      <c r="L2373" s="437"/>
      <c r="M2373" s="474" t="s">
        <v>1856</v>
      </c>
      <c r="N2373" s="1013" t="s">
        <v>1856</v>
      </c>
      <c r="O2373" s="209"/>
      <c r="P2373" s="66" t="s">
        <v>72</v>
      </c>
      <c r="Q2373" s="100">
        <f>IF(AND($AO$2371=1,MOD(F2373,E2373)=0),F2373*G2373,IF($AO$2371&lt;=2,F2373*H2373,F2373*I2373))</f>
        <v>0</v>
      </c>
      <c r="R2373" s="13" t="str">
        <f t="shared" si="1214"/>
        <v>Фото &gt;&gt;</v>
      </c>
      <c r="S2373" s="14" t="s">
        <v>835</v>
      </c>
      <c r="AK2373">
        <v>0.25</v>
      </c>
      <c r="AL2373">
        <f t="shared" ref="AL2373:AL2387" si="1295">F2373*G2373</f>
        <v>0</v>
      </c>
      <c r="AM2373">
        <f t="shared" ref="AM2373:AM2387" si="1296">F2373*H2373</f>
        <v>0</v>
      </c>
      <c r="AN2373">
        <f t="shared" ref="AN2373:AN2408" si="1297">AK2373*F2373+IF(E2373&gt;1.01,F2373/E2373*0.2,0)</f>
        <v>0</v>
      </c>
      <c r="AO2373" t="s">
        <v>5109</v>
      </c>
      <c r="AV2373" t="str">
        <f>IF(F2373&gt;0,(COUNT($AV$1:AV2372)+1),"")</f>
        <v/>
      </c>
    </row>
    <row r="2374" spans="1:48" ht="15" customHeight="1" x14ac:dyDescent="0.25">
      <c r="A2374" s="1"/>
      <c r="B2374" s="31">
        <v>16612</v>
      </c>
      <c r="C2374" s="16">
        <v>4620005841154</v>
      </c>
      <c r="D2374" s="226" t="s">
        <v>836</v>
      </c>
      <c r="E2374" s="69">
        <v>10</v>
      </c>
      <c r="F2374" s="222"/>
      <c r="G2374" s="108">
        <v>177.8</v>
      </c>
      <c r="H2374" s="17">
        <v>184.2</v>
      </c>
      <c r="I2374" s="18">
        <v>197</v>
      </c>
      <c r="J2374" s="113" t="s">
        <v>834</v>
      </c>
      <c r="K2374" s="44" t="s">
        <v>106</v>
      </c>
      <c r="L2374" s="442"/>
      <c r="M2374" s="480" t="s">
        <v>1856</v>
      </c>
      <c r="N2374" s="1015" t="s">
        <v>1856</v>
      </c>
      <c r="O2374" s="210"/>
      <c r="P2374" s="68" t="s">
        <v>72</v>
      </c>
      <c r="Q2374" s="100">
        <f>IF(AND($AO$2371=1,MOD(F2374,E2374)=0),F2374*G2374,IF($AO$2371&lt;=2,F2374*H2374,F2374*I2374))</f>
        <v>0</v>
      </c>
      <c r="R2374" s="13" t="str">
        <f t="shared" si="1214"/>
        <v>Фото &gt;&gt;</v>
      </c>
      <c r="S2374" s="14" t="s">
        <v>837</v>
      </c>
      <c r="U2374" s="4"/>
      <c r="V2374" s="4"/>
      <c r="AK2374">
        <v>0.25</v>
      </c>
      <c r="AL2374">
        <f t="shared" si="1295"/>
        <v>0</v>
      </c>
      <c r="AM2374">
        <f t="shared" si="1296"/>
        <v>0</v>
      </c>
      <c r="AN2374">
        <f t="shared" si="1297"/>
        <v>0</v>
      </c>
      <c r="AO2374" t="s">
        <v>5110</v>
      </c>
      <c r="AV2374" t="str">
        <f>IF(F2374&gt;0,(COUNT($AV$1:AV2373)+1),"")</f>
        <v/>
      </c>
    </row>
    <row r="2375" spans="1:48" ht="15" customHeight="1" x14ac:dyDescent="0.25">
      <c r="A2375" s="1"/>
      <c r="B2375" s="30">
        <v>16613</v>
      </c>
      <c r="C2375" s="20">
        <v>4620005841123</v>
      </c>
      <c r="D2375" s="225" t="s">
        <v>838</v>
      </c>
      <c r="E2375" s="67">
        <v>10</v>
      </c>
      <c r="F2375" s="222"/>
      <c r="G2375" s="107">
        <v>177.8</v>
      </c>
      <c r="H2375" s="21">
        <v>184.2</v>
      </c>
      <c r="I2375" s="22">
        <v>197</v>
      </c>
      <c r="J2375" s="112" t="s">
        <v>834</v>
      </c>
      <c r="K2375" s="45" t="s">
        <v>106</v>
      </c>
      <c r="L2375" s="437"/>
      <c r="M2375" s="474" t="s">
        <v>1856</v>
      </c>
      <c r="N2375" s="1013" t="s">
        <v>1856</v>
      </c>
      <c r="O2375" s="209"/>
      <c r="P2375" s="66" t="s">
        <v>72</v>
      </c>
      <c r="Q2375" s="100">
        <f>IF(AND($AO$2371=1,MOD(F2375,E2375)=0),F2375*G2375,IF($AO$2371&lt;=2,F2375*H2375,F2375*I2375))</f>
        <v>0</v>
      </c>
      <c r="R2375" s="13" t="str">
        <f t="shared" si="1214"/>
        <v>Фото &gt;&gt;</v>
      </c>
      <c r="S2375" s="14" t="s">
        <v>839</v>
      </c>
      <c r="U2375" s="4"/>
      <c r="V2375" s="4"/>
      <c r="AK2375">
        <v>0.25</v>
      </c>
      <c r="AL2375">
        <f t="shared" si="1295"/>
        <v>0</v>
      </c>
      <c r="AM2375">
        <f t="shared" si="1296"/>
        <v>0</v>
      </c>
      <c r="AN2375">
        <f t="shared" si="1297"/>
        <v>0</v>
      </c>
      <c r="AO2375" t="s">
        <v>5111</v>
      </c>
      <c r="AV2375" t="str">
        <f>IF(F2375&gt;0,(COUNT($AV$1:AV2374)+1),"")</f>
        <v/>
      </c>
    </row>
    <row r="2376" spans="1:48" ht="15" customHeight="1" x14ac:dyDescent="0.25">
      <c r="A2376" s="1"/>
      <c r="B2376" s="31">
        <v>16614</v>
      </c>
      <c r="C2376" s="16">
        <v>4620005841130</v>
      </c>
      <c r="D2376" s="226" t="s">
        <v>840</v>
      </c>
      <c r="E2376" s="69">
        <v>10</v>
      </c>
      <c r="F2376" s="222"/>
      <c r="G2376" s="108">
        <v>210</v>
      </c>
      <c r="H2376" s="17">
        <v>217.5</v>
      </c>
      <c r="I2376" s="18">
        <v>232.5</v>
      </c>
      <c r="J2376" s="113" t="s">
        <v>834</v>
      </c>
      <c r="K2376" s="44" t="s">
        <v>106</v>
      </c>
      <c r="L2376" s="442"/>
      <c r="M2376" s="480" t="s">
        <v>1856</v>
      </c>
      <c r="N2376" s="1015" t="s">
        <v>1856</v>
      </c>
      <c r="O2376" s="210"/>
      <c r="P2376" s="68" t="s">
        <v>72</v>
      </c>
      <c r="Q2376" s="100">
        <f>IF(AND($AO$2371=1,MOD(F2376,E2376)=0),F2376*G2376,IF($AO$2371&lt;=2,F2376*H2376,F2376*I2376))</f>
        <v>0</v>
      </c>
      <c r="R2376" s="13" t="str">
        <f t="shared" si="1214"/>
        <v>Фото &gt;&gt;</v>
      </c>
      <c r="S2376" s="14" t="s">
        <v>841</v>
      </c>
      <c r="U2376" s="4"/>
      <c r="V2376" s="4"/>
      <c r="AK2376">
        <v>0.25</v>
      </c>
      <c r="AL2376">
        <f t="shared" si="1295"/>
        <v>0</v>
      </c>
      <c r="AM2376">
        <f t="shared" si="1296"/>
        <v>0</v>
      </c>
      <c r="AN2376">
        <f t="shared" si="1297"/>
        <v>0</v>
      </c>
      <c r="AO2376" t="s">
        <v>5112</v>
      </c>
      <c r="AV2376" t="str">
        <f>IF(F2376&gt;0,(COUNT($AV$1:AV2375)+1),"")</f>
        <v/>
      </c>
    </row>
    <row r="2377" spans="1:48" ht="15" customHeight="1" x14ac:dyDescent="0.25">
      <c r="A2377" s="1"/>
      <c r="B2377" s="30">
        <v>16615</v>
      </c>
      <c r="C2377" s="20">
        <v>4620005841147</v>
      </c>
      <c r="D2377" s="225" t="s">
        <v>842</v>
      </c>
      <c r="E2377" s="67">
        <v>10</v>
      </c>
      <c r="F2377" s="222"/>
      <c r="G2377" s="107">
        <v>177.8</v>
      </c>
      <c r="H2377" s="21">
        <v>184.2</v>
      </c>
      <c r="I2377" s="22">
        <v>197</v>
      </c>
      <c r="J2377" s="112" t="s">
        <v>834</v>
      </c>
      <c r="K2377" s="45" t="s">
        <v>106</v>
      </c>
      <c r="L2377" s="437"/>
      <c r="M2377" s="474" t="s">
        <v>1856</v>
      </c>
      <c r="N2377" s="1013" t="s">
        <v>1856</v>
      </c>
      <c r="O2377" s="209"/>
      <c r="P2377" s="66" t="s">
        <v>72</v>
      </c>
      <c r="Q2377" s="100">
        <f>IF(AND($AO$2371=1,MOD(F2377,E2377)=0),F2377*G2377,IF($AO$2371&lt;=2,F2377*H2377,F2377*I2377))</f>
        <v>0</v>
      </c>
      <c r="R2377" s="13" t="str">
        <f t="shared" si="1214"/>
        <v>Фото &gt;&gt;</v>
      </c>
      <c r="S2377" s="14" t="s">
        <v>843</v>
      </c>
      <c r="U2377" s="4"/>
      <c r="V2377" s="4"/>
      <c r="AK2377">
        <v>0.25</v>
      </c>
      <c r="AL2377">
        <f t="shared" si="1295"/>
        <v>0</v>
      </c>
      <c r="AM2377">
        <f t="shared" si="1296"/>
        <v>0</v>
      </c>
      <c r="AN2377">
        <f t="shared" si="1297"/>
        <v>0</v>
      </c>
      <c r="AO2377" t="s">
        <v>5113</v>
      </c>
      <c r="AV2377" t="str">
        <f>IF(F2377&gt;0,(COUNT($AV$1:AV2376)+1),"")</f>
        <v/>
      </c>
    </row>
    <row r="2378" spans="1:48" ht="15" customHeight="1" x14ac:dyDescent="0.25">
      <c r="A2378" s="1"/>
      <c r="B2378" s="25"/>
      <c r="C2378" s="26"/>
      <c r="D2378" s="228" t="s">
        <v>5642</v>
      </c>
      <c r="E2378" s="80"/>
      <c r="F2378" s="96"/>
      <c r="G2378" s="28"/>
      <c r="H2378" s="29"/>
      <c r="I2378" s="29"/>
      <c r="J2378" s="51"/>
      <c r="K2378" s="47"/>
      <c r="L2378" s="447"/>
      <c r="M2378" s="489"/>
      <c r="N2378" s="716"/>
      <c r="O2378" s="577"/>
      <c r="P2378" s="79"/>
      <c r="Q2378" s="79"/>
      <c r="R2378" s="13"/>
      <c r="S2378" s="14"/>
      <c r="AL2378">
        <f t="shared" si="1295"/>
        <v>0</v>
      </c>
      <c r="AM2378">
        <f t="shared" si="1296"/>
        <v>0</v>
      </c>
      <c r="AN2378">
        <f t="shared" si="1297"/>
        <v>0</v>
      </c>
      <c r="AO2378" t="s">
        <v>104</v>
      </c>
      <c r="AV2378" t="str">
        <f>IF(F2378&gt;0,(COUNT($AV$1:AV2377)+1),"")</f>
        <v/>
      </c>
    </row>
    <row r="2379" spans="1:48" ht="15" customHeight="1" x14ac:dyDescent="0.25">
      <c r="A2379" s="1"/>
      <c r="B2379" s="30">
        <v>17874</v>
      </c>
      <c r="C2379" s="20">
        <v>4620005841529</v>
      </c>
      <c r="D2379" s="225" t="s">
        <v>6001</v>
      </c>
      <c r="E2379" s="67">
        <v>10</v>
      </c>
      <c r="F2379" s="222"/>
      <c r="G2379" s="107">
        <v>107.8</v>
      </c>
      <c r="H2379" s="21">
        <v>111.7</v>
      </c>
      <c r="I2379" s="22">
        <v>120</v>
      </c>
      <c r="J2379" s="112" t="s">
        <v>834</v>
      </c>
      <c r="K2379" s="45" t="s">
        <v>105</v>
      </c>
      <c r="L2379" s="437"/>
      <c r="M2379" s="474" t="s">
        <v>1856</v>
      </c>
      <c r="N2379" s="1013" t="s">
        <v>1856</v>
      </c>
      <c r="O2379" s="209"/>
      <c r="P2379" s="66" t="s">
        <v>50</v>
      </c>
      <c r="Q2379" s="100">
        <f t="shared" ref="Q2379:Q2392" si="1298">IF(AND($AO$2371=1,MOD(F2379,E2379)=0),F2379*G2379,IF($AO$2371&lt;=2,F2379*H2379,F2379*I2379))</f>
        <v>0</v>
      </c>
      <c r="R2379" s="13" t="str">
        <f t="shared" ref="R2379:R2444" si="1299">IF(AO2379&gt;0,HYPERLINK(AO2379,"Фото &gt;&gt;"),"")</f>
        <v>Фото &gt;&gt;</v>
      </c>
      <c r="S2379" s="14" t="s">
        <v>2253</v>
      </c>
      <c r="AK2379">
        <v>0.27</v>
      </c>
      <c r="AL2379">
        <f t="shared" si="1295"/>
        <v>0</v>
      </c>
      <c r="AM2379">
        <f t="shared" si="1296"/>
        <v>0</v>
      </c>
      <c r="AN2379">
        <f t="shared" si="1297"/>
        <v>0</v>
      </c>
      <c r="AO2379" t="s">
        <v>2765</v>
      </c>
      <c r="AV2379" t="str">
        <f>IF(F2379&gt;0,(COUNT($AV$1:AV2378)+1),"")</f>
        <v/>
      </c>
    </row>
    <row r="2380" spans="1:48" ht="15" customHeight="1" x14ac:dyDescent="0.25">
      <c r="A2380" s="1"/>
      <c r="B2380" s="31">
        <v>17875</v>
      </c>
      <c r="C2380" s="16">
        <v>4620005841536</v>
      </c>
      <c r="D2380" s="226" t="s">
        <v>6002</v>
      </c>
      <c r="E2380" s="69">
        <v>10</v>
      </c>
      <c r="F2380" s="222"/>
      <c r="G2380" s="108">
        <v>107.8</v>
      </c>
      <c r="H2380" s="17">
        <v>111.7</v>
      </c>
      <c r="I2380" s="18">
        <v>120</v>
      </c>
      <c r="J2380" s="113" t="s">
        <v>834</v>
      </c>
      <c r="K2380" s="44" t="s">
        <v>105</v>
      </c>
      <c r="L2380" s="442"/>
      <c r="M2380" s="480" t="s">
        <v>1856</v>
      </c>
      <c r="N2380" s="1015" t="s">
        <v>1856</v>
      </c>
      <c r="O2380" s="210"/>
      <c r="P2380" s="68" t="s">
        <v>50</v>
      </c>
      <c r="Q2380" s="100">
        <f t="shared" si="1298"/>
        <v>0</v>
      </c>
      <c r="R2380" s="13" t="str">
        <f t="shared" si="1299"/>
        <v>Фото &gt;&gt;</v>
      </c>
      <c r="S2380" s="14" t="s">
        <v>2254</v>
      </c>
      <c r="U2380" s="4"/>
      <c r="V2380" s="4"/>
      <c r="AK2380">
        <v>0.27</v>
      </c>
      <c r="AL2380">
        <f t="shared" si="1295"/>
        <v>0</v>
      </c>
      <c r="AM2380">
        <f t="shared" si="1296"/>
        <v>0</v>
      </c>
      <c r="AN2380">
        <f t="shared" si="1297"/>
        <v>0</v>
      </c>
      <c r="AO2380" t="s">
        <v>5453</v>
      </c>
      <c r="AV2380" t="str">
        <f>IF(F2380&gt;0,(COUNT($AV$1:AV2379)+1),"")</f>
        <v/>
      </c>
    </row>
    <row r="2381" spans="1:48" ht="15" customHeight="1" x14ac:dyDescent="0.25">
      <c r="A2381" s="1"/>
      <c r="B2381" s="30">
        <v>17876</v>
      </c>
      <c r="C2381" s="20">
        <v>4620005841543</v>
      </c>
      <c r="D2381" s="225" t="s">
        <v>6003</v>
      </c>
      <c r="E2381" s="67">
        <v>10</v>
      </c>
      <c r="F2381" s="222"/>
      <c r="G2381" s="107">
        <v>107.8</v>
      </c>
      <c r="H2381" s="21">
        <v>111.7</v>
      </c>
      <c r="I2381" s="22">
        <v>120</v>
      </c>
      <c r="J2381" s="112" t="s">
        <v>834</v>
      </c>
      <c r="K2381" s="45" t="s">
        <v>105</v>
      </c>
      <c r="L2381" s="437"/>
      <c r="M2381" s="474" t="s">
        <v>1856</v>
      </c>
      <c r="N2381" s="1013"/>
      <c r="O2381" s="209"/>
      <c r="P2381" s="66" t="s">
        <v>72</v>
      </c>
      <c r="Q2381" s="100">
        <f t="shared" si="1298"/>
        <v>0</v>
      </c>
      <c r="R2381" s="13" t="str">
        <f t="shared" si="1299"/>
        <v>Фото &gt;&gt;</v>
      </c>
      <c r="S2381" s="14" t="s">
        <v>2255</v>
      </c>
      <c r="AK2381">
        <v>0.27</v>
      </c>
      <c r="AL2381">
        <f t="shared" si="1295"/>
        <v>0</v>
      </c>
      <c r="AM2381">
        <f t="shared" si="1296"/>
        <v>0</v>
      </c>
      <c r="AN2381">
        <f t="shared" si="1297"/>
        <v>0</v>
      </c>
      <c r="AO2381" t="s">
        <v>5454</v>
      </c>
      <c r="AV2381" t="str">
        <f>IF(F2381&gt;0,(COUNT($AV$1:AV2380)+1),"")</f>
        <v/>
      </c>
    </row>
    <row r="2382" spans="1:48" ht="15" customHeight="1" x14ac:dyDescent="0.25">
      <c r="A2382" s="1"/>
      <c r="B2382" s="32">
        <v>17877</v>
      </c>
      <c r="C2382" s="33">
        <v>4620005841550</v>
      </c>
      <c r="D2382" s="227" t="s">
        <v>6004</v>
      </c>
      <c r="E2382" s="71">
        <v>10</v>
      </c>
      <c r="F2382" s="223"/>
      <c r="G2382" s="109">
        <v>107.8</v>
      </c>
      <c r="H2382" s="34">
        <v>111.7</v>
      </c>
      <c r="I2382" s="35">
        <v>120</v>
      </c>
      <c r="J2382" s="114" t="s">
        <v>834</v>
      </c>
      <c r="K2382" s="57" t="s">
        <v>105</v>
      </c>
      <c r="L2382" s="438"/>
      <c r="M2382" s="484" t="s">
        <v>1856</v>
      </c>
      <c r="N2382" s="1008" t="s">
        <v>1856</v>
      </c>
      <c r="O2382" s="219"/>
      <c r="P2382" s="70" t="s">
        <v>50</v>
      </c>
      <c r="Q2382" s="100">
        <f t="shared" si="1298"/>
        <v>0</v>
      </c>
      <c r="R2382" s="13" t="str">
        <f t="shared" si="1299"/>
        <v>Фото &gt;&gt;</v>
      </c>
      <c r="S2382" s="14" t="s">
        <v>2256</v>
      </c>
      <c r="U2382" s="4"/>
      <c r="V2382" s="4"/>
      <c r="AK2382">
        <v>0.27</v>
      </c>
      <c r="AL2382">
        <f t="shared" ref="AL2382:AL2384" si="1300">F2382*G2382</f>
        <v>0</v>
      </c>
      <c r="AM2382">
        <f t="shared" ref="AM2382:AM2384" si="1301">F2382*H2382</f>
        <v>0</v>
      </c>
      <c r="AN2382">
        <f t="shared" si="1297"/>
        <v>0</v>
      </c>
      <c r="AO2382" t="s">
        <v>5455</v>
      </c>
      <c r="AV2382" t="str">
        <f>IF(F2382&gt;0,(COUNT($AV$1:AV2381)+1),"")</f>
        <v/>
      </c>
    </row>
    <row r="2383" spans="1:48" ht="15" customHeight="1" x14ac:dyDescent="0.25">
      <c r="A2383" s="1"/>
      <c r="B2383" s="785">
        <v>18420</v>
      </c>
      <c r="C2383" s="786">
        <v>4620005842076</v>
      </c>
      <c r="D2383" s="787" t="s">
        <v>4395</v>
      </c>
      <c r="E2383" s="788">
        <v>10</v>
      </c>
      <c r="F2383" s="789"/>
      <c r="G2383" s="811">
        <v>133</v>
      </c>
      <c r="H2383" s="790">
        <v>137.80000000000001</v>
      </c>
      <c r="I2383" s="791">
        <v>148</v>
      </c>
      <c r="J2383" s="792" t="s">
        <v>834</v>
      </c>
      <c r="K2383" s="793" t="s">
        <v>106</v>
      </c>
      <c r="L2383" s="781"/>
      <c r="M2383" s="782" t="s">
        <v>1856</v>
      </c>
      <c r="N2383" s="1009" t="s">
        <v>1856</v>
      </c>
      <c r="O2383" s="794"/>
      <c r="P2383" s="784" t="s">
        <v>72</v>
      </c>
      <c r="Q2383" s="100">
        <f t="shared" si="1298"/>
        <v>0</v>
      </c>
      <c r="R2383" s="13" t="str">
        <f t="shared" ref="R2383:R2385" si="1302">IF(AO2383&gt;0,HYPERLINK(AO2383,"Фото &gt;&gt;"),"")</f>
        <v>Фото &gt;&gt;</v>
      </c>
      <c r="S2383" s="14" t="s">
        <v>2257</v>
      </c>
      <c r="AK2383">
        <v>0.19</v>
      </c>
      <c r="AL2383">
        <f t="shared" si="1300"/>
        <v>0</v>
      </c>
      <c r="AM2383">
        <f t="shared" si="1301"/>
        <v>0</v>
      </c>
      <c r="AN2383">
        <f t="shared" si="1297"/>
        <v>0</v>
      </c>
      <c r="AO2383" t="s">
        <v>2766</v>
      </c>
      <c r="AV2383" t="str">
        <f>IF(F2383&gt;0,(COUNT($AV$1:AV2382)+1),"")</f>
        <v/>
      </c>
    </row>
    <row r="2384" spans="1:48" ht="15" customHeight="1" x14ac:dyDescent="0.25">
      <c r="A2384" s="1"/>
      <c r="B2384" s="31">
        <v>18421</v>
      </c>
      <c r="C2384" s="16">
        <v>4620005842083</v>
      </c>
      <c r="D2384" s="226" t="s">
        <v>4396</v>
      </c>
      <c r="E2384" s="69">
        <v>10</v>
      </c>
      <c r="F2384" s="222"/>
      <c r="G2384" s="108">
        <v>133</v>
      </c>
      <c r="H2384" s="17">
        <v>137.80000000000001</v>
      </c>
      <c r="I2384" s="18">
        <v>148</v>
      </c>
      <c r="J2384" s="113" t="s">
        <v>834</v>
      </c>
      <c r="K2384" s="44" t="s">
        <v>106</v>
      </c>
      <c r="L2384" s="442"/>
      <c r="M2384" s="480" t="s">
        <v>1856</v>
      </c>
      <c r="N2384" s="1015" t="s">
        <v>1856</v>
      </c>
      <c r="O2384" s="210"/>
      <c r="P2384" s="68" t="s">
        <v>72</v>
      </c>
      <c r="Q2384" s="100">
        <f t="shared" si="1298"/>
        <v>0</v>
      </c>
      <c r="R2384" s="13" t="str">
        <f t="shared" si="1302"/>
        <v>Фото &gt;&gt;</v>
      </c>
      <c r="S2384" s="14" t="s">
        <v>2258</v>
      </c>
      <c r="U2384" s="4"/>
      <c r="V2384" s="4"/>
      <c r="AK2384">
        <v>0.19</v>
      </c>
      <c r="AL2384">
        <f t="shared" si="1300"/>
        <v>0</v>
      </c>
      <c r="AM2384">
        <f t="shared" si="1301"/>
        <v>0</v>
      </c>
      <c r="AN2384">
        <f t="shared" si="1297"/>
        <v>0</v>
      </c>
      <c r="AO2384" t="s">
        <v>2767</v>
      </c>
      <c r="AV2384" t="str">
        <f>IF(F2384&gt;0,(COUNT($AV$1:AV2383)+1),"")</f>
        <v/>
      </c>
    </row>
    <row r="2385" spans="1:52" ht="15" customHeight="1" x14ac:dyDescent="0.25">
      <c r="A2385" s="1"/>
      <c r="B2385" s="30">
        <v>18422</v>
      </c>
      <c r="C2385" s="20">
        <v>4620005842090</v>
      </c>
      <c r="D2385" s="225" t="s">
        <v>4397</v>
      </c>
      <c r="E2385" s="67">
        <v>10</v>
      </c>
      <c r="F2385" s="222"/>
      <c r="G2385" s="107">
        <v>133</v>
      </c>
      <c r="H2385" s="21">
        <v>137.80000000000001</v>
      </c>
      <c r="I2385" s="22">
        <v>148</v>
      </c>
      <c r="J2385" s="112" t="s">
        <v>834</v>
      </c>
      <c r="K2385" s="45" t="s">
        <v>106</v>
      </c>
      <c r="L2385" s="437"/>
      <c r="M2385" s="474" t="s">
        <v>1856</v>
      </c>
      <c r="N2385" s="1013" t="s">
        <v>1856</v>
      </c>
      <c r="O2385" s="209"/>
      <c r="P2385" s="66" t="s">
        <v>72</v>
      </c>
      <c r="Q2385" s="100">
        <f t="shared" si="1298"/>
        <v>0</v>
      </c>
      <c r="R2385" s="13" t="str">
        <f t="shared" si="1302"/>
        <v>Фото &gt;&gt;</v>
      </c>
      <c r="S2385" s="14" t="s">
        <v>2259</v>
      </c>
      <c r="AK2385">
        <v>0.21</v>
      </c>
      <c r="AL2385">
        <f t="shared" si="1295"/>
        <v>0</v>
      </c>
      <c r="AM2385">
        <f t="shared" si="1296"/>
        <v>0</v>
      </c>
      <c r="AN2385">
        <f t="shared" si="1297"/>
        <v>0</v>
      </c>
      <c r="AO2385" t="s">
        <v>2768</v>
      </c>
      <c r="AV2385" t="str">
        <f>IF(F2385&gt;0,(COUNT($AV$1:AV2384)+1),"")</f>
        <v/>
      </c>
    </row>
    <row r="2386" spans="1:52" ht="15" customHeight="1" x14ac:dyDescent="0.25">
      <c r="A2386" s="1"/>
      <c r="B2386" s="31">
        <v>16749</v>
      </c>
      <c r="C2386" s="16">
        <v>4620005841062</v>
      </c>
      <c r="D2386" s="226" t="s">
        <v>844</v>
      </c>
      <c r="E2386" s="69">
        <v>10</v>
      </c>
      <c r="F2386" s="222"/>
      <c r="G2386" s="108">
        <v>95.2</v>
      </c>
      <c r="H2386" s="17">
        <v>98.6</v>
      </c>
      <c r="I2386" s="18">
        <v>106</v>
      </c>
      <c r="J2386" s="113" t="s">
        <v>834</v>
      </c>
      <c r="K2386" s="44" t="s">
        <v>105</v>
      </c>
      <c r="L2386" s="442"/>
      <c r="M2386" s="480" t="s">
        <v>1856</v>
      </c>
      <c r="N2386" s="1015" t="s">
        <v>1856</v>
      </c>
      <c r="O2386" s="210"/>
      <c r="P2386" s="68" t="s">
        <v>50</v>
      </c>
      <c r="Q2386" s="100">
        <f t="shared" si="1298"/>
        <v>0</v>
      </c>
      <c r="R2386" s="13" t="str">
        <f t="shared" si="1299"/>
        <v>Фото &gt;&gt;</v>
      </c>
      <c r="S2386" s="14" t="s">
        <v>845</v>
      </c>
      <c r="U2386" s="4"/>
      <c r="V2386" s="4"/>
      <c r="AK2386">
        <v>0.3</v>
      </c>
      <c r="AL2386">
        <f t="shared" si="1295"/>
        <v>0</v>
      </c>
      <c r="AM2386">
        <f t="shared" si="1296"/>
        <v>0</v>
      </c>
      <c r="AN2386">
        <f t="shared" si="1297"/>
        <v>0</v>
      </c>
      <c r="AO2386" t="s">
        <v>5114</v>
      </c>
      <c r="AV2386" t="str">
        <f>IF(F2386&gt;0,(COUNT($AV$1:AV2385)+1),"")</f>
        <v/>
      </c>
    </row>
    <row r="2387" spans="1:52" ht="15" customHeight="1" x14ac:dyDescent="0.25">
      <c r="A2387" s="1"/>
      <c r="B2387" s="30">
        <v>16619</v>
      </c>
      <c r="C2387" s="20">
        <v>4620005840713</v>
      </c>
      <c r="D2387" s="225" t="s">
        <v>4398</v>
      </c>
      <c r="E2387" s="67">
        <v>10</v>
      </c>
      <c r="F2387" s="222"/>
      <c r="G2387" s="107">
        <v>113.4</v>
      </c>
      <c r="H2387" s="21">
        <v>117.5</v>
      </c>
      <c r="I2387" s="22">
        <v>126</v>
      </c>
      <c r="J2387" s="112" t="s">
        <v>834</v>
      </c>
      <c r="K2387" s="45" t="s">
        <v>105</v>
      </c>
      <c r="L2387" s="437"/>
      <c r="M2387" s="474" t="s">
        <v>1856</v>
      </c>
      <c r="N2387" s="1013"/>
      <c r="O2387" s="209"/>
      <c r="P2387" s="66" t="s">
        <v>72</v>
      </c>
      <c r="Q2387" s="100">
        <f t="shared" si="1298"/>
        <v>0</v>
      </c>
      <c r="R2387" s="13" t="str">
        <f t="shared" si="1299"/>
        <v>Фото &gt;&gt;</v>
      </c>
      <c r="S2387" s="14" t="s">
        <v>847</v>
      </c>
      <c r="AK2387">
        <v>0.3</v>
      </c>
      <c r="AL2387">
        <f t="shared" si="1295"/>
        <v>0</v>
      </c>
      <c r="AM2387">
        <f t="shared" si="1296"/>
        <v>0</v>
      </c>
      <c r="AN2387">
        <f t="shared" si="1297"/>
        <v>0</v>
      </c>
      <c r="AO2387" t="s">
        <v>5115</v>
      </c>
      <c r="AV2387" t="str">
        <f>IF(F2387&gt;0,(COUNT($AV$1:AV2386)+1),"")</f>
        <v/>
      </c>
    </row>
    <row r="2388" spans="1:52" ht="15" customHeight="1" x14ac:dyDescent="0.25">
      <c r="A2388" s="1"/>
      <c r="B2388" s="31">
        <v>16620</v>
      </c>
      <c r="C2388" s="16">
        <v>4620005840690</v>
      </c>
      <c r="D2388" s="226" t="s">
        <v>4399</v>
      </c>
      <c r="E2388" s="69">
        <v>10</v>
      </c>
      <c r="F2388" s="222"/>
      <c r="G2388" s="108">
        <v>124.6</v>
      </c>
      <c r="H2388" s="17">
        <v>129.1</v>
      </c>
      <c r="I2388" s="18">
        <v>138</v>
      </c>
      <c r="J2388" s="113" t="s">
        <v>834</v>
      </c>
      <c r="K2388" s="44" t="s">
        <v>105</v>
      </c>
      <c r="L2388" s="442"/>
      <c r="M2388" s="480" t="s">
        <v>1856</v>
      </c>
      <c r="N2388" s="1015" t="s">
        <v>1856</v>
      </c>
      <c r="O2388" s="210"/>
      <c r="P2388" s="68" t="s">
        <v>50</v>
      </c>
      <c r="Q2388" s="100">
        <f t="shared" si="1298"/>
        <v>0</v>
      </c>
      <c r="R2388" s="13" t="str">
        <f t="shared" si="1299"/>
        <v>Фото &gt;&gt;</v>
      </c>
      <c r="S2388" s="14" t="s">
        <v>846</v>
      </c>
      <c r="U2388" s="4"/>
      <c r="V2388" s="4"/>
      <c r="AK2388">
        <v>0.45</v>
      </c>
      <c r="AL2388">
        <f t="shared" ref="AL2388:AL2402" si="1303">F2388*G2388</f>
        <v>0</v>
      </c>
      <c r="AM2388">
        <f t="shared" ref="AM2388:AM2402" si="1304">F2388*H2388</f>
        <v>0</v>
      </c>
      <c r="AN2388">
        <f t="shared" ref="AN2388:AN2402" si="1305">AK2388*F2388+IF(E2388&gt;1.01,F2388/E2388*0.2,0)</f>
        <v>0</v>
      </c>
      <c r="AO2388" t="s">
        <v>5116</v>
      </c>
      <c r="AV2388" t="str">
        <f>IF(F2388&gt;0,(COUNT($AV$1:AV2387)+1),"")</f>
        <v/>
      </c>
    </row>
    <row r="2389" spans="1:52" ht="15" customHeight="1" x14ac:dyDescent="0.25">
      <c r="A2389" s="1"/>
      <c r="B2389" s="30">
        <v>20955</v>
      </c>
      <c r="C2389" s="20">
        <v>4620005843899</v>
      </c>
      <c r="D2389" s="225" t="s">
        <v>6164</v>
      </c>
      <c r="E2389" s="67">
        <v>10</v>
      </c>
      <c r="F2389" s="222"/>
      <c r="G2389" s="107">
        <v>89.6</v>
      </c>
      <c r="H2389" s="21">
        <v>92.8</v>
      </c>
      <c r="I2389" s="22">
        <v>100</v>
      </c>
      <c r="J2389" s="112" t="s">
        <v>834</v>
      </c>
      <c r="K2389" s="45" t="s">
        <v>105</v>
      </c>
      <c r="L2389" s="437"/>
      <c r="M2389" s="474" t="s">
        <v>1856</v>
      </c>
      <c r="N2389" s="1013" t="s">
        <v>1856</v>
      </c>
      <c r="O2389" s="209"/>
      <c r="P2389" s="66" t="s">
        <v>50</v>
      </c>
      <c r="Q2389" s="100">
        <f t="shared" si="1298"/>
        <v>0</v>
      </c>
      <c r="R2389" s="13" t="str">
        <f t="shared" si="1299"/>
        <v>Фото &gt;&gt;</v>
      </c>
      <c r="S2389" s="14" t="s">
        <v>846</v>
      </c>
      <c r="AK2389">
        <v>0.27</v>
      </c>
      <c r="AL2389">
        <f t="shared" si="1303"/>
        <v>0</v>
      </c>
      <c r="AM2389">
        <f t="shared" si="1304"/>
        <v>0</v>
      </c>
      <c r="AN2389">
        <f t="shared" si="1305"/>
        <v>0</v>
      </c>
      <c r="AO2389" t="s">
        <v>5635</v>
      </c>
      <c r="AV2389" t="str">
        <f>IF(F2389&gt;0,(COUNT($AV$1:AV2388)+1),"")</f>
        <v/>
      </c>
    </row>
    <row r="2390" spans="1:52" ht="15" customHeight="1" x14ac:dyDescent="0.25">
      <c r="A2390" s="1"/>
      <c r="B2390" s="31">
        <v>20957</v>
      </c>
      <c r="C2390" s="16">
        <v>4620005843776</v>
      </c>
      <c r="D2390" s="226" t="s">
        <v>6165</v>
      </c>
      <c r="E2390" s="69">
        <v>10</v>
      </c>
      <c r="F2390" s="222"/>
      <c r="G2390" s="108">
        <v>144.19999999999999</v>
      </c>
      <c r="H2390" s="17">
        <v>149.4</v>
      </c>
      <c r="I2390" s="18">
        <v>160</v>
      </c>
      <c r="J2390" s="113" t="s">
        <v>834</v>
      </c>
      <c r="K2390" s="44" t="s">
        <v>105</v>
      </c>
      <c r="L2390" s="442"/>
      <c r="M2390" s="480" t="s">
        <v>1856</v>
      </c>
      <c r="N2390" s="1015" t="s">
        <v>1856</v>
      </c>
      <c r="O2390" s="210"/>
      <c r="P2390" s="68" t="s">
        <v>72</v>
      </c>
      <c r="Q2390" s="100">
        <f t="shared" si="1298"/>
        <v>0</v>
      </c>
      <c r="R2390" s="13" t="str">
        <f t="shared" si="1299"/>
        <v>Фото &gt;&gt;</v>
      </c>
      <c r="S2390" s="14" t="s">
        <v>5640</v>
      </c>
      <c r="U2390" s="4"/>
      <c r="V2390" s="4"/>
      <c r="AK2390">
        <v>0.27</v>
      </c>
      <c r="AL2390">
        <f t="shared" si="1303"/>
        <v>0</v>
      </c>
      <c r="AM2390">
        <f t="shared" si="1304"/>
        <v>0</v>
      </c>
      <c r="AN2390">
        <f t="shared" si="1305"/>
        <v>0</v>
      </c>
      <c r="AO2390" t="s">
        <v>5636</v>
      </c>
      <c r="AV2390" t="str">
        <f>IF(F2390&gt;0,(COUNT($AV$1:AV2389)+1),"")</f>
        <v/>
      </c>
    </row>
    <row r="2391" spans="1:52" ht="15" customHeight="1" x14ac:dyDescent="0.25">
      <c r="A2391" s="1"/>
      <c r="B2391" s="30">
        <v>20956</v>
      </c>
      <c r="C2391" s="20">
        <v>4620005843769</v>
      </c>
      <c r="D2391" s="225" t="s">
        <v>6166</v>
      </c>
      <c r="E2391" s="67">
        <v>10</v>
      </c>
      <c r="F2391" s="222"/>
      <c r="G2391" s="107">
        <v>110.6</v>
      </c>
      <c r="H2391" s="21">
        <v>114.6</v>
      </c>
      <c r="I2391" s="22">
        <v>122.5</v>
      </c>
      <c r="J2391" s="112" t="s">
        <v>834</v>
      </c>
      <c r="K2391" s="45" t="s">
        <v>105</v>
      </c>
      <c r="L2391" s="437"/>
      <c r="M2391" s="474" t="s">
        <v>1856</v>
      </c>
      <c r="N2391" s="1013" t="s">
        <v>1856</v>
      </c>
      <c r="O2391" s="209"/>
      <c r="P2391" s="66" t="s">
        <v>72</v>
      </c>
      <c r="Q2391" s="100">
        <f t="shared" si="1298"/>
        <v>0</v>
      </c>
      <c r="R2391" s="13" t="str">
        <f t="shared" si="1299"/>
        <v>Фото &gt;&gt;</v>
      </c>
      <c r="S2391" s="14" t="s">
        <v>5639</v>
      </c>
      <c r="AK2391">
        <v>0.27</v>
      </c>
      <c r="AL2391">
        <f t="shared" si="1303"/>
        <v>0</v>
      </c>
      <c r="AM2391">
        <f t="shared" si="1304"/>
        <v>0</v>
      </c>
      <c r="AN2391">
        <f t="shared" si="1305"/>
        <v>0</v>
      </c>
      <c r="AO2391" t="s">
        <v>5637</v>
      </c>
      <c r="AV2391" t="str">
        <f>IF(F2391&gt;0,(COUNT($AV$1:AV2390)+1),"")</f>
        <v/>
      </c>
    </row>
    <row r="2392" spans="1:52" ht="15" customHeight="1" x14ac:dyDescent="0.25">
      <c r="A2392" s="1"/>
      <c r="B2392" s="31">
        <v>20954</v>
      </c>
      <c r="C2392" s="16">
        <v>4620005843790</v>
      </c>
      <c r="D2392" s="226" t="s">
        <v>6167</v>
      </c>
      <c r="E2392" s="69">
        <v>10</v>
      </c>
      <c r="F2392" s="222"/>
      <c r="G2392" s="108">
        <v>127.4</v>
      </c>
      <c r="H2392" s="17">
        <v>132</v>
      </c>
      <c r="I2392" s="18">
        <v>142</v>
      </c>
      <c r="J2392" s="113" t="s">
        <v>834</v>
      </c>
      <c r="K2392" s="44" t="s">
        <v>105</v>
      </c>
      <c r="L2392" s="442"/>
      <c r="M2392" s="480" t="s">
        <v>1856</v>
      </c>
      <c r="N2392" s="1015" t="s">
        <v>1856</v>
      </c>
      <c r="O2392" s="210"/>
      <c r="P2392" s="68" t="s">
        <v>72</v>
      </c>
      <c r="Q2392" s="100">
        <f t="shared" si="1298"/>
        <v>0</v>
      </c>
      <c r="R2392" s="13" t="str">
        <f t="shared" si="1299"/>
        <v>Фото &gt;&gt;</v>
      </c>
      <c r="S2392" s="14" t="s">
        <v>5634</v>
      </c>
      <c r="U2392" s="4"/>
      <c r="V2392" s="4"/>
      <c r="AK2392">
        <v>0.27</v>
      </c>
      <c r="AL2392">
        <f t="shared" si="1303"/>
        <v>0</v>
      </c>
      <c r="AM2392">
        <f t="shared" si="1304"/>
        <v>0</v>
      </c>
      <c r="AN2392">
        <f t="shared" si="1305"/>
        <v>0</v>
      </c>
      <c r="AO2392" t="s">
        <v>5638</v>
      </c>
      <c r="AV2392" t="str">
        <f>IF(F2392&gt;0,(COUNT($AV$1:AV2391)+1),"")</f>
        <v/>
      </c>
      <c r="AW2392">
        <f>IF(G2392&gt;0,(COUNT($AV$1:AW2391)+1),"")</f>
        <v>1</v>
      </c>
      <c r="AX2392">
        <f>IF(H2392&gt;0,(COUNT($AV$1:AX2391)+1),"")</f>
        <v>1</v>
      </c>
      <c r="AY2392">
        <f>IF(I2392&gt;0,(COUNT($AV$1:AY2391)+1),"")</f>
        <v>1</v>
      </c>
      <c r="AZ2392">
        <f>IF(J2392&gt;0,(COUNT($AV$1:AZ2391)+1),"")</f>
        <v>1</v>
      </c>
    </row>
    <row r="2393" spans="1:52" ht="15" customHeight="1" x14ac:dyDescent="0.25">
      <c r="A2393" s="1"/>
      <c r="B2393" s="25"/>
      <c r="C2393" s="26"/>
      <c r="D2393" s="228" t="s">
        <v>5641</v>
      </c>
      <c r="E2393" s="80"/>
      <c r="F2393" s="96"/>
      <c r="G2393" s="28"/>
      <c r="H2393" s="29"/>
      <c r="I2393" s="29"/>
      <c r="J2393" s="51"/>
      <c r="K2393" s="47"/>
      <c r="L2393" s="447"/>
      <c r="M2393" s="489"/>
      <c r="N2393" s="716"/>
      <c r="O2393" s="577"/>
      <c r="P2393" s="79"/>
      <c r="Q2393" s="79"/>
      <c r="R2393" s="13"/>
      <c r="S2393" s="14"/>
      <c r="AL2393">
        <f t="shared" si="1303"/>
        <v>0</v>
      </c>
      <c r="AM2393">
        <f t="shared" si="1304"/>
        <v>0</v>
      </c>
      <c r="AN2393">
        <f t="shared" si="1305"/>
        <v>0</v>
      </c>
      <c r="AO2393" t="s">
        <v>104</v>
      </c>
      <c r="AV2393" t="str">
        <f>IF(F2393&gt;0,(COUNT($AV$1:AV2392)+1),"")</f>
        <v/>
      </c>
    </row>
    <row r="2394" spans="1:52" ht="15" customHeight="1" x14ac:dyDescent="0.25">
      <c r="A2394" s="1"/>
      <c r="B2394" s="37">
        <v>21288</v>
      </c>
      <c r="C2394" s="23">
        <v>4620005844162</v>
      </c>
      <c r="D2394" s="237" t="s">
        <v>7300</v>
      </c>
      <c r="E2394" s="75">
        <v>10</v>
      </c>
      <c r="F2394" s="223"/>
      <c r="G2394" s="111">
        <v>98.6</v>
      </c>
      <c r="H2394" s="5">
        <v>103.5</v>
      </c>
      <c r="I2394" s="24">
        <v>114</v>
      </c>
      <c r="J2394" s="115" t="s">
        <v>834</v>
      </c>
      <c r="K2394" s="46" t="s">
        <v>105</v>
      </c>
      <c r="L2394" s="440"/>
      <c r="M2394" s="482" t="s">
        <v>1856</v>
      </c>
      <c r="N2394" s="1002" t="s">
        <v>1856</v>
      </c>
      <c r="O2394" s="211"/>
      <c r="P2394" s="74" t="s">
        <v>50</v>
      </c>
      <c r="Q2394" s="100">
        <f t="shared" ref="Q2394:Q2408" si="1306">IF(AND($AO$2371=1,MOD(F2394,E2394)=0),F2394*G2394,IF($AO$2371&lt;=2,F2394*H2394,F2394*I2394))</f>
        <v>0</v>
      </c>
      <c r="R2394" s="13" t="str">
        <f t="shared" ref="R2394:R2399" si="1307">IF(AO2394&gt;0,HYPERLINK(AO2394,"Фото &gt;&gt;"),"")</f>
        <v>Фото &gt;&gt;</v>
      </c>
      <c r="S2394" s="14" t="s">
        <v>6624</v>
      </c>
      <c r="AK2394">
        <v>0.27</v>
      </c>
      <c r="AL2394">
        <f t="shared" si="1303"/>
        <v>0</v>
      </c>
      <c r="AM2394">
        <f t="shared" si="1304"/>
        <v>0</v>
      </c>
      <c r="AN2394">
        <f t="shared" si="1305"/>
        <v>0</v>
      </c>
      <c r="AO2394" t="s">
        <v>6626</v>
      </c>
      <c r="AV2394" t="str">
        <f>IF(F2394&gt;0,(COUNT($AV$1:AV2393)+1),"")</f>
        <v/>
      </c>
      <c r="AW2394">
        <f>IF(G2394&gt;0,(COUNT($AV$1:AW2393)+1),"")</f>
        <v>2</v>
      </c>
      <c r="AX2394">
        <f>IF(H2394&gt;0,(COUNT($AV$1:AX2393)+1),"")</f>
        <v>3</v>
      </c>
      <c r="AY2394">
        <f>IF(I2394&gt;0,(COUNT($AV$1:AY2393)+1),"")</f>
        <v>4</v>
      </c>
      <c r="AZ2394">
        <f>IF(J2394&gt;0,(COUNT($AV$1:AZ2393)+1),"")</f>
        <v>5</v>
      </c>
    </row>
    <row r="2395" spans="1:52" ht="15" customHeight="1" x14ac:dyDescent="0.25">
      <c r="A2395" s="1"/>
      <c r="B2395" s="31">
        <v>21289</v>
      </c>
      <c r="C2395" s="16">
        <v>4620005844209</v>
      </c>
      <c r="D2395" s="226" t="s">
        <v>7301</v>
      </c>
      <c r="E2395" s="69">
        <v>10</v>
      </c>
      <c r="F2395" s="222"/>
      <c r="G2395" s="108">
        <v>140.6</v>
      </c>
      <c r="H2395" s="17">
        <v>147.5</v>
      </c>
      <c r="I2395" s="18">
        <v>162</v>
      </c>
      <c r="J2395" s="113" t="s">
        <v>834</v>
      </c>
      <c r="K2395" s="44" t="s">
        <v>105</v>
      </c>
      <c r="L2395" s="442"/>
      <c r="M2395" s="480" t="s">
        <v>1856</v>
      </c>
      <c r="N2395" s="1015" t="s">
        <v>1856</v>
      </c>
      <c r="O2395" s="210"/>
      <c r="P2395" s="68" t="s">
        <v>50</v>
      </c>
      <c r="Q2395" s="100">
        <f t="shared" si="1306"/>
        <v>0</v>
      </c>
      <c r="R2395" s="13" t="str">
        <f t="shared" si="1307"/>
        <v>Фото &gt;&gt;</v>
      </c>
      <c r="S2395" s="14" t="s">
        <v>6625</v>
      </c>
      <c r="AK2395">
        <v>0.27</v>
      </c>
      <c r="AL2395">
        <f t="shared" si="1303"/>
        <v>0</v>
      </c>
      <c r="AM2395">
        <f t="shared" si="1304"/>
        <v>0</v>
      </c>
      <c r="AN2395">
        <f t="shared" si="1305"/>
        <v>0</v>
      </c>
      <c r="AO2395" t="s">
        <v>6627</v>
      </c>
      <c r="AV2395" t="str">
        <f>IF(F2395&gt;0,(COUNT($AV$1:AV2394)+1),"")</f>
        <v/>
      </c>
    </row>
    <row r="2396" spans="1:52" ht="15" customHeight="1" x14ac:dyDescent="0.25">
      <c r="A2396" s="1"/>
      <c r="B2396" s="37">
        <v>21287</v>
      </c>
      <c r="C2396" s="23">
        <v>4620005844193</v>
      </c>
      <c r="D2396" s="237" t="s">
        <v>7302</v>
      </c>
      <c r="E2396" s="75">
        <v>10</v>
      </c>
      <c r="F2396" s="223"/>
      <c r="G2396" s="111">
        <v>105</v>
      </c>
      <c r="H2396" s="5">
        <v>110</v>
      </c>
      <c r="I2396" s="24">
        <v>122</v>
      </c>
      <c r="J2396" s="115" t="s">
        <v>834</v>
      </c>
      <c r="K2396" s="46" t="s">
        <v>105</v>
      </c>
      <c r="L2396" s="440"/>
      <c r="M2396" s="482" t="s">
        <v>1856</v>
      </c>
      <c r="N2396" s="1002" t="s">
        <v>1856</v>
      </c>
      <c r="O2396" s="211"/>
      <c r="P2396" s="74" t="s">
        <v>50</v>
      </c>
      <c r="Q2396" s="100">
        <f t="shared" si="1306"/>
        <v>0</v>
      </c>
      <c r="R2396" s="13" t="str">
        <f t="shared" si="1307"/>
        <v>Фото &gt;&gt;</v>
      </c>
      <c r="S2396" s="14" t="s">
        <v>5634</v>
      </c>
      <c r="AK2396">
        <v>0.27</v>
      </c>
      <c r="AL2396">
        <f t="shared" si="1303"/>
        <v>0</v>
      </c>
      <c r="AM2396">
        <f t="shared" si="1304"/>
        <v>0</v>
      </c>
      <c r="AN2396">
        <f t="shared" si="1305"/>
        <v>0</v>
      </c>
      <c r="AO2396" t="s">
        <v>6628</v>
      </c>
      <c r="AV2396" t="str">
        <f>IF(F2396&gt;0,(COUNT($AV$1:AV2395)+1),"")</f>
        <v/>
      </c>
    </row>
    <row r="2397" spans="1:52" ht="15" customHeight="1" x14ac:dyDescent="0.25">
      <c r="A2397" s="1"/>
      <c r="B2397" s="31">
        <v>21459</v>
      </c>
      <c r="C2397" s="16">
        <v>4620005844117</v>
      </c>
      <c r="D2397" s="422" t="s">
        <v>6951</v>
      </c>
      <c r="E2397" s="69">
        <v>10</v>
      </c>
      <c r="F2397" s="222"/>
      <c r="G2397" s="108">
        <v>89.6</v>
      </c>
      <c r="H2397" s="17">
        <v>92.8</v>
      </c>
      <c r="I2397" s="18">
        <v>100</v>
      </c>
      <c r="J2397" s="113" t="s">
        <v>834</v>
      </c>
      <c r="K2397" s="44" t="s">
        <v>105</v>
      </c>
      <c r="L2397" s="442"/>
      <c r="M2397" s="480" t="s">
        <v>1856</v>
      </c>
      <c r="N2397" s="1015" t="s">
        <v>1856</v>
      </c>
      <c r="O2397" s="210" t="s">
        <v>1637</v>
      </c>
      <c r="P2397" s="68" t="s">
        <v>50</v>
      </c>
      <c r="Q2397" s="100">
        <f t="shared" si="1306"/>
        <v>0</v>
      </c>
      <c r="R2397" s="94" t="str">
        <f t="shared" si="1307"/>
        <v>Фото &gt;&gt;</v>
      </c>
      <c r="S2397" s="14" t="s">
        <v>5634</v>
      </c>
      <c r="AK2397">
        <v>0.27</v>
      </c>
      <c r="AL2397">
        <f t="shared" ref="AL2397" si="1308">F2397*G2397</f>
        <v>0</v>
      </c>
      <c r="AM2397">
        <f t="shared" ref="AM2397" si="1309">F2397*H2397</f>
        <v>0</v>
      </c>
      <c r="AN2397">
        <f t="shared" ref="AN2397" si="1310">AK2397*F2397+IF(E2397&gt;1.01,F2397/E2397*0.2,0)</f>
        <v>0</v>
      </c>
      <c r="AO2397" t="s">
        <v>6952</v>
      </c>
      <c r="AV2397" t="str">
        <f>IF(F2397&gt;0,(COUNT($AV$1:AV2396)+1),"")</f>
        <v/>
      </c>
    </row>
    <row r="2398" spans="1:52" ht="15" customHeight="1" x14ac:dyDescent="0.25">
      <c r="A2398" s="1"/>
      <c r="B2398" s="30">
        <v>20079</v>
      </c>
      <c r="C2398" s="20">
        <v>4620005843295</v>
      </c>
      <c r="D2398" s="225" t="s">
        <v>4400</v>
      </c>
      <c r="E2398" s="67">
        <v>10</v>
      </c>
      <c r="F2398" s="222"/>
      <c r="G2398" s="107">
        <v>116.2</v>
      </c>
      <c r="H2398" s="21">
        <v>120.4</v>
      </c>
      <c r="I2398" s="22">
        <v>129</v>
      </c>
      <c r="J2398" s="112" t="s">
        <v>834</v>
      </c>
      <c r="K2398" s="45" t="s">
        <v>105</v>
      </c>
      <c r="L2398" s="437"/>
      <c r="M2398" s="474" t="s">
        <v>1856</v>
      </c>
      <c r="N2398" s="1013" t="s">
        <v>1856</v>
      </c>
      <c r="O2398" s="209"/>
      <c r="P2398" s="66" t="s">
        <v>50</v>
      </c>
      <c r="Q2398" s="100">
        <f t="shared" si="1306"/>
        <v>0</v>
      </c>
      <c r="R2398" s="13" t="str">
        <f t="shared" si="1307"/>
        <v>Фото &gt;&gt;</v>
      </c>
      <c r="S2398" s="14" t="s">
        <v>2252</v>
      </c>
      <c r="AK2398">
        <v>0.41</v>
      </c>
      <c r="AL2398">
        <f t="shared" si="1303"/>
        <v>0</v>
      </c>
      <c r="AM2398">
        <f t="shared" si="1304"/>
        <v>0</v>
      </c>
      <c r="AN2398">
        <f t="shared" si="1305"/>
        <v>0</v>
      </c>
      <c r="AO2398" t="s">
        <v>2769</v>
      </c>
      <c r="AV2398" t="str">
        <f>IF(F2398&gt;0,(COUNT($AV$1:AV2397)+1),"")</f>
        <v/>
      </c>
    </row>
    <row r="2399" spans="1:52" ht="15" customHeight="1" x14ac:dyDescent="0.25">
      <c r="A2399" s="1"/>
      <c r="B2399" s="31">
        <v>20080</v>
      </c>
      <c r="C2399" s="16">
        <v>4620005843370</v>
      </c>
      <c r="D2399" s="226" t="s">
        <v>4401</v>
      </c>
      <c r="E2399" s="69">
        <v>10</v>
      </c>
      <c r="F2399" s="222"/>
      <c r="G2399" s="108">
        <v>114.8</v>
      </c>
      <c r="H2399" s="17">
        <v>119</v>
      </c>
      <c r="I2399" s="18">
        <v>127</v>
      </c>
      <c r="J2399" s="113" t="s">
        <v>834</v>
      </c>
      <c r="K2399" s="44" t="s">
        <v>105</v>
      </c>
      <c r="L2399" s="442"/>
      <c r="M2399" s="480" t="s">
        <v>1856</v>
      </c>
      <c r="N2399" s="1015" t="s">
        <v>1856</v>
      </c>
      <c r="O2399" s="210"/>
      <c r="P2399" s="68" t="s">
        <v>50</v>
      </c>
      <c r="Q2399" s="100">
        <f t="shared" si="1306"/>
        <v>0</v>
      </c>
      <c r="R2399" s="13" t="str">
        <f t="shared" si="1307"/>
        <v>Фото &gt;&gt;</v>
      </c>
      <c r="S2399" s="14" t="s">
        <v>2252</v>
      </c>
      <c r="AK2399">
        <v>0.41</v>
      </c>
      <c r="AL2399">
        <f t="shared" si="1303"/>
        <v>0</v>
      </c>
      <c r="AM2399">
        <f t="shared" si="1304"/>
        <v>0</v>
      </c>
      <c r="AN2399">
        <f t="shared" si="1305"/>
        <v>0</v>
      </c>
      <c r="AO2399" t="s">
        <v>3203</v>
      </c>
      <c r="AV2399" t="str">
        <f>IF(F2399&gt;0,(COUNT($AV$1:AV2398)+1),"")</f>
        <v/>
      </c>
    </row>
    <row r="2400" spans="1:52" ht="15" customHeight="1" x14ac:dyDescent="0.25">
      <c r="A2400" s="1"/>
      <c r="B2400" s="30">
        <v>16744</v>
      </c>
      <c r="C2400" s="20">
        <v>4620005840638</v>
      </c>
      <c r="D2400" s="225" t="s">
        <v>4402</v>
      </c>
      <c r="E2400" s="67">
        <v>10</v>
      </c>
      <c r="F2400" s="222"/>
      <c r="G2400" s="107">
        <v>102.2</v>
      </c>
      <c r="H2400" s="21">
        <v>106</v>
      </c>
      <c r="I2400" s="22">
        <v>113.2</v>
      </c>
      <c r="J2400" s="112" t="s">
        <v>834</v>
      </c>
      <c r="K2400" s="45" t="s">
        <v>105</v>
      </c>
      <c r="L2400" s="437"/>
      <c r="M2400" s="474" t="s">
        <v>1856</v>
      </c>
      <c r="N2400" s="1013" t="s">
        <v>1856</v>
      </c>
      <c r="O2400" s="209"/>
      <c r="P2400" s="66" t="s">
        <v>50</v>
      </c>
      <c r="Q2400" s="100">
        <f t="shared" si="1306"/>
        <v>0</v>
      </c>
      <c r="R2400" s="13" t="str">
        <f t="shared" ref="R2400:R2408" si="1311">IF(AO2400&gt;0,HYPERLINK(AO2400,"Фото &gt;&gt;"),"")</f>
        <v>Фото &gt;&gt;</v>
      </c>
      <c r="S2400" s="14" t="s">
        <v>849</v>
      </c>
      <c r="AK2400">
        <v>0.3</v>
      </c>
      <c r="AL2400">
        <f t="shared" si="1303"/>
        <v>0</v>
      </c>
      <c r="AM2400">
        <f t="shared" si="1304"/>
        <v>0</v>
      </c>
      <c r="AN2400">
        <f t="shared" si="1305"/>
        <v>0</v>
      </c>
      <c r="AO2400" t="s">
        <v>5117</v>
      </c>
      <c r="AV2400" t="str">
        <f>IF(F2400&gt;0,(COUNT($AV$1:AV2399)+1),"")</f>
        <v/>
      </c>
    </row>
    <row r="2401" spans="1:48" ht="15" customHeight="1" x14ac:dyDescent="0.25">
      <c r="A2401" s="1"/>
      <c r="B2401" s="31">
        <v>16616</v>
      </c>
      <c r="C2401" s="16">
        <v>4620005840447</v>
      </c>
      <c r="D2401" s="226" t="s">
        <v>851</v>
      </c>
      <c r="E2401" s="69">
        <v>10</v>
      </c>
      <c r="F2401" s="222"/>
      <c r="G2401" s="108">
        <v>116.2</v>
      </c>
      <c r="H2401" s="17">
        <v>120.4</v>
      </c>
      <c r="I2401" s="18">
        <v>129</v>
      </c>
      <c r="J2401" s="113" t="s">
        <v>834</v>
      </c>
      <c r="K2401" s="44" t="s">
        <v>105</v>
      </c>
      <c r="L2401" s="442"/>
      <c r="M2401" s="480" t="s">
        <v>1856</v>
      </c>
      <c r="N2401" s="1015" t="s">
        <v>1856</v>
      </c>
      <c r="O2401" s="210"/>
      <c r="P2401" s="68" t="s">
        <v>50</v>
      </c>
      <c r="Q2401" s="100">
        <f t="shared" si="1306"/>
        <v>0</v>
      </c>
      <c r="R2401" s="13" t="str">
        <f t="shared" si="1311"/>
        <v>Фото &gt;&gt;</v>
      </c>
      <c r="S2401" s="14" t="s">
        <v>852</v>
      </c>
      <c r="AK2401">
        <v>0.45</v>
      </c>
      <c r="AL2401">
        <f t="shared" si="1303"/>
        <v>0</v>
      </c>
      <c r="AM2401">
        <f t="shared" si="1304"/>
        <v>0</v>
      </c>
      <c r="AN2401">
        <f t="shared" si="1305"/>
        <v>0</v>
      </c>
      <c r="AO2401" t="s">
        <v>5118</v>
      </c>
      <c r="AV2401" t="str">
        <f>IF(F2401&gt;0,(COUNT($AV$1:AV2400)+1),"")</f>
        <v/>
      </c>
    </row>
    <row r="2402" spans="1:48" ht="15" customHeight="1" x14ac:dyDescent="0.25">
      <c r="A2402" s="1"/>
      <c r="B2402" s="30">
        <v>20711</v>
      </c>
      <c r="C2402" s="20">
        <v>4620005843226</v>
      </c>
      <c r="D2402" s="225" t="s">
        <v>4786</v>
      </c>
      <c r="E2402" s="67">
        <v>10</v>
      </c>
      <c r="F2402" s="222"/>
      <c r="G2402" s="107">
        <v>148.4</v>
      </c>
      <c r="H2402" s="21">
        <v>153.69999999999999</v>
      </c>
      <c r="I2402" s="22">
        <v>164.3</v>
      </c>
      <c r="J2402" s="112" t="s">
        <v>834</v>
      </c>
      <c r="K2402" s="45" t="s">
        <v>105</v>
      </c>
      <c r="L2402" s="437"/>
      <c r="M2402" s="474" t="s">
        <v>1856</v>
      </c>
      <c r="N2402" s="1013" t="s">
        <v>1856</v>
      </c>
      <c r="O2402" s="209"/>
      <c r="P2402" s="66" t="s">
        <v>72</v>
      </c>
      <c r="Q2402" s="100">
        <f t="shared" si="1306"/>
        <v>0</v>
      </c>
      <c r="R2402" s="13" t="str">
        <f t="shared" si="1311"/>
        <v>Фото &gt;&gt;</v>
      </c>
      <c r="S2402" s="14" t="s">
        <v>4379</v>
      </c>
      <c r="AK2402">
        <v>0.32</v>
      </c>
      <c r="AL2402">
        <f t="shared" si="1303"/>
        <v>0</v>
      </c>
      <c r="AM2402">
        <f t="shared" si="1304"/>
        <v>0</v>
      </c>
      <c r="AN2402">
        <f t="shared" si="1305"/>
        <v>0</v>
      </c>
      <c r="AO2402" t="s">
        <v>4378</v>
      </c>
      <c r="AV2402" t="str">
        <f>IF(F2402&gt;0,(COUNT($AV$1:AV2401)+1),"")</f>
        <v/>
      </c>
    </row>
    <row r="2403" spans="1:48" ht="15" customHeight="1" x14ac:dyDescent="0.25">
      <c r="A2403" s="1"/>
      <c r="B2403" s="31">
        <v>16617</v>
      </c>
      <c r="C2403" s="16">
        <v>4620005840614</v>
      </c>
      <c r="D2403" s="226" t="s">
        <v>4403</v>
      </c>
      <c r="E2403" s="69">
        <v>10</v>
      </c>
      <c r="F2403" s="222"/>
      <c r="G2403" s="108">
        <v>124.6</v>
      </c>
      <c r="H2403" s="17">
        <v>129.1</v>
      </c>
      <c r="I2403" s="18">
        <v>138</v>
      </c>
      <c r="J2403" s="113" t="s">
        <v>834</v>
      </c>
      <c r="K2403" s="44" t="s">
        <v>105</v>
      </c>
      <c r="L2403" s="442"/>
      <c r="M2403" s="480" t="s">
        <v>1856</v>
      </c>
      <c r="N2403" s="1015" t="s">
        <v>1856</v>
      </c>
      <c r="O2403" s="210"/>
      <c r="P2403" s="68" t="s">
        <v>50</v>
      </c>
      <c r="Q2403" s="100">
        <f t="shared" si="1306"/>
        <v>0</v>
      </c>
      <c r="R2403" s="13" t="str">
        <f t="shared" si="1311"/>
        <v>Фото &gt;&gt;</v>
      </c>
      <c r="S2403" s="14" t="s">
        <v>853</v>
      </c>
      <c r="AK2403">
        <v>0.3</v>
      </c>
      <c r="AL2403">
        <f t="shared" ref="AL2403" si="1312">F2403*G2403</f>
        <v>0</v>
      </c>
      <c r="AM2403">
        <f t="shared" ref="AM2403" si="1313">F2403*H2403</f>
        <v>0</v>
      </c>
      <c r="AN2403">
        <f t="shared" ref="AN2403" si="1314">AK2403*F2403+IF(E2403&gt;1.01,F2403/E2403*0.2,0)</f>
        <v>0</v>
      </c>
      <c r="AO2403" t="s">
        <v>5119</v>
      </c>
      <c r="AV2403" t="str">
        <f>IF(F2403&gt;0,(COUNT($AV$1:AV2402)+1),"")</f>
        <v/>
      </c>
    </row>
    <row r="2404" spans="1:48" ht="15" customHeight="1" x14ac:dyDescent="0.25">
      <c r="A2404" s="1"/>
      <c r="B2404" s="30">
        <v>16623</v>
      </c>
      <c r="C2404" s="20">
        <v>4620005840898</v>
      </c>
      <c r="D2404" s="225" t="s">
        <v>4404</v>
      </c>
      <c r="E2404" s="67">
        <v>10</v>
      </c>
      <c r="F2404" s="222"/>
      <c r="G2404" s="107">
        <v>106.4</v>
      </c>
      <c r="H2404" s="21">
        <v>110.2</v>
      </c>
      <c r="I2404" s="22">
        <v>118</v>
      </c>
      <c r="J2404" s="112" t="s">
        <v>834</v>
      </c>
      <c r="K2404" s="45" t="s">
        <v>105</v>
      </c>
      <c r="L2404" s="437"/>
      <c r="M2404" s="474" t="s">
        <v>1856</v>
      </c>
      <c r="N2404" s="1013" t="s">
        <v>1856</v>
      </c>
      <c r="O2404" s="209"/>
      <c r="P2404" s="66" t="s">
        <v>72</v>
      </c>
      <c r="Q2404" s="100">
        <f t="shared" si="1306"/>
        <v>0</v>
      </c>
      <c r="R2404" s="13" t="str">
        <f t="shared" si="1311"/>
        <v>Фото &gt;&gt;</v>
      </c>
      <c r="S2404" s="14" t="s">
        <v>854</v>
      </c>
      <c r="AK2404">
        <v>0.3</v>
      </c>
      <c r="AL2404">
        <f t="shared" ref="AL2404:AL2408" si="1315">F2404*G2404</f>
        <v>0</v>
      </c>
      <c r="AM2404">
        <f t="shared" ref="AM2404:AM2408" si="1316">F2404*H2404</f>
        <v>0</v>
      </c>
      <c r="AN2404">
        <f t="shared" si="1297"/>
        <v>0</v>
      </c>
      <c r="AO2404" t="s">
        <v>5120</v>
      </c>
      <c r="AV2404" t="str">
        <f>IF(F2404&gt;0,(COUNT($AV$1:AV2403)+1),"")</f>
        <v/>
      </c>
    </row>
    <row r="2405" spans="1:48" ht="15" customHeight="1" x14ac:dyDescent="0.25">
      <c r="A2405" s="1"/>
      <c r="B2405" s="31">
        <v>16618</v>
      </c>
      <c r="C2405" s="16">
        <v>4620005840423</v>
      </c>
      <c r="D2405" s="226" t="s">
        <v>4405</v>
      </c>
      <c r="E2405" s="69">
        <v>10</v>
      </c>
      <c r="F2405" s="222"/>
      <c r="G2405" s="108">
        <v>107.8</v>
      </c>
      <c r="H2405" s="17">
        <v>111.7</v>
      </c>
      <c r="I2405" s="18">
        <v>120</v>
      </c>
      <c r="J2405" s="113" t="s">
        <v>834</v>
      </c>
      <c r="K2405" s="44" t="s">
        <v>105</v>
      </c>
      <c r="L2405" s="442"/>
      <c r="M2405" s="480" t="s">
        <v>1856</v>
      </c>
      <c r="N2405" s="1015" t="s">
        <v>1856</v>
      </c>
      <c r="O2405" s="210"/>
      <c r="P2405" s="68" t="s">
        <v>50</v>
      </c>
      <c r="Q2405" s="100">
        <f t="shared" si="1306"/>
        <v>0</v>
      </c>
      <c r="R2405" s="13" t="str">
        <f t="shared" si="1311"/>
        <v>Фото &gt;&gt;</v>
      </c>
      <c r="S2405" s="14" t="s">
        <v>3639</v>
      </c>
      <c r="AK2405">
        <v>0.3</v>
      </c>
      <c r="AL2405">
        <f t="shared" si="1315"/>
        <v>0</v>
      </c>
      <c r="AM2405">
        <f t="shared" si="1316"/>
        <v>0</v>
      </c>
      <c r="AN2405">
        <f t="shared" si="1297"/>
        <v>0</v>
      </c>
      <c r="AO2405" t="s">
        <v>5121</v>
      </c>
      <c r="AV2405" t="str">
        <f>IF(F2405&gt;0,(COUNT($AV$1:AV2404)+1),"")</f>
        <v/>
      </c>
    </row>
    <row r="2406" spans="1:48" ht="15" customHeight="1" x14ac:dyDescent="0.25">
      <c r="A2406" s="1"/>
      <c r="B2406" s="30">
        <v>16746</v>
      </c>
      <c r="C2406" s="20">
        <v>4620005840751</v>
      </c>
      <c r="D2406" s="225" t="s">
        <v>4406</v>
      </c>
      <c r="E2406" s="67">
        <v>10</v>
      </c>
      <c r="F2406" s="222"/>
      <c r="G2406" s="107">
        <v>102.2</v>
      </c>
      <c r="H2406" s="21">
        <v>105.9</v>
      </c>
      <c r="I2406" s="22">
        <v>114</v>
      </c>
      <c r="J2406" s="112" t="s">
        <v>834</v>
      </c>
      <c r="K2406" s="45" t="s">
        <v>105</v>
      </c>
      <c r="L2406" s="437"/>
      <c r="M2406" s="474" t="s">
        <v>1856</v>
      </c>
      <c r="N2406" s="1013"/>
      <c r="O2406" s="209"/>
      <c r="P2406" s="66" t="s">
        <v>72</v>
      </c>
      <c r="Q2406" s="100">
        <f t="shared" si="1306"/>
        <v>0</v>
      </c>
      <c r="R2406" s="13" t="str">
        <f t="shared" si="1311"/>
        <v>Фото &gt;&gt;</v>
      </c>
      <c r="S2406" s="14" t="s">
        <v>850</v>
      </c>
      <c r="AK2406">
        <v>0.3</v>
      </c>
      <c r="AL2406">
        <f t="shared" si="1315"/>
        <v>0</v>
      </c>
      <c r="AM2406">
        <f t="shared" si="1316"/>
        <v>0</v>
      </c>
      <c r="AN2406">
        <f t="shared" si="1297"/>
        <v>0</v>
      </c>
      <c r="AO2406" t="s">
        <v>5122</v>
      </c>
      <c r="AV2406" t="str">
        <f>IF(F2406&gt;0,(COUNT($AV$1:AV2405)+1),"")</f>
        <v/>
      </c>
    </row>
    <row r="2407" spans="1:48" ht="15" customHeight="1" x14ac:dyDescent="0.25">
      <c r="A2407" s="1"/>
      <c r="B2407" s="31">
        <v>16624</v>
      </c>
      <c r="C2407" s="16">
        <v>4620005840850</v>
      </c>
      <c r="D2407" s="226" t="s">
        <v>4407</v>
      </c>
      <c r="E2407" s="69">
        <v>10</v>
      </c>
      <c r="F2407" s="222"/>
      <c r="G2407" s="108">
        <v>168</v>
      </c>
      <c r="H2407" s="17">
        <v>174</v>
      </c>
      <c r="I2407" s="18">
        <v>186</v>
      </c>
      <c r="J2407" s="113" t="s">
        <v>834</v>
      </c>
      <c r="K2407" s="44" t="s">
        <v>105</v>
      </c>
      <c r="L2407" s="442"/>
      <c r="M2407" s="480" t="s">
        <v>1856</v>
      </c>
      <c r="N2407" s="1015" t="s">
        <v>1856</v>
      </c>
      <c r="O2407" s="210"/>
      <c r="P2407" s="68" t="s">
        <v>50</v>
      </c>
      <c r="Q2407" s="100">
        <f t="shared" si="1306"/>
        <v>0</v>
      </c>
      <c r="R2407" s="13" t="str">
        <f t="shared" si="1311"/>
        <v>Фото &gt;&gt;</v>
      </c>
      <c r="S2407" s="14" t="s">
        <v>855</v>
      </c>
      <c r="AK2407">
        <v>0.3</v>
      </c>
      <c r="AL2407">
        <f t="shared" si="1315"/>
        <v>0</v>
      </c>
      <c r="AM2407">
        <f t="shared" si="1316"/>
        <v>0</v>
      </c>
      <c r="AN2407">
        <f t="shared" si="1297"/>
        <v>0</v>
      </c>
      <c r="AO2407" t="s">
        <v>5123</v>
      </c>
      <c r="AV2407" t="str">
        <f>IF(F2407&gt;0,(COUNT($AV$1:AV2406)+1),"")</f>
        <v/>
      </c>
    </row>
    <row r="2408" spans="1:48" ht="15" customHeight="1" x14ac:dyDescent="0.25">
      <c r="A2408" s="1"/>
      <c r="B2408" s="30">
        <v>16745</v>
      </c>
      <c r="C2408" s="20">
        <v>4620005840416</v>
      </c>
      <c r="D2408" s="225" t="s">
        <v>4408</v>
      </c>
      <c r="E2408" s="67">
        <v>10</v>
      </c>
      <c r="F2408" s="222"/>
      <c r="G2408" s="107">
        <v>102.2</v>
      </c>
      <c r="H2408" s="21">
        <v>105.9</v>
      </c>
      <c r="I2408" s="22">
        <v>114</v>
      </c>
      <c r="J2408" s="112" t="s">
        <v>834</v>
      </c>
      <c r="K2408" s="45" t="s">
        <v>105</v>
      </c>
      <c r="L2408" s="437"/>
      <c r="M2408" s="474" t="s">
        <v>1856</v>
      </c>
      <c r="N2408" s="1013" t="s">
        <v>1856</v>
      </c>
      <c r="O2408" s="209"/>
      <c r="P2408" s="66" t="s">
        <v>50</v>
      </c>
      <c r="Q2408" s="100">
        <f t="shared" si="1306"/>
        <v>0</v>
      </c>
      <c r="R2408" s="13" t="str">
        <f t="shared" si="1311"/>
        <v>Фото &gt;&gt;</v>
      </c>
      <c r="S2408" s="14" t="s">
        <v>848</v>
      </c>
      <c r="AK2408">
        <v>0.3</v>
      </c>
      <c r="AL2408">
        <f t="shared" si="1315"/>
        <v>0</v>
      </c>
      <c r="AM2408">
        <f t="shared" si="1316"/>
        <v>0</v>
      </c>
      <c r="AN2408">
        <f t="shared" si="1297"/>
        <v>0</v>
      </c>
      <c r="AO2408" t="s">
        <v>5124</v>
      </c>
      <c r="AV2408" t="str">
        <f>IF(F2408&gt;0,(COUNT($AV$1:AV2407)+1),"")</f>
        <v/>
      </c>
    </row>
    <row r="2409" spans="1:48" ht="15" customHeight="1" x14ac:dyDescent="0.25">
      <c r="A2409" s="1"/>
      <c r="B2409" s="25"/>
      <c r="C2409" s="26"/>
      <c r="D2409" s="228" t="s">
        <v>5643</v>
      </c>
      <c r="E2409" s="80"/>
      <c r="F2409" s="96"/>
      <c r="G2409" s="28"/>
      <c r="H2409" s="29"/>
      <c r="I2409" s="29"/>
      <c r="J2409" s="51"/>
      <c r="K2409" s="47"/>
      <c r="L2409" s="447"/>
      <c r="M2409" s="489"/>
      <c r="N2409" s="716"/>
      <c r="O2409" s="577"/>
      <c r="P2409" s="79"/>
      <c r="Q2409" s="79"/>
      <c r="R2409" s="13"/>
      <c r="S2409" s="14"/>
      <c r="AL2409">
        <f t="shared" ref="AL2409" si="1317">F2409*G2409</f>
        <v>0</v>
      </c>
      <c r="AM2409">
        <f t="shared" ref="AM2409" si="1318">F2409*H2409</f>
        <v>0</v>
      </c>
      <c r="AN2409">
        <f t="shared" ref="AN2409" si="1319">AK2409*F2409+IF(E2409&gt;1.01,F2409/E2409*0.2,0)</f>
        <v>0</v>
      </c>
      <c r="AO2409" t="s">
        <v>104</v>
      </c>
      <c r="AV2409" t="str">
        <f>IF(F2409&gt;0,(COUNT($AV$1:AV2408)+1),"")</f>
        <v/>
      </c>
    </row>
    <row r="2410" spans="1:48" ht="15" customHeight="1" x14ac:dyDescent="0.25">
      <c r="A2410" s="1"/>
      <c r="B2410" s="30">
        <v>20292</v>
      </c>
      <c r="C2410" s="20">
        <v>4620005843578</v>
      </c>
      <c r="D2410" s="225" t="s">
        <v>4409</v>
      </c>
      <c r="E2410" s="67">
        <v>10</v>
      </c>
      <c r="F2410" s="222"/>
      <c r="G2410" s="107">
        <v>155.4</v>
      </c>
      <c r="H2410" s="21">
        <v>161</v>
      </c>
      <c r="I2410" s="22">
        <v>173</v>
      </c>
      <c r="J2410" s="112" t="s">
        <v>834</v>
      </c>
      <c r="K2410" s="45" t="s">
        <v>105</v>
      </c>
      <c r="L2410" s="437"/>
      <c r="M2410" s="474" t="s">
        <v>1856</v>
      </c>
      <c r="N2410" s="1013" t="s">
        <v>1856</v>
      </c>
      <c r="O2410" s="209"/>
      <c r="P2410" s="66" t="s">
        <v>72</v>
      </c>
      <c r="Q2410" s="100">
        <f t="shared" ref="Q2410:Q2418" si="1320">IF(AND($AO$2371=1,MOD(F2410,E2410)=0),F2410*G2410,IF($AO$2371&lt;=2,F2410*H2410,F2410*I2410))</f>
        <v>0</v>
      </c>
      <c r="R2410" s="13" t="str">
        <f>IF(AO2410&gt;0,HYPERLINK(AO2410,"Фото &gt;&gt;"),"")</f>
        <v>Фото &gt;&gt;</v>
      </c>
      <c r="S2410" s="14" t="s">
        <v>3204</v>
      </c>
      <c r="AK2410">
        <v>0.42</v>
      </c>
      <c r="AL2410">
        <f t="shared" ref="AL2410:AL2418" si="1321">F2410*G2410</f>
        <v>0</v>
      </c>
      <c r="AM2410">
        <f t="shared" ref="AM2410:AM2418" si="1322">F2410*H2410</f>
        <v>0</v>
      </c>
      <c r="AN2410">
        <f t="shared" ref="AN2410:AN2418" si="1323">AK2410*F2410+IF(E2410&gt;1.01,F2410/E2410*0.2,0)</f>
        <v>0</v>
      </c>
      <c r="AO2410" t="s">
        <v>3207</v>
      </c>
      <c r="AV2410" t="str">
        <f>IF(F2410&gt;0,(COUNT($AV$1:AV2409)+1),"")</f>
        <v/>
      </c>
    </row>
    <row r="2411" spans="1:48" ht="15" customHeight="1" x14ac:dyDescent="0.25">
      <c r="A2411" s="1"/>
      <c r="B2411" s="31">
        <v>20293</v>
      </c>
      <c r="C2411" s="16">
        <v>4620005843592</v>
      </c>
      <c r="D2411" s="226" t="s">
        <v>4410</v>
      </c>
      <c r="E2411" s="69">
        <v>10</v>
      </c>
      <c r="F2411" s="222"/>
      <c r="G2411" s="108">
        <v>197.4</v>
      </c>
      <c r="H2411" s="17">
        <v>204.5</v>
      </c>
      <c r="I2411" s="18">
        <v>219</v>
      </c>
      <c r="J2411" s="113" t="s">
        <v>834</v>
      </c>
      <c r="K2411" s="44" t="s">
        <v>105</v>
      </c>
      <c r="L2411" s="442"/>
      <c r="M2411" s="480" t="s">
        <v>1856</v>
      </c>
      <c r="N2411" s="1015" t="s">
        <v>1856</v>
      </c>
      <c r="O2411" s="210"/>
      <c r="P2411" s="68" t="s">
        <v>72</v>
      </c>
      <c r="Q2411" s="100">
        <f t="shared" si="1320"/>
        <v>0</v>
      </c>
      <c r="R2411" s="13" t="str">
        <f>IF(AO2411&gt;0,HYPERLINK(AO2411,"Фото &gt;&gt;"),"")</f>
        <v>Фото &gt;&gt;</v>
      </c>
      <c r="S2411" s="14" t="s">
        <v>3206</v>
      </c>
      <c r="AK2411">
        <v>0.42</v>
      </c>
      <c r="AL2411">
        <f t="shared" si="1321"/>
        <v>0</v>
      </c>
      <c r="AM2411">
        <f t="shared" si="1322"/>
        <v>0</v>
      </c>
      <c r="AN2411">
        <f t="shared" si="1323"/>
        <v>0</v>
      </c>
      <c r="AO2411" t="s">
        <v>3208</v>
      </c>
      <c r="AV2411" t="str">
        <f>IF(F2411&gt;0,(COUNT($AV$1:AV2410)+1),"")</f>
        <v/>
      </c>
    </row>
    <row r="2412" spans="1:48" ht="15" customHeight="1" x14ac:dyDescent="0.25">
      <c r="A2412" s="1"/>
      <c r="B2412" s="30">
        <v>20294</v>
      </c>
      <c r="C2412" s="20">
        <v>4620005843585</v>
      </c>
      <c r="D2412" s="225" t="s">
        <v>4411</v>
      </c>
      <c r="E2412" s="67">
        <v>10</v>
      </c>
      <c r="F2412" s="222"/>
      <c r="G2412" s="107">
        <v>184.8</v>
      </c>
      <c r="H2412" s="21">
        <v>191.4</v>
      </c>
      <c r="I2412" s="22">
        <v>205</v>
      </c>
      <c r="J2412" s="112" t="s">
        <v>834</v>
      </c>
      <c r="K2412" s="45" t="s">
        <v>105</v>
      </c>
      <c r="L2412" s="437"/>
      <c r="M2412" s="474" t="s">
        <v>1856</v>
      </c>
      <c r="N2412" s="1013" t="s">
        <v>1856</v>
      </c>
      <c r="O2412" s="209"/>
      <c r="P2412" s="66" t="s">
        <v>72</v>
      </c>
      <c r="Q2412" s="100">
        <f t="shared" si="1320"/>
        <v>0</v>
      </c>
      <c r="R2412" s="13" t="str">
        <f>IF(AO2412&gt;0,HYPERLINK(AO2412,"Фото &gt;&gt;"),"")</f>
        <v>Фото &gt;&gt;</v>
      </c>
      <c r="S2412" s="14" t="s">
        <v>3205</v>
      </c>
      <c r="AK2412">
        <v>0.42</v>
      </c>
      <c r="AL2412">
        <f t="shared" si="1321"/>
        <v>0</v>
      </c>
      <c r="AM2412">
        <f t="shared" si="1322"/>
        <v>0</v>
      </c>
      <c r="AN2412">
        <f t="shared" si="1323"/>
        <v>0</v>
      </c>
      <c r="AO2412" t="s">
        <v>3209</v>
      </c>
      <c r="AV2412" t="str">
        <f>IF(F2412&gt;0,(COUNT($AV$1:AV2411)+1),"")</f>
        <v/>
      </c>
    </row>
    <row r="2413" spans="1:48" ht="15" customHeight="1" x14ac:dyDescent="0.25">
      <c r="A2413" s="1"/>
      <c r="B2413" s="31">
        <v>20953</v>
      </c>
      <c r="C2413" s="16">
        <v>4620005843264</v>
      </c>
      <c r="D2413" s="226" t="s">
        <v>6168</v>
      </c>
      <c r="E2413" s="69">
        <v>10</v>
      </c>
      <c r="F2413" s="222"/>
      <c r="G2413" s="108">
        <v>135.80000000000001</v>
      </c>
      <c r="H2413" s="17">
        <v>140.69999999999999</v>
      </c>
      <c r="I2413" s="18">
        <v>150.4</v>
      </c>
      <c r="J2413" s="113" t="s">
        <v>834</v>
      </c>
      <c r="K2413" s="44" t="s">
        <v>105</v>
      </c>
      <c r="L2413" s="442"/>
      <c r="M2413" s="480" t="s">
        <v>1856</v>
      </c>
      <c r="N2413" s="1015" t="s">
        <v>1856</v>
      </c>
      <c r="O2413" s="210"/>
      <c r="P2413" s="68" t="s">
        <v>72</v>
      </c>
      <c r="Q2413" s="100">
        <f t="shared" si="1320"/>
        <v>0</v>
      </c>
      <c r="R2413" s="13" t="str">
        <f t="shared" ref="R2413:R2418" si="1324">IF(AO2413&gt;0,HYPERLINK(AO2413,"Фото &gt;&gt;"),"")</f>
        <v>Фото &gt;&gt;</v>
      </c>
      <c r="S2413" s="14" t="s">
        <v>5645</v>
      </c>
      <c r="AK2413">
        <v>0.33</v>
      </c>
      <c r="AL2413">
        <f t="shared" si="1321"/>
        <v>0</v>
      </c>
      <c r="AM2413">
        <f t="shared" si="1322"/>
        <v>0</v>
      </c>
      <c r="AN2413">
        <f t="shared" si="1323"/>
        <v>0</v>
      </c>
      <c r="AO2413" t="s">
        <v>5654</v>
      </c>
      <c r="AV2413" t="str">
        <f>IF(F2413&gt;0,(COUNT($AV$1:AV2412)+1),"")</f>
        <v/>
      </c>
    </row>
    <row r="2414" spans="1:48" ht="15" customHeight="1" x14ac:dyDescent="0.25">
      <c r="A2414" s="1"/>
      <c r="B2414" s="30">
        <v>16628</v>
      </c>
      <c r="C2414" s="20">
        <v>4620005841017</v>
      </c>
      <c r="D2414" s="225" t="s">
        <v>5767</v>
      </c>
      <c r="E2414" s="67">
        <v>10</v>
      </c>
      <c r="F2414" s="222"/>
      <c r="G2414" s="107">
        <v>107.8</v>
      </c>
      <c r="H2414" s="21">
        <v>111.7</v>
      </c>
      <c r="I2414" s="22">
        <v>119.4</v>
      </c>
      <c r="J2414" s="112" t="s">
        <v>834</v>
      </c>
      <c r="K2414" s="45" t="s">
        <v>105</v>
      </c>
      <c r="L2414" s="437"/>
      <c r="M2414" s="474" t="s">
        <v>1856</v>
      </c>
      <c r="N2414" s="1013" t="s">
        <v>1856</v>
      </c>
      <c r="O2414" s="209"/>
      <c r="P2414" s="66" t="s">
        <v>50</v>
      </c>
      <c r="Q2414" s="100">
        <f t="shared" si="1320"/>
        <v>0</v>
      </c>
      <c r="R2414" s="13" t="str">
        <f t="shared" si="1324"/>
        <v>Фото &gt;&gt;</v>
      </c>
      <c r="S2414" s="14" t="s">
        <v>5592</v>
      </c>
      <c r="AF2414" t="s">
        <v>104</v>
      </c>
      <c r="AK2414">
        <v>0.33</v>
      </c>
      <c r="AL2414">
        <f t="shared" si="1321"/>
        <v>0</v>
      </c>
      <c r="AM2414">
        <f t="shared" si="1322"/>
        <v>0</v>
      </c>
      <c r="AN2414">
        <f t="shared" si="1323"/>
        <v>0</v>
      </c>
      <c r="AO2414" t="s">
        <v>5593</v>
      </c>
      <c r="AV2414" t="str">
        <f>IF(F2414&gt;0,(COUNT($AV$1:AV2413)+1),"")</f>
        <v/>
      </c>
    </row>
    <row r="2415" spans="1:48" ht="15" customHeight="1" x14ac:dyDescent="0.25">
      <c r="A2415" s="1"/>
      <c r="B2415" s="31">
        <v>20952</v>
      </c>
      <c r="C2415" s="16">
        <v>4620005843271</v>
      </c>
      <c r="D2415" s="226" t="s">
        <v>6169</v>
      </c>
      <c r="E2415" s="69">
        <v>10</v>
      </c>
      <c r="F2415" s="222"/>
      <c r="G2415" s="108">
        <v>261.8</v>
      </c>
      <c r="H2415" s="17">
        <v>271.2</v>
      </c>
      <c r="I2415" s="18">
        <v>290</v>
      </c>
      <c r="J2415" s="113" t="s">
        <v>834</v>
      </c>
      <c r="K2415" s="44" t="s">
        <v>105</v>
      </c>
      <c r="L2415" s="442"/>
      <c r="M2415" s="480" t="s">
        <v>1856</v>
      </c>
      <c r="N2415" s="1015"/>
      <c r="O2415" s="210"/>
      <c r="P2415" s="68" t="s">
        <v>72</v>
      </c>
      <c r="Q2415" s="100">
        <f t="shared" si="1320"/>
        <v>0</v>
      </c>
      <c r="R2415" s="13" t="str">
        <f t="shared" si="1324"/>
        <v>Фото &gt;&gt;</v>
      </c>
      <c r="S2415" s="14" t="s">
        <v>5646</v>
      </c>
      <c r="AK2415">
        <v>0.33</v>
      </c>
      <c r="AL2415">
        <f t="shared" si="1321"/>
        <v>0</v>
      </c>
      <c r="AM2415">
        <f t="shared" si="1322"/>
        <v>0</v>
      </c>
      <c r="AN2415">
        <f t="shared" si="1323"/>
        <v>0</v>
      </c>
      <c r="AO2415" t="s">
        <v>5650</v>
      </c>
      <c r="AV2415" t="str">
        <f>IF(F2415&gt;0,(COUNT($AV$1:AV2414)+1),"")</f>
        <v/>
      </c>
    </row>
    <row r="2416" spans="1:48" ht="15" customHeight="1" x14ac:dyDescent="0.25">
      <c r="A2416" s="1"/>
      <c r="B2416" s="30">
        <v>20949</v>
      </c>
      <c r="C2416" s="20">
        <v>4620005844032</v>
      </c>
      <c r="D2416" s="225" t="s">
        <v>6170</v>
      </c>
      <c r="E2416" s="67">
        <v>10</v>
      </c>
      <c r="F2416" s="222"/>
      <c r="G2416" s="107">
        <v>121.8</v>
      </c>
      <c r="H2416" s="21">
        <v>126.2</v>
      </c>
      <c r="I2416" s="22">
        <v>135</v>
      </c>
      <c r="J2416" s="112" t="s">
        <v>834</v>
      </c>
      <c r="K2416" s="45" t="s">
        <v>105</v>
      </c>
      <c r="L2416" s="437"/>
      <c r="M2416" s="474" t="s">
        <v>1856</v>
      </c>
      <c r="N2416" s="1013" t="s">
        <v>1856</v>
      </c>
      <c r="O2416" s="209"/>
      <c r="P2416" s="66" t="s">
        <v>72</v>
      </c>
      <c r="Q2416" s="100">
        <f t="shared" si="1320"/>
        <v>0</v>
      </c>
      <c r="R2416" s="13" t="str">
        <f t="shared" si="1324"/>
        <v>Фото &gt;&gt;</v>
      </c>
      <c r="S2416" s="14" t="s">
        <v>5648</v>
      </c>
      <c r="AK2416">
        <v>0.33</v>
      </c>
      <c r="AL2416">
        <f t="shared" si="1321"/>
        <v>0</v>
      </c>
      <c r="AM2416">
        <f t="shared" si="1322"/>
        <v>0</v>
      </c>
      <c r="AN2416">
        <f t="shared" si="1323"/>
        <v>0</v>
      </c>
      <c r="AO2416" t="s">
        <v>5651</v>
      </c>
      <c r="AV2416" t="str">
        <f>IF(F2416&gt;0,(COUNT($AV$1:AV2415)+1),"")</f>
        <v/>
      </c>
    </row>
    <row r="2417" spans="1:48" ht="15" customHeight="1" x14ac:dyDescent="0.25">
      <c r="A2417" s="1"/>
      <c r="B2417" s="31">
        <v>20951</v>
      </c>
      <c r="C2417" s="16">
        <v>4620005844056</v>
      </c>
      <c r="D2417" s="226" t="s">
        <v>6171</v>
      </c>
      <c r="E2417" s="69">
        <v>10</v>
      </c>
      <c r="F2417" s="222"/>
      <c r="G2417" s="108">
        <v>147</v>
      </c>
      <c r="H2417" s="17">
        <v>152.30000000000001</v>
      </c>
      <c r="I2417" s="18">
        <v>163</v>
      </c>
      <c r="J2417" s="113" t="s">
        <v>834</v>
      </c>
      <c r="K2417" s="44" t="s">
        <v>105</v>
      </c>
      <c r="L2417" s="442"/>
      <c r="M2417" s="480" t="s">
        <v>1856</v>
      </c>
      <c r="N2417" s="1015" t="s">
        <v>1856</v>
      </c>
      <c r="O2417" s="210"/>
      <c r="P2417" s="68" t="s">
        <v>72</v>
      </c>
      <c r="Q2417" s="100">
        <f t="shared" si="1320"/>
        <v>0</v>
      </c>
      <c r="R2417" s="13" t="str">
        <f t="shared" si="1324"/>
        <v>Фото &gt;&gt;</v>
      </c>
      <c r="S2417" s="14" t="s">
        <v>5649</v>
      </c>
      <c r="AK2417">
        <v>0.33</v>
      </c>
      <c r="AL2417">
        <f t="shared" si="1321"/>
        <v>0</v>
      </c>
      <c r="AM2417">
        <f t="shared" si="1322"/>
        <v>0</v>
      </c>
      <c r="AN2417">
        <f t="shared" si="1323"/>
        <v>0</v>
      </c>
      <c r="AO2417" t="s">
        <v>5652</v>
      </c>
      <c r="AV2417" t="str">
        <f>IF(F2417&gt;0,(COUNT($AV$1:AV2416)+1),"")</f>
        <v/>
      </c>
    </row>
    <row r="2418" spans="1:48" ht="15" customHeight="1" x14ac:dyDescent="0.25">
      <c r="A2418" s="1"/>
      <c r="B2418" s="30">
        <v>20950</v>
      </c>
      <c r="C2418" s="20">
        <v>4620005844049</v>
      </c>
      <c r="D2418" s="225" t="s">
        <v>6172</v>
      </c>
      <c r="E2418" s="67">
        <v>10</v>
      </c>
      <c r="F2418" s="222"/>
      <c r="G2418" s="107">
        <v>170.8</v>
      </c>
      <c r="H2418" s="21">
        <v>177</v>
      </c>
      <c r="I2418" s="22">
        <v>190</v>
      </c>
      <c r="J2418" s="112" t="s">
        <v>834</v>
      </c>
      <c r="K2418" s="45" t="s">
        <v>105</v>
      </c>
      <c r="L2418" s="437"/>
      <c r="M2418" s="474" t="s">
        <v>1856</v>
      </c>
      <c r="N2418" s="1013" t="s">
        <v>1856</v>
      </c>
      <c r="O2418" s="209"/>
      <c r="P2418" s="66" t="s">
        <v>72</v>
      </c>
      <c r="Q2418" s="100">
        <f t="shared" si="1320"/>
        <v>0</v>
      </c>
      <c r="R2418" s="13" t="str">
        <f t="shared" si="1324"/>
        <v>Фото &gt;&gt;</v>
      </c>
      <c r="S2418" s="14" t="s">
        <v>5647</v>
      </c>
      <c r="AK2418">
        <v>0.33</v>
      </c>
      <c r="AL2418">
        <f t="shared" si="1321"/>
        <v>0</v>
      </c>
      <c r="AM2418">
        <f t="shared" si="1322"/>
        <v>0</v>
      </c>
      <c r="AN2418">
        <f t="shared" si="1323"/>
        <v>0</v>
      </c>
      <c r="AO2418" t="s">
        <v>5653</v>
      </c>
      <c r="AV2418" t="str">
        <f>IF(F2418&gt;0,(COUNT($AV$1:AV2417)+1),"")</f>
        <v/>
      </c>
    </row>
    <row r="2419" spans="1:48" ht="15" customHeight="1" x14ac:dyDescent="0.25">
      <c r="A2419" s="1"/>
      <c r="B2419" s="125"/>
      <c r="C2419" s="126"/>
      <c r="D2419" s="127"/>
      <c r="E2419" s="134"/>
      <c r="F2419" s="189"/>
      <c r="G2419" s="130"/>
      <c r="H2419" s="131"/>
      <c r="I2419" s="132"/>
      <c r="J2419" s="128"/>
      <c r="K2419" s="129"/>
      <c r="L2419" s="433"/>
      <c r="M2419" s="481" t="s">
        <v>104</v>
      </c>
      <c r="N2419" s="471"/>
      <c r="O2419" s="181"/>
      <c r="P2419" s="133"/>
      <c r="Q2419" s="135"/>
      <c r="R2419" s="13"/>
      <c r="S2419" s="14"/>
      <c r="AV2419" t="str">
        <f>IF(F2419&gt;0,(COUNT($AV$1:AV2418)+1),"")</f>
        <v/>
      </c>
    </row>
    <row r="2420" spans="1:48" ht="15" customHeight="1" thickBot="1" x14ac:dyDescent="0.3">
      <c r="A2420" s="1"/>
      <c r="B2420" s="136"/>
      <c r="C2420" s="137"/>
      <c r="D2420" s="138"/>
      <c r="E2420" s="145"/>
      <c r="F2420" s="190"/>
      <c r="G2420" s="141"/>
      <c r="H2420" s="142"/>
      <c r="I2420" s="143"/>
      <c r="J2420" s="139"/>
      <c r="K2420" s="140"/>
      <c r="L2420" s="434"/>
      <c r="M2420" s="477" t="s">
        <v>104</v>
      </c>
      <c r="N2420" s="468"/>
      <c r="O2420" s="182"/>
      <c r="P2420" s="144"/>
      <c r="Q2420" s="146"/>
      <c r="R2420" s="13"/>
      <c r="S2420" s="14"/>
      <c r="AV2420" t="str">
        <f>IF(F2420&gt;0,(COUNT($AV$1:AV2419)+1),"")</f>
        <v/>
      </c>
    </row>
    <row r="2421" spans="1:48" ht="24.95" customHeight="1" thickBot="1" x14ac:dyDescent="0.3">
      <c r="A2421" s="1"/>
      <c r="B2421" s="169"/>
      <c r="C2421" s="170"/>
      <c r="D2421" s="171" t="str">
        <f>CONCATENATE("Алтайский нектар (АФП)","     |     Сумма заказа: ",AK2421," руб.")</f>
        <v>Алтайский нектар (АФП)     |     Сумма заказа: 0 руб.</v>
      </c>
      <c r="E2421" s="176"/>
      <c r="F2421" s="177"/>
      <c r="G2421" s="180" t="str">
        <f>CONCATENATE("Ценовая колонка: ",AO2421,"   |   До следующей скидки: ",AJ2421," руб.")</f>
        <v>Ценовая колонка: 3   |   До следующей скидки: 5000 руб.</v>
      </c>
      <c r="H2421" s="174"/>
      <c r="I2421" s="174"/>
      <c r="J2421" s="172" t="s">
        <v>5537</v>
      </c>
      <c r="K2421" s="173"/>
      <c r="L2421" s="444"/>
      <c r="M2421" s="486" t="s">
        <v>104</v>
      </c>
      <c r="N2421" s="717"/>
      <c r="O2421" s="184"/>
      <c r="P2421" s="175"/>
      <c r="Q2421" s="178"/>
      <c r="R2421" s="179" t="s">
        <v>1558</v>
      </c>
      <c r="S2421" s="14"/>
      <c r="AJ2421">
        <f>ROUND(IF(AL2421&gt;20000,"0", IF(AND(AL2421&lt;20000,AM2421&gt;5000),20000-AL2421,5000-AM2421)),2)</f>
        <v>5000</v>
      </c>
      <c r="AK2421">
        <f>SUM(Q2423:Q2455)</f>
        <v>0</v>
      </c>
      <c r="AL2421">
        <f>SUM(AL2423:AL2455)</f>
        <v>0</v>
      </c>
      <c r="AM2421">
        <f>SUM(AM2423:AM2455)</f>
        <v>0</v>
      </c>
      <c r="AO2421">
        <f>IF(AM2421&gt;5000,IF(AL2421&gt;20000,1,2),3)</f>
        <v>3</v>
      </c>
      <c r="AV2421" t="str">
        <f>IF(F2421&gt;0,(COUNT($AV$1:AV2420)+1),"")</f>
        <v/>
      </c>
    </row>
    <row r="2422" spans="1:48" ht="15" customHeight="1" x14ac:dyDescent="0.25">
      <c r="A2422" s="1"/>
      <c r="B2422" s="296"/>
      <c r="C2422" s="38"/>
      <c r="D2422" s="39" t="s">
        <v>3868</v>
      </c>
      <c r="E2422" s="82"/>
      <c r="F2422" s="97"/>
      <c r="G2422" s="40" t="s">
        <v>15</v>
      </c>
      <c r="H2422" s="41" t="s">
        <v>16</v>
      </c>
      <c r="I2422" s="41" t="s">
        <v>221</v>
      </c>
      <c r="J2422" s="52"/>
      <c r="K2422" s="48"/>
      <c r="L2422" s="448"/>
      <c r="M2422" s="491" t="s">
        <v>104</v>
      </c>
      <c r="N2422" s="715"/>
      <c r="O2422" s="187"/>
      <c r="P2422" s="81"/>
      <c r="Q2422" s="105"/>
      <c r="R2422" s="13"/>
      <c r="S2422" s="14"/>
      <c r="AV2422" t="str">
        <f>IF(F2422&gt;0,(COUNT($AV$1:AV2421)+1),"")</f>
        <v/>
      </c>
    </row>
    <row r="2423" spans="1:48" ht="15" customHeight="1" x14ac:dyDescent="0.25">
      <c r="A2423" s="1"/>
      <c r="B2423" s="30">
        <v>20568</v>
      </c>
      <c r="C2423" s="20">
        <v>4640205890028</v>
      </c>
      <c r="D2423" s="225" t="s">
        <v>856</v>
      </c>
      <c r="E2423" s="67">
        <v>28</v>
      </c>
      <c r="F2423" s="222"/>
      <c r="G2423" s="107">
        <v>216</v>
      </c>
      <c r="H2423" s="21">
        <v>225</v>
      </c>
      <c r="I2423" s="22">
        <v>241</v>
      </c>
      <c r="J2423" s="112" t="s">
        <v>5537</v>
      </c>
      <c r="K2423" s="45" t="s">
        <v>5530</v>
      </c>
      <c r="L2423" s="437"/>
      <c r="M2423" s="474" t="s">
        <v>1856</v>
      </c>
      <c r="N2423" s="1013"/>
      <c r="O2423" s="209"/>
      <c r="P2423" s="66" t="s">
        <v>72</v>
      </c>
      <c r="Q2423" s="100">
        <f t="shared" ref="Q2423:Q2432" si="1325">IF($AO$2421=2,F2423*H2423,IF($AO$2421=1,F2423*G2423,F2423*I2423))</f>
        <v>0</v>
      </c>
      <c r="R2423" s="13" t="str">
        <f t="shared" ref="R2423:R2432" si="1326">IF(AO2423&gt;0,HYPERLINK(AO2423,"Фото &gt;&gt;"),"")</f>
        <v>Фото &gt;&gt;</v>
      </c>
      <c r="S2423" s="14" t="s">
        <v>3640</v>
      </c>
      <c r="AK2423">
        <v>0.23</v>
      </c>
      <c r="AL2423">
        <f t="shared" ref="AL2423:AL2429" si="1327">F2423*G2423</f>
        <v>0</v>
      </c>
      <c r="AM2423">
        <f t="shared" ref="AM2423:AM2429" si="1328">F2423*H2423</f>
        <v>0</v>
      </c>
      <c r="AN2423">
        <f t="shared" ref="AN2423:AN2445" si="1329">AK2423*F2423+IF(E2423&gt;1.01,F2423/E2423*0.2,0)</f>
        <v>0</v>
      </c>
      <c r="AO2423" t="s">
        <v>4074</v>
      </c>
      <c r="AV2423" t="str">
        <f>IF(F2423&gt;0,(COUNT($AV$1:AV2422)+1),"")</f>
        <v/>
      </c>
    </row>
    <row r="2424" spans="1:48" ht="15" customHeight="1" x14ac:dyDescent="0.25">
      <c r="A2424" s="1"/>
      <c r="B2424" s="31">
        <v>20567</v>
      </c>
      <c r="C2424" s="16">
        <v>4631141207230</v>
      </c>
      <c r="D2424" s="226" t="s">
        <v>1888</v>
      </c>
      <c r="E2424" s="69">
        <v>28</v>
      </c>
      <c r="F2424" s="222"/>
      <c r="G2424" s="108">
        <v>216.7</v>
      </c>
      <c r="H2424" s="17">
        <v>224.6</v>
      </c>
      <c r="I2424" s="18">
        <v>240.5</v>
      </c>
      <c r="J2424" s="113" t="s">
        <v>5537</v>
      </c>
      <c r="K2424" s="44" t="s">
        <v>5530</v>
      </c>
      <c r="L2424" s="442"/>
      <c r="M2424" s="480" t="s">
        <v>1856</v>
      </c>
      <c r="N2424" s="1015" t="s">
        <v>1856</v>
      </c>
      <c r="O2424" s="210"/>
      <c r="P2424" s="68" t="s">
        <v>72</v>
      </c>
      <c r="Q2424" s="100">
        <f t="shared" si="1325"/>
        <v>0</v>
      </c>
      <c r="R2424" s="13" t="str">
        <f t="shared" si="1326"/>
        <v>Фото &gt;&gt;</v>
      </c>
      <c r="S2424" s="14" t="s">
        <v>3641</v>
      </c>
      <c r="AK2424">
        <v>0.23</v>
      </c>
      <c r="AL2424">
        <f t="shared" si="1327"/>
        <v>0</v>
      </c>
      <c r="AM2424">
        <f t="shared" si="1328"/>
        <v>0</v>
      </c>
      <c r="AN2424">
        <f t="shared" si="1329"/>
        <v>0</v>
      </c>
      <c r="AO2424" t="s">
        <v>4075</v>
      </c>
      <c r="AV2424" t="str">
        <f>IF(F2424&gt;0,(COUNT($AV$1:AV2423)+1),"")</f>
        <v/>
      </c>
    </row>
    <row r="2425" spans="1:48" ht="15" customHeight="1" x14ac:dyDescent="0.25">
      <c r="A2425" s="1"/>
      <c r="B2425" s="30">
        <v>20566</v>
      </c>
      <c r="C2425" s="20">
        <v>4640205890066</v>
      </c>
      <c r="D2425" s="225" t="s">
        <v>858</v>
      </c>
      <c r="E2425" s="67">
        <v>28</v>
      </c>
      <c r="F2425" s="222"/>
      <c r="G2425" s="107">
        <v>216</v>
      </c>
      <c r="H2425" s="21">
        <v>224</v>
      </c>
      <c r="I2425" s="22">
        <v>241</v>
      </c>
      <c r="J2425" s="112" t="s">
        <v>5537</v>
      </c>
      <c r="K2425" s="45" t="s">
        <v>5530</v>
      </c>
      <c r="L2425" s="437"/>
      <c r="M2425" s="474" t="s">
        <v>1856</v>
      </c>
      <c r="N2425" s="1013" t="s">
        <v>1856</v>
      </c>
      <c r="O2425" s="209"/>
      <c r="P2425" s="66" t="s">
        <v>72</v>
      </c>
      <c r="Q2425" s="100">
        <f t="shared" si="1325"/>
        <v>0</v>
      </c>
      <c r="R2425" s="13" t="str">
        <f t="shared" si="1326"/>
        <v>Фото &gt;&gt;</v>
      </c>
      <c r="S2425" s="14" t="s">
        <v>3642</v>
      </c>
      <c r="AK2425">
        <v>0.23</v>
      </c>
      <c r="AL2425">
        <f t="shared" si="1327"/>
        <v>0</v>
      </c>
      <c r="AM2425">
        <f t="shared" si="1328"/>
        <v>0</v>
      </c>
      <c r="AN2425">
        <f t="shared" si="1329"/>
        <v>0</v>
      </c>
      <c r="AO2425" t="s">
        <v>4073</v>
      </c>
      <c r="AV2425" t="str">
        <f>IF(F2425&gt;0,(COUNT($AV$1:AV2424)+1),"")</f>
        <v/>
      </c>
    </row>
    <row r="2426" spans="1:48" ht="15" customHeight="1" x14ac:dyDescent="0.25">
      <c r="A2426" s="1"/>
      <c r="B2426" s="31">
        <v>20565</v>
      </c>
      <c r="C2426" s="16">
        <v>4640205890073</v>
      </c>
      <c r="D2426" s="226" t="s">
        <v>2185</v>
      </c>
      <c r="E2426" s="69">
        <v>28</v>
      </c>
      <c r="F2426" s="222"/>
      <c r="G2426" s="108">
        <v>242.3</v>
      </c>
      <c r="H2426" s="17">
        <v>251.2</v>
      </c>
      <c r="I2426" s="18">
        <v>270</v>
      </c>
      <c r="J2426" s="113" t="s">
        <v>5537</v>
      </c>
      <c r="K2426" s="44" t="s">
        <v>5530</v>
      </c>
      <c r="L2426" s="442"/>
      <c r="M2426" s="480" t="s">
        <v>1856</v>
      </c>
      <c r="N2426" s="1015" t="s">
        <v>1856</v>
      </c>
      <c r="O2426" s="210"/>
      <c r="P2426" s="68" t="s">
        <v>72</v>
      </c>
      <c r="Q2426" s="100">
        <f t="shared" si="1325"/>
        <v>0</v>
      </c>
      <c r="R2426" s="13" t="str">
        <f t="shared" si="1326"/>
        <v>Фото &gt;&gt;</v>
      </c>
      <c r="S2426" s="14" t="s">
        <v>1993</v>
      </c>
      <c r="AK2426">
        <v>0.23</v>
      </c>
      <c r="AL2426">
        <f t="shared" si="1327"/>
        <v>0</v>
      </c>
      <c r="AM2426">
        <f t="shared" si="1328"/>
        <v>0</v>
      </c>
      <c r="AN2426">
        <f t="shared" si="1329"/>
        <v>0</v>
      </c>
      <c r="AO2426" t="s">
        <v>4072</v>
      </c>
      <c r="AV2426" t="str">
        <f>IF(F2426&gt;0,(COUNT($AV$1:AV2425)+1),"")</f>
        <v/>
      </c>
    </row>
    <row r="2427" spans="1:48" ht="15" customHeight="1" x14ac:dyDescent="0.25">
      <c r="A2427" s="1"/>
      <c r="B2427" s="30">
        <v>20602</v>
      </c>
      <c r="C2427" s="20">
        <v>4640205891407</v>
      </c>
      <c r="D2427" s="225" t="s">
        <v>859</v>
      </c>
      <c r="E2427" s="67">
        <v>28</v>
      </c>
      <c r="F2427" s="222"/>
      <c r="G2427" s="107">
        <v>216.7</v>
      </c>
      <c r="H2427" s="21">
        <v>224.6</v>
      </c>
      <c r="I2427" s="22">
        <v>240.5</v>
      </c>
      <c r="J2427" s="112" t="s">
        <v>5537</v>
      </c>
      <c r="K2427" s="45" t="s">
        <v>223</v>
      </c>
      <c r="L2427" s="437"/>
      <c r="M2427" s="474" t="s">
        <v>1856</v>
      </c>
      <c r="N2427" s="1013" t="s">
        <v>1856</v>
      </c>
      <c r="O2427" s="209"/>
      <c r="P2427" s="66" t="s">
        <v>72</v>
      </c>
      <c r="Q2427" s="100">
        <f t="shared" si="1325"/>
        <v>0</v>
      </c>
      <c r="R2427" s="13" t="str">
        <f t="shared" si="1326"/>
        <v>Фото &gt;&gt;</v>
      </c>
      <c r="S2427" s="14" t="s">
        <v>3643</v>
      </c>
      <c r="AK2427">
        <v>0.23</v>
      </c>
      <c r="AL2427">
        <f t="shared" si="1327"/>
        <v>0</v>
      </c>
      <c r="AM2427">
        <f t="shared" si="1328"/>
        <v>0</v>
      </c>
      <c r="AN2427">
        <f t="shared" si="1329"/>
        <v>0</v>
      </c>
      <c r="AO2427" t="s">
        <v>4336</v>
      </c>
      <c r="AV2427" t="str">
        <f>IF(F2427&gt;0,(COUNT($AV$1:AV2426)+1),"")</f>
        <v/>
      </c>
    </row>
    <row r="2428" spans="1:48" ht="15" customHeight="1" x14ac:dyDescent="0.25">
      <c r="A2428" s="1"/>
      <c r="B2428" s="31">
        <v>21081</v>
      </c>
      <c r="C2428" s="16">
        <v>4640205891506</v>
      </c>
      <c r="D2428" s="226" t="s">
        <v>5952</v>
      </c>
      <c r="E2428" s="69">
        <v>28</v>
      </c>
      <c r="F2428" s="222"/>
      <c r="G2428" s="108">
        <v>216</v>
      </c>
      <c r="H2428" s="17">
        <v>225</v>
      </c>
      <c r="I2428" s="18">
        <v>241</v>
      </c>
      <c r="J2428" s="113" t="s">
        <v>5537</v>
      </c>
      <c r="K2428" s="44" t="s">
        <v>5530</v>
      </c>
      <c r="L2428" s="442"/>
      <c r="M2428" s="480" t="s">
        <v>1856</v>
      </c>
      <c r="N2428" s="1015" t="s">
        <v>1856</v>
      </c>
      <c r="O2428" s="210"/>
      <c r="P2428" s="68" t="s">
        <v>72</v>
      </c>
      <c r="Q2428" s="100">
        <f t="shared" si="1325"/>
        <v>0</v>
      </c>
      <c r="R2428" s="13" t="str">
        <f t="shared" si="1326"/>
        <v>Фото &gt;&gt;</v>
      </c>
      <c r="S2428" s="14" t="s">
        <v>5953</v>
      </c>
      <c r="AK2428">
        <v>0.23</v>
      </c>
      <c r="AL2428">
        <f t="shared" ref="AL2428" si="1330">F2428*G2428</f>
        <v>0</v>
      </c>
      <c r="AM2428">
        <f t="shared" ref="AM2428" si="1331">F2428*H2428</f>
        <v>0</v>
      </c>
      <c r="AN2428">
        <f t="shared" ref="AN2428" si="1332">AK2428*F2428+IF(E2428&gt;1.01,F2428/E2428*0.2,0)</f>
        <v>0</v>
      </c>
      <c r="AO2428" t="s">
        <v>5954</v>
      </c>
      <c r="AV2428" t="str">
        <f>IF(F2428&gt;0,(COUNT($AV$1:AV2427)+1),"")</f>
        <v/>
      </c>
    </row>
    <row r="2429" spans="1:48" ht="15" customHeight="1" x14ac:dyDescent="0.25">
      <c r="A2429" s="1"/>
      <c r="B2429" s="30">
        <v>21107</v>
      </c>
      <c r="C2429" s="20">
        <v>4640205890103</v>
      </c>
      <c r="D2429" s="225" t="s">
        <v>860</v>
      </c>
      <c r="E2429" s="67">
        <v>28</v>
      </c>
      <c r="F2429" s="222"/>
      <c r="G2429" s="107">
        <v>216</v>
      </c>
      <c r="H2429" s="21">
        <v>225</v>
      </c>
      <c r="I2429" s="22">
        <v>241</v>
      </c>
      <c r="J2429" s="112" t="s">
        <v>5537</v>
      </c>
      <c r="K2429" s="45" t="s">
        <v>5530</v>
      </c>
      <c r="L2429" s="437"/>
      <c r="M2429" s="474" t="s">
        <v>1856</v>
      </c>
      <c r="N2429" s="1013" t="s">
        <v>1856</v>
      </c>
      <c r="O2429" s="209"/>
      <c r="P2429" s="66" t="s">
        <v>72</v>
      </c>
      <c r="Q2429" s="100">
        <f t="shared" si="1325"/>
        <v>0</v>
      </c>
      <c r="R2429" s="13" t="str">
        <f t="shared" si="1326"/>
        <v>Фото &gt;&gt;</v>
      </c>
      <c r="S2429" s="14" t="s">
        <v>3644</v>
      </c>
      <c r="AK2429">
        <v>0.23</v>
      </c>
      <c r="AL2429">
        <f t="shared" si="1327"/>
        <v>0</v>
      </c>
      <c r="AM2429">
        <f t="shared" si="1328"/>
        <v>0</v>
      </c>
      <c r="AN2429">
        <f t="shared" si="1329"/>
        <v>0</v>
      </c>
      <c r="AO2429" t="s">
        <v>5125</v>
      </c>
      <c r="AV2429" t="str">
        <f>IF(F2429&gt;0,(COUNT($AV$1:AV2428)+1),"")</f>
        <v/>
      </c>
    </row>
    <row r="2430" spans="1:48" ht="15" customHeight="1" x14ac:dyDescent="0.25">
      <c r="A2430" s="1"/>
      <c r="B2430" s="31">
        <v>20630</v>
      </c>
      <c r="C2430" s="16">
        <v>4640205891421</v>
      </c>
      <c r="D2430" s="226" t="s">
        <v>4337</v>
      </c>
      <c r="E2430" s="69">
        <v>28</v>
      </c>
      <c r="F2430" s="222"/>
      <c r="G2430" s="108">
        <v>216.7</v>
      </c>
      <c r="H2430" s="17">
        <v>224.6</v>
      </c>
      <c r="I2430" s="18">
        <v>240</v>
      </c>
      <c r="J2430" s="113" t="s">
        <v>5537</v>
      </c>
      <c r="K2430" s="44" t="s">
        <v>223</v>
      </c>
      <c r="L2430" s="442"/>
      <c r="M2430" s="480" t="s">
        <v>1856</v>
      </c>
      <c r="N2430" s="1015" t="s">
        <v>1856</v>
      </c>
      <c r="O2430" s="210"/>
      <c r="P2430" s="68" t="s">
        <v>72</v>
      </c>
      <c r="Q2430" s="100">
        <f t="shared" si="1325"/>
        <v>0</v>
      </c>
      <c r="R2430" s="13" t="str">
        <f t="shared" si="1326"/>
        <v>Фото &gt;&gt;</v>
      </c>
      <c r="S2430" s="14" t="s">
        <v>4339</v>
      </c>
      <c r="AK2430">
        <v>0.23</v>
      </c>
      <c r="AL2430">
        <f t="shared" ref="AL2430" si="1333">F2430*G2430</f>
        <v>0</v>
      </c>
      <c r="AM2430">
        <f t="shared" ref="AM2430" si="1334">F2430*H2430</f>
        <v>0</v>
      </c>
      <c r="AN2430">
        <f t="shared" ref="AN2430" si="1335">AK2430*F2430+IF(E2430&gt;1.01,F2430/E2430*0.2,0)</f>
        <v>0</v>
      </c>
      <c r="AO2430" t="s">
        <v>4338</v>
      </c>
      <c r="AV2430" t="str">
        <f>IF(F2430&gt;0,(COUNT($AV$1:AV2429)+1),"")</f>
        <v/>
      </c>
    </row>
    <row r="2431" spans="1:48" ht="15" customHeight="1" x14ac:dyDescent="0.25">
      <c r="A2431" s="1"/>
      <c r="B2431" s="30">
        <v>19619</v>
      </c>
      <c r="C2431" s="20">
        <v>4640205891155</v>
      </c>
      <c r="D2431" s="225" t="s">
        <v>2095</v>
      </c>
      <c r="E2431" s="67">
        <v>24</v>
      </c>
      <c r="F2431" s="222"/>
      <c r="G2431" s="107">
        <v>540</v>
      </c>
      <c r="H2431" s="21">
        <v>560</v>
      </c>
      <c r="I2431" s="22">
        <v>600</v>
      </c>
      <c r="J2431" s="112" t="s">
        <v>5537</v>
      </c>
      <c r="K2431" s="45" t="s">
        <v>223</v>
      </c>
      <c r="L2431" s="437"/>
      <c r="M2431" s="474" t="s">
        <v>1856</v>
      </c>
      <c r="N2431" s="1013" t="s">
        <v>1856</v>
      </c>
      <c r="O2431" s="209"/>
      <c r="P2431" s="66" t="s">
        <v>50</v>
      </c>
      <c r="Q2431" s="100">
        <f t="shared" si="1325"/>
        <v>0</v>
      </c>
      <c r="R2431" s="13" t="str">
        <f t="shared" si="1326"/>
        <v>Фото &gt;&gt;</v>
      </c>
      <c r="S2431" s="14" t="s">
        <v>1898</v>
      </c>
      <c r="AK2431">
        <v>0.1</v>
      </c>
      <c r="AL2431">
        <f t="shared" ref="AL2431:AL2435" si="1336">F2431*G2431</f>
        <v>0</v>
      </c>
      <c r="AM2431">
        <f t="shared" ref="AM2431:AM2435" si="1337">F2431*H2431</f>
        <v>0</v>
      </c>
      <c r="AN2431">
        <f t="shared" ref="AN2431:AN2435" si="1338">AK2431*F2431+IF(E2431&gt;1.01,F2431/E2431*0.2,0)</f>
        <v>0</v>
      </c>
      <c r="AO2431" t="s">
        <v>2770</v>
      </c>
      <c r="AV2431" t="str">
        <f>IF(F2431&gt;0,(COUNT($AV$1:AV2430)+1),"")</f>
        <v/>
      </c>
    </row>
    <row r="2432" spans="1:48" ht="15" customHeight="1" x14ac:dyDescent="0.25">
      <c r="A2432" s="1"/>
      <c r="B2432" s="31">
        <v>21316</v>
      </c>
      <c r="C2432" s="16">
        <v>4610086241981</v>
      </c>
      <c r="D2432" s="226" t="s">
        <v>6915</v>
      </c>
      <c r="E2432" s="69">
        <v>60</v>
      </c>
      <c r="F2432" s="222"/>
      <c r="G2432" s="108">
        <v>280.8</v>
      </c>
      <c r="H2432" s="17">
        <v>291.2</v>
      </c>
      <c r="I2432" s="18">
        <v>312</v>
      </c>
      <c r="J2432" s="113" t="s">
        <v>5537</v>
      </c>
      <c r="K2432" s="44" t="s">
        <v>117</v>
      </c>
      <c r="L2432" s="442"/>
      <c r="M2432" s="480" t="s">
        <v>1856</v>
      </c>
      <c r="N2432" s="1015" t="s">
        <v>1856</v>
      </c>
      <c r="O2432" s="210"/>
      <c r="P2432" s="68" t="s">
        <v>50</v>
      </c>
      <c r="Q2432" s="100">
        <f t="shared" si="1325"/>
        <v>0</v>
      </c>
      <c r="R2432" s="13" t="str">
        <f t="shared" si="1326"/>
        <v>Фото &gt;&gt;</v>
      </c>
      <c r="S2432" s="14" t="s">
        <v>6622</v>
      </c>
      <c r="AK2432">
        <v>0.1</v>
      </c>
      <c r="AL2432">
        <f t="shared" si="1336"/>
        <v>0</v>
      </c>
      <c r="AM2432">
        <f t="shared" si="1337"/>
        <v>0</v>
      </c>
      <c r="AN2432">
        <f t="shared" si="1338"/>
        <v>0</v>
      </c>
      <c r="AO2432" t="s">
        <v>6623</v>
      </c>
      <c r="AV2432" t="str">
        <f>IF(F2432&gt;0,(COUNT($AV$1:AV2431)+1),"")</f>
        <v/>
      </c>
    </row>
    <row r="2433" spans="1:48" ht="15" customHeight="1" x14ac:dyDescent="0.25">
      <c r="A2433" s="1"/>
      <c r="B2433" s="25"/>
      <c r="C2433" s="26"/>
      <c r="D2433" s="27" t="s">
        <v>1448</v>
      </c>
      <c r="E2433" s="80"/>
      <c r="F2433" s="96"/>
      <c r="G2433" s="28"/>
      <c r="H2433" s="29"/>
      <c r="I2433" s="29"/>
      <c r="J2433" s="51"/>
      <c r="K2433" s="47"/>
      <c r="L2433" s="447"/>
      <c r="M2433" s="489" t="s">
        <v>104</v>
      </c>
      <c r="N2433" s="716"/>
      <c r="O2433" s="186"/>
      <c r="P2433" s="79"/>
      <c r="Q2433" s="104"/>
      <c r="R2433" s="13"/>
      <c r="S2433" s="14"/>
      <c r="AL2433">
        <f t="shared" si="1336"/>
        <v>0</v>
      </c>
      <c r="AM2433">
        <f t="shared" si="1337"/>
        <v>0</v>
      </c>
      <c r="AN2433">
        <f t="shared" si="1338"/>
        <v>0</v>
      </c>
      <c r="AO2433" t="s">
        <v>104</v>
      </c>
      <c r="AV2433" t="str">
        <f>IF(F2433&gt;0,(COUNT($AV$1:AV2432)+1),"")</f>
        <v/>
      </c>
    </row>
    <row r="2434" spans="1:48" ht="15" customHeight="1" x14ac:dyDescent="0.25">
      <c r="A2434" s="1"/>
      <c r="B2434" s="31">
        <v>16178</v>
      </c>
      <c r="C2434" s="16">
        <v>4640205890479</v>
      </c>
      <c r="D2434" s="154" t="s">
        <v>861</v>
      </c>
      <c r="E2434" s="86">
        <v>16</v>
      </c>
      <c r="F2434" s="222"/>
      <c r="G2434" s="108">
        <v>47.5</v>
      </c>
      <c r="H2434" s="17">
        <v>49.2</v>
      </c>
      <c r="I2434" s="18">
        <v>52.6</v>
      </c>
      <c r="J2434" s="113" t="s">
        <v>5537</v>
      </c>
      <c r="K2434" s="44" t="s">
        <v>862</v>
      </c>
      <c r="L2434" s="442"/>
      <c r="M2434" s="480" t="s">
        <v>1856</v>
      </c>
      <c r="N2434" s="1015"/>
      <c r="O2434" s="217" t="s">
        <v>1561</v>
      </c>
      <c r="P2434" s="68" t="s">
        <v>678</v>
      </c>
      <c r="Q2434" s="100">
        <f t="shared" ref="Q2434:Q2446" si="1339">IF($AO$2421=2,F2434*H2434,IF($AO$2421=1,F2434*G2434,F2434*I2434))</f>
        <v>0</v>
      </c>
      <c r="R2434" s="13" t="str">
        <f t="shared" si="1299"/>
        <v>Фото &gt;&gt;</v>
      </c>
      <c r="S2434" s="14" t="s">
        <v>863</v>
      </c>
      <c r="AK2434">
        <v>0.03</v>
      </c>
      <c r="AL2434">
        <f t="shared" si="1336"/>
        <v>0</v>
      </c>
      <c r="AM2434">
        <f t="shared" si="1337"/>
        <v>0</v>
      </c>
      <c r="AN2434">
        <f t="shared" si="1338"/>
        <v>0</v>
      </c>
      <c r="AO2434" t="s">
        <v>5126</v>
      </c>
      <c r="AV2434" t="str">
        <f>IF(F2434&gt;0,(COUNT($AV$1:AV2433)+1),"")</f>
        <v/>
      </c>
    </row>
    <row r="2435" spans="1:48" ht="15" customHeight="1" x14ac:dyDescent="0.25">
      <c r="A2435" s="1"/>
      <c r="B2435" s="30">
        <v>16177</v>
      </c>
      <c r="C2435" s="20">
        <v>4640205890356</v>
      </c>
      <c r="D2435" s="153" t="s">
        <v>864</v>
      </c>
      <c r="E2435" s="85">
        <v>16</v>
      </c>
      <c r="F2435" s="222"/>
      <c r="G2435" s="107">
        <v>49.9</v>
      </c>
      <c r="H2435" s="21">
        <v>51.7</v>
      </c>
      <c r="I2435" s="22">
        <v>55.3</v>
      </c>
      <c r="J2435" s="112" t="s">
        <v>5537</v>
      </c>
      <c r="K2435" s="45" t="s">
        <v>862</v>
      </c>
      <c r="L2435" s="437"/>
      <c r="M2435" s="474" t="s">
        <v>1856</v>
      </c>
      <c r="N2435" s="1013"/>
      <c r="O2435" s="212" t="s">
        <v>1561</v>
      </c>
      <c r="P2435" s="66" t="s">
        <v>678</v>
      </c>
      <c r="Q2435" s="100">
        <f t="shared" si="1339"/>
        <v>0</v>
      </c>
      <c r="R2435" s="13" t="str">
        <f t="shared" si="1299"/>
        <v>Фото &gt;&gt;</v>
      </c>
      <c r="S2435" s="14" t="s">
        <v>865</v>
      </c>
      <c r="AK2435">
        <v>0.03</v>
      </c>
      <c r="AL2435">
        <f t="shared" si="1336"/>
        <v>0</v>
      </c>
      <c r="AM2435">
        <f t="shared" si="1337"/>
        <v>0</v>
      </c>
      <c r="AN2435">
        <f t="shared" si="1338"/>
        <v>0</v>
      </c>
      <c r="AO2435" t="s">
        <v>5127</v>
      </c>
      <c r="AV2435" t="str">
        <f>IF(F2435&gt;0,(COUNT($AV$1:AV2434)+1),"")</f>
        <v/>
      </c>
    </row>
    <row r="2436" spans="1:48" ht="15" customHeight="1" x14ac:dyDescent="0.25">
      <c r="A2436" s="1"/>
      <c r="B2436" s="31">
        <v>16183</v>
      </c>
      <c r="C2436" s="16">
        <v>4640205890417</v>
      </c>
      <c r="D2436" s="154" t="s">
        <v>866</v>
      </c>
      <c r="E2436" s="86">
        <v>16</v>
      </c>
      <c r="F2436" s="222"/>
      <c r="G2436" s="108">
        <v>49.9</v>
      </c>
      <c r="H2436" s="17">
        <v>51.7</v>
      </c>
      <c r="I2436" s="18">
        <v>55.3</v>
      </c>
      <c r="J2436" s="113" t="s">
        <v>5537</v>
      </c>
      <c r="K2436" s="44" t="s">
        <v>862</v>
      </c>
      <c r="L2436" s="442"/>
      <c r="M2436" s="480" t="s">
        <v>1856</v>
      </c>
      <c r="N2436" s="1015"/>
      <c r="O2436" s="217" t="s">
        <v>1561</v>
      </c>
      <c r="P2436" s="68" t="s">
        <v>678</v>
      </c>
      <c r="Q2436" s="100">
        <f t="shared" si="1339"/>
        <v>0</v>
      </c>
      <c r="R2436" s="13" t="str">
        <f t="shared" si="1299"/>
        <v>Фото &gt;&gt;</v>
      </c>
      <c r="S2436" s="14" t="s">
        <v>867</v>
      </c>
      <c r="AK2436">
        <v>0.03</v>
      </c>
      <c r="AL2436">
        <f t="shared" ref="AL2436:AL2455" si="1340">F2436*G2436</f>
        <v>0</v>
      </c>
      <c r="AM2436">
        <f t="shared" ref="AM2436:AM2455" si="1341">F2436*H2436</f>
        <v>0</v>
      </c>
      <c r="AN2436">
        <f t="shared" si="1329"/>
        <v>0</v>
      </c>
      <c r="AO2436" t="s">
        <v>5128</v>
      </c>
      <c r="AV2436" t="str">
        <f>IF(F2436&gt;0,(COUNT($AV$1:AV2435)+1),"")</f>
        <v/>
      </c>
    </row>
    <row r="2437" spans="1:48" ht="15" customHeight="1" x14ac:dyDescent="0.25">
      <c r="A2437" s="1"/>
      <c r="B2437" s="30">
        <v>15815</v>
      </c>
      <c r="C2437" s="20">
        <v>4631136827856</v>
      </c>
      <c r="D2437" s="153" t="s">
        <v>868</v>
      </c>
      <c r="E2437" s="85">
        <v>12</v>
      </c>
      <c r="F2437" s="222"/>
      <c r="G2437" s="107">
        <v>49.9</v>
      </c>
      <c r="H2437" s="21">
        <v>51.7</v>
      </c>
      <c r="I2437" s="22">
        <v>55.3</v>
      </c>
      <c r="J2437" s="112" t="s">
        <v>5537</v>
      </c>
      <c r="K2437" s="45" t="s">
        <v>862</v>
      </c>
      <c r="L2437" s="437"/>
      <c r="M2437" s="474" t="s">
        <v>1856</v>
      </c>
      <c r="N2437" s="1013"/>
      <c r="O2437" s="212" t="s">
        <v>1570</v>
      </c>
      <c r="P2437" s="66" t="s">
        <v>678</v>
      </c>
      <c r="Q2437" s="100">
        <f t="shared" si="1339"/>
        <v>0</v>
      </c>
      <c r="R2437" s="13" t="str">
        <f t="shared" si="1299"/>
        <v>Фото &gt;&gt;</v>
      </c>
      <c r="S2437" s="14" t="s">
        <v>869</v>
      </c>
      <c r="AK2437">
        <v>7.0000000000000007E-2</v>
      </c>
      <c r="AL2437">
        <f t="shared" si="1340"/>
        <v>0</v>
      </c>
      <c r="AM2437">
        <f t="shared" si="1341"/>
        <v>0</v>
      </c>
      <c r="AN2437">
        <f t="shared" si="1329"/>
        <v>0</v>
      </c>
      <c r="AO2437" t="s">
        <v>5129</v>
      </c>
      <c r="AV2437" t="str">
        <f>IF(F2437&gt;0,(COUNT($AV$1:AV2436)+1),"")</f>
        <v/>
      </c>
    </row>
    <row r="2438" spans="1:48" ht="15" customHeight="1" x14ac:dyDescent="0.25">
      <c r="A2438" s="1"/>
      <c r="B2438" s="31">
        <v>20290</v>
      </c>
      <c r="C2438" s="16">
        <v>4631159536575</v>
      </c>
      <c r="D2438" s="154" t="s">
        <v>3647</v>
      </c>
      <c r="E2438" s="86">
        <v>10</v>
      </c>
      <c r="F2438" s="222"/>
      <c r="G2438" s="108">
        <v>62.2</v>
      </c>
      <c r="H2438" s="17">
        <v>64.400000000000006</v>
      </c>
      <c r="I2438" s="18">
        <v>69</v>
      </c>
      <c r="J2438" s="113" t="s">
        <v>5537</v>
      </c>
      <c r="K2438" s="44" t="s">
        <v>862</v>
      </c>
      <c r="L2438" s="442"/>
      <c r="M2438" s="480" t="s">
        <v>1856</v>
      </c>
      <c r="N2438" s="1015" t="s">
        <v>1856</v>
      </c>
      <c r="O2438" s="217" t="s">
        <v>1563</v>
      </c>
      <c r="P2438" s="68" t="s">
        <v>678</v>
      </c>
      <c r="Q2438" s="100">
        <f t="shared" si="1339"/>
        <v>0</v>
      </c>
      <c r="R2438" s="13" t="str">
        <f t="shared" si="1299"/>
        <v>Фото &gt;&gt;</v>
      </c>
      <c r="S2438" s="14" t="s">
        <v>3009</v>
      </c>
      <c r="AK2438">
        <v>0.02</v>
      </c>
      <c r="AL2438">
        <f t="shared" si="1340"/>
        <v>0</v>
      </c>
      <c r="AM2438">
        <f t="shared" si="1341"/>
        <v>0</v>
      </c>
      <c r="AN2438">
        <f t="shared" si="1329"/>
        <v>0</v>
      </c>
      <c r="AO2438" t="s">
        <v>3011</v>
      </c>
      <c r="AV2438" t="str">
        <f>IF(F2438&gt;0,(COUNT($AV$1:AV2437)+1),"")</f>
        <v/>
      </c>
    </row>
    <row r="2439" spans="1:48" ht="15" customHeight="1" x14ac:dyDescent="0.25">
      <c r="A2439" s="1"/>
      <c r="B2439" s="30">
        <v>20291</v>
      </c>
      <c r="C2439" s="20">
        <v>4631159536612</v>
      </c>
      <c r="D2439" s="153" t="s">
        <v>3648</v>
      </c>
      <c r="E2439" s="85">
        <v>10</v>
      </c>
      <c r="F2439" s="222"/>
      <c r="G2439" s="107">
        <v>62.2</v>
      </c>
      <c r="H2439" s="21">
        <v>64.400000000000006</v>
      </c>
      <c r="I2439" s="22">
        <v>70</v>
      </c>
      <c r="J2439" s="112" t="s">
        <v>5537</v>
      </c>
      <c r="K2439" s="45" t="s">
        <v>862</v>
      </c>
      <c r="L2439" s="437"/>
      <c r="M2439" s="474" t="s">
        <v>1856</v>
      </c>
      <c r="N2439" s="1013" t="s">
        <v>1856</v>
      </c>
      <c r="O2439" s="212" t="s">
        <v>1563</v>
      </c>
      <c r="P2439" s="66" t="s">
        <v>678</v>
      </c>
      <c r="Q2439" s="100">
        <f t="shared" si="1339"/>
        <v>0</v>
      </c>
      <c r="R2439" s="13" t="str">
        <f t="shared" si="1299"/>
        <v>Фото &gt;&gt;</v>
      </c>
      <c r="S2439" s="14" t="s">
        <v>3010</v>
      </c>
      <c r="AK2439">
        <v>0.02</v>
      </c>
      <c r="AL2439">
        <f t="shared" ref="AL2439:AL2441" si="1342">F2439*G2439</f>
        <v>0</v>
      </c>
      <c r="AM2439">
        <f t="shared" ref="AM2439:AM2441" si="1343">F2439*H2439</f>
        <v>0</v>
      </c>
      <c r="AN2439">
        <f t="shared" si="1329"/>
        <v>0</v>
      </c>
      <c r="AO2439" t="s">
        <v>3012</v>
      </c>
      <c r="AV2439" t="str">
        <f>IF(F2439&gt;0,(COUNT($AV$1:AV2438)+1),"")</f>
        <v/>
      </c>
    </row>
    <row r="2440" spans="1:48" ht="15" customHeight="1" x14ac:dyDescent="0.25">
      <c r="A2440" s="1"/>
      <c r="B2440" s="31">
        <v>15275</v>
      </c>
      <c r="C2440" s="16">
        <v>4640205890332</v>
      </c>
      <c r="D2440" s="154" t="s">
        <v>870</v>
      </c>
      <c r="E2440" s="86">
        <v>18</v>
      </c>
      <c r="F2440" s="222"/>
      <c r="G2440" s="108">
        <v>45.1</v>
      </c>
      <c r="H2440" s="17">
        <v>46.7</v>
      </c>
      <c r="I2440" s="18">
        <v>49.9</v>
      </c>
      <c r="J2440" s="113" t="s">
        <v>5537</v>
      </c>
      <c r="K2440" s="44" t="s">
        <v>862</v>
      </c>
      <c r="L2440" s="442"/>
      <c r="M2440" s="480" t="s">
        <v>1856</v>
      </c>
      <c r="N2440" s="1015" t="s">
        <v>1856</v>
      </c>
      <c r="O2440" s="217" t="s">
        <v>1569</v>
      </c>
      <c r="P2440" s="68" t="s">
        <v>678</v>
      </c>
      <c r="Q2440" s="100">
        <f t="shared" si="1339"/>
        <v>0</v>
      </c>
      <c r="R2440" s="13" t="str">
        <f t="shared" si="1299"/>
        <v>Фото &gt;&gt;</v>
      </c>
      <c r="S2440" s="14" t="s">
        <v>871</v>
      </c>
      <c r="AK2440">
        <v>0.04</v>
      </c>
      <c r="AL2440">
        <f t="shared" si="1342"/>
        <v>0</v>
      </c>
      <c r="AM2440">
        <f t="shared" si="1343"/>
        <v>0</v>
      </c>
      <c r="AN2440">
        <f t="shared" si="1329"/>
        <v>0</v>
      </c>
      <c r="AO2440" t="s">
        <v>5130</v>
      </c>
      <c r="AV2440" t="str">
        <f>IF(F2440&gt;0,(COUNT($AV$1:AV2439)+1),"")</f>
        <v/>
      </c>
    </row>
    <row r="2441" spans="1:48" ht="15" customHeight="1" x14ac:dyDescent="0.25">
      <c r="A2441" s="1"/>
      <c r="B2441" s="30">
        <v>15814</v>
      </c>
      <c r="C2441" s="20">
        <v>4631141305172</v>
      </c>
      <c r="D2441" s="153" t="s">
        <v>872</v>
      </c>
      <c r="E2441" s="85">
        <v>12</v>
      </c>
      <c r="F2441" s="222"/>
      <c r="G2441" s="107">
        <v>49.9</v>
      </c>
      <c r="H2441" s="21">
        <v>51.7</v>
      </c>
      <c r="I2441" s="22">
        <v>55.3</v>
      </c>
      <c r="J2441" s="112" t="s">
        <v>5537</v>
      </c>
      <c r="K2441" s="45" t="s">
        <v>862</v>
      </c>
      <c r="L2441" s="437"/>
      <c r="M2441" s="474" t="s">
        <v>1856</v>
      </c>
      <c r="N2441" s="1013" t="s">
        <v>1856</v>
      </c>
      <c r="O2441" s="212" t="s">
        <v>1570</v>
      </c>
      <c r="P2441" s="66" t="s">
        <v>678</v>
      </c>
      <c r="Q2441" s="100">
        <f t="shared" si="1339"/>
        <v>0</v>
      </c>
      <c r="R2441" s="13" t="str">
        <f t="shared" si="1299"/>
        <v>Фото &gt;&gt;</v>
      </c>
      <c r="S2441" s="14" t="s">
        <v>873</v>
      </c>
      <c r="AK2441">
        <v>7.0000000000000007E-2</v>
      </c>
      <c r="AL2441">
        <f t="shared" si="1342"/>
        <v>0</v>
      </c>
      <c r="AM2441">
        <f t="shared" si="1343"/>
        <v>0</v>
      </c>
      <c r="AN2441">
        <f t="shared" si="1329"/>
        <v>0</v>
      </c>
      <c r="AO2441" t="s">
        <v>5131</v>
      </c>
      <c r="AV2441" t="str">
        <f>IF(F2441&gt;0,(COUNT($AV$1:AV2440)+1),"")</f>
        <v/>
      </c>
    </row>
    <row r="2442" spans="1:48" ht="15" customHeight="1" x14ac:dyDescent="0.25">
      <c r="A2442" s="1"/>
      <c r="B2442" s="31">
        <v>15270</v>
      </c>
      <c r="C2442" s="16">
        <v>4631136222507</v>
      </c>
      <c r="D2442" s="154" t="s">
        <v>874</v>
      </c>
      <c r="E2442" s="86">
        <v>18</v>
      </c>
      <c r="F2442" s="222"/>
      <c r="G2442" s="108">
        <v>45.1</v>
      </c>
      <c r="H2442" s="17">
        <v>46.7</v>
      </c>
      <c r="I2442" s="18">
        <v>49.9</v>
      </c>
      <c r="J2442" s="113" t="s">
        <v>5537</v>
      </c>
      <c r="K2442" s="44" t="s">
        <v>862</v>
      </c>
      <c r="L2442" s="442"/>
      <c r="M2442" s="480" t="s">
        <v>1856</v>
      </c>
      <c r="N2442" s="1015" t="s">
        <v>1856</v>
      </c>
      <c r="O2442" s="217" t="s">
        <v>1569</v>
      </c>
      <c r="P2442" s="68" t="s">
        <v>678</v>
      </c>
      <c r="Q2442" s="100">
        <f t="shared" si="1339"/>
        <v>0</v>
      </c>
      <c r="R2442" s="13" t="str">
        <f t="shared" si="1299"/>
        <v>Фото &gt;&gt;</v>
      </c>
      <c r="S2442" s="14" t="s">
        <v>873</v>
      </c>
      <c r="AK2442">
        <v>0.04</v>
      </c>
      <c r="AL2442">
        <f t="shared" si="1340"/>
        <v>0</v>
      </c>
      <c r="AM2442">
        <f t="shared" si="1341"/>
        <v>0</v>
      </c>
      <c r="AN2442">
        <f t="shared" si="1329"/>
        <v>0</v>
      </c>
      <c r="AO2442" t="s">
        <v>5131</v>
      </c>
      <c r="AV2442" t="str">
        <f>IF(F2442&gt;0,(COUNT($AV$1:AV2441)+1),"")</f>
        <v/>
      </c>
    </row>
    <row r="2443" spans="1:48" ht="15" customHeight="1" x14ac:dyDescent="0.25">
      <c r="A2443" s="1"/>
      <c r="B2443" s="30">
        <v>15810</v>
      </c>
      <c r="C2443" s="20">
        <v>4631141305196</v>
      </c>
      <c r="D2443" s="153" t="s">
        <v>875</v>
      </c>
      <c r="E2443" s="85">
        <v>12</v>
      </c>
      <c r="F2443" s="222"/>
      <c r="G2443" s="107">
        <v>49.9</v>
      </c>
      <c r="H2443" s="21">
        <v>51.7</v>
      </c>
      <c r="I2443" s="22">
        <v>55.3</v>
      </c>
      <c r="J2443" s="112" t="s">
        <v>5537</v>
      </c>
      <c r="K2443" s="45" t="s">
        <v>862</v>
      </c>
      <c r="L2443" s="437"/>
      <c r="M2443" s="474" t="s">
        <v>1856</v>
      </c>
      <c r="N2443" s="1013" t="s">
        <v>1856</v>
      </c>
      <c r="O2443" s="212" t="s">
        <v>1570</v>
      </c>
      <c r="P2443" s="66" t="s">
        <v>678</v>
      </c>
      <c r="Q2443" s="100">
        <f t="shared" si="1339"/>
        <v>0</v>
      </c>
      <c r="R2443" s="13" t="str">
        <f t="shared" si="1299"/>
        <v>Фото &gt;&gt;</v>
      </c>
      <c r="S2443" s="14" t="s">
        <v>876</v>
      </c>
      <c r="AK2443">
        <v>7.0000000000000007E-2</v>
      </c>
      <c r="AL2443">
        <f t="shared" si="1340"/>
        <v>0</v>
      </c>
      <c r="AM2443">
        <f t="shared" si="1341"/>
        <v>0</v>
      </c>
      <c r="AN2443">
        <f t="shared" si="1329"/>
        <v>0</v>
      </c>
      <c r="AO2443" t="s">
        <v>5132</v>
      </c>
      <c r="AV2443" t="str">
        <f>IF(F2443&gt;0,(COUNT($AV$1:AV2442)+1),"")</f>
        <v/>
      </c>
    </row>
    <row r="2444" spans="1:48" ht="15" customHeight="1" x14ac:dyDescent="0.25">
      <c r="A2444" s="1"/>
      <c r="B2444" s="31">
        <v>15811</v>
      </c>
      <c r="C2444" s="16">
        <v>4631141305257</v>
      </c>
      <c r="D2444" s="154" t="s">
        <v>877</v>
      </c>
      <c r="E2444" s="86">
        <v>12</v>
      </c>
      <c r="F2444" s="222"/>
      <c r="G2444" s="108">
        <v>49.9</v>
      </c>
      <c r="H2444" s="17">
        <v>51.7</v>
      </c>
      <c r="I2444" s="18">
        <v>55.3</v>
      </c>
      <c r="J2444" s="113" t="s">
        <v>5537</v>
      </c>
      <c r="K2444" s="44" t="s">
        <v>862</v>
      </c>
      <c r="L2444" s="442"/>
      <c r="M2444" s="480" t="s">
        <v>1856</v>
      </c>
      <c r="N2444" s="1015" t="s">
        <v>1856</v>
      </c>
      <c r="O2444" s="217" t="s">
        <v>1570</v>
      </c>
      <c r="P2444" s="68" t="s">
        <v>678</v>
      </c>
      <c r="Q2444" s="100">
        <f t="shared" si="1339"/>
        <v>0</v>
      </c>
      <c r="R2444" s="13" t="str">
        <f t="shared" si="1299"/>
        <v>Фото &gt;&gt;</v>
      </c>
      <c r="S2444" s="14" t="s">
        <v>878</v>
      </c>
      <c r="AK2444">
        <v>7.0000000000000007E-2</v>
      </c>
      <c r="AL2444">
        <f t="shared" si="1340"/>
        <v>0</v>
      </c>
      <c r="AM2444">
        <f t="shared" si="1341"/>
        <v>0</v>
      </c>
      <c r="AN2444">
        <f t="shared" si="1329"/>
        <v>0</v>
      </c>
      <c r="AO2444" t="s">
        <v>5133</v>
      </c>
      <c r="AV2444" t="str">
        <f>IF(F2444&gt;0,(COUNT($AV$1:AV2443)+1),"")</f>
        <v/>
      </c>
    </row>
    <row r="2445" spans="1:48" ht="15" customHeight="1" x14ac:dyDescent="0.25">
      <c r="A2445" s="1"/>
      <c r="B2445" s="30">
        <v>15812</v>
      </c>
      <c r="C2445" s="20">
        <v>4631141305219</v>
      </c>
      <c r="D2445" s="153" t="s">
        <v>879</v>
      </c>
      <c r="E2445" s="85">
        <v>12</v>
      </c>
      <c r="F2445" s="222"/>
      <c r="G2445" s="107">
        <v>49.9</v>
      </c>
      <c r="H2445" s="21">
        <v>51.7</v>
      </c>
      <c r="I2445" s="22">
        <v>55.3</v>
      </c>
      <c r="J2445" s="112" t="s">
        <v>5537</v>
      </c>
      <c r="K2445" s="45" t="s">
        <v>862</v>
      </c>
      <c r="L2445" s="437"/>
      <c r="M2445" s="474" t="s">
        <v>1856</v>
      </c>
      <c r="N2445" s="1013"/>
      <c r="O2445" s="212" t="s">
        <v>1570</v>
      </c>
      <c r="P2445" s="66" t="s">
        <v>678</v>
      </c>
      <c r="Q2445" s="100">
        <f t="shared" si="1339"/>
        <v>0</v>
      </c>
      <c r="R2445" s="13" t="str">
        <f t="shared" ref="R2445:R2483" si="1344">IF(AO2445&gt;0,HYPERLINK(AO2445,"Фото &gt;&gt;"),"")</f>
        <v>Фото &gt;&gt;</v>
      </c>
      <c r="S2445" s="14" t="s">
        <v>880</v>
      </c>
      <c r="AK2445">
        <v>7.0000000000000007E-2</v>
      </c>
      <c r="AL2445">
        <f t="shared" si="1340"/>
        <v>0</v>
      </c>
      <c r="AM2445">
        <f t="shared" si="1341"/>
        <v>0</v>
      </c>
      <c r="AN2445">
        <f t="shared" si="1329"/>
        <v>0</v>
      </c>
      <c r="AO2445" t="s">
        <v>5134</v>
      </c>
      <c r="AV2445" t="str">
        <f>IF(F2445&gt;0,(COUNT($AV$1:AV2444)+1),"")</f>
        <v/>
      </c>
    </row>
    <row r="2446" spans="1:48" ht="15" customHeight="1" x14ac:dyDescent="0.25">
      <c r="A2446" s="1"/>
      <c r="B2446" s="31">
        <v>15813</v>
      </c>
      <c r="C2446" s="16">
        <v>4631141305233</v>
      </c>
      <c r="D2446" s="154" t="s">
        <v>881</v>
      </c>
      <c r="E2446" s="86">
        <v>12</v>
      </c>
      <c r="F2446" s="222"/>
      <c r="G2446" s="108">
        <v>49.9</v>
      </c>
      <c r="H2446" s="17">
        <v>51.7</v>
      </c>
      <c r="I2446" s="18">
        <v>55.3</v>
      </c>
      <c r="J2446" s="113" t="s">
        <v>5537</v>
      </c>
      <c r="K2446" s="44" t="s">
        <v>862</v>
      </c>
      <c r="L2446" s="442"/>
      <c r="M2446" s="480" t="s">
        <v>1856</v>
      </c>
      <c r="N2446" s="1015" t="s">
        <v>1856</v>
      </c>
      <c r="O2446" s="217" t="s">
        <v>1570</v>
      </c>
      <c r="P2446" s="68" t="s">
        <v>678</v>
      </c>
      <c r="Q2446" s="100">
        <f t="shared" si="1339"/>
        <v>0</v>
      </c>
      <c r="R2446" s="13" t="str">
        <f t="shared" si="1344"/>
        <v>Фото &gt;&gt;</v>
      </c>
      <c r="S2446" s="14" t="s">
        <v>882</v>
      </c>
      <c r="AK2446">
        <v>7.0000000000000007E-2</v>
      </c>
      <c r="AL2446">
        <f t="shared" si="1340"/>
        <v>0</v>
      </c>
      <c r="AM2446">
        <f t="shared" si="1341"/>
        <v>0</v>
      </c>
      <c r="AN2446">
        <f t="shared" ref="AN2446:AN2455" si="1345">AK2446*F2446+IF(E2446&gt;1.01,F2446/E2446*0.2,0)</f>
        <v>0</v>
      </c>
      <c r="AO2446" t="s">
        <v>5131</v>
      </c>
      <c r="AV2446" t="str">
        <f>IF(F2446&gt;0,(COUNT($AV$1:AV2445)+1),"")</f>
        <v/>
      </c>
    </row>
    <row r="2447" spans="1:48" ht="15" customHeight="1" x14ac:dyDescent="0.25">
      <c r="A2447" s="1"/>
      <c r="B2447" s="25"/>
      <c r="C2447" s="26"/>
      <c r="D2447" s="27" t="s">
        <v>1449</v>
      </c>
      <c r="E2447" s="80"/>
      <c r="F2447" s="96"/>
      <c r="G2447" s="28"/>
      <c r="H2447" s="29"/>
      <c r="I2447" s="29"/>
      <c r="J2447" s="51"/>
      <c r="K2447" s="47"/>
      <c r="L2447" s="447"/>
      <c r="M2447" s="489" t="s">
        <v>104</v>
      </c>
      <c r="N2447" s="716"/>
      <c r="O2447" s="186"/>
      <c r="P2447" s="79"/>
      <c r="Q2447" s="104"/>
      <c r="R2447" s="13"/>
      <c r="S2447" s="14"/>
      <c r="AL2447">
        <f t="shared" si="1340"/>
        <v>0</v>
      </c>
      <c r="AM2447">
        <f t="shared" si="1341"/>
        <v>0</v>
      </c>
      <c r="AN2447">
        <f t="shared" si="1345"/>
        <v>0</v>
      </c>
      <c r="AO2447" t="s">
        <v>104</v>
      </c>
      <c r="AV2447" t="str">
        <f>IF(F2447&gt;0,(COUNT($AV$1:AV2446)+1),"")</f>
        <v/>
      </c>
    </row>
    <row r="2448" spans="1:48" ht="15" customHeight="1" x14ac:dyDescent="0.25">
      <c r="A2448" s="1"/>
      <c r="B2448" s="31">
        <v>18280</v>
      </c>
      <c r="C2448" s="16">
        <v>4631144993697</v>
      </c>
      <c r="D2448" s="154" t="s">
        <v>883</v>
      </c>
      <c r="E2448" s="69">
        <v>216</v>
      </c>
      <c r="F2448" s="222"/>
      <c r="G2448" s="108">
        <v>87</v>
      </c>
      <c r="H2448" s="17">
        <v>90</v>
      </c>
      <c r="I2448" s="18">
        <v>97</v>
      </c>
      <c r="J2448" s="113" t="s">
        <v>5537</v>
      </c>
      <c r="K2448" s="44" t="s">
        <v>5530</v>
      </c>
      <c r="L2448" s="442"/>
      <c r="M2448" s="480" t="s">
        <v>1856</v>
      </c>
      <c r="N2448" s="1015" t="s">
        <v>1856</v>
      </c>
      <c r="O2448" s="217"/>
      <c r="P2448" s="68" t="s">
        <v>884</v>
      </c>
      <c r="Q2448" s="100">
        <f t="shared" ref="Q2448:Q2453" si="1346">IF($AO$2421=2,F2448*H2448,IF($AO$2421=1,F2448*G2448,F2448*I2448))</f>
        <v>0</v>
      </c>
      <c r="R2448" s="13" t="str">
        <f t="shared" si="1344"/>
        <v>Фото &gt;&gt;</v>
      </c>
      <c r="S2448" s="14" t="s">
        <v>3645</v>
      </c>
      <c r="AK2448">
        <v>0.02</v>
      </c>
      <c r="AL2448">
        <f t="shared" si="1340"/>
        <v>0</v>
      </c>
      <c r="AM2448">
        <f t="shared" si="1341"/>
        <v>0</v>
      </c>
      <c r="AN2448">
        <f t="shared" si="1345"/>
        <v>0</v>
      </c>
      <c r="AO2448" t="s">
        <v>5135</v>
      </c>
      <c r="AV2448" t="str">
        <f>IF(F2448&gt;0,(COUNT($AV$1:AV2447)+1),"")</f>
        <v/>
      </c>
    </row>
    <row r="2449" spans="1:48" ht="15" customHeight="1" x14ac:dyDescent="0.25">
      <c r="A2449" s="1"/>
      <c r="B2449" s="30">
        <v>16174</v>
      </c>
      <c r="C2449" s="20">
        <v>4631161804655</v>
      </c>
      <c r="D2449" s="153" t="s">
        <v>885</v>
      </c>
      <c r="E2449" s="67">
        <v>55</v>
      </c>
      <c r="F2449" s="222"/>
      <c r="G2449" s="107">
        <v>116.8</v>
      </c>
      <c r="H2449" s="21">
        <v>121</v>
      </c>
      <c r="I2449" s="22">
        <v>130</v>
      </c>
      <c r="J2449" s="112" t="s">
        <v>5537</v>
      </c>
      <c r="K2449" s="45" t="s">
        <v>5530</v>
      </c>
      <c r="L2449" s="437"/>
      <c r="M2449" s="474" t="s">
        <v>1856</v>
      </c>
      <c r="N2449" s="1013" t="s">
        <v>1856</v>
      </c>
      <c r="O2449" s="212"/>
      <c r="P2449" s="66" t="s">
        <v>884</v>
      </c>
      <c r="Q2449" s="100">
        <f t="shared" si="1346"/>
        <v>0</v>
      </c>
      <c r="R2449" s="13" t="str">
        <f t="shared" si="1344"/>
        <v>Фото &gt;&gt;</v>
      </c>
      <c r="S2449" s="14" t="s">
        <v>886</v>
      </c>
      <c r="AK2449">
        <v>0.05</v>
      </c>
      <c r="AL2449">
        <f t="shared" si="1340"/>
        <v>0</v>
      </c>
      <c r="AM2449">
        <f t="shared" si="1341"/>
        <v>0</v>
      </c>
      <c r="AN2449">
        <f t="shared" si="1345"/>
        <v>0</v>
      </c>
      <c r="AO2449" t="s">
        <v>5136</v>
      </c>
      <c r="AV2449" t="str">
        <f>IF(F2449&gt;0,(COUNT($AV$1:AV2448)+1),"")</f>
        <v/>
      </c>
    </row>
    <row r="2450" spans="1:48" ht="15" customHeight="1" x14ac:dyDescent="0.25">
      <c r="A2450" s="1"/>
      <c r="B2450" s="31">
        <v>15802</v>
      </c>
      <c r="C2450" s="16">
        <v>4640205890226</v>
      </c>
      <c r="D2450" s="154" t="s">
        <v>887</v>
      </c>
      <c r="E2450" s="69">
        <v>55</v>
      </c>
      <c r="F2450" s="222"/>
      <c r="G2450" s="108">
        <v>101.9</v>
      </c>
      <c r="H2450" s="17">
        <v>105.6</v>
      </c>
      <c r="I2450" s="18">
        <v>113</v>
      </c>
      <c r="J2450" s="113" t="s">
        <v>5537</v>
      </c>
      <c r="K2450" s="44" t="s">
        <v>5530</v>
      </c>
      <c r="L2450" s="442"/>
      <c r="M2450" s="480" t="s">
        <v>1856</v>
      </c>
      <c r="N2450" s="1015"/>
      <c r="O2450" s="217"/>
      <c r="P2450" s="68" t="s">
        <v>888</v>
      </c>
      <c r="Q2450" s="100">
        <f t="shared" si="1346"/>
        <v>0</v>
      </c>
      <c r="R2450" s="13" t="str">
        <f t="shared" si="1344"/>
        <v>Фото &gt;&gt;</v>
      </c>
      <c r="S2450" s="14" t="s">
        <v>889</v>
      </c>
      <c r="AK2450">
        <v>0.05</v>
      </c>
      <c r="AL2450">
        <f>F2450*G2450</f>
        <v>0</v>
      </c>
      <c r="AM2450">
        <f>F2450*H2450</f>
        <v>0</v>
      </c>
      <c r="AN2450">
        <f>AK2450*F2450+IF(E2450&gt;1.01,F2450/E2450*0.2,0)</f>
        <v>0</v>
      </c>
      <c r="AO2450" t="s">
        <v>5137</v>
      </c>
      <c r="AV2450" t="str">
        <f>IF(F2450&gt;0,(COUNT($AV$1:AV2449)+1),"")</f>
        <v/>
      </c>
    </row>
    <row r="2451" spans="1:48" ht="15" customHeight="1" x14ac:dyDescent="0.25">
      <c r="A2451" s="1"/>
      <c r="B2451" s="30">
        <v>21460</v>
      </c>
      <c r="C2451" s="20"/>
      <c r="D2451" s="421" t="s">
        <v>6864</v>
      </c>
      <c r="E2451" s="67">
        <v>24</v>
      </c>
      <c r="F2451" s="222"/>
      <c r="G2451" s="107">
        <v>180.2</v>
      </c>
      <c r="H2451" s="21">
        <v>186.6</v>
      </c>
      <c r="I2451" s="22">
        <v>200</v>
      </c>
      <c r="J2451" s="112" t="s">
        <v>5537</v>
      </c>
      <c r="K2451" s="45" t="s">
        <v>5530</v>
      </c>
      <c r="L2451" s="437"/>
      <c r="M2451" s="474" t="s">
        <v>1856</v>
      </c>
      <c r="N2451" s="1013"/>
      <c r="O2451" s="209" t="s">
        <v>1637</v>
      </c>
      <c r="P2451" s="66" t="s">
        <v>50</v>
      </c>
      <c r="Q2451" s="100">
        <f t="shared" si="1346"/>
        <v>0</v>
      </c>
      <c r="R2451" s="94" t="str">
        <f t="shared" si="1344"/>
        <v>Фото &gt;&gt;</v>
      </c>
      <c r="S2451" s="14" t="s">
        <v>6863</v>
      </c>
      <c r="AK2451">
        <v>0.1</v>
      </c>
      <c r="AL2451">
        <f>F2451*G2451</f>
        <v>0</v>
      </c>
      <c r="AM2451">
        <f>F2451*H2451</f>
        <v>0</v>
      </c>
      <c r="AN2451">
        <f>AK2451*F2451+IF(E2451&gt;1.01,F2451/E2451*0.2,0)</f>
        <v>0</v>
      </c>
      <c r="AO2451" t="s">
        <v>6865</v>
      </c>
      <c r="AV2451" t="str">
        <f>IF(F2451&gt;0,(COUNT($AV$1:AV2450)+1),"")</f>
        <v/>
      </c>
    </row>
    <row r="2452" spans="1:48" ht="15" customHeight="1" x14ac:dyDescent="0.25">
      <c r="A2452" s="1"/>
      <c r="B2452" s="31">
        <v>20377</v>
      </c>
      <c r="C2452" s="16">
        <v>4640205890837</v>
      </c>
      <c r="D2452" s="154" t="s">
        <v>4039</v>
      </c>
      <c r="E2452" s="69">
        <v>24</v>
      </c>
      <c r="F2452" s="222"/>
      <c r="G2452" s="108">
        <v>180.2</v>
      </c>
      <c r="H2452" s="17">
        <v>186.6</v>
      </c>
      <c r="I2452" s="18">
        <v>200</v>
      </c>
      <c r="J2452" s="113" t="s">
        <v>5537</v>
      </c>
      <c r="K2452" s="44" t="s">
        <v>5530</v>
      </c>
      <c r="L2452" s="442"/>
      <c r="M2452" s="480" t="s">
        <v>1856</v>
      </c>
      <c r="N2452" s="1015"/>
      <c r="O2452" s="217"/>
      <c r="P2452" s="68" t="s">
        <v>50</v>
      </c>
      <c r="Q2452" s="100">
        <f t="shared" si="1346"/>
        <v>0</v>
      </c>
      <c r="R2452" s="13" t="str">
        <f t="shared" si="1344"/>
        <v>Фото &gt;&gt;</v>
      </c>
      <c r="S2452" s="14" t="s">
        <v>3415</v>
      </c>
      <c r="AK2452">
        <v>0.1</v>
      </c>
      <c r="AL2452">
        <f t="shared" ref="AL2452" si="1347">F2452*G2452</f>
        <v>0</v>
      </c>
      <c r="AM2452">
        <f t="shared" ref="AM2452" si="1348">F2452*H2452</f>
        <v>0</v>
      </c>
      <c r="AN2452">
        <f t="shared" si="1345"/>
        <v>0</v>
      </c>
      <c r="AO2452" t="s">
        <v>3416</v>
      </c>
      <c r="AV2452" t="str">
        <f>IF(F2452&gt;0,(COUNT($AV$1:AV2451)+1),"")</f>
        <v/>
      </c>
    </row>
    <row r="2453" spans="1:48" ht="15" customHeight="1" x14ac:dyDescent="0.25">
      <c r="A2453" s="1"/>
      <c r="B2453" s="30">
        <v>21559</v>
      </c>
      <c r="C2453" s="20">
        <v>4640205892374</v>
      </c>
      <c r="D2453" s="421" t="s">
        <v>7322</v>
      </c>
      <c r="E2453" s="67">
        <v>24</v>
      </c>
      <c r="F2453" s="222"/>
      <c r="G2453" s="107">
        <v>180.2</v>
      </c>
      <c r="H2453" s="21">
        <v>186.6</v>
      </c>
      <c r="I2453" s="22">
        <v>200</v>
      </c>
      <c r="J2453" s="112" t="s">
        <v>5537</v>
      </c>
      <c r="K2453" s="45" t="s">
        <v>5530</v>
      </c>
      <c r="L2453" s="437"/>
      <c r="M2453" s="474" t="s">
        <v>1856</v>
      </c>
      <c r="N2453" s="1013"/>
      <c r="O2453" s="209" t="s">
        <v>5757</v>
      </c>
      <c r="P2453" s="66" t="s">
        <v>50</v>
      </c>
      <c r="Q2453" s="100">
        <f t="shared" si="1346"/>
        <v>0</v>
      </c>
      <c r="R2453" s="94" t="str">
        <f t="shared" si="1344"/>
        <v>Фото &gt;&gt;</v>
      </c>
      <c r="S2453" s="14" t="s">
        <v>3786</v>
      </c>
      <c r="AK2453">
        <v>0.1</v>
      </c>
      <c r="AL2453">
        <f t="shared" ref="AL2453:AL2454" si="1349">F2453*G2453</f>
        <v>0</v>
      </c>
      <c r="AM2453">
        <f t="shared" ref="AM2453:AM2454" si="1350">F2453*H2453</f>
        <v>0</v>
      </c>
      <c r="AN2453">
        <f t="shared" si="1345"/>
        <v>0</v>
      </c>
      <c r="AO2453" t="s">
        <v>5331</v>
      </c>
      <c r="AV2453" t="str">
        <f>IF(F2453&gt;0,(COUNT($AV$1:AV2452)+1),"")</f>
        <v/>
      </c>
    </row>
    <row r="2454" spans="1:48" ht="15" customHeight="1" x14ac:dyDescent="0.25">
      <c r="A2454" s="1"/>
      <c r="B2454" s="25"/>
      <c r="C2454" s="26" t="s">
        <v>104</v>
      </c>
      <c r="D2454" s="27" t="s">
        <v>1450</v>
      </c>
      <c r="E2454" s="80"/>
      <c r="F2454" s="96"/>
      <c r="G2454" s="28"/>
      <c r="H2454" s="29"/>
      <c r="I2454" s="29"/>
      <c r="J2454" s="51"/>
      <c r="K2454" s="47"/>
      <c r="L2454" s="447"/>
      <c r="M2454" s="489" t="s">
        <v>104</v>
      </c>
      <c r="N2454" s="716"/>
      <c r="O2454" s="186"/>
      <c r="P2454" s="79"/>
      <c r="Q2454" s="104"/>
      <c r="R2454" s="13"/>
      <c r="S2454" s="14"/>
      <c r="AL2454">
        <f t="shared" si="1349"/>
        <v>0</v>
      </c>
      <c r="AM2454">
        <f t="shared" si="1350"/>
        <v>0</v>
      </c>
      <c r="AN2454">
        <f t="shared" si="1345"/>
        <v>0</v>
      </c>
      <c r="AO2454" t="s">
        <v>104</v>
      </c>
      <c r="AV2454" t="str">
        <f>IF(F2454&gt;0,(COUNT($AV$1:AV2453)+1),"")</f>
        <v/>
      </c>
    </row>
    <row r="2455" spans="1:48" ht="15" customHeight="1" x14ac:dyDescent="0.25">
      <c r="A2455" s="1"/>
      <c r="B2455" s="31">
        <v>18685</v>
      </c>
      <c r="C2455" s="16">
        <v>4631161651297</v>
      </c>
      <c r="D2455" s="154" t="s">
        <v>890</v>
      </c>
      <c r="E2455" s="69">
        <v>48</v>
      </c>
      <c r="F2455" s="222"/>
      <c r="G2455" s="108">
        <v>479.3</v>
      </c>
      <c r="H2455" s="17">
        <v>497</v>
      </c>
      <c r="I2455" s="18">
        <v>532.5</v>
      </c>
      <c r="J2455" s="113" t="s">
        <v>5537</v>
      </c>
      <c r="K2455" s="44" t="s">
        <v>5530</v>
      </c>
      <c r="L2455" s="442"/>
      <c r="M2455" s="480" t="s">
        <v>1856</v>
      </c>
      <c r="N2455" s="1015"/>
      <c r="O2455" s="217"/>
      <c r="P2455" s="68" t="s">
        <v>55</v>
      </c>
      <c r="Q2455" s="100">
        <f>IF($AO$2421=2,F2455*H2455,IF($AO$2421=1,F2455*G2455,F2455*I2455))</f>
        <v>0</v>
      </c>
      <c r="R2455" s="13" t="str">
        <f t="shared" ref="R2455" si="1351">IF(AO2455&gt;0,HYPERLINK(AO2455,"Фото &gt;&gt;"),"")</f>
        <v>Фото &gt;&gt;</v>
      </c>
      <c r="S2455" s="14" t="s">
        <v>3646</v>
      </c>
      <c r="AK2455">
        <v>0.06</v>
      </c>
      <c r="AL2455">
        <f t="shared" si="1340"/>
        <v>0</v>
      </c>
      <c r="AM2455">
        <f t="shared" si="1341"/>
        <v>0</v>
      </c>
      <c r="AN2455">
        <f t="shared" si="1345"/>
        <v>0</v>
      </c>
      <c r="AO2455" t="s">
        <v>5138</v>
      </c>
      <c r="AV2455" t="str">
        <f>IF(F2455&gt;0,(COUNT($AV$1:AV2454)+1),"")</f>
        <v/>
      </c>
    </row>
    <row r="2456" spans="1:48" ht="15" customHeight="1" x14ac:dyDescent="0.25">
      <c r="A2456" s="1"/>
      <c r="B2456" s="125"/>
      <c r="C2456" s="126"/>
      <c r="D2456" s="127"/>
      <c r="E2456" s="134"/>
      <c r="F2456" s="189"/>
      <c r="G2456" s="130"/>
      <c r="H2456" s="131"/>
      <c r="I2456" s="132"/>
      <c r="J2456" s="128"/>
      <c r="K2456" s="129"/>
      <c r="L2456" s="433"/>
      <c r="M2456" s="481" t="s">
        <v>104</v>
      </c>
      <c r="N2456" s="471"/>
      <c r="O2456" s="181"/>
      <c r="P2456" s="133"/>
      <c r="Q2456" s="135"/>
      <c r="R2456" s="13"/>
      <c r="S2456" s="14"/>
      <c r="AV2456" t="str">
        <f>IF(F2456&gt;0,(COUNT($AV$1:AV2455)+1),"")</f>
        <v/>
      </c>
    </row>
    <row r="2457" spans="1:48" ht="15" customHeight="1" thickBot="1" x14ac:dyDescent="0.3">
      <c r="A2457" s="1"/>
      <c r="B2457" s="136"/>
      <c r="C2457" s="137"/>
      <c r="D2457" s="138"/>
      <c r="E2457" s="145"/>
      <c r="F2457" s="190"/>
      <c r="G2457" s="141"/>
      <c r="H2457" s="142"/>
      <c r="I2457" s="143"/>
      <c r="J2457" s="139"/>
      <c r="K2457" s="140"/>
      <c r="L2457" s="434"/>
      <c r="M2457" s="477" t="s">
        <v>104</v>
      </c>
      <c r="N2457" s="468"/>
      <c r="O2457" s="182"/>
      <c r="P2457" s="144"/>
      <c r="Q2457" s="146"/>
      <c r="R2457" s="13"/>
      <c r="S2457" s="14"/>
      <c r="AV2457" t="str">
        <f>IF(F2457&gt;0,(COUNT($AV$1:AV2456)+1),"")</f>
        <v/>
      </c>
    </row>
    <row r="2458" spans="1:48" ht="24.95" customHeight="1" thickBot="1" x14ac:dyDescent="0.3">
      <c r="A2458" s="1"/>
      <c r="B2458" s="169"/>
      <c r="C2458" s="170"/>
      <c r="D2458" s="171" t="str">
        <f>CONCATENATE("Тор Спирулина (Top Spirulina)","     |     Сумма заказа: ",AK2458," руб.")</f>
        <v>Тор Спирулина (Top Spirulina)     |     Сумма заказа: 0 руб.</v>
      </c>
      <c r="E2458" s="176"/>
      <c r="F2458" s="177"/>
      <c r="G2458" s="180" t="str">
        <f>CONCATENATE("Ценовая колонка: ",AO2458,"   |   До следующей скидки: ",AJ2458," руб.")</f>
        <v>Ценовая колонка: 3   |   До следующей скидки: 5000 руб.</v>
      </c>
      <c r="H2458" s="174"/>
      <c r="I2458" s="174"/>
      <c r="J2458" s="172" t="s">
        <v>892</v>
      </c>
      <c r="K2458" s="173"/>
      <c r="L2458" s="444"/>
      <c r="M2458" s="486" t="s">
        <v>104</v>
      </c>
      <c r="N2458" s="717"/>
      <c r="O2458" s="184"/>
      <c r="P2458" s="175"/>
      <c r="Q2458" s="178"/>
      <c r="R2458" s="179" t="s">
        <v>1558</v>
      </c>
      <c r="S2458" s="14"/>
      <c r="AJ2458">
        <f>ROUND(IF(AL2458&gt;10000,"0", IF(AND(AL2458&lt;10000,AM2458&gt;5000),10000-AL2458,5000-AM2458)),2)</f>
        <v>5000</v>
      </c>
      <c r="AK2458">
        <f>SUM(Q2460:Q2463)</f>
        <v>0</v>
      </c>
      <c r="AL2458">
        <f>SUM(AL2460:AL2463)</f>
        <v>0</v>
      </c>
      <c r="AM2458">
        <f>SUM(AM2460:AM2463)</f>
        <v>0</v>
      </c>
      <c r="AO2458">
        <f>IF(AM2458&gt;5000,IF(AL2458&gt;10000,1,2),3)</f>
        <v>3</v>
      </c>
      <c r="AV2458" t="str">
        <f>IF(F2458&gt;0,(COUNT($AV$1:AV2457)+1),"")</f>
        <v/>
      </c>
    </row>
    <row r="2459" spans="1:48" ht="15" customHeight="1" x14ac:dyDescent="0.25">
      <c r="A2459" s="1"/>
      <c r="B2459" s="296"/>
      <c r="C2459" s="38"/>
      <c r="D2459" s="39" t="s">
        <v>223</v>
      </c>
      <c r="E2459" s="82"/>
      <c r="F2459" s="97"/>
      <c r="G2459" s="40" t="s">
        <v>1451</v>
      </c>
      <c r="H2459" s="41" t="s">
        <v>16</v>
      </c>
      <c r="I2459" s="41" t="s">
        <v>221</v>
      </c>
      <c r="J2459" s="52"/>
      <c r="K2459" s="48"/>
      <c r="L2459" s="448"/>
      <c r="M2459" s="491" t="s">
        <v>104</v>
      </c>
      <c r="N2459" s="715"/>
      <c r="O2459" s="187"/>
      <c r="P2459" s="81"/>
      <c r="Q2459" s="105"/>
      <c r="R2459" s="13"/>
      <c r="S2459" s="14"/>
      <c r="AV2459" t="str">
        <f>IF(F2459&gt;0,(COUNT($AV$1:AV2458)+1),"")</f>
        <v/>
      </c>
    </row>
    <row r="2460" spans="1:48" ht="15" customHeight="1" x14ac:dyDescent="0.25">
      <c r="A2460" s="1"/>
      <c r="B2460" s="30">
        <v>14426</v>
      </c>
      <c r="C2460" s="20">
        <v>4603726037013</v>
      </c>
      <c r="D2460" s="225" t="s">
        <v>891</v>
      </c>
      <c r="E2460" s="67">
        <v>30</v>
      </c>
      <c r="F2460" s="222"/>
      <c r="G2460" s="107">
        <v>472.8</v>
      </c>
      <c r="H2460" s="21">
        <v>496.2</v>
      </c>
      <c r="I2460" s="22">
        <v>521.6</v>
      </c>
      <c r="J2460" s="118" t="s">
        <v>892</v>
      </c>
      <c r="K2460" s="45" t="s">
        <v>68</v>
      </c>
      <c r="L2460" s="437"/>
      <c r="M2460" s="474" t="s">
        <v>1856</v>
      </c>
      <c r="N2460" s="1013" t="s">
        <v>1856</v>
      </c>
      <c r="O2460" s="212"/>
      <c r="P2460" s="66" t="s">
        <v>50</v>
      </c>
      <c r="Q2460" s="100">
        <f>IF($AO$2458=2,F2460*H2460,IF($AO$2458=1,F2460*G2460,F2460*I2460))</f>
        <v>0</v>
      </c>
      <c r="R2460" s="13" t="str">
        <f t="shared" si="1344"/>
        <v>Фото &gt;&gt;</v>
      </c>
      <c r="S2460" s="14" t="s">
        <v>73</v>
      </c>
      <c r="AK2460">
        <v>0.12</v>
      </c>
      <c r="AL2460">
        <f t="shared" ref="AL2460:AL2463" si="1352">F2460*G2460</f>
        <v>0</v>
      </c>
      <c r="AM2460">
        <f t="shared" ref="AM2460:AM2463" si="1353">F2460*H2460</f>
        <v>0</v>
      </c>
      <c r="AN2460">
        <f t="shared" ref="AN2460:AN2463" si="1354">AK2460*F2460+IF(E2460&gt;1.01,F2460/E2460*0.2,0)</f>
        <v>0</v>
      </c>
      <c r="AO2460" t="s">
        <v>5139</v>
      </c>
      <c r="AV2460" t="str">
        <f>IF(F2460&gt;0,(COUNT($AV$1:AV2459)+1),"")</f>
        <v/>
      </c>
    </row>
    <row r="2461" spans="1:48" ht="15" customHeight="1" x14ac:dyDescent="0.25">
      <c r="A2461" s="1"/>
      <c r="B2461" s="31">
        <v>14427</v>
      </c>
      <c r="C2461" s="16">
        <v>4603726037020</v>
      </c>
      <c r="D2461" s="226" t="s">
        <v>893</v>
      </c>
      <c r="E2461" s="69">
        <v>15</v>
      </c>
      <c r="F2461" s="222"/>
      <c r="G2461" s="108">
        <v>1006.6</v>
      </c>
      <c r="H2461" s="17">
        <v>1057.4000000000001</v>
      </c>
      <c r="I2461" s="18">
        <v>1109.3</v>
      </c>
      <c r="J2461" s="119" t="s">
        <v>892</v>
      </c>
      <c r="K2461" s="44" t="s">
        <v>68</v>
      </c>
      <c r="L2461" s="442"/>
      <c r="M2461" s="480" t="s">
        <v>1856</v>
      </c>
      <c r="N2461" s="1015" t="s">
        <v>1856</v>
      </c>
      <c r="O2461" s="217"/>
      <c r="P2461" s="68" t="s">
        <v>50</v>
      </c>
      <c r="Q2461" s="100">
        <f>IF($AO$2458=2,F2461*H2461,IF($AO$2458=1,F2461*G2461,F2461*I2461))</f>
        <v>0</v>
      </c>
      <c r="R2461" s="13" t="str">
        <f t="shared" si="1344"/>
        <v>Фото &gt;&gt;</v>
      </c>
      <c r="S2461" s="14" t="s">
        <v>73</v>
      </c>
      <c r="AK2461">
        <v>0.27</v>
      </c>
      <c r="AL2461">
        <f t="shared" si="1352"/>
        <v>0</v>
      </c>
      <c r="AM2461">
        <f t="shared" si="1353"/>
        <v>0</v>
      </c>
      <c r="AN2461">
        <f t="shared" si="1354"/>
        <v>0</v>
      </c>
      <c r="AO2461" t="s">
        <v>5139</v>
      </c>
      <c r="AV2461" t="str">
        <f>IF(F2461&gt;0,(COUNT($AV$1:AV2460)+1),"")</f>
        <v/>
      </c>
    </row>
    <row r="2462" spans="1:48" ht="15" customHeight="1" x14ac:dyDescent="0.25">
      <c r="A2462" s="1"/>
      <c r="B2462" s="30">
        <v>16576</v>
      </c>
      <c r="C2462" s="20">
        <v>4603726037082</v>
      </c>
      <c r="D2462" s="225" t="s">
        <v>894</v>
      </c>
      <c r="E2462" s="67">
        <v>24</v>
      </c>
      <c r="F2462" s="222"/>
      <c r="G2462" s="107">
        <v>564.29999999999995</v>
      </c>
      <c r="H2462" s="21">
        <v>591.79999999999995</v>
      </c>
      <c r="I2462" s="22">
        <v>622.29999999999995</v>
      </c>
      <c r="J2462" s="118" t="s">
        <v>892</v>
      </c>
      <c r="K2462" s="45" t="s">
        <v>68</v>
      </c>
      <c r="L2462" s="437"/>
      <c r="M2462" s="474" t="s">
        <v>1856</v>
      </c>
      <c r="N2462" s="1013" t="s">
        <v>1856</v>
      </c>
      <c r="O2462" s="212"/>
      <c r="P2462" s="66" t="s">
        <v>50</v>
      </c>
      <c r="Q2462" s="100">
        <f>IF($AO$2458=2,F2462*H2462,IF($AO$2458=1,F2462*G2462,F2462*I2462))</f>
        <v>0</v>
      </c>
      <c r="R2462" s="13" t="str">
        <f t="shared" si="1344"/>
        <v>Фото &gt;&gt;</v>
      </c>
      <c r="S2462" s="14" t="s">
        <v>73</v>
      </c>
      <c r="AK2462">
        <v>0.35</v>
      </c>
      <c r="AL2462">
        <f t="shared" si="1352"/>
        <v>0</v>
      </c>
      <c r="AM2462">
        <f t="shared" si="1353"/>
        <v>0</v>
      </c>
      <c r="AN2462">
        <f t="shared" si="1354"/>
        <v>0</v>
      </c>
      <c r="AO2462" t="s">
        <v>5140</v>
      </c>
      <c r="AV2462" t="str">
        <f>IF(F2462&gt;0,(COUNT($AV$1:AV2461)+1),"")</f>
        <v/>
      </c>
    </row>
    <row r="2463" spans="1:48" ht="15" customHeight="1" x14ac:dyDescent="0.25">
      <c r="A2463" s="1"/>
      <c r="B2463" s="31">
        <v>16575</v>
      </c>
      <c r="C2463" s="16">
        <v>4603726037075</v>
      </c>
      <c r="D2463" s="226" t="s">
        <v>895</v>
      </c>
      <c r="E2463" s="69">
        <v>45</v>
      </c>
      <c r="F2463" s="222"/>
      <c r="G2463" s="108">
        <v>320.3</v>
      </c>
      <c r="H2463" s="17">
        <v>335.6</v>
      </c>
      <c r="I2463" s="18">
        <v>355.9</v>
      </c>
      <c r="J2463" s="119" t="s">
        <v>892</v>
      </c>
      <c r="K2463" s="44" t="s">
        <v>68</v>
      </c>
      <c r="L2463" s="442"/>
      <c r="M2463" s="480" t="s">
        <v>1856</v>
      </c>
      <c r="N2463" s="1015" t="s">
        <v>1856</v>
      </c>
      <c r="O2463" s="210"/>
      <c r="P2463" s="68" t="s">
        <v>50</v>
      </c>
      <c r="Q2463" s="100">
        <f>IF($AO$2458=2,F2463*H2463,IF($AO$2458=1,F2463*G2463,F2463*I2463))</f>
        <v>0</v>
      </c>
      <c r="R2463" s="13" t="str">
        <f t="shared" si="1344"/>
        <v>Фото &gt;&gt;</v>
      </c>
      <c r="S2463" s="14" t="s">
        <v>73</v>
      </c>
      <c r="AK2463">
        <v>0.1</v>
      </c>
      <c r="AL2463">
        <f t="shared" si="1352"/>
        <v>0</v>
      </c>
      <c r="AM2463">
        <f t="shared" si="1353"/>
        <v>0</v>
      </c>
      <c r="AN2463">
        <f t="shared" si="1354"/>
        <v>0</v>
      </c>
      <c r="AO2463" t="s">
        <v>5140</v>
      </c>
      <c r="AV2463" t="str">
        <f>IF(F2463&gt;0,(COUNT($AV$1:AV2462)+1),"")</f>
        <v/>
      </c>
    </row>
    <row r="2464" spans="1:48" ht="15" customHeight="1" x14ac:dyDescent="0.25">
      <c r="A2464" s="1"/>
      <c r="B2464" s="125"/>
      <c r="C2464" s="126"/>
      <c r="D2464" s="127"/>
      <c r="E2464" s="134"/>
      <c r="F2464" s="189"/>
      <c r="G2464" s="130"/>
      <c r="H2464" s="131"/>
      <c r="I2464" s="132"/>
      <c r="J2464" s="128"/>
      <c r="K2464" s="129"/>
      <c r="L2464" s="433"/>
      <c r="M2464" s="481" t="s">
        <v>104</v>
      </c>
      <c r="N2464" s="471"/>
      <c r="O2464" s="181"/>
      <c r="P2464" s="133"/>
      <c r="Q2464" s="135"/>
      <c r="R2464" s="13"/>
      <c r="S2464" s="14"/>
      <c r="AV2464" t="str">
        <f>IF(F2464&gt;0,(COUNT($AV$1:AV2463)+1),"")</f>
        <v/>
      </c>
    </row>
    <row r="2465" spans="1:48" ht="15" customHeight="1" thickBot="1" x14ac:dyDescent="0.3">
      <c r="A2465" s="1"/>
      <c r="B2465" s="136"/>
      <c r="C2465" s="137"/>
      <c r="D2465" s="138"/>
      <c r="E2465" s="145"/>
      <c r="F2465" s="190"/>
      <c r="G2465" s="141"/>
      <c r="H2465" s="142"/>
      <c r="I2465" s="143"/>
      <c r="J2465" s="139"/>
      <c r="K2465" s="140"/>
      <c r="L2465" s="434"/>
      <c r="M2465" s="477" t="s">
        <v>104</v>
      </c>
      <c r="N2465" s="468"/>
      <c r="O2465" s="182"/>
      <c r="P2465" s="144"/>
      <c r="Q2465" s="146"/>
      <c r="R2465" s="13"/>
      <c r="S2465" s="14"/>
      <c r="AV2465" t="str">
        <f>IF(F2465&gt;0,(COUNT($AV$1:AV2464)+1),"")</f>
        <v/>
      </c>
    </row>
    <row r="2466" spans="1:48" ht="24.95" customHeight="1" thickBot="1" x14ac:dyDescent="0.3">
      <c r="A2466" s="1"/>
      <c r="B2466" s="169"/>
      <c r="C2466" s="170"/>
      <c r="D2466" s="171" t="str">
        <f>CONCATENATE("Емельяновская биофабрика","     |     Сумма заказа: ",AK2466," руб.")</f>
        <v>Емельяновская биофабрика     |     Сумма заказа: 0 руб.</v>
      </c>
      <c r="E2466" s="176"/>
      <c r="F2466" s="177"/>
      <c r="G2466" s="180" t="str">
        <f>CONCATENATE("Ценовая колонка: ",AO2466,"   |   До следующей скидки: ",AJ2466," руб.")</f>
        <v>Ценовая колонка: 3   |   До следующей скидки: 5000 руб.</v>
      </c>
      <c r="H2466" s="174"/>
      <c r="I2466" s="174"/>
      <c r="J2466" s="172" t="s">
        <v>918</v>
      </c>
      <c r="K2466" s="173"/>
      <c r="L2466" s="444"/>
      <c r="M2466" s="486" t="s">
        <v>104</v>
      </c>
      <c r="N2466" s="717"/>
      <c r="O2466" s="184"/>
      <c r="P2466" s="175"/>
      <c r="Q2466" s="178"/>
      <c r="R2466" s="179" t="s">
        <v>1558</v>
      </c>
      <c r="S2466" s="14"/>
      <c r="AJ2466">
        <f>ROUND(IF(AL2466&gt;15000,"0", IF(AND(AL2466&lt;15000,AM2466&gt;5000),15000-AL2466,5000-AM2466)),2)</f>
        <v>5000</v>
      </c>
      <c r="AK2466">
        <f>SUM(Q2468:Q2494)</f>
        <v>0</v>
      </c>
      <c r="AL2466">
        <f>SUM(AL2468:AL2494)</f>
        <v>0</v>
      </c>
      <c r="AM2466">
        <f>SUM(AM2468:AM2494)</f>
        <v>0</v>
      </c>
      <c r="AO2466">
        <f>IF(AM2466&gt;5000,IF(AL2466&gt;15000,1,2),3)</f>
        <v>3</v>
      </c>
      <c r="AV2466" t="str">
        <f>IF(F2466&gt;0,(COUNT($AV$1:AV2465)+1),"")</f>
        <v/>
      </c>
    </row>
    <row r="2467" spans="1:48" ht="15" customHeight="1" x14ac:dyDescent="0.25">
      <c r="A2467" s="1"/>
      <c r="B2467" s="655"/>
      <c r="C2467" s="656"/>
      <c r="D2467" s="657" t="s">
        <v>1968</v>
      </c>
      <c r="E2467" s="658"/>
      <c r="F2467" s="659"/>
      <c r="G2467" s="660" t="s">
        <v>170</v>
      </c>
      <c r="H2467" s="661" t="s">
        <v>16</v>
      </c>
      <c r="I2467" s="661" t="s">
        <v>221</v>
      </c>
      <c r="J2467" s="662"/>
      <c r="K2467" s="663"/>
      <c r="L2467" s="664"/>
      <c r="M2467" s="665" t="s">
        <v>104</v>
      </c>
      <c r="N2467" s="1031"/>
      <c r="O2467" s="666"/>
      <c r="P2467" s="667"/>
      <c r="Q2467" s="668"/>
      <c r="R2467" s="13"/>
      <c r="S2467" s="14"/>
      <c r="AV2467" t="str">
        <f>IF(F2467&gt;0,(COUNT($AV$1:AV2466)+1),"")</f>
        <v/>
      </c>
    </row>
    <row r="2468" spans="1:48" ht="15" customHeight="1" x14ac:dyDescent="0.25">
      <c r="A2468" s="1"/>
      <c r="B2468" s="669">
        <v>19883</v>
      </c>
      <c r="C2468" s="670">
        <v>4620014535327</v>
      </c>
      <c r="D2468" s="671" t="s">
        <v>2216</v>
      </c>
      <c r="E2468" s="672">
        <v>12</v>
      </c>
      <c r="F2468" s="673"/>
      <c r="G2468" s="674">
        <v>165.4</v>
      </c>
      <c r="H2468" s="675">
        <v>173.6</v>
      </c>
      <c r="I2468" s="676">
        <v>181.8</v>
      </c>
      <c r="J2468" s="677" t="s">
        <v>918</v>
      </c>
      <c r="K2468" s="678" t="s">
        <v>204</v>
      </c>
      <c r="L2468" s="679"/>
      <c r="M2468" s="680" t="s">
        <v>104</v>
      </c>
      <c r="N2468" s="1027" t="s">
        <v>1856</v>
      </c>
      <c r="O2468" s="681"/>
      <c r="P2468" s="682" t="s">
        <v>50</v>
      </c>
      <c r="Q2468" s="683">
        <f t="shared" ref="Q2468:Q2473" si="1355">IF($AO$2466=2,F2468*H2468,IF($AO$2466=1,F2468*G2468,F2468*I2468))</f>
        <v>0</v>
      </c>
      <c r="R2468" s="13" t="str">
        <f t="shared" si="1344"/>
        <v>Фото &gt;&gt;</v>
      </c>
      <c r="S2468" s="14" t="s">
        <v>2217</v>
      </c>
      <c r="AK2468">
        <v>0.33</v>
      </c>
      <c r="AL2468">
        <f t="shared" ref="AL2468:AL2479" si="1356">F2468*G2468</f>
        <v>0</v>
      </c>
      <c r="AM2468">
        <f t="shared" ref="AM2468:AM2479" si="1357">F2468*H2468</f>
        <v>0</v>
      </c>
      <c r="AN2468">
        <f t="shared" ref="AN2468:AN2479" si="1358">AK2468*F2468+IF(E2468&gt;1.01,F2468/E2468*0.2,0)</f>
        <v>0</v>
      </c>
      <c r="AO2468" t="s">
        <v>2771</v>
      </c>
      <c r="AV2468" t="str">
        <f>IF(F2468&gt;0,(COUNT($AV$1:AV2467)+1),"")</f>
        <v/>
      </c>
    </row>
    <row r="2469" spans="1:48" ht="15" customHeight="1" x14ac:dyDescent="0.25">
      <c r="A2469" s="1"/>
      <c r="B2469" s="31">
        <v>18712</v>
      </c>
      <c r="C2469" s="16">
        <v>4620014533361</v>
      </c>
      <c r="D2469" s="226" t="s">
        <v>1694</v>
      </c>
      <c r="E2469" s="69">
        <v>12</v>
      </c>
      <c r="F2469" s="222"/>
      <c r="G2469" s="108">
        <v>224</v>
      </c>
      <c r="H2469" s="17">
        <v>232.8</v>
      </c>
      <c r="I2469" s="18">
        <v>250.6</v>
      </c>
      <c r="J2469" s="119" t="s">
        <v>918</v>
      </c>
      <c r="K2469" s="44" t="s">
        <v>204</v>
      </c>
      <c r="L2469" s="442"/>
      <c r="M2469" s="480" t="s">
        <v>104</v>
      </c>
      <c r="N2469" s="1015" t="s">
        <v>1856</v>
      </c>
      <c r="O2469" s="210"/>
      <c r="P2469" s="68" t="s">
        <v>50</v>
      </c>
      <c r="Q2469" s="100">
        <f t="shared" si="1355"/>
        <v>0</v>
      </c>
      <c r="R2469" s="13" t="str">
        <f t="shared" si="1344"/>
        <v>Фото &gt;&gt;</v>
      </c>
      <c r="S2469" s="14" t="s">
        <v>1695</v>
      </c>
      <c r="AK2469">
        <v>0.4</v>
      </c>
      <c r="AL2469">
        <f t="shared" si="1356"/>
        <v>0</v>
      </c>
      <c r="AM2469">
        <f t="shared" si="1357"/>
        <v>0</v>
      </c>
      <c r="AN2469">
        <f t="shared" si="1358"/>
        <v>0</v>
      </c>
      <c r="AO2469" t="s">
        <v>5456</v>
      </c>
      <c r="AV2469" t="str">
        <f>IF(F2469&gt;0,(COUNT($AV$1:AV2468)+1),"")</f>
        <v/>
      </c>
    </row>
    <row r="2470" spans="1:48" ht="15" customHeight="1" x14ac:dyDescent="0.25">
      <c r="A2470" s="1"/>
      <c r="B2470" s="30">
        <v>19207</v>
      </c>
      <c r="C2470" s="20">
        <v>4620014532975</v>
      </c>
      <c r="D2470" s="225" t="s">
        <v>1808</v>
      </c>
      <c r="E2470" s="1206">
        <v>12</v>
      </c>
      <c r="F2470" s="222"/>
      <c r="G2470" s="107">
        <v>234</v>
      </c>
      <c r="H2470" s="21">
        <v>243.4</v>
      </c>
      <c r="I2470" s="22">
        <v>261.8</v>
      </c>
      <c r="J2470" s="118" t="s">
        <v>918</v>
      </c>
      <c r="K2470" s="45" t="s">
        <v>204</v>
      </c>
      <c r="L2470" s="437"/>
      <c r="M2470" s="474"/>
      <c r="N2470" s="1013" t="s">
        <v>1856</v>
      </c>
      <c r="O2470" s="212" t="s">
        <v>4226</v>
      </c>
      <c r="P2470" s="66" t="s">
        <v>72</v>
      </c>
      <c r="Q2470" s="100">
        <f t="shared" si="1355"/>
        <v>0</v>
      </c>
      <c r="R2470" s="13" t="str">
        <f t="shared" si="1344"/>
        <v>Фото &gt;&gt;</v>
      </c>
      <c r="S2470" s="14" t="s">
        <v>3650</v>
      </c>
      <c r="AK2470">
        <v>0.4</v>
      </c>
      <c r="AL2470">
        <f t="shared" si="1356"/>
        <v>0</v>
      </c>
      <c r="AM2470">
        <f t="shared" si="1357"/>
        <v>0</v>
      </c>
      <c r="AN2470">
        <f t="shared" si="1358"/>
        <v>0</v>
      </c>
      <c r="AO2470" t="s">
        <v>5141</v>
      </c>
      <c r="AV2470" t="str">
        <f>IF(F2470&gt;0,(COUNT($AV$1:AV2469)+1),"")</f>
        <v/>
      </c>
    </row>
    <row r="2471" spans="1:48" ht="15" customHeight="1" x14ac:dyDescent="0.25">
      <c r="A2471" s="1"/>
      <c r="B2471" s="31">
        <v>19210</v>
      </c>
      <c r="C2471" s="16">
        <v>4620014533903</v>
      </c>
      <c r="D2471" s="226" t="s">
        <v>1809</v>
      </c>
      <c r="E2471" s="69">
        <v>12</v>
      </c>
      <c r="F2471" s="222"/>
      <c r="G2471" s="108">
        <v>408.8</v>
      </c>
      <c r="H2471" s="17">
        <v>429.6</v>
      </c>
      <c r="I2471" s="18">
        <v>455.4</v>
      </c>
      <c r="J2471" s="119" t="s">
        <v>918</v>
      </c>
      <c r="K2471" s="44" t="s">
        <v>204</v>
      </c>
      <c r="L2471" s="442"/>
      <c r="M2471" s="480"/>
      <c r="N2471" s="1015" t="s">
        <v>1856</v>
      </c>
      <c r="O2471" s="210"/>
      <c r="P2471" s="68" t="s">
        <v>72</v>
      </c>
      <c r="Q2471" s="100">
        <f t="shared" si="1355"/>
        <v>0</v>
      </c>
      <c r="R2471" s="13" t="str">
        <f t="shared" si="1344"/>
        <v>Фото &gt;&gt;</v>
      </c>
      <c r="S2471" s="14" t="s">
        <v>3651</v>
      </c>
      <c r="AK2471">
        <v>0.4</v>
      </c>
      <c r="AL2471">
        <f t="shared" si="1356"/>
        <v>0</v>
      </c>
      <c r="AM2471">
        <f t="shared" si="1357"/>
        <v>0</v>
      </c>
      <c r="AN2471">
        <f t="shared" si="1358"/>
        <v>0</v>
      </c>
      <c r="AO2471" t="s">
        <v>5142</v>
      </c>
      <c r="AV2471" t="str">
        <f>IF(F2471&gt;0,(COUNT($AV$1:AV2470)+1),"")</f>
        <v/>
      </c>
    </row>
    <row r="2472" spans="1:48" ht="15" customHeight="1" x14ac:dyDescent="0.25">
      <c r="A2472" s="1"/>
      <c r="B2472" s="30">
        <v>19208</v>
      </c>
      <c r="C2472" s="20">
        <v>4620014532982</v>
      </c>
      <c r="D2472" s="225" t="s">
        <v>1810</v>
      </c>
      <c r="E2472" s="1206">
        <v>12</v>
      </c>
      <c r="F2472" s="222"/>
      <c r="G2472" s="107">
        <v>234</v>
      </c>
      <c r="H2472" s="21">
        <v>243.4</v>
      </c>
      <c r="I2472" s="22">
        <v>261.8</v>
      </c>
      <c r="J2472" s="118" t="s">
        <v>918</v>
      </c>
      <c r="K2472" s="45" t="s">
        <v>204</v>
      </c>
      <c r="L2472" s="437"/>
      <c r="M2472" s="474"/>
      <c r="N2472" s="1013" t="s">
        <v>1856</v>
      </c>
      <c r="O2472" s="212" t="s">
        <v>4226</v>
      </c>
      <c r="P2472" s="66" t="s">
        <v>72</v>
      </c>
      <c r="Q2472" s="100">
        <f t="shared" si="1355"/>
        <v>0</v>
      </c>
      <c r="R2472" s="13" t="str">
        <f t="shared" si="1344"/>
        <v>Фото &gt;&gt;</v>
      </c>
      <c r="S2472" s="14" t="s">
        <v>3652</v>
      </c>
      <c r="AK2472">
        <v>0.4</v>
      </c>
      <c r="AL2472">
        <f t="shared" si="1356"/>
        <v>0</v>
      </c>
      <c r="AM2472">
        <f t="shared" si="1357"/>
        <v>0</v>
      </c>
      <c r="AN2472">
        <f t="shared" si="1358"/>
        <v>0</v>
      </c>
      <c r="AO2472" t="s">
        <v>5143</v>
      </c>
      <c r="AV2472" t="str">
        <f>IF(F2472&gt;0,(COUNT($AV$1:AV2471)+1),"")</f>
        <v/>
      </c>
    </row>
    <row r="2473" spans="1:48" ht="15" customHeight="1" x14ac:dyDescent="0.25">
      <c r="A2473" s="1"/>
      <c r="B2473" s="31">
        <v>19209</v>
      </c>
      <c r="C2473" s="16">
        <v>4620014532999</v>
      </c>
      <c r="D2473" s="226" t="s">
        <v>1811</v>
      </c>
      <c r="E2473" s="1207">
        <v>12</v>
      </c>
      <c r="F2473" s="222"/>
      <c r="G2473" s="108">
        <v>254.3</v>
      </c>
      <c r="H2473" s="17">
        <v>264.39999999999998</v>
      </c>
      <c r="I2473" s="18">
        <v>285</v>
      </c>
      <c r="J2473" s="119" t="s">
        <v>918</v>
      </c>
      <c r="K2473" s="44" t="s">
        <v>204</v>
      </c>
      <c r="L2473" s="442"/>
      <c r="M2473" s="480"/>
      <c r="N2473" s="1015" t="s">
        <v>1856</v>
      </c>
      <c r="O2473" s="217" t="s">
        <v>4226</v>
      </c>
      <c r="P2473" s="68" t="s">
        <v>72</v>
      </c>
      <c r="Q2473" s="100">
        <f t="shared" si="1355"/>
        <v>0</v>
      </c>
      <c r="R2473" s="13" t="str">
        <f t="shared" si="1344"/>
        <v>Фото &gt;&gt;</v>
      </c>
      <c r="S2473" s="14" t="s">
        <v>3649</v>
      </c>
      <c r="AK2473">
        <v>0.4</v>
      </c>
      <c r="AL2473">
        <f t="shared" si="1356"/>
        <v>0</v>
      </c>
      <c r="AM2473">
        <f t="shared" si="1357"/>
        <v>0</v>
      </c>
      <c r="AN2473">
        <f t="shared" si="1358"/>
        <v>0</v>
      </c>
      <c r="AO2473" t="s">
        <v>5144</v>
      </c>
      <c r="AV2473" t="str">
        <f>IF(F2473&gt;0,(COUNT($AV$1:AV2472)+1),"")</f>
        <v/>
      </c>
    </row>
    <row r="2474" spans="1:48" ht="15" customHeight="1" x14ac:dyDescent="0.25">
      <c r="A2474" s="1"/>
      <c r="B2474" s="25"/>
      <c r="C2474" s="26"/>
      <c r="D2474" s="27" t="s">
        <v>1423</v>
      </c>
      <c r="E2474" s="80"/>
      <c r="F2474" s="96"/>
      <c r="G2474" s="28"/>
      <c r="H2474" s="29"/>
      <c r="I2474" s="29"/>
      <c r="J2474" s="51"/>
      <c r="K2474" s="47"/>
      <c r="L2474" s="447"/>
      <c r="M2474" s="489"/>
      <c r="N2474" s="716"/>
      <c r="O2474" s="186"/>
      <c r="P2474" s="79"/>
      <c r="Q2474" s="104"/>
      <c r="R2474" s="13"/>
      <c r="S2474" s="14"/>
      <c r="AL2474">
        <f t="shared" si="1356"/>
        <v>0</v>
      </c>
      <c r="AM2474">
        <f t="shared" si="1357"/>
        <v>0</v>
      </c>
      <c r="AN2474">
        <f t="shared" si="1358"/>
        <v>0</v>
      </c>
      <c r="AO2474" t="s">
        <v>104</v>
      </c>
      <c r="AV2474" t="str">
        <f>IF(F2474&gt;0,(COUNT($AV$1:AV2473)+1),"")</f>
        <v/>
      </c>
    </row>
    <row r="2475" spans="1:48" ht="15" customHeight="1" x14ac:dyDescent="0.25">
      <c r="A2475" s="1"/>
      <c r="B2475" s="31">
        <v>19868</v>
      </c>
      <c r="C2475" s="16">
        <v>4620014535532</v>
      </c>
      <c r="D2475" s="226" t="s">
        <v>2218</v>
      </c>
      <c r="E2475" s="69">
        <v>12</v>
      </c>
      <c r="F2475" s="222"/>
      <c r="G2475" s="108">
        <v>131</v>
      </c>
      <c r="H2475" s="17">
        <v>136.19999999999999</v>
      </c>
      <c r="I2475" s="18">
        <v>146.6</v>
      </c>
      <c r="J2475" s="119" t="s">
        <v>918</v>
      </c>
      <c r="K2475" s="44" t="s">
        <v>117</v>
      </c>
      <c r="L2475" s="442"/>
      <c r="M2475" s="480" t="s">
        <v>1856</v>
      </c>
      <c r="N2475" s="1015" t="s">
        <v>1856</v>
      </c>
      <c r="O2475" s="210"/>
      <c r="P2475" s="68" t="s">
        <v>50</v>
      </c>
      <c r="Q2475" s="100">
        <f t="shared" ref="Q2475:Q2494" si="1359">IF($AO$2466=2,F2475*H2475,IF($AO$2466=1,F2475*G2475,F2475*I2475))</f>
        <v>0</v>
      </c>
      <c r="R2475" s="13" t="str">
        <f t="shared" si="1344"/>
        <v>Фото &gt;&gt;</v>
      </c>
      <c r="S2475" s="14" t="s">
        <v>2032</v>
      </c>
      <c r="AK2475">
        <v>0.05</v>
      </c>
      <c r="AL2475">
        <f t="shared" si="1356"/>
        <v>0</v>
      </c>
      <c r="AM2475">
        <f t="shared" si="1357"/>
        <v>0</v>
      </c>
      <c r="AN2475">
        <f t="shared" si="1358"/>
        <v>0</v>
      </c>
      <c r="AO2475" t="s">
        <v>5145</v>
      </c>
      <c r="AV2475" t="str">
        <f>IF(F2475&gt;0,(COUNT($AV$1:AV2474)+1),"")</f>
        <v/>
      </c>
    </row>
    <row r="2476" spans="1:48" ht="15" customHeight="1" x14ac:dyDescent="0.25">
      <c r="A2476" s="1"/>
      <c r="B2476" s="30">
        <v>19846</v>
      </c>
      <c r="C2476" s="20">
        <v>4620014535518</v>
      </c>
      <c r="D2476" s="225" t="s">
        <v>5749</v>
      </c>
      <c r="E2476" s="67">
        <v>12</v>
      </c>
      <c r="F2476" s="222"/>
      <c r="G2476" s="107">
        <v>131</v>
      </c>
      <c r="H2476" s="21">
        <v>136.19999999999999</v>
      </c>
      <c r="I2476" s="22">
        <v>146.6</v>
      </c>
      <c r="J2476" s="118" t="s">
        <v>918</v>
      </c>
      <c r="K2476" s="45" t="s">
        <v>117</v>
      </c>
      <c r="L2476" s="437"/>
      <c r="M2476" s="474" t="s">
        <v>1856</v>
      </c>
      <c r="N2476" s="1013" t="s">
        <v>1856</v>
      </c>
      <c r="O2476" s="209"/>
      <c r="P2476" s="66" t="s">
        <v>50</v>
      </c>
      <c r="Q2476" s="100">
        <f t="shared" si="1359"/>
        <v>0</v>
      </c>
      <c r="R2476" s="13" t="str">
        <f t="shared" si="1344"/>
        <v>Фото &gt;&gt;</v>
      </c>
      <c r="S2476" s="14" t="s">
        <v>5750</v>
      </c>
      <c r="AK2476">
        <v>0.05</v>
      </c>
      <c r="AL2476">
        <f t="shared" ref="AL2476" si="1360">F2476*G2476</f>
        <v>0</v>
      </c>
      <c r="AM2476">
        <f t="shared" ref="AM2476" si="1361">F2476*H2476</f>
        <v>0</v>
      </c>
      <c r="AN2476">
        <f t="shared" ref="AN2476" si="1362">AK2476*F2476+IF(E2476&gt;1.01,F2476/E2476*0.2,0)</f>
        <v>0</v>
      </c>
      <c r="AO2476" t="s">
        <v>5751</v>
      </c>
      <c r="AV2476" t="str">
        <f>IF(F2476&gt;0,(COUNT($AV$1:AV2475)+1),"")</f>
        <v/>
      </c>
    </row>
    <row r="2477" spans="1:48" ht="15" customHeight="1" x14ac:dyDescent="0.25">
      <c r="A2477" s="1"/>
      <c r="B2477" s="32">
        <v>19871</v>
      </c>
      <c r="C2477" s="33">
        <v>4620014535488</v>
      </c>
      <c r="D2477" s="227" t="s">
        <v>2219</v>
      </c>
      <c r="E2477" s="71">
        <v>12</v>
      </c>
      <c r="F2477" s="223"/>
      <c r="G2477" s="109">
        <v>131</v>
      </c>
      <c r="H2477" s="34">
        <v>136.19999999999999</v>
      </c>
      <c r="I2477" s="35">
        <v>146.6</v>
      </c>
      <c r="J2477" s="121" t="s">
        <v>918</v>
      </c>
      <c r="K2477" s="57" t="s">
        <v>117</v>
      </c>
      <c r="L2477" s="438"/>
      <c r="M2477" s="484" t="s">
        <v>1856</v>
      </c>
      <c r="N2477" s="1008" t="s">
        <v>1856</v>
      </c>
      <c r="O2477" s="218"/>
      <c r="P2477" s="70" t="s">
        <v>50</v>
      </c>
      <c r="Q2477" s="100">
        <f t="shared" si="1359"/>
        <v>0</v>
      </c>
      <c r="R2477" s="13" t="str">
        <f t="shared" si="1344"/>
        <v>Фото &gt;&gt;</v>
      </c>
      <c r="S2477" s="14" t="s">
        <v>3653</v>
      </c>
      <c r="AK2477">
        <v>0.05</v>
      </c>
      <c r="AL2477">
        <f t="shared" si="1356"/>
        <v>0</v>
      </c>
      <c r="AM2477">
        <f t="shared" si="1357"/>
        <v>0</v>
      </c>
      <c r="AN2477">
        <f t="shared" si="1358"/>
        <v>0</v>
      </c>
      <c r="AO2477" t="s">
        <v>2772</v>
      </c>
      <c r="AV2477" t="str">
        <f>IF(F2477&gt;0,(COUNT($AV$1:AV2476)+1),"")</f>
        <v/>
      </c>
    </row>
    <row r="2478" spans="1:48" ht="15" customHeight="1" x14ac:dyDescent="0.25">
      <c r="A2478" s="1"/>
      <c r="B2478" s="407">
        <v>14992</v>
      </c>
      <c r="C2478" s="408">
        <v>4620014530421</v>
      </c>
      <c r="D2478" s="383" t="s">
        <v>920</v>
      </c>
      <c r="E2478" s="413">
        <v>24</v>
      </c>
      <c r="F2478" s="350"/>
      <c r="G2478" s="414">
        <v>140.19999999999999</v>
      </c>
      <c r="H2478" s="409">
        <v>145.9</v>
      </c>
      <c r="I2478" s="410">
        <v>157.80000000000001</v>
      </c>
      <c r="J2478" s="363" t="s">
        <v>918</v>
      </c>
      <c r="K2478" s="411" t="s">
        <v>117</v>
      </c>
      <c r="L2478" s="441"/>
      <c r="M2478" s="485" t="s">
        <v>1856</v>
      </c>
      <c r="N2478" s="1023" t="s">
        <v>1856</v>
      </c>
      <c r="O2478" s="424"/>
      <c r="P2478" s="412" t="s">
        <v>50</v>
      </c>
      <c r="Q2478" s="100">
        <f t="shared" si="1359"/>
        <v>0</v>
      </c>
      <c r="R2478" s="13" t="str">
        <f t="shared" si="1344"/>
        <v>Фото &gt;&gt;</v>
      </c>
      <c r="S2478" s="14" t="s">
        <v>921</v>
      </c>
      <c r="AK2478">
        <v>7.0000000000000007E-2</v>
      </c>
      <c r="AL2478">
        <f t="shared" si="1356"/>
        <v>0</v>
      </c>
      <c r="AM2478">
        <f t="shared" si="1357"/>
        <v>0</v>
      </c>
      <c r="AN2478">
        <f t="shared" si="1358"/>
        <v>0</v>
      </c>
      <c r="AO2478" t="s">
        <v>5145</v>
      </c>
      <c r="AV2478" t="str">
        <f>IF(F2478&gt;0,(COUNT($AV$1:AV2477)+1),"")</f>
        <v/>
      </c>
    </row>
    <row r="2479" spans="1:48" ht="15" customHeight="1" x14ac:dyDescent="0.25">
      <c r="A2479" s="1"/>
      <c r="B2479" s="32">
        <v>13877</v>
      </c>
      <c r="C2479" s="33">
        <v>4620014530605</v>
      </c>
      <c r="D2479" s="155" t="s">
        <v>3655</v>
      </c>
      <c r="E2479" s="71">
        <v>24</v>
      </c>
      <c r="F2479" s="223"/>
      <c r="G2479" s="109">
        <v>140.19999999999999</v>
      </c>
      <c r="H2479" s="34">
        <v>145.9</v>
      </c>
      <c r="I2479" s="35">
        <v>157.80000000000001</v>
      </c>
      <c r="J2479" s="121" t="s">
        <v>918</v>
      </c>
      <c r="K2479" s="57" t="s">
        <v>117</v>
      </c>
      <c r="L2479" s="438"/>
      <c r="M2479" s="484" t="s">
        <v>1856</v>
      </c>
      <c r="N2479" s="1008" t="s">
        <v>1856</v>
      </c>
      <c r="O2479" s="218"/>
      <c r="P2479" s="70" t="s">
        <v>50</v>
      </c>
      <c r="Q2479" s="100">
        <f t="shared" si="1359"/>
        <v>0</v>
      </c>
      <c r="R2479" s="13" t="str">
        <f t="shared" si="1344"/>
        <v>Фото &gt;&gt;</v>
      </c>
      <c r="S2479" s="14" t="s">
        <v>921</v>
      </c>
      <c r="AK2479">
        <v>7.0000000000000007E-2</v>
      </c>
      <c r="AL2479">
        <f t="shared" si="1356"/>
        <v>0</v>
      </c>
      <c r="AM2479">
        <f t="shared" si="1357"/>
        <v>0</v>
      </c>
      <c r="AN2479">
        <f t="shared" si="1358"/>
        <v>0</v>
      </c>
      <c r="AO2479" t="s">
        <v>5146</v>
      </c>
      <c r="AV2479" t="str">
        <f>IF(F2479&gt;0,(COUNT($AV$1:AV2478)+1),"")</f>
        <v/>
      </c>
    </row>
    <row r="2480" spans="1:48" ht="15" customHeight="1" x14ac:dyDescent="0.25">
      <c r="A2480" s="1"/>
      <c r="B2480" s="30">
        <v>16854</v>
      </c>
      <c r="C2480" s="20">
        <v>4620014531657</v>
      </c>
      <c r="D2480" s="153" t="s">
        <v>3654</v>
      </c>
      <c r="E2480" s="67">
        <v>24</v>
      </c>
      <c r="F2480" s="222"/>
      <c r="G2480" s="107">
        <v>156.4</v>
      </c>
      <c r="H2480" s="21">
        <v>162.4</v>
      </c>
      <c r="I2480" s="22">
        <v>174.8</v>
      </c>
      <c r="J2480" s="118" t="s">
        <v>918</v>
      </c>
      <c r="K2480" s="45" t="s">
        <v>117</v>
      </c>
      <c r="L2480" s="437"/>
      <c r="M2480" s="474" t="s">
        <v>1856</v>
      </c>
      <c r="N2480" s="1013" t="s">
        <v>1856</v>
      </c>
      <c r="O2480" s="325"/>
      <c r="P2480" s="66" t="s">
        <v>50</v>
      </c>
      <c r="Q2480" s="100">
        <f t="shared" si="1359"/>
        <v>0</v>
      </c>
      <c r="R2480" s="13" t="str">
        <f t="shared" si="1344"/>
        <v>Фото &gt;&gt;</v>
      </c>
      <c r="S2480" s="14" t="s">
        <v>922</v>
      </c>
      <c r="AK2480">
        <v>7.0000000000000007E-2</v>
      </c>
      <c r="AL2480">
        <f t="shared" ref="AL2480:AL2489" si="1363">F2480*G2480</f>
        <v>0</v>
      </c>
      <c r="AM2480">
        <f t="shared" ref="AM2480:AM2489" si="1364">F2480*H2480</f>
        <v>0</v>
      </c>
      <c r="AN2480">
        <f t="shared" ref="AN2480:AN2494" si="1365">AK2480*F2480+IF(E2480&gt;1.01,F2480/E2480*0.2,0)</f>
        <v>0</v>
      </c>
      <c r="AO2480" t="s">
        <v>5147</v>
      </c>
      <c r="AV2480" t="str">
        <f>IF(F2480&gt;0,(COUNT($AV$1:AV2479)+1),"")</f>
        <v/>
      </c>
    </row>
    <row r="2481" spans="1:48" ht="15" customHeight="1" x14ac:dyDescent="0.25">
      <c r="A2481" s="1"/>
      <c r="B2481" s="32">
        <v>16856</v>
      </c>
      <c r="C2481" s="33">
        <v>4620014531633</v>
      </c>
      <c r="D2481" s="155" t="s">
        <v>3656</v>
      </c>
      <c r="E2481" s="71">
        <v>24</v>
      </c>
      <c r="F2481" s="223"/>
      <c r="G2481" s="109">
        <v>176.6</v>
      </c>
      <c r="H2481" s="34">
        <v>183.6</v>
      </c>
      <c r="I2481" s="35">
        <v>197.6</v>
      </c>
      <c r="J2481" s="121" t="s">
        <v>918</v>
      </c>
      <c r="K2481" s="57" t="s">
        <v>117</v>
      </c>
      <c r="L2481" s="438"/>
      <c r="M2481" s="484" t="s">
        <v>1856</v>
      </c>
      <c r="N2481" s="1008" t="s">
        <v>1856</v>
      </c>
      <c r="O2481" s="218"/>
      <c r="P2481" s="70" t="s">
        <v>50</v>
      </c>
      <c r="Q2481" s="100">
        <f t="shared" si="1359"/>
        <v>0</v>
      </c>
      <c r="R2481" s="13" t="str">
        <f t="shared" si="1344"/>
        <v>Фото &gt;&gt;</v>
      </c>
      <c r="S2481" s="14" t="s">
        <v>923</v>
      </c>
      <c r="AK2481">
        <v>7.0000000000000007E-2</v>
      </c>
      <c r="AL2481">
        <f t="shared" si="1363"/>
        <v>0</v>
      </c>
      <c r="AM2481">
        <f t="shared" si="1364"/>
        <v>0</v>
      </c>
      <c r="AN2481">
        <f t="shared" si="1365"/>
        <v>0</v>
      </c>
      <c r="AO2481" t="s">
        <v>5148</v>
      </c>
      <c r="AV2481" t="str">
        <f>IF(F2481&gt;0,(COUNT($AV$1:AV2480)+1),"")</f>
        <v/>
      </c>
    </row>
    <row r="2482" spans="1:48" ht="15" customHeight="1" x14ac:dyDescent="0.25">
      <c r="A2482" s="1"/>
      <c r="B2482" s="30">
        <v>13880</v>
      </c>
      <c r="C2482" s="20">
        <v>4620014530506</v>
      </c>
      <c r="D2482" s="153" t="s">
        <v>3657</v>
      </c>
      <c r="E2482" s="67">
        <v>24</v>
      </c>
      <c r="F2482" s="222"/>
      <c r="G2482" s="107">
        <v>151.4</v>
      </c>
      <c r="H2482" s="21">
        <v>157.4</v>
      </c>
      <c r="I2482" s="22">
        <v>169.8</v>
      </c>
      <c r="J2482" s="118" t="s">
        <v>918</v>
      </c>
      <c r="K2482" s="45" t="s">
        <v>117</v>
      </c>
      <c r="L2482" s="437"/>
      <c r="M2482" s="474" t="s">
        <v>1856</v>
      </c>
      <c r="N2482" s="1013" t="s">
        <v>1856</v>
      </c>
      <c r="O2482" s="325"/>
      <c r="P2482" s="66" t="s">
        <v>50</v>
      </c>
      <c r="Q2482" s="100">
        <f t="shared" si="1359"/>
        <v>0</v>
      </c>
      <c r="R2482" s="13" t="str">
        <f t="shared" si="1344"/>
        <v>Фото &gt;&gt;</v>
      </c>
      <c r="S2482" s="14" t="s">
        <v>924</v>
      </c>
      <c r="AK2482">
        <v>7.0000000000000007E-2</v>
      </c>
      <c r="AL2482">
        <f t="shared" si="1363"/>
        <v>0</v>
      </c>
      <c r="AM2482">
        <f t="shared" si="1364"/>
        <v>0</v>
      </c>
      <c r="AN2482">
        <f t="shared" si="1365"/>
        <v>0</v>
      </c>
      <c r="AO2482" t="s">
        <v>5149</v>
      </c>
      <c r="AV2482" t="str">
        <f>IF(F2482&gt;0,(COUNT($AV$1:AV2481)+1),"")</f>
        <v/>
      </c>
    </row>
    <row r="2483" spans="1:48" ht="15" customHeight="1" x14ac:dyDescent="0.25">
      <c r="A2483" s="1"/>
      <c r="B2483" s="32">
        <v>16857</v>
      </c>
      <c r="C2483" s="33">
        <v>4620014531596</v>
      </c>
      <c r="D2483" s="155" t="s">
        <v>3658</v>
      </c>
      <c r="E2483" s="71">
        <v>24</v>
      </c>
      <c r="F2483" s="223"/>
      <c r="G2483" s="109">
        <v>176.6</v>
      </c>
      <c r="H2483" s="34">
        <v>183.6</v>
      </c>
      <c r="I2483" s="35">
        <v>198.2</v>
      </c>
      <c r="J2483" s="121" t="s">
        <v>918</v>
      </c>
      <c r="K2483" s="57" t="s">
        <v>117</v>
      </c>
      <c r="L2483" s="438"/>
      <c r="M2483" s="484" t="s">
        <v>1856</v>
      </c>
      <c r="N2483" s="1008" t="s">
        <v>1856</v>
      </c>
      <c r="O2483" s="218"/>
      <c r="P2483" s="70" t="s">
        <v>50</v>
      </c>
      <c r="Q2483" s="100">
        <f t="shared" si="1359"/>
        <v>0</v>
      </c>
      <c r="R2483" s="13" t="str">
        <f t="shared" si="1344"/>
        <v>Фото &gt;&gt;</v>
      </c>
      <c r="S2483" s="14" t="s">
        <v>925</v>
      </c>
      <c r="AK2483">
        <v>7.0000000000000007E-2</v>
      </c>
      <c r="AL2483">
        <f t="shared" si="1363"/>
        <v>0</v>
      </c>
      <c r="AM2483">
        <f t="shared" si="1364"/>
        <v>0</v>
      </c>
      <c r="AN2483">
        <f t="shared" si="1365"/>
        <v>0</v>
      </c>
      <c r="AO2483" t="s">
        <v>5150</v>
      </c>
      <c r="AV2483" t="str">
        <f>IF(F2483&gt;0,(COUNT($AV$1:AV2482)+1),"")</f>
        <v/>
      </c>
    </row>
    <row r="2484" spans="1:48" ht="15" customHeight="1" x14ac:dyDescent="0.25">
      <c r="A2484" s="1"/>
      <c r="B2484" s="30">
        <v>16858</v>
      </c>
      <c r="C2484" s="20">
        <v>4620014531572</v>
      </c>
      <c r="D2484" s="153" t="s">
        <v>3659</v>
      </c>
      <c r="E2484" s="67">
        <v>24</v>
      </c>
      <c r="F2484" s="222"/>
      <c r="G2484" s="107">
        <v>146.19999999999999</v>
      </c>
      <c r="H2484" s="21">
        <v>152.4</v>
      </c>
      <c r="I2484" s="22">
        <v>163.80000000000001</v>
      </c>
      <c r="J2484" s="118" t="s">
        <v>918</v>
      </c>
      <c r="K2484" s="45" t="s">
        <v>117</v>
      </c>
      <c r="L2484" s="437"/>
      <c r="M2484" s="474" t="s">
        <v>1856</v>
      </c>
      <c r="N2484" s="1013" t="s">
        <v>1856</v>
      </c>
      <c r="O2484" s="325"/>
      <c r="P2484" s="66" t="s">
        <v>50</v>
      </c>
      <c r="Q2484" s="100">
        <f t="shared" si="1359"/>
        <v>0</v>
      </c>
      <c r="R2484" s="13" t="str">
        <f t="shared" ref="R2484:R2519" si="1366">IF(AO2484&gt;0,HYPERLINK(AO2484,"Фото &gt;&gt;"),"")</f>
        <v>Фото &gt;&gt;</v>
      </c>
      <c r="S2484" s="14" t="s">
        <v>926</v>
      </c>
      <c r="AK2484">
        <v>7.0000000000000007E-2</v>
      </c>
      <c r="AL2484">
        <f t="shared" si="1363"/>
        <v>0</v>
      </c>
      <c r="AM2484">
        <f t="shared" si="1364"/>
        <v>0</v>
      </c>
      <c r="AN2484">
        <f t="shared" si="1365"/>
        <v>0</v>
      </c>
      <c r="AO2484" t="s">
        <v>5151</v>
      </c>
      <c r="AV2484" t="str">
        <f>IF(F2484&gt;0,(COUNT($AV$1:AV2483)+1),"")</f>
        <v/>
      </c>
    </row>
    <row r="2485" spans="1:48" ht="15" customHeight="1" x14ac:dyDescent="0.25">
      <c r="A2485" s="1"/>
      <c r="B2485" s="32">
        <v>13878</v>
      </c>
      <c r="C2485" s="33">
        <v>4620014530544</v>
      </c>
      <c r="D2485" s="155" t="s">
        <v>3660</v>
      </c>
      <c r="E2485" s="71">
        <v>24</v>
      </c>
      <c r="F2485" s="223"/>
      <c r="G2485" s="109">
        <v>140.19999999999999</v>
      </c>
      <c r="H2485" s="34">
        <v>145.9</v>
      </c>
      <c r="I2485" s="35">
        <v>157.80000000000001</v>
      </c>
      <c r="J2485" s="121" t="s">
        <v>918</v>
      </c>
      <c r="K2485" s="57" t="s">
        <v>117</v>
      </c>
      <c r="L2485" s="438"/>
      <c r="M2485" s="484" t="s">
        <v>1856</v>
      </c>
      <c r="N2485" s="1008" t="s">
        <v>1856</v>
      </c>
      <c r="O2485" s="218"/>
      <c r="P2485" s="70" t="s">
        <v>50</v>
      </c>
      <c r="Q2485" s="100">
        <f t="shared" si="1359"/>
        <v>0</v>
      </c>
      <c r="R2485" s="13" t="str">
        <f t="shared" ref="R2485" si="1367">IF(AO2485&gt;0,HYPERLINK(AO2485,"Фото &gt;&gt;"),"")</f>
        <v>Фото &gt;&gt;</v>
      </c>
      <c r="S2485" s="14" t="s">
        <v>919</v>
      </c>
      <c r="AK2485">
        <v>7.0000000000000007E-2</v>
      </c>
      <c r="AL2485">
        <f t="shared" ref="AL2485" si="1368">F2485*G2485</f>
        <v>0</v>
      </c>
      <c r="AM2485">
        <f t="shared" ref="AM2485" si="1369">F2485*H2485</f>
        <v>0</v>
      </c>
      <c r="AN2485">
        <f t="shared" si="1365"/>
        <v>0</v>
      </c>
      <c r="AO2485" t="s">
        <v>5152</v>
      </c>
      <c r="AV2485" t="str">
        <f>IF(F2485&gt;0,(COUNT($AV$1:AV2484)+1),"")</f>
        <v/>
      </c>
    </row>
    <row r="2486" spans="1:48" ht="15" customHeight="1" x14ac:dyDescent="0.25">
      <c r="A2486" s="1"/>
      <c r="B2486" s="30">
        <v>14976</v>
      </c>
      <c r="C2486" s="20">
        <v>4620014530643</v>
      </c>
      <c r="D2486" s="153" t="s">
        <v>3661</v>
      </c>
      <c r="E2486" s="67">
        <v>24</v>
      </c>
      <c r="F2486" s="222"/>
      <c r="G2486" s="107">
        <v>140.19999999999999</v>
      </c>
      <c r="H2486" s="21">
        <v>145.9</v>
      </c>
      <c r="I2486" s="22">
        <v>157.80000000000001</v>
      </c>
      <c r="J2486" s="118" t="s">
        <v>918</v>
      </c>
      <c r="K2486" s="45" t="s">
        <v>117</v>
      </c>
      <c r="L2486" s="437"/>
      <c r="M2486" s="474" t="s">
        <v>1856</v>
      </c>
      <c r="N2486" s="1013" t="s">
        <v>1856</v>
      </c>
      <c r="O2486" s="325"/>
      <c r="P2486" s="66" t="s">
        <v>50</v>
      </c>
      <c r="Q2486" s="100">
        <f t="shared" si="1359"/>
        <v>0</v>
      </c>
      <c r="R2486" s="13" t="str">
        <f t="shared" si="1366"/>
        <v>Фото &gt;&gt;</v>
      </c>
      <c r="S2486" s="14" t="s">
        <v>927</v>
      </c>
      <c r="AK2486">
        <v>7.0000000000000007E-2</v>
      </c>
      <c r="AL2486">
        <f t="shared" si="1363"/>
        <v>0</v>
      </c>
      <c r="AM2486">
        <f t="shared" si="1364"/>
        <v>0</v>
      </c>
      <c r="AN2486">
        <f t="shared" si="1365"/>
        <v>0</v>
      </c>
      <c r="AO2486" t="s">
        <v>5153</v>
      </c>
      <c r="AV2486" t="str">
        <f>IF(F2486&gt;0,(COUNT($AV$1:AV2485)+1),"")</f>
        <v/>
      </c>
    </row>
    <row r="2487" spans="1:48" ht="15" customHeight="1" x14ac:dyDescent="0.25">
      <c r="A2487" s="1"/>
      <c r="B2487" s="407">
        <v>13885</v>
      </c>
      <c r="C2487" s="408">
        <v>4620014531077</v>
      </c>
      <c r="D2487" s="383" t="s">
        <v>928</v>
      </c>
      <c r="E2487" s="413">
        <v>12</v>
      </c>
      <c r="F2487" s="350"/>
      <c r="G2487" s="414">
        <v>181.6</v>
      </c>
      <c r="H2487" s="409">
        <v>188.8</v>
      </c>
      <c r="I2487" s="410">
        <v>203.2</v>
      </c>
      <c r="J2487" s="363" t="s">
        <v>918</v>
      </c>
      <c r="K2487" s="411" t="s">
        <v>117</v>
      </c>
      <c r="L2487" s="441"/>
      <c r="M2487" s="485" t="s">
        <v>1856</v>
      </c>
      <c r="N2487" s="1023" t="s">
        <v>1856</v>
      </c>
      <c r="O2487" s="424"/>
      <c r="P2487" s="412" t="s">
        <v>50</v>
      </c>
      <c r="Q2487" s="100">
        <f t="shared" si="1359"/>
        <v>0</v>
      </c>
      <c r="R2487" s="13" t="str">
        <f t="shared" si="1366"/>
        <v>Фото &gt;&gt;</v>
      </c>
      <c r="S2487" s="14" t="s">
        <v>924</v>
      </c>
      <c r="AK2487">
        <v>0.2</v>
      </c>
      <c r="AL2487">
        <f t="shared" si="1363"/>
        <v>0</v>
      </c>
      <c r="AM2487">
        <f t="shared" si="1364"/>
        <v>0</v>
      </c>
      <c r="AN2487">
        <f t="shared" si="1365"/>
        <v>0</v>
      </c>
      <c r="AO2487" t="s">
        <v>5154</v>
      </c>
      <c r="AV2487" t="str">
        <f>IF(F2487&gt;0,(COUNT($AV$1:AV2486)+1),"")</f>
        <v/>
      </c>
    </row>
    <row r="2488" spans="1:48" ht="15" customHeight="1" x14ac:dyDescent="0.25">
      <c r="A2488" s="1"/>
      <c r="B2488" s="31">
        <v>13886</v>
      </c>
      <c r="C2488" s="16">
        <v>4620014531091</v>
      </c>
      <c r="D2488" s="154" t="s">
        <v>929</v>
      </c>
      <c r="E2488" s="69">
        <v>12</v>
      </c>
      <c r="F2488" s="222"/>
      <c r="G2488" s="108">
        <v>222</v>
      </c>
      <c r="H2488" s="17">
        <v>231</v>
      </c>
      <c r="I2488" s="18">
        <v>248.6</v>
      </c>
      <c r="J2488" s="119" t="s">
        <v>918</v>
      </c>
      <c r="K2488" s="44" t="s">
        <v>117</v>
      </c>
      <c r="L2488" s="442"/>
      <c r="M2488" s="480" t="s">
        <v>1856</v>
      </c>
      <c r="N2488" s="1015" t="s">
        <v>1856</v>
      </c>
      <c r="O2488" s="217"/>
      <c r="P2488" s="68" t="s">
        <v>50</v>
      </c>
      <c r="Q2488" s="100">
        <f t="shared" si="1359"/>
        <v>0</v>
      </c>
      <c r="R2488" s="13" t="str">
        <f t="shared" si="1366"/>
        <v>Фото &gt;&gt;</v>
      </c>
      <c r="S2488" s="14" t="s">
        <v>930</v>
      </c>
      <c r="AK2488">
        <v>0.2</v>
      </c>
      <c r="AL2488">
        <f t="shared" si="1363"/>
        <v>0</v>
      </c>
      <c r="AM2488">
        <f t="shared" si="1364"/>
        <v>0</v>
      </c>
      <c r="AN2488">
        <f t="shared" si="1365"/>
        <v>0</v>
      </c>
      <c r="AO2488" t="s">
        <v>5155</v>
      </c>
      <c r="AV2488" t="str">
        <f>IF(F2488&gt;0,(COUNT($AV$1:AV2487)+1),"")</f>
        <v/>
      </c>
    </row>
    <row r="2489" spans="1:48" ht="15" customHeight="1" x14ac:dyDescent="0.25">
      <c r="A2489" s="1"/>
      <c r="B2489" s="37">
        <v>13883</v>
      </c>
      <c r="C2489" s="23">
        <v>4620014531114</v>
      </c>
      <c r="D2489" s="156" t="s">
        <v>931</v>
      </c>
      <c r="E2489" s="75">
        <v>12</v>
      </c>
      <c r="F2489" s="223"/>
      <c r="G2489" s="111">
        <v>181.6</v>
      </c>
      <c r="H2489" s="5">
        <v>188.8</v>
      </c>
      <c r="I2489" s="24">
        <v>203.2</v>
      </c>
      <c r="J2489" s="120" t="s">
        <v>918</v>
      </c>
      <c r="K2489" s="46" t="s">
        <v>117</v>
      </c>
      <c r="L2489" s="440"/>
      <c r="M2489" s="482" t="s">
        <v>1856</v>
      </c>
      <c r="N2489" s="1002" t="s">
        <v>1856</v>
      </c>
      <c r="O2489" s="349"/>
      <c r="P2489" s="74" t="s">
        <v>50</v>
      </c>
      <c r="Q2489" s="100">
        <f t="shared" si="1359"/>
        <v>0</v>
      </c>
      <c r="R2489" s="13" t="str">
        <f t="shared" si="1366"/>
        <v>Фото &gt;&gt;</v>
      </c>
      <c r="S2489" s="14" t="s">
        <v>919</v>
      </c>
      <c r="AK2489">
        <v>0.2</v>
      </c>
      <c r="AL2489">
        <f t="shared" si="1363"/>
        <v>0</v>
      </c>
      <c r="AM2489">
        <f t="shared" si="1364"/>
        <v>0</v>
      </c>
      <c r="AN2489">
        <f t="shared" si="1365"/>
        <v>0</v>
      </c>
      <c r="AO2489" t="s">
        <v>5156</v>
      </c>
      <c r="AV2489" t="str">
        <f>IF(F2489&gt;0,(COUNT($AV$1:AV2488)+1),"")</f>
        <v/>
      </c>
    </row>
    <row r="2490" spans="1:48" ht="15" customHeight="1" x14ac:dyDescent="0.25">
      <c r="A2490" s="1"/>
      <c r="B2490" s="846">
        <v>19606</v>
      </c>
      <c r="C2490" s="847">
        <v>4620014532104</v>
      </c>
      <c r="D2490" s="1107" t="s">
        <v>2058</v>
      </c>
      <c r="E2490" s="849">
        <v>24</v>
      </c>
      <c r="F2490" s="870"/>
      <c r="G2490" s="850">
        <v>73.099999999999994</v>
      </c>
      <c r="H2490" s="851">
        <v>76.599999999999994</v>
      </c>
      <c r="I2490" s="852">
        <v>80.8</v>
      </c>
      <c r="J2490" s="1108" t="s">
        <v>918</v>
      </c>
      <c r="K2490" s="854" t="s">
        <v>117</v>
      </c>
      <c r="L2490" s="855"/>
      <c r="M2490" s="856" t="s">
        <v>1856</v>
      </c>
      <c r="N2490" s="1010" t="s">
        <v>1856</v>
      </c>
      <c r="O2490" s="1109"/>
      <c r="P2490" s="858" t="s">
        <v>50</v>
      </c>
      <c r="Q2490" s="100">
        <f t="shared" si="1359"/>
        <v>0</v>
      </c>
      <c r="R2490" s="13" t="str">
        <f t="shared" si="1366"/>
        <v>Фото &gt;&gt;</v>
      </c>
      <c r="S2490" s="14" t="s">
        <v>3662</v>
      </c>
      <c r="AK2490">
        <v>7.0000000000000007E-2</v>
      </c>
      <c r="AL2490">
        <f t="shared" ref="AL2490" si="1370">F2490*G2490</f>
        <v>0</v>
      </c>
      <c r="AM2490">
        <f t="shared" ref="AM2490" si="1371">F2490*H2490</f>
        <v>0</v>
      </c>
      <c r="AN2490">
        <f t="shared" si="1365"/>
        <v>0</v>
      </c>
      <c r="AO2490" t="s">
        <v>5157</v>
      </c>
      <c r="AV2490" t="str">
        <f>IF(F2490&gt;0,(COUNT($AV$1:AV2489)+1),"")</f>
        <v/>
      </c>
    </row>
    <row r="2491" spans="1:48" ht="15" customHeight="1" x14ac:dyDescent="0.25">
      <c r="A2491" s="1"/>
      <c r="B2491" s="30">
        <v>19571</v>
      </c>
      <c r="C2491" s="20">
        <v>4620014532142</v>
      </c>
      <c r="D2491" s="153" t="s">
        <v>2002</v>
      </c>
      <c r="E2491" s="67">
        <v>24</v>
      </c>
      <c r="F2491" s="222"/>
      <c r="G2491" s="107">
        <v>90.8</v>
      </c>
      <c r="H2491" s="21">
        <v>95.5</v>
      </c>
      <c r="I2491" s="22">
        <v>101.2</v>
      </c>
      <c r="J2491" s="118" t="s">
        <v>918</v>
      </c>
      <c r="K2491" s="45" t="s">
        <v>117</v>
      </c>
      <c r="L2491" s="437"/>
      <c r="M2491" s="474" t="s">
        <v>1856</v>
      </c>
      <c r="N2491" s="1013" t="s">
        <v>1856</v>
      </c>
      <c r="O2491" s="325"/>
      <c r="P2491" s="66" t="s">
        <v>50</v>
      </c>
      <c r="Q2491" s="100">
        <f t="shared" si="1359"/>
        <v>0</v>
      </c>
      <c r="R2491" s="13" t="str">
        <f t="shared" si="1366"/>
        <v>Фото &gt;&gt;</v>
      </c>
      <c r="S2491" s="14" t="s">
        <v>3663</v>
      </c>
      <c r="AK2491">
        <v>0.05</v>
      </c>
      <c r="AL2491">
        <f t="shared" ref="AL2491:AL2493" si="1372">F2491*G2491</f>
        <v>0</v>
      </c>
      <c r="AM2491">
        <f t="shared" ref="AM2491:AM2493" si="1373">F2491*H2491</f>
        <v>0</v>
      </c>
      <c r="AN2491">
        <f t="shared" si="1365"/>
        <v>0</v>
      </c>
      <c r="AO2491" t="s">
        <v>5158</v>
      </c>
      <c r="AV2491" t="str">
        <f>IF(F2491&gt;0,(COUNT($AV$1:AV2490)+1),"")</f>
        <v/>
      </c>
    </row>
    <row r="2492" spans="1:48" ht="15" customHeight="1" x14ac:dyDescent="0.25">
      <c r="A2492" s="1"/>
      <c r="B2492" s="32">
        <v>19604</v>
      </c>
      <c r="C2492" s="33">
        <v>4620014532135</v>
      </c>
      <c r="D2492" s="155" t="s">
        <v>2059</v>
      </c>
      <c r="E2492" s="71">
        <v>24</v>
      </c>
      <c r="F2492" s="223"/>
      <c r="G2492" s="109">
        <v>115.8</v>
      </c>
      <c r="H2492" s="34">
        <v>122</v>
      </c>
      <c r="I2492" s="35">
        <v>128.19999999999999</v>
      </c>
      <c r="J2492" s="121" t="s">
        <v>918</v>
      </c>
      <c r="K2492" s="57" t="s">
        <v>117</v>
      </c>
      <c r="L2492" s="438"/>
      <c r="M2492" s="484" t="s">
        <v>1856</v>
      </c>
      <c r="N2492" s="1008" t="s">
        <v>1856</v>
      </c>
      <c r="O2492" s="218"/>
      <c r="P2492" s="70" t="s">
        <v>50</v>
      </c>
      <c r="Q2492" s="100">
        <f t="shared" si="1359"/>
        <v>0</v>
      </c>
      <c r="R2492" s="13" t="str">
        <f t="shared" si="1366"/>
        <v>Фото &gt;&gt;</v>
      </c>
      <c r="S2492" s="14" t="s">
        <v>2301</v>
      </c>
      <c r="AK2492">
        <v>0.05</v>
      </c>
      <c r="AL2492">
        <f t="shared" ref="AL2492" si="1374">F2492*G2492</f>
        <v>0</v>
      </c>
      <c r="AM2492">
        <f t="shared" ref="AM2492" si="1375">F2492*H2492</f>
        <v>0</v>
      </c>
      <c r="AN2492">
        <f t="shared" si="1365"/>
        <v>0</v>
      </c>
      <c r="AO2492" t="s">
        <v>5159</v>
      </c>
      <c r="AV2492" t="str">
        <f>IF(F2492&gt;0,(COUNT($AV$1:AV2491)+1),"")</f>
        <v/>
      </c>
    </row>
    <row r="2493" spans="1:48" ht="15" customHeight="1" x14ac:dyDescent="0.25">
      <c r="A2493" s="1"/>
      <c r="B2493" s="30">
        <v>19572</v>
      </c>
      <c r="C2493" s="20">
        <v>4620014532159</v>
      </c>
      <c r="D2493" s="153" t="s">
        <v>2003</v>
      </c>
      <c r="E2493" s="67">
        <v>24</v>
      </c>
      <c r="F2493" s="222"/>
      <c r="G2493" s="107">
        <v>91.2</v>
      </c>
      <c r="H2493" s="21">
        <v>95.9</v>
      </c>
      <c r="I2493" s="22">
        <v>101.4</v>
      </c>
      <c r="J2493" s="118" t="s">
        <v>918</v>
      </c>
      <c r="K2493" s="45" t="s">
        <v>117</v>
      </c>
      <c r="L2493" s="437"/>
      <c r="M2493" s="474" t="s">
        <v>1856</v>
      </c>
      <c r="N2493" s="1013" t="s">
        <v>1856</v>
      </c>
      <c r="O2493" s="325"/>
      <c r="P2493" s="66" t="s">
        <v>50</v>
      </c>
      <c r="Q2493" s="100">
        <f t="shared" si="1359"/>
        <v>0</v>
      </c>
      <c r="R2493" s="13" t="str">
        <f t="shared" si="1366"/>
        <v>Фото &gt;&gt;</v>
      </c>
      <c r="S2493" s="14" t="s">
        <v>932</v>
      </c>
      <c r="AK2493">
        <v>0.05</v>
      </c>
      <c r="AL2493">
        <f t="shared" si="1372"/>
        <v>0</v>
      </c>
      <c r="AM2493">
        <f t="shared" si="1373"/>
        <v>0</v>
      </c>
      <c r="AN2493">
        <f t="shared" si="1365"/>
        <v>0</v>
      </c>
      <c r="AO2493" t="s">
        <v>5160</v>
      </c>
      <c r="AV2493" t="str">
        <f>IF(F2493&gt;0,(COUNT($AV$1:AV2492)+1),"")</f>
        <v/>
      </c>
    </row>
    <row r="2494" spans="1:48" ht="15" customHeight="1" x14ac:dyDescent="0.25">
      <c r="A2494" s="1"/>
      <c r="B2494" s="32">
        <v>14100</v>
      </c>
      <c r="C2494" s="33">
        <v>4620014530735</v>
      </c>
      <c r="D2494" s="155" t="s">
        <v>933</v>
      </c>
      <c r="E2494" s="71">
        <v>1</v>
      </c>
      <c r="F2494" s="223"/>
      <c r="G2494" s="109">
        <v>726.8</v>
      </c>
      <c r="H2494" s="34">
        <v>764</v>
      </c>
      <c r="I2494" s="35">
        <v>803.4</v>
      </c>
      <c r="J2494" s="121" t="s">
        <v>918</v>
      </c>
      <c r="K2494" s="57" t="s">
        <v>117</v>
      </c>
      <c r="L2494" s="438"/>
      <c r="M2494" s="484" t="s">
        <v>1856</v>
      </c>
      <c r="N2494" s="1008" t="s">
        <v>1856</v>
      </c>
      <c r="O2494" s="218" t="s">
        <v>1770</v>
      </c>
      <c r="P2494" s="70" t="s">
        <v>50</v>
      </c>
      <c r="Q2494" s="100">
        <f t="shared" si="1359"/>
        <v>0</v>
      </c>
      <c r="R2494" s="13" t="str">
        <f t="shared" si="1366"/>
        <v>Фото &gt;&gt;</v>
      </c>
      <c r="S2494" s="14" t="s">
        <v>3668</v>
      </c>
      <c r="AK2494">
        <v>0.52</v>
      </c>
      <c r="AL2494">
        <f t="shared" ref="AL2494" si="1376">F2494*G2494</f>
        <v>0</v>
      </c>
      <c r="AM2494">
        <f t="shared" ref="AM2494" si="1377">F2494*H2494</f>
        <v>0</v>
      </c>
      <c r="AN2494">
        <f t="shared" si="1365"/>
        <v>0</v>
      </c>
      <c r="AO2494" t="s">
        <v>5161</v>
      </c>
      <c r="AV2494" t="str">
        <f>IF(F2494&gt;0,(COUNT($AV$1:AV2493)+1),"")</f>
        <v/>
      </c>
    </row>
    <row r="2495" spans="1:48" ht="15" customHeight="1" x14ac:dyDescent="0.25">
      <c r="A2495" s="1"/>
      <c r="B2495" s="125"/>
      <c r="C2495" s="126"/>
      <c r="D2495" s="127"/>
      <c r="E2495" s="134"/>
      <c r="F2495" s="189"/>
      <c r="G2495" s="130"/>
      <c r="H2495" s="131"/>
      <c r="I2495" s="132"/>
      <c r="J2495" s="128"/>
      <c r="K2495" s="129"/>
      <c r="L2495" s="433"/>
      <c r="M2495" s="481" t="s">
        <v>104</v>
      </c>
      <c r="N2495" s="471"/>
      <c r="O2495" s="181"/>
      <c r="P2495" s="133"/>
      <c r="Q2495" s="135"/>
      <c r="R2495" s="13"/>
      <c r="S2495" s="14"/>
      <c r="AV2495" t="str">
        <f>IF(F2495&gt;0,(COUNT($AV$1:AV2494)+1),"")</f>
        <v/>
      </c>
    </row>
    <row r="2496" spans="1:48" ht="15" customHeight="1" thickBot="1" x14ac:dyDescent="0.3">
      <c r="A2496" s="1"/>
      <c r="B2496" s="136"/>
      <c r="C2496" s="137"/>
      <c r="D2496" s="138"/>
      <c r="E2496" s="145"/>
      <c r="F2496" s="190"/>
      <c r="G2496" s="141"/>
      <c r="H2496" s="142"/>
      <c r="I2496" s="143"/>
      <c r="J2496" s="139"/>
      <c r="K2496" s="140"/>
      <c r="L2496" s="434"/>
      <c r="M2496" s="477" t="s">
        <v>104</v>
      </c>
      <c r="N2496" s="468"/>
      <c r="O2496" s="182"/>
      <c r="P2496" s="144"/>
      <c r="Q2496" s="146"/>
      <c r="R2496" s="13"/>
      <c r="S2496" s="14"/>
      <c r="AV2496" t="str">
        <f>IF(F2496&gt;0,(COUNT($AV$1:AV2495)+1),"")</f>
        <v/>
      </c>
    </row>
    <row r="2497" spans="1:48" ht="24.95" customHeight="1" thickBot="1" x14ac:dyDescent="0.3">
      <c r="A2497" s="1"/>
      <c r="B2497" s="169"/>
      <c r="C2497" s="170"/>
      <c r="D2497" s="171" t="str">
        <f>CONCATENATE("Живая каша (VITA)","     |     Сумма заказа: ",AK2497," руб.")</f>
        <v>Живая каша (VITA)     |     Сумма заказа: 0 руб.</v>
      </c>
      <c r="E2497" s="176"/>
      <c r="F2497" s="177"/>
      <c r="G2497" s="180" t="str">
        <f>CONCATENATE("Ценовая колонка: ",AO2497,"   |   До следующей скидки: ",AJ2497," руб.")</f>
        <v>Ценовая колонка: 3   |   До следующей скидки: 5000 руб.</v>
      </c>
      <c r="H2497" s="174"/>
      <c r="I2497" s="174"/>
      <c r="J2497" s="172" t="s">
        <v>2914</v>
      </c>
      <c r="K2497" s="173"/>
      <c r="L2497" s="444"/>
      <c r="M2497" s="486" t="s">
        <v>104</v>
      </c>
      <c r="N2497" s="717"/>
      <c r="O2497" s="184"/>
      <c r="P2497" s="175"/>
      <c r="Q2497" s="178"/>
      <c r="R2497" s="179" t="s">
        <v>1558</v>
      </c>
      <c r="S2497" s="14"/>
      <c r="AJ2497">
        <f>ROUND(IF(AL2497&gt;20000,"0", IF(AND(AL2497&lt;20000,AM2497&gt;5000),20000-AL2497,5000-AM2497)),2)</f>
        <v>5000</v>
      </c>
      <c r="AK2497">
        <f>SUM(Q2499:Q2519)</f>
        <v>0</v>
      </c>
      <c r="AL2497">
        <f>SUM(AL2499:AL2519)</f>
        <v>0</v>
      </c>
      <c r="AM2497">
        <f>SUM(AM2499:AM2519)</f>
        <v>0</v>
      </c>
      <c r="AO2497">
        <f>IF(AM2497&gt;5000,IF(AL2497&gt;20000,1,2),3)</f>
        <v>3</v>
      </c>
      <c r="AV2497" t="str">
        <f>IF(F2497&gt;0,(COUNT($AV$1:AV2496)+1),"")</f>
        <v/>
      </c>
    </row>
    <row r="2498" spans="1:48" ht="15" customHeight="1" x14ac:dyDescent="0.25">
      <c r="A2498" s="1"/>
      <c r="B2498" s="296"/>
      <c r="C2498" s="38"/>
      <c r="D2498" s="39" t="s">
        <v>1452</v>
      </c>
      <c r="E2498" s="82"/>
      <c r="F2498" s="97"/>
      <c r="G2498" s="40" t="s">
        <v>15</v>
      </c>
      <c r="H2498" s="41" t="s">
        <v>16</v>
      </c>
      <c r="I2498" s="41" t="s">
        <v>221</v>
      </c>
      <c r="J2498" s="52"/>
      <c r="K2498" s="48"/>
      <c r="L2498" s="448"/>
      <c r="M2498" s="491" t="s">
        <v>104</v>
      </c>
      <c r="N2498" s="715"/>
      <c r="O2498" s="187"/>
      <c r="P2498" s="81"/>
      <c r="Q2498" s="105"/>
      <c r="R2498" s="13"/>
      <c r="S2498" s="14"/>
      <c r="AV2498" t="str">
        <f>IF(F2498&gt;0,(COUNT($AV$1:AV2497)+1),"")</f>
        <v/>
      </c>
    </row>
    <row r="2499" spans="1:48" ht="15" customHeight="1" x14ac:dyDescent="0.25">
      <c r="A2499" s="1"/>
      <c r="B2499" s="30">
        <v>17891</v>
      </c>
      <c r="C2499" s="20">
        <v>4670052010126</v>
      </c>
      <c r="D2499" s="153" t="s">
        <v>3677</v>
      </c>
      <c r="E2499" s="67">
        <v>8</v>
      </c>
      <c r="F2499" s="222"/>
      <c r="G2499" s="107">
        <v>122.2</v>
      </c>
      <c r="H2499" s="21">
        <v>128.30000000000001</v>
      </c>
      <c r="I2499" s="22">
        <v>135.19999999999999</v>
      </c>
      <c r="J2499" s="112" t="s">
        <v>2914</v>
      </c>
      <c r="K2499" s="45" t="s">
        <v>101</v>
      </c>
      <c r="L2499" s="437"/>
      <c r="M2499" s="474" t="s">
        <v>1856</v>
      </c>
      <c r="N2499" s="1013" t="s">
        <v>1856</v>
      </c>
      <c r="O2499" s="212"/>
      <c r="P2499" s="66" t="s">
        <v>72</v>
      </c>
      <c r="Q2499" s="100">
        <f t="shared" ref="Q2499:Q2517" si="1378">IF($AO$2497=2,F2499*H2499,IF($AO$2497=1,F2499*G2499,F2499*I2499))</f>
        <v>0</v>
      </c>
      <c r="R2499" s="13" t="str">
        <f t="shared" si="1366"/>
        <v>Фото &gt;&gt;</v>
      </c>
      <c r="S2499" s="14" t="s">
        <v>3669</v>
      </c>
      <c r="AK2499">
        <v>0.32</v>
      </c>
      <c r="AL2499">
        <f t="shared" ref="AL2499:AL2519" si="1379">F2499*G2499</f>
        <v>0</v>
      </c>
      <c r="AM2499">
        <f t="shared" ref="AM2499:AM2519" si="1380">F2499*H2499</f>
        <v>0</v>
      </c>
      <c r="AN2499">
        <f t="shared" ref="AN2499:AN2519" si="1381">AK2499*F2499+IF(E2499&gt;1.01,F2499/E2499*0.2,0)</f>
        <v>0</v>
      </c>
      <c r="AO2499" t="s">
        <v>5162</v>
      </c>
      <c r="AV2499" t="str">
        <f>IF(F2499&gt;0,(COUNT($AV$1:AV2498)+1),"")</f>
        <v/>
      </c>
    </row>
    <row r="2500" spans="1:48" ht="15" customHeight="1" x14ac:dyDescent="0.25">
      <c r="A2500" s="1"/>
      <c r="B2500" s="31">
        <v>14521</v>
      </c>
      <c r="C2500" s="16">
        <v>4670052010294</v>
      </c>
      <c r="D2500" s="154" t="s">
        <v>3678</v>
      </c>
      <c r="E2500" s="69">
        <v>8</v>
      </c>
      <c r="F2500" s="222"/>
      <c r="G2500" s="108">
        <v>114.4</v>
      </c>
      <c r="H2500" s="17">
        <v>120.2</v>
      </c>
      <c r="I2500" s="18">
        <v>127</v>
      </c>
      <c r="J2500" s="113" t="s">
        <v>2914</v>
      </c>
      <c r="K2500" s="44" t="s">
        <v>101</v>
      </c>
      <c r="L2500" s="442"/>
      <c r="M2500" s="480" t="s">
        <v>1856</v>
      </c>
      <c r="N2500" s="1015" t="s">
        <v>1856</v>
      </c>
      <c r="O2500" s="217"/>
      <c r="P2500" s="68" t="s">
        <v>72</v>
      </c>
      <c r="Q2500" s="100">
        <f t="shared" si="1378"/>
        <v>0</v>
      </c>
      <c r="R2500" s="13" t="str">
        <f>IF(AO2500&gt;0,HYPERLINK(AO2500,"Фото &gt;&gt;"),"")</f>
        <v>Фото &gt;&gt;</v>
      </c>
      <c r="S2500" s="14" t="s">
        <v>934</v>
      </c>
      <c r="AK2500">
        <v>0.32</v>
      </c>
      <c r="AL2500">
        <f t="shared" si="1379"/>
        <v>0</v>
      </c>
      <c r="AM2500">
        <f t="shared" si="1380"/>
        <v>0</v>
      </c>
      <c r="AN2500">
        <f t="shared" si="1381"/>
        <v>0</v>
      </c>
      <c r="AO2500" t="s">
        <v>5163</v>
      </c>
      <c r="AV2500" t="str">
        <f>IF(F2500&gt;0,(COUNT($AV$1:AV2499)+1),"")</f>
        <v/>
      </c>
    </row>
    <row r="2501" spans="1:48" ht="15" customHeight="1" x14ac:dyDescent="0.25">
      <c r="A2501" s="1"/>
      <c r="B2501" s="30">
        <v>14522</v>
      </c>
      <c r="C2501" s="20">
        <v>4670052010379</v>
      </c>
      <c r="D2501" s="153" t="s">
        <v>3679</v>
      </c>
      <c r="E2501" s="67">
        <v>8</v>
      </c>
      <c r="F2501" s="222"/>
      <c r="G2501" s="107">
        <v>114.4</v>
      </c>
      <c r="H2501" s="21">
        <v>120.2</v>
      </c>
      <c r="I2501" s="22">
        <v>127</v>
      </c>
      <c r="J2501" s="112" t="s">
        <v>2914</v>
      </c>
      <c r="K2501" s="45" t="s">
        <v>101</v>
      </c>
      <c r="L2501" s="437"/>
      <c r="M2501" s="474" t="s">
        <v>1856</v>
      </c>
      <c r="N2501" s="1013" t="s">
        <v>1856</v>
      </c>
      <c r="O2501" s="212"/>
      <c r="P2501" s="66" t="s">
        <v>72</v>
      </c>
      <c r="Q2501" s="100">
        <f t="shared" si="1378"/>
        <v>0</v>
      </c>
      <c r="R2501" s="13" t="str">
        <f t="shared" si="1366"/>
        <v>Фото &gt;&gt;</v>
      </c>
      <c r="S2501" s="14" t="s">
        <v>935</v>
      </c>
      <c r="AK2501">
        <v>0.32</v>
      </c>
      <c r="AL2501">
        <f t="shared" si="1379"/>
        <v>0</v>
      </c>
      <c r="AM2501">
        <f t="shared" si="1380"/>
        <v>0</v>
      </c>
      <c r="AN2501">
        <f t="shared" si="1381"/>
        <v>0</v>
      </c>
      <c r="AO2501" t="s">
        <v>5164</v>
      </c>
      <c r="AV2501" t="str">
        <f>IF(F2501&gt;0,(COUNT($AV$1:AV2500)+1),"")</f>
        <v/>
      </c>
    </row>
    <row r="2502" spans="1:48" ht="15" customHeight="1" x14ac:dyDescent="0.25">
      <c r="A2502" s="1"/>
      <c r="B2502" s="31">
        <v>15516</v>
      </c>
      <c r="C2502" s="16">
        <v>4670052010263</v>
      </c>
      <c r="D2502" s="154" t="s">
        <v>3680</v>
      </c>
      <c r="E2502" s="69">
        <v>8</v>
      </c>
      <c r="F2502" s="222"/>
      <c r="G2502" s="108">
        <v>161.80000000000001</v>
      </c>
      <c r="H2502" s="17">
        <v>170</v>
      </c>
      <c r="I2502" s="18">
        <v>179</v>
      </c>
      <c r="J2502" s="113" t="s">
        <v>2914</v>
      </c>
      <c r="K2502" s="44" t="s">
        <v>101</v>
      </c>
      <c r="L2502" s="442"/>
      <c r="M2502" s="480"/>
      <c r="N2502" s="1015" t="s">
        <v>1856</v>
      </c>
      <c r="O2502" s="217"/>
      <c r="P2502" s="68" t="s">
        <v>72</v>
      </c>
      <c r="Q2502" s="100">
        <f t="shared" si="1378"/>
        <v>0</v>
      </c>
      <c r="R2502" s="13" t="str">
        <f t="shared" ref="R2502" si="1382">IF(AO2502&gt;0,HYPERLINK(AO2502,"Фото &gt;&gt;"),"")</f>
        <v>Фото &gt;&gt;</v>
      </c>
      <c r="S2502" s="14" t="s">
        <v>945</v>
      </c>
      <c r="AK2502">
        <v>0.28000000000000003</v>
      </c>
      <c r="AL2502">
        <f t="shared" si="1379"/>
        <v>0</v>
      </c>
      <c r="AM2502">
        <f t="shared" si="1380"/>
        <v>0</v>
      </c>
      <c r="AN2502">
        <f t="shared" si="1381"/>
        <v>0</v>
      </c>
      <c r="AO2502" t="s">
        <v>5165</v>
      </c>
      <c r="AV2502" t="str">
        <f>IF(F2502&gt;0,(COUNT($AV$1:AV2501)+1),"")</f>
        <v/>
      </c>
    </row>
    <row r="2503" spans="1:48" ht="15" customHeight="1" x14ac:dyDescent="0.25">
      <c r="A2503" s="1"/>
      <c r="B2503" s="30">
        <v>14527</v>
      </c>
      <c r="C2503" s="20">
        <v>4670052010300</v>
      </c>
      <c r="D2503" s="153" t="s">
        <v>3681</v>
      </c>
      <c r="E2503" s="67">
        <v>8</v>
      </c>
      <c r="F2503" s="222"/>
      <c r="G2503" s="107">
        <v>114.4</v>
      </c>
      <c r="H2503" s="21">
        <v>120.2</v>
      </c>
      <c r="I2503" s="22">
        <v>127</v>
      </c>
      <c r="J2503" s="112" t="s">
        <v>2914</v>
      </c>
      <c r="K2503" s="45" t="s">
        <v>101</v>
      </c>
      <c r="L2503" s="437"/>
      <c r="M2503" s="474"/>
      <c r="N2503" s="1013" t="s">
        <v>1856</v>
      </c>
      <c r="O2503" s="212"/>
      <c r="P2503" s="66" t="s">
        <v>72</v>
      </c>
      <c r="Q2503" s="100">
        <f t="shared" si="1378"/>
        <v>0</v>
      </c>
      <c r="R2503" s="13" t="str">
        <f t="shared" si="1366"/>
        <v>Фото &gt;&gt;</v>
      </c>
      <c r="S2503" s="14" t="s">
        <v>936</v>
      </c>
      <c r="AK2503">
        <v>0.32</v>
      </c>
      <c r="AL2503">
        <f t="shared" si="1379"/>
        <v>0</v>
      </c>
      <c r="AM2503">
        <f t="shared" si="1380"/>
        <v>0</v>
      </c>
      <c r="AN2503">
        <f t="shared" si="1381"/>
        <v>0</v>
      </c>
      <c r="AO2503" t="s">
        <v>5166</v>
      </c>
      <c r="AV2503" t="str">
        <f>IF(F2503&gt;0,(COUNT($AV$1:AV2502)+1),"")</f>
        <v/>
      </c>
    </row>
    <row r="2504" spans="1:48" ht="15" customHeight="1" x14ac:dyDescent="0.25">
      <c r="A2504" s="1"/>
      <c r="B2504" s="31">
        <v>14517</v>
      </c>
      <c r="C2504" s="16">
        <v>4670052010249</v>
      </c>
      <c r="D2504" s="154" t="s">
        <v>3682</v>
      </c>
      <c r="E2504" s="69">
        <v>8</v>
      </c>
      <c r="F2504" s="222"/>
      <c r="G2504" s="108">
        <v>161.80000000000001</v>
      </c>
      <c r="H2504" s="17">
        <v>170</v>
      </c>
      <c r="I2504" s="18">
        <v>179</v>
      </c>
      <c r="J2504" s="113" t="s">
        <v>2914</v>
      </c>
      <c r="K2504" s="44" t="s">
        <v>101</v>
      </c>
      <c r="L2504" s="442"/>
      <c r="M2504" s="480"/>
      <c r="N2504" s="1015" t="s">
        <v>1856</v>
      </c>
      <c r="O2504" s="217"/>
      <c r="P2504" s="68" t="s">
        <v>72</v>
      </c>
      <c r="Q2504" s="100">
        <f t="shared" si="1378"/>
        <v>0</v>
      </c>
      <c r="R2504" s="13" t="str">
        <f t="shared" ref="R2504" si="1383">IF(AO2504&gt;0,HYPERLINK(AO2504,"Фото &gt;&gt;"),"")</f>
        <v>Фото &gt;&gt;</v>
      </c>
      <c r="S2504" s="14" t="s">
        <v>936</v>
      </c>
      <c r="AK2504">
        <v>0.28000000000000003</v>
      </c>
      <c r="AL2504">
        <f t="shared" si="1379"/>
        <v>0</v>
      </c>
      <c r="AM2504">
        <f t="shared" si="1380"/>
        <v>0</v>
      </c>
      <c r="AN2504">
        <f t="shared" si="1381"/>
        <v>0</v>
      </c>
      <c r="AO2504" t="s">
        <v>5167</v>
      </c>
      <c r="AV2504" t="str">
        <f>IF(F2504&gt;0,(COUNT($AV$1:AV2503)+1),"")</f>
        <v/>
      </c>
    </row>
    <row r="2505" spans="1:48" ht="15" customHeight="1" x14ac:dyDescent="0.25">
      <c r="A2505" s="1"/>
      <c r="B2505" s="30">
        <v>14528</v>
      </c>
      <c r="C2505" s="20">
        <v>4670052010317</v>
      </c>
      <c r="D2505" s="153" t="s">
        <v>3683</v>
      </c>
      <c r="E2505" s="67">
        <v>8</v>
      </c>
      <c r="F2505" s="222"/>
      <c r="G2505" s="107">
        <v>114.4</v>
      </c>
      <c r="H2505" s="21">
        <v>120.2</v>
      </c>
      <c r="I2505" s="22">
        <v>127</v>
      </c>
      <c r="J2505" s="112" t="s">
        <v>2914</v>
      </c>
      <c r="K2505" s="45" t="s">
        <v>101</v>
      </c>
      <c r="L2505" s="437"/>
      <c r="M2505" s="474" t="s">
        <v>1856</v>
      </c>
      <c r="N2505" s="1013" t="s">
        <v>1856</v>
      </c>
      <c r="O2505" s="212"/>
      <c r="P2505" s="66" t="s">
        <v>72</v>
      </c>
      <c r="Q2505" s="100">
        <f t="shared" si="1378"/>
        <v>0</v>
      </c>
      <c r="R2505" s="13" t="str">
        <f t="shared" si="1366"/>
        <v>Фото &gt;&gt;</v>
      </c>
      <c r="S2505" s="14" t="s">
        <v>937</v>
      </c>
      <c r="AK2505">
        <v>0.32</v>
      </c>
      <c r="AL2505">
        <f t="shared" si="1379"/>
        <v>0</v>
      </c>
      <c r="AM2505">
        <f t="shared" si="1380"/>
        <v>0</v>
      </c>
      <c r="AN2505">
        <f t="shared" si="1381"/>
        <v>0</v>
      </c>
      <c r="AO2505" t="s">
        <v>5168</v>
      </c>
      <c r="AV2505" t="str">
        <f>IF(F2505&gt;0,(COUNT($AV$1:AV2504)+1),"")</f>
        <v/>
      </c>
    </row>
    <row r="2506" spans="1:48" ht="15" customHeight="1" x14ac:dyDescent="0.25">
      <c r="A2506" s="1"/>
      <c r="B2506" s="31">
        <v>17890</v>
      </c>
      <c r="C2506" s="16">
        <v>4670052010324</v>
      </c>
      <c r="D2506" s="154" t="s">
        <v>3684</v>
      </c>
      <c r="E2506" s="69">
        <v>8</v>
      </c>
      <c r="F2506" s="222"/>
      <c r="G2506" s="108">
        <v>114.4</v>
      </c>
      <c r="H2506" s="17">
        <v>120.2</v>
      </c>
      <c r="I2506" s="18">
        <v>127</v>
      </c>
      <c r="J2506" s="113" t="s">
        <v>2914</v>
      </c>
      <c r="K2506" s="44" t="s">
        <v>101</v>
      </c>
      <c r="L2506" s="442"/>
      <c r="M2506" s="480" t="s">
        <v>1856</v>
      </c>
      <c r="N2506" s="1015" t="s">
        <v>1856</v>
      </c>
      <c r="O2506" s="217"/>
      <c r="P2506" s="68" t="s">
        <v>72</v>
      </c>
      <c r="Q2506" s="100">
        <f t="shared" si="1378"/>
        <v>0</v>
      </c>
      <c r="R2506" s="13" t="str">
        <f t="shared" si="1366"/>
        <v>Фото &gt;&gt;</v>
      </c>
      <c r="S2506" s="14" t="s">
        <v>3670</v>
      </c>
      <c r="AK2506">
        <v>0.32</v>
      </c>
      <c r="AL2506">
        <f t="shared" si="1379"/>
        <v>0</v>
      </c>
      <c r="AM2506">
        <f t="shared" si="1380"/>
        <v>0</v>
      </c>
      <c r="AN2506">
        <f t="shared" si="1381"/>
        <v>0</v>
      </c>
      <c r="AO2506" t="s">
        <v>5169</v>
      </c>
      <c r="AV2506" t="str">
        <f>IF(F2506&gt;0,(COUNT($AV$1:AV2505)+1),"")</f>
        <v/>
      </c>
    </row>
    <row r="2507" spans="1:48" ht="15" customHeight="1" x14ac:dyDescent="0.25">
      <c r="A2507" s="1"/>
      <c r="B2507" s="30">
        <v>41529</v>
      </c>
      <c r="C2507" s="20">
        <v>4670052010119</v>
      </c>
      <c r="D2507" s="153" t="s">
        <v>3685</v>
      </c>
      <c r="E2507" s="67">
        <v>8</v>
      </c>
      <c r="F2507" s="222"/>
      <c r="G2507" s="107">
        <v>151.69999999999999</v>
      </c>
      <c r="H2507" s="21">
        <v>159.1</v>
      </c>
      <c r="I2507" s="22">
        <v>167.5</v>
      </c>
      <c r="J2507" s="112" t="s">
        <v>2914</v>
      </c>
      <c r="K2507" s="45" t="s">
        <v>101</v>
      </c>
      <c r="L2507" s="437"/>
      <c r="M2507" s="474" t="s">
        <v>1856</v>
      </c>
      <c r="N2507" s="1013" t="s">
        <v>1856</v>
      </c>
      <c r="O2507" s="212"/>
      <c r="P2507" s="66" t="s">
        <v>72</v>
      </c>
      <c r="Q2507" s="100">
        <f t="shared" si="1378"/>
        <v>0</v>
      </c>
      <c r="R2507" s="13" t="str">
        <f t="shared" si="1366"/>
        <v>Фото &gt;&gt;</v>
      </c>
      <c r="S2507" s="14" t="s">
        <v>3671</v>
      </c>
      <c r="AK2507">
        <v>0.32</v>
      </c>
      <c r="AL2507">
        <f t="shared" si="1379"/>
        <v>0</v>
      </c>
      <c r="AM2507">
        <f t="shared" si="1380"/>
        <v>0</v>
      </c>
      <c r="AN2507">
        <f t="shared" si="1381"/>
        <v>0</v>
      </c>
      <c r="AO2507" t="s">
        <v>5170</v>
      </c>
      <c r="AV2507" t="str">
        <f>IF(F2507&gt;0,(COUNT($AV$1:AV2506)+1),"")</f>
        <v/>
      </c>
    </row>
    <row r="2508" spans="1:48" ht="15" customHeight="1" x14ac:dyDescent="0.25">
      <c r="A2508" s="1"/>
      <c r="B2508" s="31">
        <v>14523</v>
      </c>
      <c r="C2508" s="16">
        <v>4670052010355</v>
      </c>
      <c r="D2508" s="154" t="s">
        <v>3676</v>
      </c>
      <c r="E2508" s="69">
        <v>8</v>
      </c>
      <c r="F2508" s="222"/>
      <c r="G2508" s="108">
        <v>114.4</v>
      </c>
      <c r="H2508" s="17">
        <v>120.2</v>
      </c>
      <c r="I2508" s="18">
        <v>127</v>
      </c>
      <c r="J2508" s="113" t="s">
        <v>2914</v>
      </c>
      <c r="K2508" s="44" t="s">
        <v>101</v>
      </c>
      <c r="L2508" s="442"/>
      <c r="M2508" s="480" t="s">
        <v>1856</v>
      </c>
      <c r="N2508" s="1015" t="s">
        <v>1856</v>
      </c>
      <c r="O2508" s="217"/>
      <c r="P2508" s="68" t="s">
        <v>72</v>
      </c>
      <c r="Q2508" s="100">
        <f t="shared" si="1378"/>
        <v>0</v>
      </c>
      <c r="R2508" s="13" t="str">
        <f t="shared" ref="R2508" si="1384">IF(AO2508&gt;0,HYPERLINK(AO2508,"Фото &gt;&gt;"),"")</f>
        <v>Фото &gt;&gt;</v>
      </c>
      <c r="S2508" s="14" t="s">
        <v>940</v>
      </c>
      <c r="AK2508">
        <v>0.32</v>
      </c>
      <c r="AL2508">
        <f t="shared" ref="AL2508" si="1385">F2508*G2508</f>
        <v>0</v>
      </c>
      <c r="AM2508">
        <f t="shared" ref="AM2508" si="1386">F2508*H2508</f>
        <v>0</v>
      </c>
      <c r="AN2508">
        <f t="shared" si="1381"/>
        <v>0</v>
      </c>
      <c r="AO2508" t="s">
        <v>5171</v>
      </c>
      <c r="AV2508" t="str">
        <f>IF(F2508&gt;0,(COUNT($AV$1:AV2507)+1),"")</f>
        <v/>
      </c>
    </row>
    <row r="2509" spans="1:48" ht="15" customHeight="1" x14ac:dyDescent="0.25">
      <c r="A2509" s="1"/>
      <c r="B2509" s="30">
        <v>14518</v>
      </c>
      <c r="C2509" s="20">
        <v>4670052010270</v>
      </c>
      <c r="D2509" s="153" t="s">
        <v>3693</v>
      </c>
      <c r="E2509" s="67">
        <v>8</v>
      </c>
      <c r="F2509" s="222"/>
      <c r="G2509" s="107">
        <v>134.4</v>
      </c>
      <c r="H2509" s="21">
        <v>141.19999999999999</v>
      </c>
      <c r="I2509" s="22">
        <v>149</v>
      </c>
      <c r="J2509" s="112" t="s">
        <v>2914</v>
      </c>
      <c r="K2509" s="45" t="s">
        <v>101</v>
      </c>
      <c r="L2509" s="437"/>
      <c r="M2509" s="474" t="s">
        <v>104</v>
      </c>
      <c r="N2509" s="1013"/>
      <c r="O2509" s="212"/>
      <c r="P2509" s="66" t="s">
        <v>72</v>
      </c>
      <c r="Q2509" s="100">
        <f t="shared" si="1378"/>
        <v>0</v>
      </c>
      <c r="R2509" s="13" t="str">
        <f>IF(AO2509&gt;0,HYPERLINK(AO2509,"Фото &gt;&gt;"),"")</f>
        <v>Фото &gt;&gt;</v>
      </c>
      <c r="S2509" s="14" t="s">
        <v>938</v>
      </c>
      <c r="AK2509">
        <v>0.28000000000000003</v>
      </c>
      <c r="AL2509">
        <f t="shared" si="1379"/>
        <v>0</v>
      </c>
      <c r="AM2509">
        <f t="shared" si="1380"/>
        <v>0</v>
      </c>
      <c r="AN2509">
        <f t="shared" si="1381"/>
        <v>0</v>
      </c>
      <c r="AO2509" t="s">
        <v>5172</v>
      </c>
      <c r="AV2509" t="str">
        <f>IF(F2509&gt;0,(COUNT($AV$1:AV2508)+1),"")</f>
        <v/>
      </c>
    </row>
    <row r="2510" spans="1:48" ht="15" customHeight="1" x14ac:dyDescent="0.25">
      <c r="A2510" s="1"/>
      <c r="B2510" s="31">
        <v>14519</v>
      </c>
      <c r="C2510" s="16">
        <v>4670052010287</v>
      </c>
      <c r="D2510" s="154" t="s">
        <v>3692</v>
      </c>
      <c r="E2510" s="69">
        <v>8</v>
      </c>
      <c r="F2510" s="222"/>
      <c r="G2510" s="108">
        <v>134.4</v>
      </c>
      <c r="H2510" s="17">
        <v>141.19999999999999</v>
      </c>
      <c r="I2510" s="18">
        <v>149</v>
      </c>
      <c r="J2510" s="113" t="s">
        <v>2914</v>
      </c>
      <c r="K2510" s="44" t="s">
        <v>101</v>
      </c>
      <c r="L2510" s="442"/>
      <c r="M2510" s="480" t="s">
        <v>104</v>
      </c>
      <c r="N2510" s="1015" t="s">
        <v>1856</v>
      </c>
      <c r="O2510" s="217"/>
      <c r="P2510" s="68" t="s">
        <v>72</v>
      </c>
      <c r="Q2510" s="100">
        <f t="shared" si="1378"/>
        <v>0</v>
      </c>
      <c r="R2510" s="13" t="str">
        <f t="shared" si="1366"/>
        <v>Фото &gt;&gt;</v>
      </c>
      <c r="S2510" s="14" t="s">
        <v>939</v>
      </c>
      <c r="AK2510">
        <v>0.28000000000000003</v>
      </c>
      <c r="AL2510">
        <f t="shared" si="1379"/>
        <v>0</v>
      </c>
      <c r="AM2510">
        <f t="shared" si="1380"/>
        <v>0</v>
      </c>
      <c r="AN2510">
        <f t="shared" si="1381"/>
        <v>0</v>
      </c>
      <c r="AO2510" t="s">
        <v>5173</v>
      </c>
      <c r="AV2510" t="str">
        <f>IF(F2510&gt;0,(COUNT($AV$1:AV2509)+1),"")</f>
        <v/>
      </c>
    </row>
    <row r="2511" spans="1:48" ht="15" customHeight="1" x14ac:dyDescent="0.25">
      <c r="A2511" s="1"/>
      <c r="B2511" s="30">
        <v>14520</v>
      </c>
      <c r="C2511" s="20">
        <v>4670052010256</v>
      </c>
      <c r="D2511" s="153" t="s">
        <v>3675</v>
      </c>
      <c r="E2511" s="67">
        <v>8</v>
      </c>
      <c r="F2511" s="222"/>
      <c r="G2511" s="107">
        <v>134.4</v>
      </c>
      <c r="H2511" s="21">
        <v>141.19999999999999</v>
      </c>
      <c r="I2511" s="22">
        <v>149</v>
      </c>
      <c r="J2511" s="112" t="s">
        <v>2914</v>
      </c>
      <c r="K2511" s="45" t="s">
        <v>101</v>
      </c>
      <c r="L2511" s="437"/>
      <c r="M2511" s="474" t="s">
        <v>104</v>
      </c>
      <c r="N2511" s="1013" t="s">
        <v>1856</v>
      </c>
      <c r="O2511" s="212"/>
      <c r="P2511" s="66" t="s">
        <v>72</v>
      </c>
      <c r="Q2511" s="100">
        <f t="shared" si="1378"/>
        <v>0</v>
      </c>
      <c r="R2511" s="13" t="str">
        <f t="shared" ref="R2511" si="1387">IF(AO2511&gt;0,HYPERLINK(AO2511,"Фото &gt;&gt;"),"")</f>
        <v>Фото &gt;&gt;</v>
      </c>
      <c r="S2511" s="14" t="s">
        <v>944</v>
      </c>
      <c r="AK2511">
        <v>0.28000000000000003</v>
      </c>
      <c r="AL2511">
        <f t="shared" ref="AL2511" si="1388">F2511*G2511</f>
        <v>0</v>
      </c>
      <c r="AM2511">
        <f t="shared" ref="AM2511" si="1389">F2511*H2511</f>
        <v>0</v>
      </c>
      <c r="AN2511">
        <f t="shared" si="1381"/>
        <v>0</v>
      </c>
      <c r="AO2511" t="s">
        <v>5174</v>
      </c>
      <c r="AV2511" t="str">
        <f>IF(F2511&gt;0,(COUNT($AV$1:AV2510)+1),"")</f>
        <v/>
      </c>
    </row>
    <row r="2512" spans="1:48" ht="15" customHeight="1" x14ac:dyDescent="0.25">
      <c r="A2512" s="1"/>
      <c r="B2512" s="31">
        <v>14524</v>
      </c>
      <c r="C2512" s="16">
        <v>4670052010362</v>
      </c>
      <c r="D2512" s="154" t="s">
        <v>3687</v>
      </c>
      <c r="E2512" s="69">
        <v>8</v>
      </c>
      <c r="F2512" s="222"/>
      <c r="G2512" s="108">
        <v>114.4</v>
      </c>
      <c r="H2512" s="17">
        <v>120.2</v>
      </c>
      <c r="I2512" s="18">
        <v>127</v>
      </c>
      <c r="J2512" s="113" t="s">
        <v>2914</v>
      </c>
      <c r="K2512" s="44" t="s">
        <v>101</v>
      </c>
      <c r="L2512" s="442"/>
      <c r="M2512" s="480" t="s">
        <v>1856</v>
      </c>
      <c r="N2512" s="1015" t="s">
        <v>1856</v>
      </c>
      <c r="O2512" s="217"/>
      <c r="P2512" s="68" t="s">
        <v>72</v>
      </c>
      <c r="Q2512" s="100">
        <f t="shared" si="1378"/>
        <v>0</v>
      </c>
      <c r="R2512" s="13" t="str">
        <f t="shared" si="1366"/>
        <v>Фото &gt;&gt;</v>
      </c>
      <c r="S2512" s="14" t="s">
        <v>941</v>
      </c>
      <c r="AK2512">
        <v>0.32</v>
      </c>
      <c r="AL2512">
        <f t="shared" si="1379"/>
        <v>0</v>
      </c>
      <c r="AM2512">
        <f t="shared" si="1380"/>
        <v>0</v>
      </c>
      <c r="AN2512">
        <f t="shared" si="1381"/>
        <v>0</v>
      </c>
      <c r="AO2512" t="s">
        <v>5175</v>
      </c>
      <c r="AV2512" t="str">
        <f>IF(F2512&gt;0,(COUNT($AV$1:AV2511)+1),"")</f>
        <v/>
      </c>
    </row>
    <row r="2513" spans="1:48" ht="15" customHeight="1" x14ac:dyDescent="0.25">
      <c r="A2513" s="1"/>
      <c r="B2513" s="30">
        <v>17893</v>
      </c>
      <c r="C2513" s="20">
        <v>4670052010089</v>
      </c>
      <c r="D2513" s="153" t="s">
        <v>3690</v>
      </c>
      <c r="E2513" s="67">
        <v>8</v>
      </c>
      <c r="F2513" s="222"/>
      <c r="G2513" s="107">
        <v>161.80000000000001</v>
      </c>
      <c r="H2513" s="21">
        <v>170</v>
      </c>
      <c r="I2513" s="22">
        <v>179</v>
      </c>
      <c r="J2513" s="112" t="s">
        <v>2914</v>
      </c>
      <c r="K2513" s="45" t="s">
        <v>101</v>
      </c>
      <c r="L2513" s="437"/>
      <c r="M2513" s="474" t="s">
        <v>1856</v>
      </c>
      <c r="N2513" s="1013" t="s">
        <v>1856</v>
      </c>
      <c r="O2513" s="212"/>
      <c r="P2513" s="66" t="s">
        <v>72</v>
      </c>
      <c r="Q2513" s="100">
        <f t="shared" si="1378"/>
        <v>0</v>
      </c>
      <c r="R2513" s="13" t="str">
        <f t="shared" ref="R2513:R2514" si="1390">IF(AO2513&gt;0,HYPERLINK(AO2513,"Фото &gt;&gt;"),"")</f>
        <v>Фото &gt;&gt;</v>
      </c>
      <c r="S2513" s="14" t="s">
        <v>3673</v>
      </c>
      <c r="AK2513">
        <v>0.23</v>
      </c>
      <c r="AL2513">
        <f t="shared" ref="AL2513:AL2514" si="1391">F2513*G2513</f>
        <v>0</v>
      </c>
      <c r="AM2513">
        <f t="shared" ref="AM2513:AM2514" si="1392">F2513*H2513</f>
        <v>0</v>
      </c>
      <c r="AN2513">
        <f t="shared" si="1381"/>
        <v>0</v>
      </c>
      <c r="AO2513" t="s">
        <v>5176</v>
      </c>
      <c r="AV2513" t="str">
        <f>IF(F2513&gt;0,(COUNT($AV$1:AV2512)+1),"")</f>
        <v/>
      </c>
    </row>
    <row r="2514" spans="1:48" ht="15" customHeight="1" x14ac:dyDescent="0.25">
      <c r="A2514" s="1"/>
      <c r="B2514" s="31">
        <v>17894</v>
      </c>
      <c r="C2514" s="16">
        <v>4670052010072</v>
      </c>
      <c r="D2514" s="154" t="s">
        <v>3691</v>
      </c>
      <c r="E2514" s="69">
        <v>8</v>
      </c>
      <c r="F2514" s="222"/>
      <c r="G2514" s="108">
        <v>134.4</v>
      </c>
      <c r="H2514" s="17">
        <v>141.19999999999999</v>
      </c>
      <c r="I2514" s="18">
        <v>148.19999999999999</v>
      </c>
      <c r="J2514" s="113" t="s">
        <v>2914</v>
      </c>
      <c r="K2514" s="44" t="s">
        <v>101</v>
      </c>
      <c r="L2514" s="442"/>
      <c r="M2514" s="480" t="s">
        <v>1856</v>
      </c>
      <c r="N2514" s="1015" t="s">
        <v>1856</v>
      </c>
      <c r="O2514" s="217"/>
      <c r="P2514" s="68" t="s">
        <v>72</v>
      </c>
      <c r="Q2514" s="100">
        <f t="shared" si="1378"/>
        <v>0</v>
      </c>
      <c r="R2514" s="13" t="str">
        <f t="shared" si="1390"/>
        <v>Фото &gt;&gt;</v>
      </c>
      <c r="S2514" s="14" t="s">
        <v>3674</v>
      </c>
      <c r="AK2514">
        <v>0.23</v>
      </c>
      <c r="AL2514">
        <f t="shared" si="1391"/>
        <v>0</v>
      </c>
      <c r="AM2514">
        <f t="shared" si="1392"/>
        <v>0</v>
      </c>
      <c r="AN2514">
        <f t="shared" si="1381"/>
        <v>0</v>
      </c>
      <c r="AO2514" t="s">
        <v>5177</v>
      </c>
      <c r="AV2514" t="str">
        <f>IF(F2514&gt;0,(COUNT($AV$1:AV2513)+1),"")</f>
        <v/>
      </c>
    </row>
    <row r="2515" spans="1:48" ht="15" customHeight="1" x14ac:dyDescent="0.25">
      <c r="A2515" s="1"/>
      <c r="B2515" s="30">
        <v>14525</v>
      </c>
      <c r="C2515" s="20">
        <v>4670052010331</v>
      </c>
      <c r="D2515" s="153" t="s">
        <v>3688</v>
      </c>
      <c r="E2515" s="67">
        <v>8</v>
      </c>
      <c r="F2515" s="222"/>
      <c r="G2515" s="107">
        <v>114.4</v>
      </c>
      <c r="H2515" s="21">
        <v>120.2</v>
      </c>
      <c r="I2515" s="22">
        <v>127</v>
      </c>
      <c r="J2515" s="112" t="s">
        <v>2914</v>
      </c>
      <c r="K2515" s="45" t="s">
        <v>101</v>
      </c>
      <c r="L2515" s="437"/>
      <c r="M2515" s="474" t="s">
        <v>1856</v>
      </c>
      <c r="N2515" s="1013" t="s">
        <v>1856</v>
      </c>
      <c r="O2515" s="212"/>
      <c r="P2515" s="66" t="s">
        <v>72</v>
      </c>
      <c r="Q2515" s="100">
        <f t="shared" si="1378"/>
        <v>0</v>
      </c>
      <c r="R2515" s="13" t="str">
        <f t="shared" si="1366"/>
        <v>Фото &gt;&gt;</v>
      </c>
      <c r="S2515" s="14" t="s">
        <v>942</v>
      </c>
      <c r="AK2515">
        <v>0.32</v>
      </c>
      <c r="AL2515">
        <f t="shared" si="1379"/>
        <v>0</v>
      </c>
      <c r="AM2515">
        <f t="shared" si="1380"/>
        <v>0</v>
      </c>
      <c r="AN2515">
        <f t="shared" si="1381"/>
        <v>0</v>
      </c>
      <c r="AO2515" t="s">
        <v>5178</v>
      </c>
      <c r="AV2515" t="str">
        <f>IF(F2515&gt;0,(COUNT($AV$1:AV2514)+1),"")</f>
        <v/>
      </c>
    </row>
    <row r="2516" spans="1:48" ht="15" customHeight="1" x14ac:dyDescent="0.25">
      <c r="A2516" s="1"/>
      <c r="B2516" s="31">
        <v>14526</v>
      </c>
      <c r="C2516" s="16">
        <v>4670052010348</v>
      </c>
      <c r="D2516" s="154" t="s">
        <v>3689</v>
      </c>
      <c r="E2516" s="69">
        <v>8</v>
      </c>
      <c r="F2516" s="222"/>
      <c r="G2516" s="108">
        <v>114.4</v>
      </c>
      <c r="H2516" s="17">
        <v>120.2</v>
      </c>
      <c r="I2516" s="18">
        <v>127</v>
      </c>
      <c r="J2516" s="113" t="s">
        <v>2914</v>
      </c>
      <c r="K2516" s="44" t="s">
        <v>101</v>
      </c>
      <c r="L2516" s="442"/>
      <c r="M2516" s="480" t="s">
        <v>1856</v>
      </c>
      <c r="N2516" s="1015" t="s">
        <v>1856</v>
      </c>
      <c r="O2516" s="217"/>
      <c r="P2516" s="68" t="s">
        <v>72</v>
      </c>
      <c r="Q2516" s="100">
        <f t="shared" si="1378"/>
        <v>0</v>
      </c>
      <c r="R2516" s="13" t="str">
        <f t="shared" si="1366"/>
        <v>Фото &gt;&gt;</v>
      </c>
      <c r="S2516" s="14" t="s">
        <v>943</v>
      </c>
      <c r="AK2516">
        <v>0.32</v>
      </c>
      <c r="AL2516">
        <f t="shared" si="1379"/>
        <v>0</v>
      </c>
      <c r="AM2516">
        <f t="shared" si="1380"/>
        <v>0</v>
      </c>
      <c r="AN2516">
        <f t="shared" si="1381"/>
        <v>0</v>
      </c>
      <c r="AO2516" t="s">
        <v>5179</v>
      </c>
      <c r="AV2516" t="str">
        <f>IF(F2516&gt;0,(COUNT($AV$1:AV2515)+1),"")</f>
        <v/>
      </c>
    </row>
    <row r="2517" spans="1:48" ht="15" customHeight="1" x14ac:dyDescent="0.25">
      <c r="A2517" s="1"/>
      <c r="B2517" s="30">
        <v>17892</v>
      </c>
      <c r="C2517" s="20">
        <v>4620016841471</v>
      </c>
      <c r="D2517" s="153" t="s">
        <v>3686</v>
      </c>
      <c r="E2517" s="67">
        <v>14</v>
      </c>
      <c r="F2517" s="222"/>
      <c r="G2517" s="107">
        <v>141.30000000000001</v>
      </c>
      <c r="H2517" s="21">
        <v>148.4</v>
      </c>
      <c r="I2517" s="22">
        <v>156</v>
      </c>
      <c r="J2517" s="112" t="s">
        <v>2914</v>
      </c>
      <c r="K2517" s="45" t="s">
        <v>101</v>
      </c>
      <c r="L2517" s="437"/>
      <c r="M2517" s="474" t="s">
        <v>1856</v>
      </c>
      <c r="N2517" s="1013" t="s">
        <v>1856</v>
      </c>
      <c r="O2517" s="212"/>
      <c r="P2517" s="66" t="s">
        <v>72</v>
      </c>
      <c r="Q2517" s="100">
        <f t="shared" si="1378"/>
        <v>0</v>
      </c>
      <c r="R2517" s="13" t="str">
        <f t="shared" ref="R2517" si="1393">IF(AO2517&gt;0,HYPERLINK(AO2517,"Фото &gt;&gt;"),"")</f>
        <v>Фото &gt;&gt;</v>
      </c>
      <c r="S2517" s="14" t="s">
        <v>3672</v>
      </c>
      <c r="AK2517">
        <v>0.2</v>
      </c>
      <c r="AL2517">
        <f t="shared" ref="AL2517" si="1394">F2517*G2517</f>
        <v>0</v>
      </c>
      <c r="AM2517">
        <f t="shared" ref="AM2517" si="1395">F2517*H2517</f>
        <v>0</v>
      </c>
      <c r="AN2517">
        <f t="shared" si="1381"/>
        <v>0</v>
      </c>
      <c r="AO2517" t="s">
        <v>5180</v>
      </c>
      <c r="AV2517" t="str">
        <f>IF(F2517&gt;0,(COUNT($AV$1:AV2516)+1),"")</f>
        <v/>
      </c>
    </row>
    <row r="2518" spans="1:48" ht="15" customHeight="1" x14ac:dyDescent="0.25">
      <c r="A2518" s="1"/>
      <c r="B2518" s="25"/>
      <c r="C2518" s="26"/>
      <c r="D2518" s="27" t="s">
        <v>1429</v>
      </c>
      <c r="E2518" s="80"/>
      <c r="F2518" s="96"/>
      <c r="G2518" s="28"/>
      <c r="H2518" s="29"/>
      <c r="I2518" s="29"/>
      <c r="J2518" s="51"/>
      <c r="K2518" s="47"/>
      <c r="L2518" s="447"/>
      <c r="M2518" s="489"/>
      <c r="N2518" s="716"/>
      <c r="O2518" s="186"/>
      <c r="P2518" s="79"/>
      <c r="Q2518" s="104"/>
      <c r="R2518" s="13"/>
      <c r="S2518" s="14"/>
      <c r="AL2518">
        <f t="shared" si="1379"/>
        <v>0</v>
      </c>
      <c r="AM2518">
        <f t="shared" si="1380"/>
        <v>0</v>
      </c>
      <c r="AN2518">
        <f t="shared" si="1381"/>
        <v>0</v>
      </c>
      <c r="AO2518" t="s">
        <v>104</v>
      </c>
      <c r="AV2518" t="str">
        <f>IF(F2518&gt;0,(COUNT($AV$1:AV2517)+1),"")</f>
        <v/>
      </c>
    </row>
    <row r="2519" spans="1:48" ht="15" customHeight="1" x14ac:dyDescent="0.25">
      <c r="A2519" s="1"/>
      <c r="B2519" s="30">
        <v>17895</v>
      </c>
      <c r="C2519" s="20">
        <v>4670052010034</v>
      </c>
      <c r="D2519" s="153" t="s">
        <v>2976</v>
      </c>
      <c r="E2519" s="67">
        <v>10</v>
      </c>
      <c r="F2519" s="222"/>
      <c r="G2519" s="107">
        <v>89.9</v>
      </c>
      <c r="H2519" s="21">
        <v>94.6</v>
      </c>
      <c r="I2519" s="22">
        <v>99</v>
      </c>
      <c r="J2519" s="112" t="s">
        <v>2914</v>
      </c>
      <c r="K2519" s="45" t="s">
        <v>92</v>
      </c>
      <c r="L2519" s="437"/>
      <c r="M2519" s="474" t="s">
        <v>1856</v>
      </c>
      <c r="N2519" s="1013" t="s">
        <v>1856</v>
      </c>
      <c r="O2519" s="212"/>
      <c r="P2519" s="66" t="s">
        <v>100</v>
      </c>
      <c r="Q2519" s="100">
        <f>IF($AO$2497=2,F2519*H2519,IF($AO$2497=1,F2519*G2519,F2519*I2519))</f>
        <v>0</v>
      </c>
      <c r="R2519" s="13" t="str">
        <f t="shared" si="1366"/>
        <v>Фото &gt;&gt;</v>
      </c>
      <c r="S2519" s="14" t="s">
        <v>3694</v>
      </c>
      <c r="AK2519">
        <v>0.14000000000000001</v>
      </c>
      <c r="AL2519">
        <f t="shared" si="1379"/>
        <v>0</v>
      </c>
      <c r="AM2519">
        <f t="shared" si="1380"/>
        <v>0</v>
      </c>
      <c r="AN2519">
        <f t="shared" si="1381"/>
        <v>0</v>
      </c>
      <c r="AO2519" t="s">
        <v>5181</v>
      </c>
      <c r="AV2519" t="str">
        <f>IF(F2519&gt;0,(COUNT($AV$1:AV2518)+1),"")</f>
        <v/>
      </c>
    </row>
    <row r="2520" spans="1:48" ht="15" customHeight="1" x14ac:dyDescent="0.25">
      <c r="A2520" s="1"/>
      <c r="B2520" s="125"/>
      <c r="C2520" s="126"/>
      <c r="D2520" s="127"/>
      <c r="E2520" s="134"/>
      <c r="F2520" s="189"/>
      <c r="G2520" s="130"/>
      <c r="H2520" s="131"/>
      <c r="I2520" s="132"/>
      <c r="J2520" s="128"/>
      <c r="K2520" s="129"/>
      <c r="L2520" s="433"/>
      <c r="M2520" s="481" t="s">
        <v>104</v>
      </c>
      <c r="N2520" s="471"/>
      <c r="O2520" s="181"/>
      <c r="P2520" s="133"/>
      <c r="Q2520" s="135"/>
      <c r="R2520" s="13"/>
      <c r="S2520" s="14"/>
      <c r="AV2520" t="str">
        <f>IF(F2520&gt;0,(COUNT($AV$1:AV2519)+1),"")</f>
        <v/>
      </c>
    </row>
    <row r="2521" spans="1:48" ht="15" customHeight="1" thickBot="1" x14ac:dyDescent="0.3">
      <c r="A2521" s="1"/>
      <c r="B2521" s="136"/>
      <c r="C2521" s="137"/>
      <c r="D2521" s="138"/>
      <c r="E2521" s="145"/>
      <c r="F2521" s="190"/>
      <c r="G2521" s="141"/>
      <c r="H2521" s="142"/>
      <c r="I2521" s="143"/>
      <c r="J2521" s="139"/>
      <c r="K2521" s="140"/>
      <c r="L2521" s="434"/>
      <c r="M2521" s="477" t="s">
        <v>104</v>
      </c>
      <c r="N2521" s="468"/>
      <c r="O2521" s="182"/>
      <c r="P2521" s="144"/>
      <c r="Q2521" s="146"/>
      <c r="R2521" s="13"/>
      <c r="S2521" s="14"/>
      <c r="AV2521" t="str">
        <f>IF(F2521&gt;0,(COUNT($AV$1:AV2520)+1),"")</f>
        <v/>
      </c>
    </row>
    <row r="2522" spans="1:48" ht="24.75" customHeight="1" thickBot="1" x14ac:dyDescent="0.3">
      <c r="A2522" s="1"/>
      <c r="B2522" s="266"/>
      <c r="C2522" s="267"/>
      <c r="D2522" s="268" t="str">
        <f>CONCATENATE("Кронидов","     |     Сумма заказа: ",AK2522," руб.")</f>
        <v>Кронидов     |     Сумма заказа: 0 руб.</v>
      </c>
      <c r="E2522" s="269"/>
      <c r="F2522" s="270"/>
      <c r="G2522" s="271" t="str">
        <f>CONCATENATE("Ценовая колонка: ",AO2522,"   |   До следующей скидки: ",AJ2522," руб.")</f>
        <v>Ценовая колонка: 3   |   До следующей скидки: 5000 руб.</v>
      </c>
      <c r="H2522" s="272"/>
      <c r="I2522" s="272"/>
      <c r="J2522" s="273" t="s">
        <v>2225</v>
      </c>
      <c r="K2522" s="274"/>
      <c r="L2522" s="451"/>
      <c r="M2522" s="495" t="s">
        <v>104</v>
      </c>
      <c r="N2522" s="571"/>
      <c r="O2522" s="275"/>
      <c r="P2522" s="276"/>
      <c r="Q2522" s="277"/>
      <c r="R2522" s="265" t="s">
        <v>1558</v>
      </c>
      <c r="S2522" s="6"/>
      <c r="AJ2522">
        <f>ROUND(IF(AL2522&gt;40000,"0", IF(AND(AL2522&lt;40000,AM2522&gt;5000),40000-AL2522,5000-AM2522)),2)</f>
        <v>5000</v>
      </c>
      <c r="AK2522">
        <f>SUM(Q2528:Q2564)</f>
        <v>0</v>
      </c>
      <c r="AL2522">
        <f>SUM(AL2528:AL2564)</f>
        <v>0</v>
      </c>
      <c r="AM2522">
        <f>SUM(AM2528:AM2564)</f>
        <v>0</v>
      </c>
      <c r="AO2522">
        <f>IF(AM2522&gt;5000,IF(AL2522&gt;40000,1,2),3)</f>
        <v>3</v>
      </c>
      <c r="AV2522" t="str">
        <f>IF(F2522&gt;0,(COUNT($AV$1:AV2521)+1),"")</f>
        <v/>
      </c>
    </row>
    <row r="2523" spans="1:48" ht="15" customHeight="1" x14ac:dyDescent="0.25">
      <c r="A2523" s="1"/>
      <c r="B2523" s="158"/>
      <c r="C2523" s="159"/>
      <c r="D2523" s="263" t="s">
        <v>4174</v>
      </c>
      <c r="E2523" s="238"/>
      <c r="F2523" s="203"/>
      <c r="G2523" s="239"/>
      <c r="H2523" s="240"/>
      <c r="I2523" s="240"/>
      <c r="J2523" s="241"/>
      <c r="K2523" s="201"/>
      <c r="L2523" s="428"/>
      <c r="M2523" s="475"/>
      <c r="N2523" s="467"/>
      <c r="O2523" s="166"/>
      <c r="P2523" s="242"/>
      <c r="Q2523" s="202"/>
      <c r="R2523" s="13"/>
      <c r="S2523" s="14"/>
      <c r="AV2523" t="str">
        <f>IF(F2523&gt;0,(COUNT($AV$1:AV2522)+1),"")</f>
        <v/>
      </c>
    </row>
    <row r="2524" spans="1:48" ht="15" customHeight="1" x14ac:dyDescent="0.25">
      <c r="A2524" s="1"/>
      <c r="B2524" s="158"/>
      <c r="C2524" s="159"/>
      <c r="D2524" s="263" t="s">
        <v>4175</v>
      </c>
      <c r="E2524" s="238"/>
      <c r="F2524" s="203"/>
      <c r="G2524" s="239"/>
      <c r="H2524" s="240"/>
      <c r="I2524" s="240"/>
      <c r="J2524" s="241"/>
      <c r="K2524" s="201"/>
      <c r="L2524" s="428"/>
      <c r="M2524" s="475"/>
      <c r="N2524" s="467"/>
      <c r="O2524" s="166"/>
      <c r="P2524" s="242"/>
      <c r="Q2524" s="202"/>
      <c r="R2524" s="13"/>
      <c r="S2524" s="14"/>
      <c r="AV2524" t="str">
        <f>IF(F2524&gt;0,(COUNT($AV$1:AV2523)+1),"")</f>
        <v/>
      </c>
    </row>
    <row r="2525" spans="1:48" ht="15" customHeight="1" x14ac:dyDescent="0.25">
      <c r="A2525" s="1"/>
      <c r="B2525" s="158"/>
      <c r="C2525" s="159"/>
      <c r="D2525" s="263" t="s">
        <v>4176</v>
      </c>
      <c r="E2525" s="238"/>
      <c r="F2525" s="203"/>
      <c r="G2525" s="239"/>
      <c r="H2525" s="240"/>
      <c r="I2525" s="240"/>
      <c r="J2525" s="241"/>
      <c r="K2525" s="201"/>
      <c r="L2525" s="428"/>
      <c r="M2525" s="475"/>
      <c r="N2525" s="467"/>
      <c r="O2525" s="166"/>
      <c r="P2525" s="242"/>
      <c r="Q2525" s="202"/>
      <c r="R2525" s="13"/>
      <c r="S2525" s="14"/>
      <c r="AV2525" t="str">
        <f>IF(F2525&gt;0,(COUNT($AV$1:AV2524)+1),"")</f>
        <v/>
      </c>
    </row>
    <row r="2526" spans="1:48" ht="15" customHeight="1" x14ac:dyDescent="0.25">
      <c r="A2526" s="1"/>
      <c r="B2526" s="158"/>
      <c r="C2526" s="159"/>
      <c r="D2526" s="263" t="s">
        <v>4177</v>
      </c>
      <c r="E2526" s="238"/>
      <c r="F2526" s="203"/>
      <c r="G2526" s="239"/>
      <c r="H2526" s="240"/>
      <c r="I2526" s="240"/>
      <c r="J2526" s="241"/>
      <c r="K2526" s="201"/>
      <c r="L2526" s="428"/>
      <c r="M2526" s="475"/>
      <c r="N2526" s="467"/>
      <c r="O2526" s="166"/>
      <c r="P2526" s="242"/>
      <c r="Q2526" s="202"/>
      <c r="R2526" s="13"/>
      <c r="S2526" s="14"/>
      <c r="AV2526" t="str">
        <f>IF(F2526&gt;0,(COUNT($AV$1:AV2525)+1),"")</f>
        <v/>
      </c>
    </row>
    <row r="2527" spans="1:48" ht="27.95" customHeight="1" x14ac:dyDescent="0.25">
      <c r="A2527" s="1"/>
      <c r="B2527" s="297"/>
      <c r="C2527" s="283"/>
      <c r="D2527" s="284" t="s">
        <v>4184</v>
      </c>
      <c r="E2527" s="285"/>
      <c r="F2527" s="286"/>
      <c r="G2527" s="1232" t="s">
        <v>7585</v>
      </c>
      <c r="H2527" s="288" t="s">
        <v>16</v>
      </c>
      <c r="I2527" s="288"/>
      <c r="J2527" s="289"/>
      <c r="K2527" s="290"/>
      <c r="L2527" s="452"/>
      <c r="M2527" s="496" t="s">
        <v>104</v>
      </c>
      <c r="N2527" s="572"/>
      <c r="O2527" s="291"/>
      <c r="P2527" s="292"/>
      <c r="Q2527" s="293"/>
      <c r="R2527" s="2"/>
      <c r="S2527" s="14"/>
      <c r="AV2527" t="str">
        <f>IF(F2527&gt;0,(COUNT($AV$1:AV2526)+1),"")</f>
        <v/>
      </c>
    </row>
    <row r="2528" spans="1:48" ht="15" customHeight="1" x14ac:dyDescent="0.25">
      <c r="A2528" s="1"/>
      <c r="B2528" s="19">
        <v>20073</v>
      </c>
      <c r="C2528" s="20">
        <v>4630016340348</v>
      </c>
      <c r="D2528" s="394" t="s">
        <v>2228</v>
      </c>
      <c r="E2528" s="67">
        <v>15</v>
      </c>
      <c r="F2528" s="222"/>
      <c r="G2528" s="107">
        <v>361.3</v>
      </c>
      <c r="H2528" s="21">
        <v>398.2</v>
      </c>
      <c r="I2528" s="22">
        <v>405.4</v>
      </c>
      <c r="J2528" s="112" t="s">
        <v>2225</v>
      </c>
      <c r="K2528" s="45" t="s">
        <v>413</v>
      </c>
      <c r="L2528" s="437" t="s">
        <v>3258</v>
      </c>
      <c r="M2528" s="474" t="s">
        <v>1856</v>
      </c>
      <c r="N2528" s="1013"/>
      <c r="O2528" s="209"/>
      <c r="P2528" s="74" t="s">
        <v>50</v>
      </c>
      <c r="Q2528" s="100">
        <f t="shared" ref="Q2528:Q2534" si="1396">IF(AND($AO$2522=1,MOD(F2528,E2528)=0),F2528*G2528,IF($AO$2522&lt;=2,F2528*H2528,F2528*I2528))</f>
        <v>0</v>
      </c>
      <c r="R2528" s="13" t="str">
        <f t="shared" ref="R2528:R2534" si="1397">IF(AO2528&gt;0,HYPERLINK(AO2528,"Фото &gt;&gt;"),"")</f>
        <v>Фото &gt;&gt;</v>
      </c>
      <c r="S2528" s="14" t="s">
        <v>2234</v>
      </c>
      <c r="AK2528">
        <v>0.28000000000000003</v>
      </c>
      <c r="AL2528">
        <f t="shared" ref="AL2528:AL2534" si="1398">F2528*G2528</f>
        <v>0</v>
      </c>
      <c r="AM2528">
        <f t="shared" ref="AM2528:AM2534" si="1399">F2528*H2528</f>
        <v>0</v>
      </c>
      <c r="AN2528">
        <f t="shared" ref="AN2528:AN2534" si="1400">AK2528*F2528</f>
        <v>0</v>
      </c>
      <c r="AO2528" t="s">
        <v>2447</v>
      </c>
      <c r="AV2528" t="str">
        <f>IF(F2528&gt;0,(COUNT($AV$1:AV2527)+1),"")</f>
        <v/>
      </c>
    </row>
    <row r="2529" spans="1:48" ht="15" customHeight="1" x14ac:dyDescent="0.25">
      <c r="A2529" s="1"/>
      <c r="B2529" s="56">
        <v>20074</v>
      </c>
      <c r="C2529" s="33">
        <v>4630016340737</v>
      </c>
      <c r="D2529" s="395" t="s">
        <v>2235</v>
      </c>
      <c r="E2529" s="71">
        <v>12</v>
      </c>
      <c r="F2529" s="222"/>
      <c r="G2529" s="109">
        <v>429</v>
      </c>
      <c r="H2529" s="34">
        <v>446.2</v>
      </c>
      <c r="I2529" s="35">
        <v>480.5</v>
      </c>
      <c r="J2529" s="114" t="s">
        <v>2225</v>
      </c>
      <c r="K2529" s="57" t="s">
        <v>413</v>
      </c>
      <c r="L2529" s="438" t="s">
        <v>3258</v>
      </c>
      <c r="M2529" s="480" t="s">
        <v>1856</v>
      </c>
      <c r="N2529" s="1015"/>
      <c r="O2529" s="219"/>
      <c r="P2529" s="573" t="s">
        <v>50</v>
      </c>
      <c r="Q2529" s="100">
        <f t="shared" si="1396"/>
        <v>0</v>
      </c>
      <c r="R2529" s="13" t="str">
        <f t="shared" si="1397"/>
        <v>Фото &gt;&gt;</v>
      </c>
      <c r="S2529" s="14" t="s">
        <v>2237</v>
      </c>
      <c r="AK2529">
        <v>0.35</v>
      </c>
      <c r="AL2529">
        <f t="shared" si="1398"/>
        <v>0</v>
      </c>
      <c r="AM2529">
        <f t="shared" si="1399"/>
        <v>0</v>
      </c>
      <c r="AN2529">
        <f t="shared" si="1400"/>
        <v>0</v>
      </c>
      <c r="AO2529" t="s">
        <v>2448</v>
      </c>
      <c r="AV2529" t="str">
        <f>IF(F2529&gt;0,(COUNT($AV$1:AV2528)+1),"")</f>
        <v/>
      </c>
    </row>
    <row r="2530" spans="1:48" ht="15" customHeight="1" x14ac:dyDescent="0.25">
      <c r="A2530" s="1"/>
      <c r="B2530" s="19">
        <v>20067</v>
      </c>
      <c r="C2530" s="20">
        <v>4630016341376</v>
      </c>
      <c r="D2530" s="394" t="s">
        <v>2244</v>
      </c>
      <c r="E2530" s="67">
        <v>15</v>
      </c>
      <c r="F2530" s="222"/>
      <c r="G2530" s="107">
        <v>218.7</v>
      </c>
      <c r="H2530" s="21">
        <v>227.5</v>
      </c>
      <c r="I2530" s="22">
        <v>245.3</v>
      </c>
      <c r="J2530" s="112" t="s">
        <v>2225</v>
      </c>
      <c r="K2530" s="45" t="s">
        <v>413</v>
      </c>
      <c r="L2530" s="437" t="s">
        <v>3258</v>
      </c>
      <c r="M2530" s="474" t="s">
        <v>1856</v>
      </c>
      <c r="N2530" s="1013"/>
      <c r="O2530" s="209"/>
      <c r="P2530" s="74" t="s">
        <v>50</v>
      </c>
      <c r="Q2530" s="100">
        <f t="shared" si="1396"/>
        <v>0</v>
      </c>
      <c r="R2530" s="13" t="str">
        <f t="shared" si="1397"/>
        <v>Фото &gt;&gt;</v>
      </c>
      <c r="S2530" s="14" t="s">
        <v>2265</v>
      </c>
      <c r="AK2530">
        <v>0.28000000000000003</v>
      </c>
      <c r="AL2530">
        <f t="shared" si="1398"/>
        <v>0</v>
      </c>
      <c r="AM2530">
        <f t="shared" si="1399"/>
        <v>0</v>
      </c>
      <c r="AN2530">
        <f t="shared" si="1400"/>
        <v>0</v>
      </c>
      <c r="AO2530" t="s">
        <v>2445</v>
      </c>
      <c r="AV2530" t="str">
        <f>IF(F2530&gt;0,(COUNT($AV$1:AV2529)+1),"")</f>
        <v/>
      </c>
    </row>
    <row r="2531" spans="1:48" ht="15" customHeight="1" x14ac:dyDescent="0.25">
      <c r="A2531" s="1"/>
      <c r="B2531" s="56">
        <v>20066</v>
      </c>
      <c r="C2531" s="33">
        <v>4630016340430</v>
      </c>
      <c r="D2531" s="395" t="s">
        <v>2245</v>
      </c>
      <c r="E2531" s="71">
        <v>15</v>
      </c>
      <c r="F2531" s="222"/>
      <c r="G2531" s="109">
        <v>200.1</v>
      </c>
      <c r="H2531" s="34">
        <v>209.4</v>
      </c>
      <c r="I2531" s="35">
        <v>226.2</v>
      </c>
      <c r="J2531" s="114" t="s">
        <v>2225</v>
      </c>
      <c r="K2531" s="57" t="s">
        <v>413</v>
      </c>
      <c r="L2531" s="438" t="s">
        <v>3258</v>
      </c>
      <c r="M2531" s="480" t="s">
        <v>1856</v>
      </c>
      <c r="N2531" s="1015"/>
      <c r="O2531" s="219"/>
      <c r="P2531" s="573" t="s">
        <v>50</v>
      </c>
      <c r="Q2531" s="100">
        <f t="shared" si="1396"/>
        <v>0</v>
      </c>
      <c r="R2531" s="13" t="str">
        <f t="shared" si="1397"/>
        <v>Фото &gt;&gt;</v>
      </c>
      <c r="S2531" s="14" t="s">
        <v>2233</v>
      </c>
      <c r="AK2531">
        <v>0.28000000000000003</v>
      </c>
      <c r="AL2531">
        <f t="shared" si="1398"/>
        <v>0</v>
      </c>
      <c r="AM2531">
        <f t="shared" si="1399"/>
        <v>0</v>
      </c>
      <c r="AN2531">
        <f t="shared" si="1400"/>
        <v>0</v>
      </c>
      <c r="AO2531" t="s">
        <v>2446</v>
      </c>
      <c r="AV2531" t="str">
        <f>IF(F2531&gt;0,(COUNT($AV$1:AV2530)+1),"")</f>
        <v/>
      </c>
    </row>
    <row r="2532" spans="1:48" ht="15" customHeight="1" x14ac:dyDescent="0.25">
      <c r="A2532" s="1"/>
      <c r="B2532" s="19">
        <v>20645</v>
      </c>
      <c r="C2532" s="20">
        <v>4630016342342</v>
      </c>
      <c r="D2532" s="565" t="s">
        <v>4178</v>
      </c>
      <c r="E2532" s="67">
        <v>15</v>
      </c>
      <c r="F2532" s="222"/>
      <c r="G2532" s="107">
        <v>266.39999999999998</v>
      </c>
      <c r="H2532" s="21">
        <v>277.10000000000002</v>
      </c>
      <c r="I2532" s="22">
        <v>299</v>
      </c>
      <c r="J2532" s="112" t="s">
        <v>2225</v>
      </c>
      <c r="K2532" s="45" t="s">
        <v>413</v>
      </c>
      <c r="L2532" s="437" t="s">
        <v>3258</v>
      </c>
      <c r="M2532" s="474" t="s">
        <v>1856</v>
      </c>
      <c r="N2532" s="1013"/>
      <c r="O2532" s="209"/>
      <c r="P2532" s="74" t="s">
        <v>50</v>
      </c>
      <c r="Q2532" s="100">
        <f t="shared" si="1396"/>
        <v>0</v>
      </c>
      <c r="R2532" s="13" t="str">
        <f t="shared" si="1397"/>
        <v>Фото &gt;&gt;</v>
      </c>
      <c r="S2532" s="14" t="s">
        <v>4180</v>
      </c>
      <c r="AK2532">
        <v>0.28000000000000003</v>
      </c>
      <c r="AL2532">
        <f t="shared" si="1398"/>
        <v>0</v>
      </c>
      <c r="AM2532">
        <f t="shared" si="1399"/>
        <v>0</v>
      </c>
      <c r="AN2532">
        <f t="shared" si="1400"/>
        <v>0</v>
      </c>
      <c r="AO2532" t="s">
        <v>4179</v>
      </c>
      <c r="AV2532" t="str">
        <f>IF(F2532&gt;0,(COUNT($AV$1:AV2531)+1),"")</f>
        <v/>
      </c>
    </row>
    <row r="2533" spans="1:48" ht="15" customHeight="1" x14ac:dyDescent="0.25">
      <c r="A2533" s="1"/>
      <c r="B2533" s="56">
        <v>20417</v>
      </c>
      <c r="C2533" s="33">
        <v>4630016340973</v>
      </c>
      <c r="D2533" s="395" t="s">
        <v>3854</v>
      </c>
      <c r="E2533" s="71">
        <v>12</v>
      </c>
      <c r="F2533" s="222"/>
      <c r="G2533" s="109">
        <v>212.2</v>
      </c>
      <c r="H2533" s="34">
        <v>220.8</v>
      </c>
      <c r="I2533" s="35">
        <v>237.8</v>
      </c>
      <c r="J2533" s="114" t="s">
        <v>2225</v>
      </c>
      <c r="K2533" s="57" t="s">
        <v>413</v>
      </c>
      <c r="L2533" s="438" t="s">
        <v>3258</v>
      </c>
      <c r="M2533" s="480" t="s">
        <v>1856</v>
      </c>
      <c r="N2533" s="1015"/>
      <c r="O2533" s="219"/>
      <c r="P2533" s="573" t="s">
        <v>50</v>
      </c>
      <c r="Q2533" s="100">
        <f t="shared" si="1396"/>
        <v>0</v>
      </c>
      <c r="R2533" s="13" t="str">
        <f t="shared" si="1397"/>
        <v>Фото &gt;&gt;</v>
      </c>
      <c r="S2533" s="14" t="s">
        <v>3856</v>
      </c>
      <c r="AK2533">
        <v>0.28000000000000003</v>
      </c>
      <c r="AL2533">
        <f t="shared" si="1398"/>
        <v>0</v>
      </c>
      <c r="AM2533">
        <f t="shared" si="1399"/>
        <v>0</v>
      </c>
      <c r="AN2533">
        <f t="shared" si="1400"/>
        <v>0</v>
      </c>
      <c r="AO2533" t="s">
        <v>3855</v>
      </c>
      <c r="AV2533" t="str">
        <f>IF(F2533&gt;0,(COUNT($AV$1:AV2532)+1),"")</f>
        <v/>
      </c>
    </row>
    <row r="2534" spans="1:48" ht="15" customHeight="1" x14ac:dyDescent="0.25">
      <c r="A2534" s="1"/>
      <c r="B2534" s="19">
        <v>20069</v>
      </c>
      <c r="C2534" s="20">
        <v>4630016341666</v>
      </c>
      <c r="D2534" s="394" t="s">
        <v>2229</v>
      </c>
      <c r="E2534" s="67">
        <v>15</v>
      </c>
      <c r="F2534" s="222"/>
      <c r="G2534" s="107">
        <v>218.7</v>
      </c>
      <c r="H2534" s="21">
        <v>227.5</v>
      </c>
      <c r="I2534" s="22">
        <v>245.3</v>
      </c>
      <c r="J2534" s="112" t="s">
        <v>2225</v>
      </c>
      <c r="K2534" s="45" t="s">
        <v>413</v>
      </c>
      <c r="L2534" s="437" t="s">
        <v>3258</v>
      </c>
      <c r="M2534" s="474" t="s">
        <v>1856</v>
      </c>
      <c r="N2534" s="1013"/>
      <c r="O2534" s="209"/>
      <c r="P2534" s="74" t="s">
        <v>50</v>
      </c>
      <c r="Q2534" s="100">
        <f t="shared" si="1396"/>
        <v>0</v>
      </c>
      <c r="R2534" s="13" t="str">
        <f t="shared" si="1397"/>
        <v>Фото &gt;&gt;</v>
      </c>
      <c r="S2534" s="14" t="s">
        <v>2251</v>
      </c>
      <c r="AK2534">
        <v>0.28000000000000003</v>
      </c>
      <c r="AL2534">
        <f t="shared" si="1398"/>
        <v>0</v>
      </c>
      <c r="AM2534">
        <f t="shared" si="1399"/>
        <v>0</v>
      </c>
      <c r="AN2534">
        <f t="shared" si="1400"/>
        <v>0</v>
      </c>
      <c r="AO2534" t="s">
        <v>2449</v>
      </c>
      <c r="AV2534" t="str">
        <f>IF(F2534&gt;0,(COUNT($AV$1:AV2533)+1),"")</f>
        <v/>
      </c>
    </row>
    <row r="2535" spans="1:48" ht="15" customHeight="1" x14ac:dyDescent="0.25">
      <c r="A2535" s="1"/>
      <c r="B2535" s="25"/>
      <c r="C2535" s="26"/>
      <c r="D2535" s="27" t="s">
        <v>4185</v>
      </c>
      <c r="E2535" s="80"/>
      <c r="F2535" s="96"/>
      <c r="G2535" s="28"/>
      <c r="H2535" s="29"/>
      <c r="I2535" s="29"/>
      <c r="J2535" s="51"/>
      <c r="K2535" s="47"/>
      <c r="L2535" s="447"/>
      <c r="M2535" s="489"/>
      <c r="N2535" s="716"/>
      <c r="O2535" s="186"/>
      <c r="P2535" s="79"/>
      <c r="Q2535" s="79"/>
      <c r="R2535" s="13"/>
      <c r="S2535" s="14"/>
      <c r="AG2535" s="84"/>
      <c r="AH2535" s="84"/>
      <c r="AV2535" t="str">
        <f>IF(F2535&gt;0,(COUNT($AV$1:AV2534)+1),"")</f>
        <v/>
      </c>
    </row>
    <row r="2536" spans="1:48" ht="15" customHeight="1" x14ac:dyDescent="0.25">
      <c r="A2536" s="1"/>
      <c r="B2536" s="19">
        <v>20638</v>
      </c>
      <c r="C2536" s="20">
        <v>4630016342267</v>
      </c>
      <c r="D2536" s="565" t="s">
        <v>4186</v>
      </c>
      <c r="E2536" s="67">
        <v>12</v>
      </c>
      <c r="F2536" s="222"/>
      <c r="G2536" s="107">
        <v>218.7</v>
      </c>
      <c r="H2536" s="21">
        <v>227.5</v>
      </c>
      <c r="I2536" s="22">
        <v>245.3</v>
      </c>
      <c r="J2536" s="112" t="s">
        <v>2225</v>
      </c>
      <c r="K2536" s="45" t="s">
        <v>413</v>
      </c>
      <c r="L2536" s="437"/>
      <c r="M2536" s="474" t="s">
        <v>1856</v>
      </c>
      <c r="N2536" s="1013"/>
      <c r="O2536" s="209"/>
      <c r="P2536" s="74" t="s">
        <v>50</v>
      </c>
      <c r="Q2536" s="100">
        <f t="shared" ref="Q2536:Q2542" si="1401">IF(AND($AO$2522=1,MOD(F2536,E2536)=0),F2536*G2536,IF($AO$2522&lt;=2,F2536*H2536,F2536*I2536))</f>
        <v>0</v>
      </c>
      <c r="R2536" s="13" t="str">
        <f t="shared" ref="R2536:R2542" si="1402">IF(AO2536&gt;0,HYPERLINK(AO2536,"Фото &gt;&gt;"),"")</f>
        <v>Фото &gt;&gt;</v>
      </c>
      <c r="S2536" s="14" t="s">
        <v>4187</v>
      </c>
      <c r="AK2536">
        <v>0.33</v>
      </c>
      <c r="AL2536">
        <f t="shared" ref="AL2536:AL2542" si="1403">F2536*G2536</f>
        <v>0</v>
      </c>
      <c r="AM2536">
        <f t="shared" ref="AM2536:AM2542" si="1404">F2536*H2536</f>
        <v>0</v>
      </c>
      <c r="AN2536">
        <f t="shared" ref="AN2536:AN2542" si="1405">AK2536*F2536</f>
        <v>0</v>
      </c>
      <c r="AO2536" t="s">
        <v>4196</v>
      </c>
      <c r="AV2536" t="str">
        <f>IF(F2536&gt;0,(COUNT($AV$1:AV2535)+1),"")</f>
        <v/>
      </c>
    </row>
    <row r="2537" spans="1:48" ht="15" customHeight="1" x14ac:dyDescent="0.25">
      <c r="A2537" s="1"/>
      <c r="B2537" s="56">
        <v>20642</v>
      </c>
      <c r="C2537" s="33">
        <v>4630016342106</v>
      </c>
      <c r="D2537" s="566" t="s">
        <v>4191</v>
      </c>
      <c r="E2537" s="71">
        <v>15</v>
      </c>
      <c r="F2537" s="222"/>
      <c r="G2537" s="109">
        <v>183.7</v>
      </c>
      <c r="H2537" s="34">
        <v>191.1</v>
      </c>
      <c r="I2537" s="35">
        <v>206.1</v>
      </c>
      <c r="J2537" s="114" t="s">
        <v>2225</v>
      </c>
      <c r="K2537" s="57" t="s">
        <v>413</v>
      </c>
      <c r="L2537" s="438"/>
      <c r="M2537" s="480" t="s">
        <v>1856</v>
      </c>
      <c r="N2537" s="1015"/>
      <c r="O2537" s="219"/>
      <c r="P2537" s="573" t="s">
        <v>50</v>
      </c>
      <c r="Q2537" s="100">
        <f t="shared" si="1401"/>
        <v>0</v>
      </c>
      <c r="R2537" s="13" t="str">
        <f t="shared" si="1402"/>
        <v>Фото &gt;&gt;</v>
      </c>
      <c r="S2537" s="14" t="s">
        <v>4190</v>
      </c>
      <c r="AK2537">
        <v>0.28000000000000003</v>
      </c>
      <c r="AL2537">
        <f t="shared" si="1403"/>
        <v>0</v>
      </c>
      <c r="AM2537">
        <f t="shared" si="1404"/>
        <v>0</v>
      </c>
      <c r="AN2537">
        <f t="shared" si="1405"/>
        <v>0</v>
      </c>
      <c r="AO2537" t="s">
        <v>4197</v>
      </c>
      <c r="AV2537" t="str">
        <f>IF(F2537&gt;0,(COUNT($AV$1:AV2536)+1),"")</f>
        <v/>
      </c>
    </row>
    <row r="2538" spans="1:48" ht="15" customHeight="1" x14ac:dyDescent="0.25">
      <c r="A2538" s="1"/>
      <c r="B2538" s="19">
        <v>20644</v>
      </c>
      <c r="C2538" s="20">
        <v>4630016342243</v>
      </c>
      <c r="D2538" s="565" t="s">
        <v>4188</v>
      </c>
      <c r="E2538" s="67">
        <v>15</v>
      </c>
      <c r="F2538" s="222"/>
      <c r="G2538" s="107">
        <v>249.4</v>
      </c>
      <c r="H2538" s="21">
        <v>259.39999999999998</v>
      </c>
      <c r="I2538" s="22">
        <v>280</v>
      </c>
      <c r="J2538" s="112" t="s">
        <v>2225</v>
      </c>
      <c r="K2538" s="45" t="s">
        <v>413</v>
      </c>
      <c r="L2538" s="437"/>
      <c r="M2538" s="474" t="s">
        <v>1856</v>
      </c>
      <c r="N2538" s="1013"/>
      <c r="O2538" s="209"/>
      <c r="P2538" s="74" t="s">
        <v>50</v>
      </c>
      <c r="Q2538" s="100">
        <f t="shared" si="1401"/>
        <v>0</v>
      </c>
      <c r="R2538" s="13" t="str">
        <f t="shared" si="1402"/>
        <v>Фото &gt;&gt;</v>
      </c>
      <c r="S2538" s="14" t="s">
        <v>4189</v>
      </c>
      <c r="AK2538">
        <v>0.28000000000000003</v>
      </c>
      <c r="AL2538">
        <f t="shared" si="1403"/>
        <v>0</v>
      </c>
      <c r="AM2538">
        <f t="shared" si="1404"/>
        <v>0</v>
      </c>
      <c r="AN2538">
        <f t="shared" si="1405"/>
        <v>0</v>
      </c>
      <c r="AO2538" t="s">
        <v>4198</v>
      </c>
      <c r="AV2538" t="str">
        <f>IF(F2538&gt;0,(COUNT($AV$1:AV2537)+1),"")</f>
        <v/>
      </c>
    </row>
    <row r="2539" spans="1:48" ht="15" customHeight="1" x14ac:dyDescent="0.25">
      <c r="A2539" s="1"/>
      <c r="B2539" s="56">
        <v>20643</v>
      </c>
      <c r="C2539" s="33">
        <v>4630016342335</v>
      </c>
      <c r="D2539" s="566" t="s">
        <v>4192</v>
      </c>
      <c r="E2539" s="71">
        <v>15</v>
      </c>
      <c r="F2539" s="222"/>
      <c r="G2539" s="109">
        <v>205.6</v>
      </c>
      <c r="H2539" s="34">
        <v>213.8</v>
      </c>
      <c r="I2539" s="35">
        <v>230.3</v>
      </c>
      <c r="J2539" s="114" t="s">
        <v>2225</v>
      </c>
      <c r="K2539" s="57" t="s">
        <v>413</v>
      </c>
      <c r="L2539" s="438"/>
      <c r="M2539" s="480" t="s">
        <v>1856</v>
      </c>
      <c r="N2539" s="1015"/>
      <c r="O2539" s="219"/>
      <c r="P2539" s="573" t="s">
        <v>50</v>
      </c>
      <c r="Q2539" s="100">
        <f t="shared" si="1401"/>
        <v>0</v>
      </c>
      <c r="R2539" s="13" t="str">
        <f t="shared" si="1402"/>
        <v>Фото &gt;&gt;</v>
      </c>
      <c r="S2539" s="14" t="s">
        <v>4193</v>
      </c>
      <c r="AK2539">
        <v>0.28000000000000003</v>
      </c>
      <c r="AL2539">
        <f t="shared" si="1403"/>
        <v>0</v>
      </c>
      <c r="AM2539">
        <f t="shared" si="1404"/>
        <v>0</v>
      </c>
      <c r="AN2539">
        <f t="shared" si="1405"/>
        <v>0</v>
      </c>
      <c r="AO2539" t="s">
        <v>4199</v>
      </c>
      <c r="AV2539" t="str">
        <f>IF(F2539&gt;0,(COUNT($AV$1:AV2538)+1),"")</f>
        <v/>
      </c>
    </row>
    <row r="2540" spans="1:48" ht="15" customHeight="1" x14ac:dyDescent="0.25">
      <c r="A2540" s="1"/>
      <c r="B2540" s="19">
        <v>20640</v>
      </c>
      <c r="C2540" s="20">
        <v>4630016342328</v>
      </c>
      <c r="D2540" s="565" t="s">
        <v>4194</v>
      </c>
      <c r="E2540" s="67">
        <v>15</v>
      </c>
      <c r="F2540" s="222"/>
      <c r="G2540" s="107">
        <v>231.8</v>
      </c>
      <c r="H2540" s="21">
        <v>241.1</v>
      </c>
      <c r="I2540" s="22">
        <v>259.8</v>
      </c>
      <c r="J2540" s="112" t="s">
        <v>2225</v>
      </c>
      <c r="K2540" s="45" t="s">
        <v>413</v>
      </c>
      <c r="L2540" s="437"/>
      <c r="M2540" s="474"/>
      <c r="N2540" s="1013"/>
      <c r="O2540" s="209"/>
      <c r="P2540" s="74" t="s">
        <v>50</v>
      </c>
      <c r="Q2540" s="100">
        <f t="shared" si="1401"/>
        <v>0</v>
      </c>
      <c r="R2540" s="13" t="str">
        <f t="shared" si="1402"/>
        <v>Фото &gt;&gt;</v>
      </c>
      <c r="S2540" s="14" t="s">
        <v>4195</v>
      </c>
      <c r="AK2540">
        <v>0.28000000000000003</v>
      </c>
      <c r="AL2540">
        <f t="shared" si="1403"/>
        <v>0</v>
      </c>
      <c r="AM2540">
        <f t="shared" si="1404"/>
        <v>0</v>
      </c>
      <c r="AN2540">
        <f t="shared" si="1405"/>
        <v>0</v>
      </c>
      <c r="AO2540" t="s">
        <v>4200</v>
      </c>
      <c r="AV2540" t="str">
        <f>IF(F2540&gt;0,(COUNT($AV$1:AV2539)+1),"")</f>
        <v/>
      </c>
    </row>
    <row r="2541" spans="1:48" ht="15" customHeight="1" x14ac:dyDescent="0.25">
      <c r="A2541" s="1"/>
      <c r="B2541" s="56">
        <v>20075</v>
      </c>
      <c r="C2541" s="33">
        <v>4630016340911</v>
      </c>
      <c r="D2541" s="395" t="s">
        <v>2230</v>
      </c>
      <c r="E2541" s="71">
        <v>15</v>
      </c>
      <c r="F2541" s="222"/>
      <c r="G2541" s="109">
        <v>221.3</v>
      </c>
      <c r="H2541" s="34">
        <v>230.2</v>
      </c>
      <c r="I2541" s="35">
        <v>247.9</v>
      </c>
      <c r="J2541" s="114" t="s">
        <v>2225</v>
      </c>
      <c r="K2541" s="57" t="s">
        <v>413</v>
      </c>
      <c r="L2541" s="438"/>
      <c r="M2541" s="480" t="s">
        <v>1856</v>
      </c>
      <c r="N2541" s="1015"/>
      <c r="O2541" s="219"/>
      <c r="P2541" s="573" t="s">
        <v>50</v>
      </c>
      <c r="Q2541" s="100">
        <f t="shared" si="1401"/>
        <v>0</v>
      </c>
      <c r="R2541" s="13" t="str">
        <f t="shared" si="1402"/>
        <v>Фото &gt;&gt;</v>
      </c>
      <c r="S2541" s="14" t="s">
        <v>2243</v>
      </c>
      <c r="AK2541">
        <v>0.28000000000000003</v>
      </c>
      <c r="AL2541">
        <f t="shared" si="1403"/>
        <v>0</v>
      </c>
      <c r="AM2541">
        <f t="shared" si="1404"/>
        <v>0</v>
      </c>
      <c r="AN2541">
        <f t="shared" si="1405"/>
        <v>0</v>
      </c>
      <c r="AO2541" t="s">
        <v>2463</v>
      </c>
      <c r="AV2541" t="str">
        <f>IF(F2541&gt;0,(COUNT($AV$1:AV2540)+1),"")</f>
        <v/>
      </c>
    </row>
    <row r="2542" spans="1:48" ht="15" customHeight="1" x14ac:dyDescent="0.25">
      <c r="A2542" s="1"/>
      <c r="B2542" s="19">
        <v>20062</v>
      </c>
      <c r="C2542" s="20">
        <v>4630016340232</v>
      </c>
      <c r="D2542" s="394" t="s">
        <v>2231</v>
      </c>
      <c r="E2542" s="67">
        <v>12</v>
      </c>
      <c r="F2542" s="222"/>
      <c r="G2542" s="107">
        <v>218.7</v>
      </c>
      <c r="H2542" s="21">
        <v>227.5</v>
      </c>
      <c r="I2542" s="22">
        <v>245.3</v>
      </c>
      <c r="J2542" s="112" t="s">
        <v>2225</v>
      </c>
      <c r="K2542" s="45" t="s">
        <v>413</v>
      </c>
      <c r="L2542" s="437"/>
      <c r="M2542" s="474" t="s">
        <v>1856</v>
      </c>
      <c r="N2542" s="1013"/>
      <c r="O2542" s="209"/>
      <c r="P2542" s="74" t="s">
        <v>50</v>
      </c>
      <c r="Q2542" s="100">
        <f t="shared" si="1401"/>
        <v>0</v>
      </c>
      <c r="R2542" s="13" t="str">
        <f t="shared" si="1402"/>
        <v>Фото &gt;&gt;</v>
      </c>
      <c r="S2542" s="14" t="s">
        <v>2242</v>
      </c>
      <c r="AK2542">
        <v>0.35</v>
      </c>
      <c r="AL2542">
        <f t="shared" si="1403"/>
        <v>0</v>
      </c>
      <c r="AM2542">
        <f t="shared" si="1404"/>
        <v>0</v>
      </c>
      <c r="AN2542">
        <f t="shared" si="1405"/>
        <v>0</v>
      </c>
      <c r="AO2542" t="s">
        <v>2464</v>
      </c>
      <c r="AV2542" t="str">
        <f>IF(F2542&gt;0,(COUNT($AV$1:AV2541)+1),"")</f>
        <v/>
      </c>
    </row>
    <row r="2543" spans="1:48" ht="15" customHeight="1" x14ac:dyDescent="0.25">
      <c r="A2543" s="1"/>
      <c r="B2543" s="25"/>
      <c r="C2543" s="26"/>
      <c r="D2543" s="27" t="s">
        <v>101</v>
      </c>
      <c r="E2543" s="80"/>
      <c r="F2543" s="96"/>
      <c r="G2543" s="28"/>
      <c r="H2543" s="29"/>
      <c r="I2543" s="29"/>
      <c r="J2543" s="51"/>
      <c r="K2543" s="47"/>
      <c r="L2543" s="447"/>
      <c r="M2543" s="489"/>
      <c r="N2543" s="716"/>
      <c r="O2543" s="186"/>
      <c r="P2543" s="79"/>
      <c r="Q2543" s="79"/>
      <c r="R2543" s="13"/>
      <c r="S2543" s="14"/>
      <c r="AG2543" s="84"/>
      <c r="AH2543" s="84"/>
      <c r="AV2543" t="str">
        <f>IF(F2543&gt;0,(COUNT($AV$1:AV2542)+1),"")</f>
        <v/>
      </c>
    </row>
    <row r="2544" spans="1:48" ht="15" customHeight="1" x14ac:dyDescent="0.25">
      <c r="A2544" s="1"/>
      <c r="B2544" s="19">
        <v>20064</v>
      </c>
      <c r="C2544" s="20">
        <v>4630016340416</v>
      </c>
      <c r="D2544" s="394" t="s">
        <v>2246</v>
      </c>
      <c r="E2544" s="67">
        <v>15</v>
      </c>
      <c r="F2544" s="222"/>
      <c r="G2544" s="107">
        <v>189.1</v>
      </c>
      <c r="H2544" s="21">
        <v>196.6</v>
      </c>
      <c r="I2544" s="22">
        <v>211.7</v>
      </c>
      <c r="J2544" s="112" t="s">
        <v>2225</v>
      </c>
      <c r="K2544" s="45" t="s">
        <v>413</v>
      </c>
      <c r="L2544" s="437"/>
      <c r="M2544" s="474" t="s">
        <v>1856</v>
      </c>
      <c r="N2544" s="1013"/>
      <c r="O2544" s="209"/>
      <c r="P2544" s="74" t="s">
        <v>50</v>
      </c>
      <c r="Q2544" s="100">
        <f>IF(AND($AO$2522=1,MOD(F2544,E2544)=0),F2544*G2544,IF($AO$2522&lt;=2,F2544*H2544,F2544*I2544))</f>
        <v>0</v>
      </c>
      <c r="R2544" s="13" t="str">
        <f t="shared" ref="R2544:R2547" si="1406">IF(AO2544&gt;0,HYPERLINK(AO2544,"Фото &gt;&gt;"),"")</f>
        <v>Фото &gt;&gt;</v>
      </c>
      <c r="S2544" s="14" t="s">
        <v>2236</v>
      </c>
      <c r="AK2544">
        <v>0.28000000000000003</v>
      </c>
      <c r="AL2544">
        <f t="shared" ref="AL2544:AL2547" si="1407">F2544*G2544</f>
        <v>0</v>
      </c>
      <c r="AM2544">
        <f t="shared" ref="AM2544:AM2547" si="1408">F2544*H2544</f>
        <v>0</v>
      </c>
      <c r="AN2544">
        <f t="shared" ref="AN2544:AN2547" si="1409">AK2544*F2544</f>
        <v>0</v>
      </c>
      <c r="AO2544" t="s">
        <v>2450</v>
      </c>
      <c r="AV2544" t="str">
        <f>IF(F2544&gt;0,(COUNT($AV$1:AV2543)+1),"")</f>
        <v/>
      </c>
    </row>
    <row r="2545" spans="1:48" ht="15" customHeight="1" x14ac:dyDescent="0.25">
      <c r="A2545" s="1"/>
      <c r="B2545" s="56">
        <v>20086</v>
      </c>
      <c r="C2545" s="33">
        <v>4630016341086</v>
      </c>
      <c r="D2545" s="566" t="s">
        <v>7266</v>
      </c>
      <c r="E2545" s="71">
        <v>15</v>
      </c>
      <c r="F2545" s="222"/>
      <c r="G2545" s="109">
        <v>170.6</v>
      </c>
      <c r="H2545" s="34">
        <v>177.4</v>
      </c>
      <c r="I2545" s="35">
        <v>191.5</v>
      </c>
      <c r="J2545" s="114" t="s">
        <v>2225</v>
      </c>
      <c r="K2545" s="57" t="s">
        <v>413</v>
      </c>
      <c r="L2545" s="438"/>
      <c r="M2545" s="480" t="s">
        <v>1856</v>
      </c>
      <c r="N2545" s="1015"/>
      <c r="O2545" s="219"/>
      <c r="P2545" s="573" t="s">
        <v>50</v>
      </c>
      <c r="Q2545" s="100">
        <f>IF(AND($AO$2522=1,MOD(F2545,E2545)=0),F2545*G2545,IF($AO$2522&lt;=2,F2545*H2545,F2545*I2545))</f>
        <v>0</v>
      </c>
      <c r="R2545" s="13" t="str">
        <f t="shared" si="1406"/>
        <v>Фото &gt;&gt;</v>
      </c>
      <c r="S2545" s="14" t="s">
        <v>2264</v>
      </c>
      <c r="AK2545">
        <v>0.28000000000000003</v>
      </c>
      <c r="AL2545">
        <f t="shared" si="1407"/>
        <v>0</v>
      </c>
      <c r="AM2545">
        <f t="shared" si="1408"/>
        <v>0</v>
      </c>
      <c r="AN2545">
        <f t="shared" si="1409"/>
        <v>0</v>
      </c>
      <c r="AO2545" t="s">
        <v>2451</v>
      </c>
      <c r="AV2545" t="str">
        <f>IF(F2545&gt;0,(COUNT($AV$1:AV2544)+1),"")</f>
        <v/>
      </c>
    </row>
    <row r="2546" spans="1:48" ht="15" customHeight="1" x14ac:dyDescent="0.25">
      <c r="A2546" s="1"/>
      <c r="B2546" s="19">
        <v>20065</v>
      </c>
      <c r="C2546" s="20">
        <v>4630016340539</v>
      </c>
      <c r="D2546" s="394" t="s">
        <v>2247</v>
      </c>
      <c r="E2546" s="67">
        <v>15</v>
      </c>
      <c r="F2546" s="222"/>
      <c r="G2546" s="107">
        <v>166.2</v>
      </c>
      <c r="H2546" s="21">
        <v>172.9</v>
      </c>
      <c r="I2546" s="22">
        <v>186.3</v>
      </c>
      <c r="J2546" s="112" t="s">
        <v>2225</v>
      </c>
      <c r="K2546" s="45" t="s">
        <v>413</v>
      </c>
      <c r="L2546" s="437"/>
      <c r="M2546" s="474" t="s">
        <v>1856</v>
      </c>
      <c r="N2546" s="1013"/>
      <c r="O2546" s="209"/>
      <c r="P2546" s="74" t="s">
        <v>50</v>
      </c>
      <c r="Q2546" s="100">
        <f>IF(AND($AO$2522=1,MOD(F2546,E2546)=0),F2546*G2546,IF($AO$2522&lt;=2,F2546*H2546,F2546*I2546))</f>
        <v>0</v>
      </c>
      <c r="R2546" s="13" t="str">
        <f t="shared" si="1406"/>
        <v>Фото &gt;&gt;</v>
      </c>
      <c r="S2546" s="14" t="s">
        <v>2239</v>
      </c>
      <c r="AK2546">
        <v>0.28000000000000003</v>
      </c>
      <c r="AL2546">
        <f t="shared" si="1407"/>
        <v>0</v>
      </c>
      <c r="AM2546">
        <f t="shared" si="1408"/>
        <v>0</v>
      </c>
      <c r="AN2546">
        <f t="shared" si="1409"/>
        <v>0</v>
      </c>
      <c r="AO2546" t="s">
        <v>2452</v>
      </c>
      <c r="AV2546" t="str">
        <f>IF(F2546&gt;0,(COUNT($AV$1:AV2545)+1),"")</f>
        <v/>
      </c>
    </row>
    <row r="2547" spans="1:48" ht="15" customHeight="1" x14ac:dyDescent="0.25">
      <c r="A2547" s="1"/>
      <c r="B2547" s="56">
        <v>20063</v>
      </c>
      <c r="C2547" s="33">
        <v>4630016340409</v>
      </c>
      <c r="D2547" s="395" t="s">
        <v>2248</v>
      </c>
      <c r="E2547" s="71">
        <v>15</v>
      </c>
      <c r="F2547" s="222"/>
      <c r="G2547" s="109">
        <v>161.80000000000001</v>
      </c>
      <c r="H2547" s="34">
        <v>168.3</v>
      </c>
      <c r="I2547" s="35">
        <v>181.4</v>
      </c>
      <c r="J2547" s="114" t="s">
        <v>2225</v>
      </c>
      <c r="K2547" s="57" t="s">
        <v>413</v>
      </c>
      <c r="L2547" s="438"/>
      <c r="M2547" s="480" t="s">
        <v>1856</v>
      </c>
      <c r="N2547" s="1015"/>
      <c r="O2547" s="219"/>
      <c r="P2547" s="573" t="s">
        <v>50</v>
      </c>
      <c r="Q2547" s="100">
        <f>IF(AND($AO$2522=1,MOD(F2547,E2547)=0),F2547*G2547,IF($AO$2522&lt;=2,F2547*H2547,F2547*I2547))</f>
        <v>0</v>
      </c>
      <c r="R2547" s="13" t="str">
        <f t="shared" si="1406"/>
        <v>Фото &gt;&gt;</v>
      </c>
      <c r="S2547" s="14" t="s">
        <v>2238</v>
      </c>
      <c r="AK2547">
        <v>0.28000000000000003</v>
      </c>
      <c r="AL2547">
        <f t="shared" si="1407"/>
        <v>0</v>
      </c>
      <c r="AM2547">
        <f t="shared" si="1408"/>
        <v>0</v>
      </c>
      <c r="AN2547">
        <f t="shared" si="1409"/>
        <v>0</v>
      </c>
      <c r="AO2547" t="s">
        <v>2453</v>
      </c>
      <c r="AV2547" t="str">
        <f>IF(F2547&gt;0,(COUNT($AV$1:AV2546)+1),"")</f>
        <v/>
      </c>
    </row>
    <row r="2548" spans="1:48" ht="15" customHeight="1" x14ac:dyDescent="0.25">
      <c r="A2548" s="1"/>
      <c r="B2548" s="25"/>
      <c r="C2548" s="26"/>
      <c r="D2548" s="27" t="s">
        <v>106</v>
      </c>
      <c r="E2548" s="80"/>
      <c r="F2548" s="96"/>
      <c r="G2548" s="28"/>
      <c r="H2548" s="29"/>
      <c r="I2548" s="29"/>
      <c r="J2548" s="51"/>
      <c r="K2548" s="47"/>
      <c r="L2548" s="447"/>
      <c r="M2548" s="489"/>
      <c r="N2548" s="716"/>
      <c r="O2548" s="186"/>
      <c r="P2548" s="79"/>
      <c r="Q2548" s="79"/>
      <c r="R2548" s="13"/>
      <c r="S2548" s="14"/>
      <c r="AG2548" s="84"/>
      <c r="AH2548" s="84"/>
      <c r="AV2548" t="str">
        <f>IF(F2548&gt;0,(COUNT($AV$1:AV2547)+1),"")</f>
        <v/>
      </c>
    </row>
    <row r="2549" spans="1:48" ht="15" customHeight="1" x14ac:dyDescent="0.25">
      <c r="A2549" s="1"/>
      <c r="B2549" s="19">
        <v>20076</v>
      </c>
      <c r="C2549" s="20">
        <v>4630016341116</v>
      </c>
      <c r="D2549" s="394" t="s">
        <v>2249</v>
      </c>
      <c r="E2549" s="67">
        <v>15</v>
      </c>
      <c r="F2549" s="222"/>
      <c r="G2549" s="107">
        <v>205.6</v>
      </c>
      <c r="H2549" s="21">
        <v>213.9</v>
      </c>
      <c r="I2549" s="22">
        <v>230.7</v>
      </c>
      <c r="J2549" s="112" t="s">
        <v>2225</v>
      </c>
      <c r="K2549" s="45" t="s">
        <v>106</v>
      </c>
      <c r="L2549" s="437"/>
      <c r="M2549" s="474"/>
      <c r="N2549" s="1013"/>
      <c r="O2549" s="209"/>
      <c r="P2549" s="74" t="s">
        <v>50</v>
      </c>
      <c r="Q2549" s="100">
        <f t="shared" ref="Q2549:Q2558" si="1410">IF(AND($AO$2522=1,MOD(F2549,E2549)=0),F2549*G2549,IF($AO$2522&lt;=2,F2549*H2549,F2549*I2549))</f>
        <v>0</v>
      </c>
      <c r="R2549" s="13" t="str">
        <f t="shared" ref="R2549:R2558" si="1411">IF(AO2549&gt;0,HYPERLINK(AO2549,"Фото &gt;&gt;"),"")</f>
        <v>Фото &gt;&gt;</v>
      </c>
      <c r="S2549" s="14" t="s">
        <v>2226</v>
      </c>
      <c r="AK2549">
        <v>0.33</v>
      </c>
      <c r="AL2549">
        <f t="shared" ref="AL2549:AL2564" si="1412">F2549*G2549</f>
        <v>0</v>
      </c>
      <c r="AM2549">
        <f t="shared" ref="AM2549:AM2564" si="1413">F2549*H2549</f>
        <v>0</v>
      </c>
      <c r="AN2549">
        <f t="shared" ref="AN2549:AN2564" si="1414">AK2549*F2549</f>
        <v>0</v>
      </c>
      <c r="AO2549" t="s">
        <v>2454</v>
      </c>
      <c r="AV2549" t="str">
        <f>IF(F2549&gt;0,(COUNT($AV$1:AV2548)+1),"")</f>
        <v/>
      </c>
    </row>
    <row r="2550" spans="1:48" ht="15" customHeight="1" x14ac:dyDescent="0.25">
      <c r="A2550" s="1"/>
      <c r="B2550" s="56">
        <v>20129</v>
      </c>
      <c r="C2550" s="33">
        <v>4630016341338</v>
      </c>
      <c r="D2550" s="395" t="s">
        <v>6854</v>
      </c>
      <c r="E2550" s="71">
        <v>15</v>
      </c>
      <c r="F2550" s="222"/>
      <c r="G2550" s="109">
        <v>173.5</v>
      </c>
      <c r="H2550" s="34">
        <v>180.4</v>
      </c>
      <c r="I2550" s="35">
        <v>194.7</v>
      </c>
      <c r="J2550" s="114" t="s">
        <v>2225</v>
      </c>
      <c r="K2550" s="57" t="s">
        <v>106</v>
      </c>
      <c r="L2550" s="438"/>
      <c r="M2550" s="480" t="s">
        <v>1856</v>
      </c>
      <c r="N2550" s="1015" t="s">
        <v>1856</v>
      </c>
      <c r="O2550" s="219"/>
      <c r="P2550" s="573" t="s">
        <v>50</v>
      </c>
      <c r="Q2550" s="100">
        <f t="shared" si="1410"/>
        <v>0</v>
      </c>
      <c r="R2550" s="13" t="str">
        <f t="shared" si="1411"/>
        <v>Фото &gt;&gt;</v>
      </c>
      <c r="S2550" s="14" t="s">
        <v>2330</v>
      </c>
      <c r="AK2550">
        <v>0.33</v>
      </c>
      <c r="AL2550">
        <f t="shared" si="1412"/>
        <v>0</v>
      </c>
      <c r="AM2550">
        <f t="shared" si="1413"/>
        <v>0</v>
      </c>
      <c r="AN2550">
        <f t="shared" si="1414"/>
        <v>0</v>
      </c>
      <c r="AO2550" t="s">
        <v>2455</v>
      </c>
      <c r="AV2550" t="str">
        <f>IF(F2550&gt;0,(COUNT($AV$1:AV2549)+1),"")</f>
        <v/>
      </c>
    </row>
    <row r="2551" spans="1:48" ht="15" customHeight="1" x14ac:dyDescent="0.25">
      <c r="A2551" s="1"/>
      <c r="B2551" s="19">
        <v>20078</v>
      </c>
      <c r="C2551" s="20">
        <v>4630016341345</v>
      </c>
      <c r="D2551" s="394" t="s">
        <v>2250</v>
      </c>
      <c r="E2551" s="67">
        <v>15</v>
      </c>
      <c r="F2551" s="222"/>
      <c r="G2551" s="107">
        <v>179.4</v>
      </c>
      <c r="H2551" s="21">
        <v>186.6</v>
      </c>
      <c r="I2551" s="22">
        <v>200.9</v>
      </c>
      <c r="J2551" s="112" t="s">
        <v>2225</v>
      </c>
      <c r="K2551" s="45" t="s">
        <v>106</v>
      </c>
      <c r="L2551" s="437"/>
      <c r="M2551" s="474" t="s">
        <v>1856</v>
      </c>
      <c r="N2551" s="1013"/>
      <c r="O2551" s="209"/>
      <c r="P2551" s="74" t="s">
        <v>50</v>
      </c>
      <c r="Q2551" s="100">
        <f t="shared" si="1410"/>
        <v>0</v>
      </c>
      <c r="R2551" s="13" t="str">
        <f t="shared" si="1411"/>
        <v>Фото &gt;&gt;</v>
      </c>
      <c r="S2551" s="14" t="s">
        <v>2241</v>
      </c>
      <c r="AK2551">
        <v>0.33</v>
      </c>
      <c r="AL2551">
        <f t="shared" si="1412"/>
        <v>0</v>
      </c>
      <c r="AM2551">
        <f t="shared" si="1413"/>
        <v>0</v>
      </c>
      <c r="AN2551">
        <f t="shared" si="1414"/>
        <v>0</v>
      </c>
      <c r="AO2551" t="s">
        <v>2456</v>
      </c>
      <c r="AV2551" t="str">
        <f>IF(F2551&gt;0,(COUNT($AV$1:AV2550)+1),"")</f>
        <v/>
      </c>
    </row>
    <row r="2552" spans="1:48" ht="15" customHeight="1" x14ac:dyDescent="0.25">
      <c r="A2552" s="1"/>
      <c r="B2552" s="56">
        <v>20130</v>
      </c>
      <c r="C2552" s="33">
        <v>4630016341499</v>
      </c>
      <c r="D2552" s="395" t="s">
        <v>2332</v>
      </c>
      <c r="E2552" s="71">
        <v>15</v>
      </c>
      <c r="F2552" s="222"/>
      <c r="G2552" s="109">
        <v>169</v>
      </c>
      <c r="H2552" s="34">
        <v>175.8</v>
      </c>
      <c r="I2552" s="35">
        <v>189.5</v>
      </c>
      <c r="J2552" s="114" t="s">
        <v>2225</v>
      </c>
      <c r="K2552" s="57" t="s">
        <v>106</v>
      </c>
      <c r="L2552" s="438"/>
      <c r="M2552" s="480" t="s">
        <v>1856</v>
      </c>
      <c r="N2552" s="1015" t="s">
        <v>1856</v>
      </c>
      <c r="O2552" s="219"/>
      <c r="P2552" s="573" t="s">
        <v>50</v>
      </c>
      <c r="Q2552" s="100">
        <f t="shared" si="1410"/>
        <v>0</v>
      </c>
      <c r="R2552" s="13" t="str">
        <f t="shared" si="1411"/>
        <v>Фото &gt;&gt;</v>
      </c>
      <c r="S2552" s="14" t="s">
        <v>2331</v>
      </c>
      <c r="AK2552">
        <v>0.33</v>
      </c>
      <c r="AL2552">
        <f t="shared" si="1412"/>
        <v>0</v>
      </c>
      <c r="AM2552">
        <f t="shared" si="1413"/>
        <v>0</v>
      </c>
      <c r="AN2552">
        <f t="shared" si="1414"/>
        <v>0</v>
      </c>
      <c r="AO2552" t="s">
        <v>2457</v>
      </c>
      <c r="AV2552" t="str">
        <f>IF(F2552&gt;0,(COUNT($AV$1:AV2551)+1),"")</f>
        <v/>
      </c>
    </row>
    <row r="2553" spans="1:48" ht="15" customHeight="1" x14ac:dyDescent="0.25">
      <c r="A2553" s="1"/>
      <c r="B2553" s="19">
        <v>20092</v>
      </c>
      <c r="C2553" s="20">
        <v>4630016341147</v>
      </c>
      <c r="D2553" s="394" t="s">
        <v>2261</v>
      </c>
      <c r="E2553" s="67">
        <v>15</v>
      </c>
      <c r="F2553" s="222"/>
      <c r="G2553" s="107">
        <v>153.1</v>
      </c>
      <c r="H2553" s="21">
        <v>159.30000000000001</v>
      </c>
      <c r="I2553" s="22">
        <v>171.4</v>
      </c>
      <c r="J2553" s="112" t="s">
        <v>2225</v>
      </c>
      <c r="K2553" s="45" t="s">
        <v>106</v>
      </c>
      <c r="L2553" s="437"/>
      <c r="M2553" s="474" t="s">
        <v>1856</v>
      </c>
      <c r="N2553" s="1013"/>
      <c r="O2553" s="209"/>
      <c r="P2553" s="74" t="s">
        <v>50</v>
      </c>
      <c r="Q2553" s="100">
        <f t="shared" si="1410"/>
        <v>0</v>
      </c>
      <c r="R2553" s="13" t="str">
        <f t="shared" si="1411"/>
        <v>Фото &gt;&gt;</v>
      </c>
      <c r="S2553" s="14" t="s">
        <v>2263</v>
      </c>
      <c r="AK2553">
        <v>0.33</v>
      </c>
      <c r="AL2553">
        <f t="shared" si="1412"/>
        <v>0</v>
      </c>
      <c r="AM2553">
        <f t="shared" si="1413"/>
        <v>0</v>
      </c>
      <c r="AN2553">
        <f t="shared" si="1414"/>
        <v>0</v>
      </c>
      <c r="AO2553" t="s">
        <v>2458</v>
      </c>
      <c r="AV2553" t="str">
        <f>IF(F2553&gt;0,(COUNT($AV$1:AV2552)+1),"")</f>
        <v/>
      </c>
    </row>
    <row r="2554" spans="1:48" ht="15" customHeight="1" x14ac:dyDescent="0.25">
      <c r="A2554" s="1"/>
      <c r="B2554" s="56">
        <v>20077</v>
      </c>
      <c r="C2554" s="33">
        <v>4630016341130</v>
      </c>
      <c r="D2554" s="395" t="s">
        <v>6855</v>
      </c>
      <c r="E2554" s="71">
        <v>15</v>
      </c>
      <c r="F2554" s="222"/>
      <c r="G2554" s="109">
        <v>192.6</v>
      </c>
      <c r="H2554" s="34">
        <v>200.5</v>
      </c>
      <c r="I2554" s="35">
        <v>216.2</v>
      </c>
      <c r="J2554" s="114" t="s">
        <v>2225</v>
      </c>
      <c r="K2554" s="57" t="s">
        <v>106</v>
      </c>
      <c r="L2554" s="438"/>
      <c r="M2554" s="480" t="s">
        <v>1856</v>
      </c>
      <c r="N2554" s="1015"/>
      <c r="O2554" s="219"/>
      <c r="P2554" s="573" t="s">
        <v>50</v>
      </c>
      <c r="Q2554" s="100">
        <f t="shared" si="1410"/>
        <v>0</v>
      </c>
      <c r="R2554" s="13" t="str">
        <f t="shared" si="1411"/>
        <v>Фото &gt;&gt;</v>
      </c>
      <c r="S2554" s="14" t="s">
        <v>2240</v>
      </c>
      <c r="AK2554">
        <v>0.33</v>
      </c>
      <c r="AL2554">
        <f t="shared" si="1412"/>
        <v>0</v>
      </c>
      <c r="AM2554">
        <f t="shared" si="1413"/>
        <v>0</v>
      </c>
      <c r="AN2554">
        <f t="shared" si="1414"/>
        <v>0</v>
      </c>
      <c r="AO2554" t="s">
        <v>2459</v>
      </c>
      <c r="AV2554" t="str">
        <f>IF(F2554&gt;0,(COUNT($AV$1:AV2553)+1),"")</f>
        <v/>
      </c>
    </row>
    <row r="2555" spans="1:48" ht="15" customHeight="1" x14ac:dyDescent="0.25">
      <c r="A2555" s="1"/>
      <c r="B2555" s="19">
        <v>20647</v>
      </c>
      <c r="C2555" s="20">
        <v>4630016342236</v>
      </c>
      <c r="D2555" s="565" t="s">
        <v>4770</v>
      </c>
      <c r="E2555" s="67">
        <v>15</v>
      </c>
      <c r="F2555" s="222"/>
      <c r="G2555" s="107">
        <v>214.4</v>
      </c>
      <c r="H2555" s="21">
        <v>223</v>
      </c>
      <c r="I2555" s="22">
        <v>240.8</v>
      </c>
      <c r="J2555" s="112" t="s">
        <v>2225</v>
      </c>
      <c r="K2555" s="45" t="s">
        <v>106</v>
      </c>
      <c r="L2555" s="437"/>
      <c r="M2555" s="474" t="s">
        <v>1856</v>
      </c>
      <c r="N2555" s="1013"/>
      <c r="O2555" s="209"/>
      <c r="P2555" s="74" t="s">
        <v>50</v>
      </c>
      <c r="Q2555" s="100">
        <f t="shared" si="1410"/>
        <v>0</v>
      </c>
      <c r="R2555" s="13" t="str">
        <f t="shared" si="1411"/>
        <v>Фото &gt;&gt;</v>
      </c>
      <c r="S2555" s="14" t="s">
        <v>4205</v>
      </c>
      <c r="AK2555">
        <v>0.33</v>
      </c>
      <c r="AL2555">
        <f t="shared" si="1412"/>
        <v>0</v>
      </c>
      <c r="AM2555">
        <f t="shared" si="1413"/>
        <v>0</v>
      </c>
      <c r="AN2555">
        <f t="shared" si="1414"/>
        <v>0</v>
      </c>
      <c r="AO2555" t="s">
        <v>4206</v>
      </c>
      <c r="AV2555" t="str">
        <f>IF(F2555&gt;0,(COUNT($AV$1:AV2554)+1),"")</f>
        <v/>
      </c>
    </row>
    <row r="2556" spans="1:48" ht="15" customHeight="1" x14ac:dyDescent="0.25">
      <c r="A2556" s="1"/>
      <c r="B2556" s="56">
        <v>20093</v>
      </c>
      <c r="C2556" s="33">
        <v>4630016341321</v>
      </c>
      <c r="D2556" s="395" t="s">
        <v>2260</v>
      </c>
      <c r="E2556" s="71">
        <v>15</v>
      </c>
      <c r="F2556" s="222"/>
      <c r="G2556" s="109">
        <v>179.4</v>
      </c>
      <c r="H2556" s="34">
        <v>186.6</v>
      </c>
      <c r="I2556" s="35">
        <v>201.6</v>
      </c>
      <c r="J2556" s="114" t="s">
        <v>2225</v>
      </c>
      <c r="K2556" s="57" t="s">
        <v>106</v>
      </c>
      <c r="L2556" s="438"/>
      <c r="M2556" s="480" t="s">
        <v>1856</v>
      </c>
      <c r="N2556" s="1015"/>
      <c r="O2556" s="219"/>
      <c r="P2556" s="573" t="s">
        <v>50</v>
      </c>
      <c r="Q2556" s="100">
        <f t="shared" si="1410"/>
        <v>0</v>
      </c>
      <c r="R2556" s="13" t="str">
        <f t="shared" si="1411"/>
        <v>Фото &gt;&gt;</v>
      </c>
      <c r="S2556" s="14" t="s">
        <v>2262</v>
      </c>
      <c r="AK2556">
        <v>0.33</v>
      </c>
      <c r="AL2556">
        <f t="shared" si="1412"/>
        <v>0</v>
      </c>
      <c r="AM2556">
        <f t="shared" si="1413"/>
        <v>0</v>
      </c>
      <c r="AN2556">
        <f t="shared" si="1414"/>
        <v>0</v>
      </c>
      <c r="AO2556" t="s">
        <v>2460</v>
      </c>
      <c r="AV2556" t="str">
        <f>IF(F2556&gt;0,(COUNT($AV$1:AV2555)+1),"")</f>
        <v/>
      </c>
    </row>
    <row r="2557" spans="1:48" ht="15" customHeight="1" x14ac:dyDescent="0.25">
      <c r="A2557" s="1"/>
      <c r="B2557" s="19">
        <v>20648</v>
      </c>
      <c r="C2557" s="20">
        <v>4630016341826</v>
      </c>
      <c r="D2557" s="565" t="s">
        <v>4771</v>
      </c>
      <c r="E2557" s="67">
        <v>15</v>
      </c>
      <c r="F2557" s="222"/>
      <c r="G2557" s="107">
        <v>205.6</v>
      </c>
      <c r="H2557" s="21">
        <v>213.9</v>
      </c>
      <c r="I2557" s="22">
        <v>230.3</v>
      </c>
      <c r="J2557" s="112" t="s">
        <v>2225</v>
      </c>
      <c r="K2557" s="45" t="s">
        <v>106</v>
      </c>
      <c r="L2557" s="437"/>
      <c r="M2557" s="474" t="s">
        <v>1856</v>
      </c>
      <c r="N2557" s="1013"/>
      <c r="O2557" s="209"/>
      <c r="P2557" s="74" t="s">
        <v>50</v>
      </c>
      <c r="Q2557" s="100">
        <f t="shared" si="1410"/>
        <v>0</v>
      </c>
      <c r="R2557" s="13" t="str">
        <f t="shared" si="1411"/>
        <v>Фото &gt;&gt;</v>
      </c>
      <c r="S2557" s="14" t="s">
        <v>4210</v>
      </c>
      <c r="AK2557">
        <v>0.33</v>
      </c>
      <c r="AL2557">
        <f t="shared" si="1412"/>
        <v>0</v>
      </c>
      <c r="AM2557">
        <f t="shared" si="1413"/>
        <v>0</v>
      </c>
      <c r="AN2557">
        <f t="shared" si="1414"/>
        <v>0</v>
      </c>
      <c r="AO2557" t="s">
        <v>4212</v>
      </c>
      <c r="AV2557" t="str">
        <f>IF(F2557&gt;0,(COUNT($AV$1:AV2556)+1),"")</f>
        <v/>
      </c>
    </row>
    <row r="2558" spans="1:48" ht="15" customHeight="1" x14ac:dyDescent="0.25">
      <c r="A2558" s="1"/>
      <c r="B2558" s="56">
        <v>20646</v>
      </c>
      <c r="C2558" s="33">
        <v>4630016342229</v>
      </c>
      <c r="D2558" s="566" t="s">
        <v>4772</v>
      </c>
      <c r="E2558" s="71">
        <v>15</v>
      </c>
      <c r="F2558" s="222"/>
      <c r="G2558" s="109">
        <v>179.4</v>
      </c>
      <c r="H2558" s="34">
        <v>186.6</v>
      </c>
      <c r="I2558" s="35">
        <v>200.9</v>
      </c>
      <c r="J2558" s="114" t="s">
        <v>2225</v>
      </c>
      <c r="K2558" s="57" t="s">
        <v>106</v>
      </c>
      <c r="L2558" s="438"/>
      <c r="M2558" s="480" t="s">
        <v>1856</v>
      </c>
      <c r="N2558" s="1015"/>
      <c r="O2558" s="219"/>
      <c r="P2558" s="573" t="s">
        <v>50</v>
      </c>
      <c r="Q2558" s="100">
        <f t="shared" si="1410"/>
        <v>0</v>
      </c>
      <c r="R2558" s="13" t="str">
        <f t="shared" si="1411"/>
        <v>Фото &gt;&gt;</v>
      </c>
      <c r="S2558" s="14" t="s">
        <v>4211</v>
      </c>
      <c r="AK2558">
        <v>0.33</v>
      </c>
      <c r="AL2558">
        <f t="shared" si="1412"/>
        <v>0</v>
      </c>
      <c r="AM2558">
        <f t="shared" si="1413"/>
        <v>0</v>
      </c>
      <c r="AN2558">
        <f t="shared" si="1414"/>
        <v>0</v>
      </c>
      <c r="AO2558" t="s">
        <v>4213</v>
      </c>
      <c r="AV2558" t="str">
        <f>IF(F2558&gt;0,(COUNT($AV$1:AV2557)+1),"")</f>
        <v/>
      </c>
    </row>
    <row r="2559" spans="1:48" ht="15" customHeight="1" x14ac:dyDescent="0.25">
      <c r="A2559" s="1"/>
      <c r="B2559" s="25"/>
      <c r="C2559" s="26"/>
      <c r="D2559" s="27" t="s">
        <v>4201</v>
      </c>
      <c r="E2559" s="80"/>
      <c r="F2559" s="96"/>
      <c r="G2559" s="28"/>
      <c r="H2559" s="29"/>
      <c r="I2559" s="29"/>
      <c r="J2559" s="51"/>
      <c r="K2559" s="47"/>
      <c r="L2559" s="447"/>
      <c r="M2559" s="489"/>
      <c r="N2559" s="716"/>
      <c r="O2559" s="186"/>
      <c r="P2559" s="79"/>
      <c r="Q2559" s="79"/>
      <c r="R2559" s="13"/>
      <c r="S2559" s="14"/>
      <c r="AG2559" s="84"/>
      <c r="AH2559" s="84"/>
      <c r="AL2559">
        <f t="shared" si="1412"/>
        <v>0</v>
      </c>
      <c r="AM2559">
        <f t="shared" si="1413"/>
        <v>0</v>
      </c>
      <c r="AN2559">
        <f t="shared" si="1414"/>
        <v>0</v>
      </c>
      <c r="AV2559" t="str">
        <f>IF(F2559&gt;0,(COUNT($AV$1:AV2558)+1),"")</f>
        <v/>
      </c>
    </row>
    <row r="2560" spans="1:48" ht="15" customHeight="1" x14ac:dyDescent="0.25">
      <c r="A2560" s="1"/>
      <c r="B2560" s="19">
        <v>20072</v>
      </c>
      <c r="C2560" s="20">
        <v>4630016340270</v>
      </c>
      <c r="D2560" s="394" t="s">
        <v>2227</v>
      </c>
      <c r="E2560" s="67">
        <v>12</v>
      </c>
      <c r="F2560" s="222"/>
      <c r="G2560" s="107">
        <v>347.8</v>
      </c>
      <c r="H2560" s="21">
        <v>361.8</v>
      </c>
      <c r="I2560" s="22">
        <v>389.8</v>
      </c>
      <c r="J2560" s="112" t="s">
        <v>2225</v>
      </c>
      <c r="K2560" s="45" t="s">
        <v>413</v>
      </c>
      <c r="L2560" s="437"/>
      <c r="M2560" s="474" t="s">
        <v>1856</v>
      </c>
      <c r="N2560" s="1013"/>
      <c r="O2560" s="209"/>
      <c r="P2560" s="74" t="s">
        <v>50</v>
      </c>
      <c r="Q2560" s="100">
        <f>IF(AND($AO$2522=1,MOD(F2560,E2560)=0),F2560*G2560,IF($AO$2522&lt;=2,F2560*H2560,F2560*I2560))</f>
        <v>0</v>
      </c>
      <c r="R2560" s="13" t="str">
        <f t="shared" ref="R2560:R2564" si="1415">IF(AO2560&gt;0,HYPERLINK(AO2560,"Фото &gt;&gt;"),"")</f>
        <v>Фото &gt;&gt;</v>
      </c>
      <c r="S2560" s="14" t="s">
        <v>2232</v>
      </c>
      <c r="AK2560">
        <v>0.35</v>
      </c>
      <c r="AL2560">
        <f t="shared" si="1412"/>
        <v>0</v>
      </c>
      <c r="AM2560">
        <f t="shared" si="1413"/>
        <v>0</v>
      </c>
      <c r="AN2560">
        <f t="shared" si="1414"/>
        <v>0</v>
      </c>
      <c r="AO2560" t="s">
        <v>2461</v>
      </c>
      <c r="AV2560" t="str">
        <f>IF(F2560&gt;0,(COUNT($AV$1:AV2559)+1),"")</f>
        <v/>
      </c>
    </row>
    <row r="2561" spans="1:48" ht="15" customHeight="1" x14ac:dyDescent="0.25">
      <c r="A2561" s="1"/>
      <c r="B2561" s="56">
        <v>20649</v>
      </c>
      <c r="C2561" s="33">
        <v>4630016341819</v>
      </c>
      <c r="D2561" s="566" t="s">
        <v>4183</v>
      </c>
      <c r="E2561" s="71">
        <v>15</v>
      </c>
      <c r="F2561" s="222"/>
      <c r="G2561" s="109">
        <v>289</v>
      </c>
      <c r="H2561" s="34">
        <v>300.60000000000002</v>
      </c>
      <c r="I2561" s="35">
        <v>323.7</v>
      </c>
      <c r="J2561" s="114" t="s">
        <v>2225</v>
      </c>
      <c r="K2561" s="57" t="s">
        <v>413</v>
      </c>
      <c r="L2561" s="438"/>
      <c r="M2561" s="480" t="s">
        <v>1856</v>
      </c>
      <c r="N2561" s="1015"/>
      <c r="O2561" s="219"/>
      <c r="P2561" s="573" t="s">
        <v>50</v>
      </c>
      <c r="Q2561" s="100">
        <f>IF(AND($AO$2522=1,MOD(F2561,E2561)=0),F2561*G2561,IF($AO$2522&lt;=2,F2561*H2561,F2561*I2561))</f>
        <v>0</v>
      </c>
      <c r="R2561" s="13" t="str">
        <f t="shared" si="1415"/>
        <v>Фото &gt;&gt;</v>
      </c>
      <c r="S2561" s="14" t="s">
        <v>4182</v>
      </c>
      <c r="AK2561">
        <v>0.33</v>
      </c>
      <c r="AL2561">
        <f t="shared" si="1412"/>
        <v>0</v>
      </c>
      <c r="AM2561">
        <f t="shared" si="1413"/>
        <v>0</v>
      </c>
      <c r="AN2561">
        <f t="shared" si="1414"/>
        <v>0</v>
      </c>
      <c r="AO2561" t="s">
        <v>4181</v>
      </c>
      <c r="AV2561" t="str">
        <f>IF(F2561&gt;0,(COUNT($AV$1:AV2560)+1),"")</f>
        <v/>
      </c>
    </row>
    <row r="2562" spans="1:48" ht="15" customHeight="1" x14ac:dyDescent="0.25">
      <c r="A2562" s="1"/>
      <c r="B2562" s="19">
        <v>20091</v>
      </c>
      <c r="C2562" s="20">
        <v>4630016341772</v>
      </c>
      <c r="D2562" s="394" t="s">
        <v>2266</v>
      </c>
      <c r="E2562" s="67">
        <v>12</v>
      </c>
      <c r="F2562" s="222"/>
      <c r="G2562" s="107">
        <v>223.1</v>
      </c>
      <c r="H2562" s="21">
        <v>232.1</v>
      </c>
      <c r="I2562" s="22">
        <v>249.8</v>
      </c>
      <c r="J2562" s="112" t="s">
        <v>2225</v>
      </c>
      <c r="K2562" s="45" t="s">
        <v>413</v>
      </c>
      <c r="L2562" s="437"/>
      <c r="M2562" s="474"/>
      <c r="N2562" s="1013"/>
      <c r="O2562" s="209"/>
      <c r="P2562" s="74" t="s">
        <v>50</v>
      </c>
      <c r="Q2562" s="100">
        <f>IF(AND($AO$2522=1,MOD(F2562,E2562)=0),F2562*G2562,IF($AO$2522&lt;=2,F2562*H2562,F2562*I2562))</f>
        <v>0</v>
      </c>
      <c r="R2562" s="13" t="str">
        <f t="shared" si="1415"/>
        <v>Фото &gt;&gt;</v>
      </c>
      <c r="S2562" s="14" t="s">
        <v>2267</v>
      </c>
      <c r="AK2562">
        <v>0.33</v>
      </c>
      <c r="AL2562">
        <f t="shared" si="1412"/>
        <v>0</v>
      </c>
      <c r="AM2562">
        <f t="shared" si="1413"/>
        <v>0</v>
      </c>
      <c r="AN2562">
        <f t="shared" si="1414"/>
        <v>0</v>
      </c>
      <c r="AO2562" t="s">
        <v>2462</v>
      </c>
      <c r="AV2562" t="str">
        <f>IF(F2562&gt;0,(COUNT($AV$1:AV2561)+1),"")</f>
        <v/>
      </c>
    </row>
    <row r="2563" spans="1:48" ht="15" customHeight="1" x14ac:dyDescent="0.25">
      <c r="A2563" s="1"/>
      <c r="B2563" s="56">
        <v>20639</v>
      </c>
      <c r="C2563" s="33">
        <v>4630016342250</v>
      </c>
      <c r="D2563" s="566" t="s">
        <v>4773</v>
      </c>
      <c r="E2563" s="71">
        <v>15</v>
      </c>
      <c r="F2563" s="222"/>
      <c r="G2563" s="109">
        <v>226.9</v>
      </c>
      <c r="H2563" s="34">
        <v>236</v>
      </c>
      <c r="I2563" s="35">
        <v>254</v>
      </c>
      <c r="J2563" s="114" t="s">
        <v>2225</v>
      </c>
      <c r="K2563" s="57" t="s">
        <v>413</v>
      </c>
      <c r="L2563" s="438" t="s">
        <v>4203</v>
      </c>
      <c r="M2563" s="480"/>
      <c r="N2563" s="1015" t="s">
        <v>1856</v>
      </c>
      <c r="O2563" s="219"/>
      <c r="P2563" s="573" t="s">
        <v>50</v>
      </c>
      <c r="Q2563" s="100">
        <f>IF(AND($AO$2522=1,MOD(F2563,E2563)=0),F2563*G2563,IF($AO$2522&lt;=2,F2563*H2563,F2563*I2563))</f>
        <v>0</v>
      </c>
      <c r="R2563" s="13" t="str">
        <f t="shared" si="1415"/>
        <v>Фото &gt;&gt;</v>
      </c>
      <c r="S2563" s="14" t="s">
        <v>4202</v>
      </c>
      <c r="AK2563">
        <v>0.33</v>
      </c>
      <c r="AL2563">
        <f t="shared" si="1412"/>
        <v>0</v>
      </c>
      <c r="AM2563">
        <f t="shared" si="1413"/>
        <v>0</v>
      </c>
      <c r="AN2563">
        <f t="shared" si="1414"/>
        <v>0</v>
      </c>
      <c r="AO2563" t="s">
        <v>4204</v>
      </c>
      <c r="AV2563" t="str">
        <f>IF(F2563&gt;0,(COUNT($AV$1:AV2562)+1),"")</f>
        <v/>
      </c>
    </row>
    <row r="2564" spans="1:48" ht="15" customHeight="1" x14ac:dyDescent="0.25">
      <c r="A2564" s="1"/>
      <c r="B2564" s="19">
        <v>20641</v>
      </c>
      <c r="C2564" s="20">
        <v>4630016342311</v>
      </c>
      <c r="D2564" s="565" t="s">
        <v>4207</v>
      </c>
      <c r="E2564" s="67">
        <v>15</v>
      </c>
      <c r="F2564" s="222"/>
      <c r="G2564" s="107">
        <v>227.5</v>
      </c>
      <c r="H2564" s="21">
        <v>236.7</v>
      </c>
      <c r="I2564" s="22">
        <v>255.4</v>
      </c>
      <c r="J2564" s="112" t="s">
        <v>2225</v>
      </c>
      <c r="K2564" s="45" t="s">
        <v>413</v>
      </c>
      <c r="L2564" s="437"/>
      <c r="M2564" s="474"/>
      <c r="N2564" s="1013"/>
      <c r="O2564" s="209"/>
      <c r="P2564" s="74" t="s">
        <v>50</v>
      </c>
      <c r="Q2564" s="100">
        <f>IF(AND($AO$2522=1,MOD(F2564,E2564)=0),F2564*G2564,IF($AO$2522&lt;=2,F2564*H2564,F2564*I2564))</f>
        <v>0</v>
      </c>
      <c r="R2564" s="13" t="str">
        <f t="shared" si="1415"/>
        <v>Фото &gt;&gt;</v>
      </c>
      <c r="S2564" s="14" t="s">
        <v>4208</v>
      </c>
      <c r="AK2564">
        <v>0.28000000000000003</v>
      </c>
      <c r="AL2564">
        <f t="shared" si="1412"/>
        <v>0</v>
      </c>
      <c r="AM2564">
        <f t="shared" si="1413"/>
        <v>0</v>
      </c>
      <c r="AN2564">
        <f t="shared" si="1414"/>
        <v>0</v>
      </c>
      <c r="AO2564" t="s">
        <v>4209</v>
      </c>
      <c r="AV2564" t="str">
        <f>IF(F2564&gt;0,(COUNT($AV$1:AV2563)+1),"")</f>
        <v/>
      </c>
    </row>
    <row r="2565" spans="1:48" ht="15" customHeight="1" x14ac:dyDescent="0.25">
      <c r="A2565" s="1"/>
      <c r="B2565" s="125"/>
      <c r="C2565" s="126"/>
      <c r="D2565" s="127"/>
      <c r="E2565" s="134"/>
      <c r="F2565" s="189"/>
      <c r="G2565" s="130"/>
      <c r="H2565" s="131"/>
      <c r="I2565" s="132"/>
      <c r="J2565" s="128"/>
      <c r="K2565" s="129"/>
      <c r="L2565" s="433"/>
      <c r="M2565" s="481"/>
      <c r="N2565" s="471"/>
      <c r="O2565" s="181"/>
      <c r="P2565" s="133"/>
      <c r="Q2565" s="135"/>
      <c r="R2565" s="13"/>
      <c r="S2565" s="14"/>
      <c r="AV2565" t="str">
        <f>IF(F2565&gt;0,(COUNT($AV$1:AV2564)+1),"")</f>
        <v/>
      </c>
    </row>
    <row r="2566" spans="1:48" ht="15" customHeight="1" thickBot="1" x14ac:dyDescent="0.3">
      <c r="A2566" s="1"/>
      <c r="B2566" s="158"/>
      <c r="C2566" s="159"/>
      <c r="D2566" s="160"/>
      <c r="E2566" s="167"/>
      <c r="F2566" s="191"/>
      <c r="G2566" s="163"/>
      <c r="H2566" s="164"/>
      <c r="I2566" s="165"/>
      <c r="J2566" s="161"/>
      <c r="K2566" s="162"/>
      <c r="L2566" s="439"/>
      <c r="M2566" s="475"/>
      <c r="N2566" s="467"/>
      <c r="O2566" s="183"/>
      <c r="P2566" s="166"/>
      <c r="Q2566" s="168"/>
      <c r="R2566" s="13"/>
      <c r="S2566" s="14"/>
      <c r="AV2566" t="str">
        <f>IF(F2566&gt;0,(COUNT($AV$1:AV2565)+1),"")</f>
        <v/>
      </c>
    </row>
    <row r="2567" spans="1:48" ht="24.95" customHeight="1" thickBot="1" x14ac:dyDescent="0.3">
      <c r="A2567" s="1"/>
      <c r="B2567" s="169"/>
      <c r="C2567" s="170"/>
      <c r="D2567" s="171" t="str">
        <f>CONCATENATE("Каса Кубана (Casa Kubana)","     |     Сумма заказа: ",AK2567," руб.")</f>
        <v>Каса Кубана (Casa Kubana)     |     Сумма заказа: 0 руб.</v>
      </c>
      <c r="E2567" s="176"/>
      <c r="F2567" s="177"/>
      <c r="G2567" s="180" t="str">
        <f>CONCATENATE("Ценовая колонка: ",AO2567,"   |   До следующей скидки: ",AJ2567," руб.")</f>
        <v>Ценовая колонка: 3   |   До следующей скидки: 5000 руб.</v>
      </c>
      <c r="H2567" s="174"/>
      <c r="I2567" s="174"/>
      <c r="J2567" s="172" t="s">
        <v>5538</v>
      </c>
      <c r="K2567" s="173"/>
      <c r="L2567" s="444"/>
      <c r="M2567" s="486" t="s">
        <v>104</v>
      </c>
      <c r="N2567" s="717"/>
      <c r="O2567" s="184"/>
      <c r="P2567" s="175"/>
      <c r="Q2567" s="178"/>
      <c r="R2567" s="179" t="s">
        <v>1558</v>
      </c>
      <c r="S2567" s="14"/>
      <c r="AJ2567">
        <f>ROUND(IF(AL2567&gt;20000,"0", IF(AND(AL2567&lt;20000,AM2567&gt;5000),20000-AL2567,5000-AM2567)),2)</f>
        <v>5000</v>
      </c>
      <c r="AK2567">
        <f>SUM(Q2568:Q2576)</f>
        <v>0</v>
      </c>
      <c r="AL2567">
        <f>SUM(AL2568:AL2576)</f>
        <v>0</v>
      </c>
      <c r="AM2567">
        <f>SUM(AM2568:AM2576)</f>
        <v>0</v>
      </c>
      <c r="AO2567">
        <f>IF(AM2567&gt;5000,IF(AL2567&gt;20000,1,2),3)</f>
        <v>3</v>
      </c>
      <c r="AV2567" t="str">
        <f>IF(F2567&gt;0,(COUNT($AV$1:AV2566)+1),"")</f>
        <v/>
      </c>
    </row>
    <row r="2568" spans="1:48" ht="15" customHeight="1" x14ac:dyDescent="0.25">
      <c r="A2568" s="1"/>
      <c r="B2568" s="25"/>
      <c r="C2568" s="26"/>
      <c r="D2568" s="228" t="s">
        <v>1455</v>
      </c>
      <c r="E2568" s="80"/>
      <c r="F2568" s="96"/>
      <c r="G2568" s="951"/>
      <c r="H2568" s="282"/>
      <c r="I2568" s="282"/>
      <c r="J2568" s="51"/>
      <c r="K2568" s="47"/>
      <c r="L2568" s="447"/>
      <c r="M2568" s="489" t="s">
        <v>104</v>
      </c>
      <c r="N2568" s="716"/>
      <c r="O2568" s="186"/>
      <c r="P2568" s="79"/>
      <c r="Q2568" s="104"/>
      <c r="R2568" s="13" t="str">
        <f t="shared" ref="R2568:R2576" si="1416">IF(AO2568&gt;0,HYPERLINK(AO2568,"Фото &gt;&gt;"),"")</f>
        <v/>
      </c>
      <c r="S2568" s="14"/>
      <c r="U2568" s="4"/>
      <c r="V2568" s="4"/>
      <c r="AL2568">
        <f t="shared" ref="AL2568:AL2573" si="1417">F2568*G2568</f>
        <v>0</v>
      </c>
      <c r="AM2568">
        <f t="shared" ref="AM2568:AM2573" si="1418">F2568*H2568</f>
        <v>0</v>
      </c>
      <c r="AN2568">
        <f t="shared" ref="AN2568:AN2573" si="1419">AK2568*F2568+IF(E2568&gt;1.01,F2568/E2568*0.2,0)</f>
        <v>0</v>
      </c>
      <c r="AV2568" t="str">
        <f>IF(F2568&gt;0,(COUNT($AV$1:AV2567)+1),"")</f>
        <v/>
      </c>
    </row>
    <row r="2569" spans="1:48" ht="15" customHeight="1" x14ac:dyDescent="0.25">
      <c r="A2569" s="1"/>
      <c r="B2569" s="30">
        <v>20871</v>
      </c>
      <c r="C2569" s="20">
        <v>4650057967304</v>
      </c>
      <c r="D2569" s="225" t="s">
        <v>6173</v>
      </c>
      <c r="E2569" s="67">
        <v>6</v>
      </c>
      <c r="F2569" s="222"/>
      <c r="G2569" s="419">
        <v>82</v>
      </c>
      <c r="H2569" s="417">
        <v>85.3</v>
      </c>
      <c r="I2569" s="418">
        <v>89</v>
      </c>
      <c r="J2569" s="112" t="s">
        <v>5538</v>
      </c>
      <c r="K2569" s="45" t="s">
        <v>556</v>
      </c>
      <c r="L2569" s="437"/>
      <c r="M2569" s="474" t="s">
        <v>1856</v>
      </c>
      <c r="N2569" s="1013" t="s">
        <v>1856</v>
      </c>
      <c r="O2569" s="209" t="s">
        <v>7548</v>
      </c>
      <c r="P2569" s="66" t="s">
        <v>72</v>
      </c>
      <c r="Q2569" s="100">
        <f>IF($AO$2567=2,F2569*H2569,IF($AO$2567=1,F2569*G2569,F2569*I2569))</f>
        <v>0</v>
      </c>
      <c r="R2569" s="13" t="str">
        <f t="shared" si="1416"/>
        <v>Фото &gt;&gt;</v>
      </c>
      <c r="S2569" s="14" t="s">
        <v>4641</v>
      </c>
      <c r="T2569" s="1101"/>
      <c r="U2569" s="4"/>
      <c r="V2569" s="4"/>
      <c r="AK2569">
        <v>0.18</v>
      </c>
      <c r="AL2569">
        <f t="shared" si="1417"/>
        <v>0</v>
      </c>
      <c r="AM2569">
        <f t="shared" si="1418"/>
        <v>0</v>
      </c>
      <c r="AN2569">
        <f t="shared" si="1419"/>
        <v>0</v>
      </c>
      <c r="AO2569" t="s">
        <v>4642</v>
      </c>
      <c r="AV2569" t="str">
        <f>IF(F2569&gt;0,(COUNT($AV$1:AV2568)+1),"")</f>
        <v/>
      </c>
    </row>
    <row r="2570" spans="1:48" ht="15" customHeight="1" x14ac:dyDescent="0.25">
      <c r="A2570" s="1"/>
      <c r="B2570" s="25"/>
      <c r="C2570" s="26"/>
      <c r="D2570" s="228" t="s">
        <v>1456</v>
      </c>
      <c r="E2570" s="80"/>
      <c r="F2570" s="96"/>
      <c r="G2570" s="951"/>
      <c r="H2570" s="282"/>
      <c r="I2570" s="282"/>
      <c r="J2570" s="51"/>
      <c r="K2570" s="47"/>
      <c r="L2570" s="447"/>
      <c r="M2570" s="489" t="s">
        <v>104</v>
      </c>
      <c r="N2570" s="716"/>
      <c r="O2570" s="186" t="s">
        <v>104</v>
      </c>
      <c r="P2570" s="79"/>
      <c r="Q2570" s="104"/>
      <c r="R2570" s="13" t="str">
        <f t="shared" si="1416"/>
        <v/>
      </c>
      <c r="S2570" s="14"/>
      <c r="U2570" s="4"/>
      <c r="V2570" s="4"/>
      <c r="AL2570">
        <f t="shared" si="1417"/>
        <v>0</v>
      </c>
      <c r="AM2570">
        <f t="shared" si="1418"/>
        <v>0</v>
      </c>
      <c r="AN2570">
        <f t="shared" si="1419"/>
        <v>0</v>
      </c>
      <c r="AV2570" t="str">
        <f>IF(F2570&gt;0,(COUNT($AV$1:AV2569)+1),"")</f>
        <v/>
      </c>
    </row>
    <row r="2571" spans="1:48" ht="15" customHeight="1" x14ac:dyDescent="0.25">
      <c r="A2571" s="1"/>
      <c r="B2571" s="31">
        <v>20208</v>
      </c>
      <c r="C2571" s="16">
        <v>4650057964068</v>
      </c>
      <c r="D2571" s="226" t="s">
        <v>7545</v>
      </c>
      <c r="E2571" s="69">
        <v>6</v>
      </c>
      <c r="F2571" s="222"/>
      <c r="G2571" s="420">
        <v>137.9</v>
      </c>
      <c r="H2571" s="415">
        <v>143.4</v>
      </c>
      <c r="I2571" s="416">
        <v>149.5</v>
      </c>
      <c r="J2571" s="113" t="s">
        <v>5538</v>
      </c>
      <c r="K2571" s="44" t="s">
        <v>556</v>
      </c>
      <c r="L2571" s="442"/>
      <c r="M2571" s="480" t="s">
        <v>1856</v>
      </c>
      <c r="N2571" s="1015" t="s">
        <v>1856</v>
      </c>
      <c r="O2571" s="210" t="s">
        <v>7549</v>
      </c>
      <c r="P2571" s="68" t="s">
        <v>72</v>
      </c>
      <c r="Q2571" s="100">
        <f t="shared" ref="Q2571:Q2576" si="1420">IF($AO$2567=2,F2571*H2571,IF($AO$2567=1,F2571*G2571,F2571*I2571))</f>
        <v>0</v>
      </c>
      <c r="R2571" s="13" t="str">
        <f t="shared" si="1416"/>
        <v>Фото &gt;&gt;</v>
      </c>
      <c r="S2571" s="14" t="s">
        <v>7546</v>
      </c>
      <c r="T2571" s="1101"/>
      <c r="U2571" s="4"/>
      <c r="V2571" s="4"/>
      <c r="AK2571">
        <v>0.2</v>
      </c>
      <c r="AL2571">
        <f t="shared" si="1417"/>
        <v>0</v>
      </c>
      <c r="AM2571">
        <f t="shared" si="1418"/>
        <v>0</v>
      </c>
      <c r="AN2571">
        <f t="shared" si="1419"/>
        <v>0</v>
      </c>
      <c r="AO2571" t="s">
        <v>7547</v>
      </c>
      <c r="AV2571" t="str">
        <f>IF(F2571&gt;0,(COUNT($AV$1:AV2570)+1),"")</f>
        <v/>
      </c>
    </row>
    <row r="2572" spans="1:48" ht="15" customHeight="1" x14ac:dyDescent="0.25">
      <c r="A2572" s="1"/>
      <c r="B2572" s="30">
        <v>20520</v>
      </c>
      <c r="C2572" s="20">
        <v>4650057966611</v>
      </c>
      <c r="D2572" s="225" t="s">
        <v>7260</v>
      </c>
      <c r="E2572" s="67">
        <v>6</v>
      </c>
      <c r="F2572" s="222"/>
      <c r="G2572" s="419">
        <v>102.6</v>
      </c>
      <c r="H2572" s="417">
        <v>106.4</v>
      </c>
      <c r="I2572" s="418">
        <v>111.1</v>
      </c>
      <c r="J2572" s="112" t="s">
        <v>5538</v>
      </c>
      <c r="K2572" s="45" t="s">
        <v>201</v>
      </c>
      <c r="L2572" s="437"/>
      <c r="M2572" s="474" t="s">
        <v>104</v>
      </c>
      <c r="N2572" s="1013" t="s">
        <v>1856</v>
      </c>
      <c r="O2572" s="209" t="s">
        <v>7550</v>
      </c>
      <c r="P2572" s="66" t="s">
        <v>72</v>
      </c>
      <c r="Q2572" s="100">
        <f t="shared" si="1420"/>
        <v>0</v>
      </c>
      <c r="R2572" s="13" t="str">
        <f t="shared" si="1416"/>
        <v>Фото &gt;&gt;</v>
      </c>
      <c r="S2572" s="14"/>
      <c r="T2572" s="1101"/>
      <c r="U2572" s="4"/>
      <c r="V2572" s="4"/>
      <c r="AK2572">
        <v>0.18</v>
      </c>
      <c r="AL2572">
        <f t="shared" si="1417"/>
        <v>0</v>
      </c>
      <c r="AM2572">
        <f t="shared" si="1418"/>
        <v>0</v>
      </c>
      <c r="AN2572">
        <f t="shared" si="1419"/>
        <v>0</v>
      </c>
      <c r="AO2572" t="s">
        <v>7259</v>
      </c>
      <c r="AV2572" t="str">
        <f>IF(F2572&gt;0,(COUNT($AV$1:AV2571)+1),"")</f>
        <v/>
      </c>
    </row>
    <row r="2573" spans="1:48" ht="15" customHeight="1" x14ac:dyDescent="0.25">
      <c r="A2573" s="1"/>
      <c r="B2573" s="31">
        <v>20478</v>
      </c>
      <c r="C2573" s="16">
        <v>4650057966628</v>
      </c>
      <c r="D2573" s="226" t="s">
        <v>3990</v>
      </c>
      <c r="E2573" s="69">
        <v>6</v>
      </c>
      <c r="F2573" s="222"/>
      <c r="G2573" s="420">
        <v>102.3</v>
      </c>
      <c r="H2573" s="415">
        <v>106.4</v>
      </c>
      <c r="I2573" s="416">
        <v>118.2</v>
      </c>
      <c r="J2573" s="113" t="s">
        <v>5538</v>
      </c>
      <c r="K2573" s="44" t="s">
        <v>201</v>
      </c>
      <c r="L2573" s="442"/>
      <c r="M2573" s="480" t="s">
        <v>1856</v>
      </c>
      <c r="N2573" s="1015" t="s">
        <v>1856</v>
      </c>
      <c r="O2573" s="210" t="s">
        <v>7551</v>
      </c>
      <c r="P2573" s="68" t="s">
        <v>72</v>
      </c>
      <c r="Q2573" s="100">
        <f t="shared" si="1420"/>
        <v>0</v>
      </c>
      <c r="R2573" s="13" t="str">
        <f t="shared" si="1416"/>
        <v>Фото &gt;&gt;</v>
      </c>
      <c r="S2573" s="14" t="s">
        <v>3695</v>
      </c>
      <c r="T2573" s="1101"/>
      <c r="U2573" s="4"/>
      <c r="V2573" s="4"/>
      <c r="AK2573">
        <v>0.2</v>
      </c>
      <c r="AL2573">
        <f t="shared" si="1417"/>
        <v>0</v>
      </c>
      <c r="AM2573">
        <f t="shared" si="1418"/>
        <v>0</v>
      </c>
      <c r="AN2573">
        <f t="shared" si="1419"/>
        <v>0</v>
      </c>
      <c r="AO2573" t="s">
        <v>3944</v>
      </c>
      <c r="AV2573" t="str">
        <f>IF(F2573&gt;0,(COUNT($AV$1:AV2572)+1),"")</f>
        <v/>
      </c>
    </row>
    <row r="2574" spans="1:48" ht="15" customHeight="1" x14ac:dyDescent="0.25">
      <c r="A2574" s="1"/>
      <c r="B2574" s="30">
        <v>20477</v>
      </c>
      <c r="C2574" s="20">
        <v>4650057962712</v>
      </c>
      <c r="D2574" s="225" t="s">
        <v>3992</v>
      </c>
      <c r="E2574" s="67">
        <v>12</v>
      </c>
      <c r="F2574" s="222"/>
      <c r="G2574" s="419">
        <v>88.1</v>
      </c>
      <c r="H2574" s="417">
        <v>91.6</v>
      </c>
      <c r="I2574" s="418">
        <v>95.4</v>
      </c>
      <c r="J2574" s="112" t="s">
        <v>5538</v>
      </c>
      <c r="K2574" s="45" t="s">
        <v>201</v>
      </c>
      <c r="L2574" s="437"/>
      <c r="M2574" s="474" t="s">
        <v>1856</v>
      </c>
      <c r="N2574" s="1013" t="s">
        <v>1856</v>
      </c>
      <c r="O2574" s="209" t="s">
        <v>7552</v>
      </c>
      <c r="P2574" s="66" t="s">
        <v>72</v>
      </c>
      <c r="Q2574" s="100">
        <f t="shared" si="1420"/>
        <v>0</v>
      </c>
      <c r="R2574" s="13" t="str">
        <f t="shared" si="1416"/>
        <v>Фото &gt;&gt;</v>
      </c>
      <c r="S2574" s="14" t="s">
        <v>3952</v>
      </c>
      <c r="T2574" s="1101"/>
      <c r="U2574" s="4"/>
      <c r="V2574" s="4"/>
      <c r="AK2574">
        <v>0.2</v>
      </c>
      <c r="AL2574">
        <f t="shared" ref="AL2574" si="1421">F2574*G2574</f>
        <v>0</v>
      </c>
      <c r="AM2574">
        <f t="shared" ref="AM2574" si="1422">F2574*H2574</f>
        <v>0</v>
      </c>
      <c r="AN2574">
        <f t="shared" ref="AN2574" si="1423">AK2574*F2574+IF(E2574&gt;1.01,F2574/E2574*0.2,0)</f>
        <v>0</v>
      </c>
      <c r="AO2574" t="s">
        <v>6031</v>
      </c>
      <c r="AV2574" t="str">
        <f>IF(F2574&gt;0,(COUNT($AV$1:AV2573)+1),"")</f>
        <v/>
      </c>
    </row>
    <row r="2575" spans="1:48" ht="15" customHeight="1" x14ac:dyDescent="0.25">
      <c r="A2575" s="1"/>
      <c r="B2575" s="31">
        <v>20515</v>
      </c>
      <c r="C2575" s="16">
        <v>4650057966093</v>
      </c>
      <c r="D2575" s="226" t="s">
        <v>3991</v>
      </c>
      <c r="E2575" s="69">
        <v>6</v>
      </c>
      <c r="F2575" s="222"/>
      <c r="G2575" s="420">
        <v>62.9</v>
      </c>
      <c r="H2575" s="415">
        <v>65.5</v>
      </c>
      <c r="I2575" s="416">
        <v>68.2</v>
      </c>
      <c r="J2575" s="113" t="s">
        <v>5538</v>
      </c>
      <c r="K2575" s="44" t="s">
        <v>201</v>
      </c>
      <c r="L2575" s="442"/>
      <c r="M2575" s="480" t="s">
        <v>1856</v>
      </c>
      <c r="N2575" s="1015" t="s">
        <v>1856</v>
      </c>
      <c r="O2575" s="210" t="s">
        <v>7553</v>
      </c>
      <c r="P2575" s="68" t="s">
        <v>72</v>
      </c>
      <c r="Q2575" s="100">
        <f t="shared" si="1420"/>
        <v>0</v>
      </c>
      <c r="R2575" s="13" t="str">
        <f t="shared" si="1416"/>
        <v>Фото &gt;&gt;</v>
      </c>
      <c r="S2575" s="14" t="s">
        <v>3994</v>
      </c>
      <c r="T2575" s="1101"/>
      <c r="U2575" s="4"/>
      <c r="V2575" s="4"/>
      <c r="AK2575">
        <v>0.2</v>
      </c>
      <c r="AL2575">
        <f t="shared" ref="AL2575" si="1424">F2575*G2575</f>
        <v>0</v>
      </c>
      <c r="AM2575">
        <f t="shared" ref="AM2575" si="1425">F2575*H2575</f>
        <v>0</v>
      </c>
      <c r="AN2575">
        <f t="shared" ref="AN2575" si="1426">AK2575*F2575+IF(E2575&gt;1.01,F2575/E2575*0.2,0)</f>
        <v>0</v>
      </c>
      <c r="AO2575" t="s">
        <v>6032</v>
      </c>
      <c r="AV2575" t="str">
        <f>IF(F2575&gt;0,(COUNT($AV$1:AV2574)+1),"")</f>
        <v/>
      </c>
    </row>
    <row r="2576" spans="1:48" ht="15" customHeight="1" x14ac:dyDescent="0.25">
      <c r="A2576" s="1"/>
      <c r="B2576" s="30">
        <v>20485</v>
      </c>
      <c r="C2576" s="20">
        <v>4650057963634</v>
      </c>
      <c r="D2576" s="225" t="s">
        <v>3993</v>
      </c>
      <c r="E2576" s="67">
        <v>12</v>
      </c>
      <c r="F2576" s="222"/>
      <c r="G2576" s="419">
        <v>62.9</v>
      </c>
      <c r="H2576" s="417">
        <v>65.5</v>
      </c>
      <c r="I2576" s="418">
        <v>68.2</v>
      </c>
      <c r="J2576" s="112" t="s">
        <v>5538</v>
      </c>
      <c r="K2576" s="45" t="s">
        <v>201</v>
      </c>
      <c r="L2576" s="437"/>
      <c r="M2576" s="474" t="s">
        <v>1856</v>
      </c>
      <c r="N2576" s="1013" t="s">
        <v>1856</v>
      </c>
      <c r="O2576" s="209" t="s">
        <v>7553</v>
      </c>
      <c r="P2576" s="66" t="s">
        <v>72</v>
      </c>
      <c r="Q2576" s="100">
        <f t="shared" si="1420"/>
        <v>0</v>
      </c>
      <c r="R2576" s="13" t="str">
        <f t="shared" si="1416"/>
        <v>Фото &gt;&gt;</v>
      </c>
      <c r="S2576" s="14" t="s">
        <v>3951</v>
      </c>
      <c r="T2576" s="1101"/>
      <c r="U2576" s="4"/>
      <c r="V2576" s="4"/>
      <c r="AK2576">
        <v>0.2</v>
      </c>
      <c r="AL2576">
        <f t="shared" ref="AL2576" si="1427">F2576*G2576</f>
        <v>0</v>
      </c>
      <c r="AM2576">
        <f t="shared" ref="AM2576" si="1428">F2576*H2576</f>
        <v>0</v>
      </c>
      <c r="AN2576">
        <f t="shared" ref="AN2576" si="1429">AK2576*F2576+IF(E2576&gt;1.01,F2576/E2576*0.2,0)</f>
        <v>0</v>
      </c>
      <c r="AO2576" t="s">
        <v>6033</v>
      </c>
      <c r="AV2576" t="str">
        <f>IF(F2576&gt;0,(COUNT($AV$1:AV2575)+1),"")</f>
        <v/>
      </c>
    </row>
    <row r="2577" spans="1:48" ht="15" customHeight="1" x14ac:dyDescent="0.25">
      <c r="A2577" s="1"/>
      <c r="B2577" s="125"/>
      <c r="C2577" s="126"/>
      <c r="D2577" s="127"/>
      <c r="E2577" s="134"/>
      <c r="F2577" s="189"/>
      <c r="G2577" s="130"/>
      <c r="H2577" s="131"/>
      <c r="I2577" s="132"/>
      <c r="J2577" s="128"/>
      <c r="K2577" s="129"/>
      <c r="L2577" s="433"/>
      <c r="M2577" s="481" t="s">
        <v>104</v>
      </c>
      <c r="N2577" s="471"/>
      <c r="O2577" s="181"/>
      <c r="P2577" s="133"/>
      <c r="Q2577" s="135"/>
      <c r="R2577" s="13"/>
      <c r="S2577" s="14"/>
      <c r="AV2577" t="str">
        <f>IF(F2577&gt;0,(COUNT($AV$1:AV2576)+1),"")</f>
        <v/>
      </c>
    </row>
    <row r="2578" spans="1:48" ht="15" customHeight="1" thickBot="1" x14ac:dyDescent="0.3">
      <c r="A2578" s="1"/>
      <c r="B2578" s="136"/>
      <c r="C2578" s="137"/>
      <c r="D2578" s="138"/>
      <c r="E2578" s="145"/>
      <c r="F2578" s="190"/>
      <c r="G2578" s="141"/>
      <c r="H2578" s="142"/>
      <c r="I2578" s="143"/>
      <c r="J2578" s="139"/>
      <c r="K2578" s="140"/>
      <c r="L2578" s="434"/>
      <c r="M2578" s="477" t="s">
        <v>104</v>
      </c>
      <c r="N2578" s="468"/>
      <c r="O2578" s="182"/>
      <c r="P2578" s="144"/>
      <c r="Q2578" s="146"/>
      <c r="R2578" s="13"/>
      <c r="S2578" s="14"/>
      <c r="AV2578" t="str">
        <f>IF(F2578&gt;0,(COUNT($AV$1:AV2577)+1),"")</f>
        <v/>
      </c>
    </row>
    <row r="2579" spans="1:48" ht="24.95" customHeight="1" thickBot="1" x14ac:dyDescent="0.3">
      <c r="A2579" s="1"/>
      <c r="B2579" s="169"/>
      <c r="C2579" s="170"/>
      <c r="D2579" s="171" t="str">
        <f>CONCATENATE("Молекола (Molecola)","     |     Сумма заказа: ",AK2579," руб.")</f>
        <v>Молекола (Molecola)     |     Сумма заказа: 0 руб.</v>
      </c>
      <c r="E2579" s="176"/>
      <c r="F2579" s="177"/>
      <c r="G2579" s="180" t="str">
        <f>CONCATENATE("Ценовая колонка: ",AO2579,"   |   До следующей скидки: ",AJ2579," руб.")</f>
        <v>Ценовая колонка: 3   |   До следующей скидки: 5000 руб.</v>
      </c>
      <c r="H2579" s="174"/>
      <c r="I2579" s="174"/>
      <c r="J2579" s="172" t="s">
        <v>946</v>
      </c>
      <c r="K2579" s="173"/>
      <c r="L2579" s="444"/>
      <c r="M2579" s="486" t="s">
        <v>104</v>
      </c>
      <c r="N2579" s="717"/>
      <c r="O2579" s="184"/>
      <c r="P2579" s="175"/>
      <c r="Q2579" s="178"/>
      <c r="R2579" s="179" t="s">
        <v>1558</v>
      </c>
      <c r="S2579" s="14"/>
      <c r="AJ2579">
        <f>ROUND(IF(AL2579&gt;10000,"0", IF(AND(AL2579&lt;10000,AM2579&gt;5000),10000-AL2579,5000-AM2579)),2)</f>
        <v>5000</v>
      </c>
      <c r="AK2579">
        <f>SUM(Q2581:Q2606)</f>
        <v>0</v>
      </c>
      <c r="AL2579">
        <f>SUM(AL2581:AL2606)</f>
        <v>0</v>
      </c>
      <c r="AM2579">
        <f>SUM(AM2581:AM2606)</f>
        <v>0</v>
      </c>
      <c r="AO2579">
        <f>IF(AM2579&gt;5000,IF(AL2579&gt;10000,1,2),3)</f>
        <v>3</v>
      </c>
      <c r="AV2579" t="str">
        <f>IF(F2579&gt;0,(COUNT($AV$1:AV2578)+1),"")</f>
        <v/>
      </c>
    </row>
    <row r="2580" spans="1:48" ht="15" customHeight="1" x14ac:dyDescent="0.25">
      <c r="A2580" s="1"/>
      <c r="B2580" s="296"/>
      <c r="C2580" s="38"/>
      <c r="D2580" s="39" t="s">
        <v>2359</v>
      </c>
      <c r="E2580" s="82"/>
      <c r="F2580" s="97"/>
      <c r="G2580" s="40" t="s">
        <v>1451</v>
      </c>
      <c r="H2580" s="41" t="s">
        <v>16</v>
      </c>
      <c r="I2580" s="41" t="s">
        <v>221</v>
      </c>
      <c r="J2580" s="52"/>
      <c r="K2580" s="48"/>
      <c r="L2580" s="448"/>
      <c r="M2580" s="491" t="s">
        <v>104</v>
      </c>
      <c r="N2580" s="715"/>
      <c r="O2580" s="187"/>
      <c r="P2580" s="81"/>
      <c r="Q2580" s="105"/>
      <c r="R2580" s="13"/>
      <c r="S2580" s="14"/>
      <c r="AV2580" t="str">
        <f>IF(F2580&gt;0,(COUNT($AV$1:AV2579)+1),"")</f>
        <v/>
      </c>
    </row>
    <row r="2581" spans="1:48" ht="15" customHeight="1" x14ac:dyDescent="0.25">
      <c r="A2581" s="1"/>
      <c r="B2581" s="30">
        <v>16368</v>
      </c>
      <c r="C2581" s="20">
        <v>4603725629011</v>
      </c>
      <c r="D2581" s="225" t="s">
        <v>1458</v>
      </c>
      <c r="E2581" s="67">
        <v>8</v>
      </c>
      <c r="F2581" s="222"/>
      <c r="G2581" s="107">
        <v>170.8</v>
      </c>
      <c r="H2581" s="21">
        <v>176.9</v>
      </c>
      <c r="I2581" s="22">
        <v>185.1</v>
      </c>
      <c r="J2581" s="112" t="s">
        <v>946</v>
      </c>
      <c r="K2581" s="45" t="s">
        <v>164</v>
      </c>
      <c r="L2581" s="437"/>
      <c r="M2581" s="474" t="s">
        <v>104</v>
      </c>
      <c r="N2581" s="1013"/>
      <c r="O2581" s="209"/>
      <c r="P2581" s="66" t="s">
        <v>55</v>
      </c>
      <c r="Q2581" s="100">
        <f>IF($AO$2579=2,F2581*H2581,IF($AO$2579=1,F2581*G2581,F2581*I2581))</f>
        <v>0</v>
      </c>
      <c r="R2581" s="13" t="str">
        <f t="shared" ref="R2581:R2584" si="1430">IF(AO2581&gt;0,HYPERLINK(AO2581,"Фото &gt;&gt;"),"")</f>
        <v>Фото &gt;&gt;</v>
      </c>
      <c r="S2581" s="14" t="s">
        <v>955</v>
      </c>
      <c r="AK2581">
        <v>0.55000000000000004</v>
      </c>
      <c r="AL2581">
        <f t="shared" ref="AL2581:AL2584" si="1431">F2581*G2581</f>
        <v>0</v>
      </c>
      <c r="AM2581">
        <f t="shared" ref="AM2581:AM2584" si="1432">F2581*H2581</f>
        <v>0</v>
      </c>
      <c r="AN2581">
        <f t="shared" ref="AN2581:AN2584" si="1433">AK2581*F2581+IF(E2581&gt;1.01,F2581/E2581*0.2,0)</f>
        <v>0</v>
      </c>
      <c r="AO2581" t="s">
        <v>5182</v>
      </c>
      <c r="AV2581" t="str">
        <f>IF(F2581&gt;0,(COUNT($AV$1:AV2580)+1),"")</f>
        <v/>
      </c>
    </row>
    <row r="2582" spans="1:48" ht="15" customHeight="1" x14ac:dyDescent="0.25">
      <c r="A2582" s="1"/>
      <c r="B2582" s="31">
        <v>16370</v>
      </c>
      <c r="C2582" s="16">
        <v>4603725629196</v>
      </c>
      <c r="D2582" s="226" t="s">
        <v>7216</v>
      </c>
      <c r="E2582" s="69">
        <v>8</v>
      </c>
      <c r="F2582" s="222"/>
      <c r="G2582" s="108">
        <v>174.9</v>
      </c>
      <c r="H2582" s="17">
        <v>181</v>
      </c>
      <c r="I2582" s="18">
        <v>188.1</v>
      </c>
      <c r="J2582" s="113" t="s">
        <v>946</v>
      </c>
      <c r="K2582" s="44" t="s">
        <v>164</v>
      </c>
      <c r="L2582" s="442"/>
      <c r="M2582" s="480" t="s">
        <v>104</v>
      </c>
      <c r="N2582" s="1015"/>
      <c r="O2582" s="210"/>
      <c r="P2582" s="68" t="s">
        <v>55</v>
      </c>
      <c r="Q2582" s="100">
        <f>IF($AO$2579=2,F2582*H2582,IF($AO$2579=1,F2582*G2582,F2582*I2582))</f>
        <v>0</v>
      </c>
      <c r="R2582" s="13" t="str">
        <f t="shared" si="1430"/>
        <v>Фото &gt;&gt;</v>
      </c>
      <c r="S2582" s="14" t="s">
        <v>956</v>
      </c>
      <c r="AK2582">
        <v>0.55000000000000004</v>
      </c>
      <c r="AL2582">
        <f t="shared" si="1431"/>
        <v>0</v>
      </c>
      <c r="AM2582">
        <f t="shared" si="1432"/>
        <v>0</v>
      </c>
      <c r="AN2582">
        <f t="shared" si="1433"/>
        <v>0</v>
      </c>
      <c r="AO2582" t="s">
        <v>5183</v>
      </c>
      <c r="AV2582" t="str">
        <f>IF(F2582&gt;0,(COUNT($AV$1:AV2581)+1),"")</f>
        <v/>
      </c>
    </row>
    <row r="2583" spans="1:48" ht="15" customHeight="1" x14ac:dyDescent="0.25">
      <c r="A2583" s="1"/>
      <c r="B2583" s="30">
        <v>16403</v>
      </c>
      <c r="C2583" s="20">
        <v>4603725629240</v>
      </c>
      <c r="D2583" s="225" t="s">
        <v>7217</v>
      </c>
      <c r="E2583" s="67">
        <v>8</v>
      </c>
      <c r="F2583" s="222"/>
      <c r="G2583" s="107">
        <v>174.9</v>
      </c>
      <c r="H2583" s="21">
        <v>181</v>
      </c>
      <c r="I2583" s="22">
        <v>188.1</v>
      </c>
      <c r="J2583" s="112" t="s">
        <v>946</v>
      </c>
      <c r="K2583" s="45" t="s">
        <v>164</v>
      </c>
      <c r="L2583" s="437"/>
      <c r="M2583" s="474" t="s">
        <v>104</v>
      </c>
      <c r="N2583" s="1013"/>
      <c r="O2583" s="209"/>
      <c r="P2583" s="66" t="s">
        <v>55</v>
      </c>
      <c r="Q2583" s="100">
        <f>IF($AO$2579=2,F2583*H2583,IF($AO$2579=1,F2583*G2583,F2583*I2583))</f>
        <v>0</v>
      </c>
      <c r="R2583" s="13" t="str">
        <f t="shared" si="1430"/>
        <v>Фото &gt;&gt;</v>
      </c>
      <c r="S2583" s="14" t="s">
        <v>957</v>
      </c>
      <c r="AK2583">
        <v>0.55000000000000004</v>
      </c>
      <c r="AL2583">
        <f t="shared" si="1431"/>
        <v>0</v>
      </c>
      <c r="AM2583">
        <f t="shared" si="1432"/>
        <v>0</v>
      </c>
      <c r="AN2583">
        <f t="shared" si="1433"/>
        <v>0</v>
      </c>
      <c r="AO2583" t="s">
        <v>5184</v>
      </c>
      <c r="AV2583" t="str">
        <f>IF(F2583&gt;0,(COUNT($AV$1:AV2582)+1),"")</f>
        <v/>
      </c>
    </row>
    <row r="2584" spans="1:48" ht="15" customHeight="1" x14ac:dyDescent="0.25">
      <c r="A2584" s="1"/>
      <c r="B2584" s="31">
        <v>17776</v>
      </c>
      <c r="C2584" s="16">
        <v>4603725629349</v>
      </c>
      <c r="D2584" s="226" t="s">
        <v>1459</v>
      </c>
      <c r="E2584" s="69">
        <v>12</v>
      </c>
      <c r="F2584" s="222"/>
      <c r="G2584" s="108">
        <v>338.1</v>
      </c>
      <c r="H2584" s="17">
        <v>350.8</v>
      </c>
      <c r="I2584" s="18">
        <v>378.2</v>
      </c>
      <c r="J2584" s="113" t="s">
        <v>946</v>
      </c>
      <c r="K2584" s="44" t="s">
        <v>164</v>
      </c>
      <c r="L2584" s="442"/>
      <c r="M2584" s="480" t="s">
        <v>104</v>
      </c>
      <c r="N2584" s="1015"/>
      <c r="O2584" s="210"/>
      <c r="P2584" s="68" t="s">
        <v>884</v>
      </c>
      <c r="Q2584" s="100">
        <f>IF($AO$2579=2,F2584*H2584,IF($AO$2579=1,F2584*G2584,F2584*I2584))</f>
        <v>0</v>
      </c>
      <c r="R2584" s="13" t="str">
        <f t="shared" si="1430"/>
        <v>Фото &gt;&gt;</v>
      </c>
      <c r="S2584" s="14" t="s">
        <v>3696</v>
      </c>
      <c r="AK2584">
        <v>0.4</v>
      </c>
      <c r="AL2584">
        <f t="shared" si="1431"/>
        <v>0</v>
      </c>
      <c r="AM2584">
        <f t="shared" si="1432"/>
        <v>0</v>
      </c>
      <c r="AN2584">
        <f t="shared" si="1433"/>
        <v>0</v>
      </c>
      <c r="AO2584" t="s">
        <v>5457</v>
      </c>
      <c r="AV2584" t="str">
        <f>IF(F2584&gt;0,(COUNT($AV$1:AV2583)+1),"")</f>
        <v/>
      </c>
    </row>
    <row r="2585" spans="1:48" ht="15" customHeight="1" x14ac:dyDescent="0.25">
      <c r="A2585" s="1"/>
      <c r="B2585" s="25"/>
      <c r="C2585" s="26"/>
      <c r="D2585" s="228" t="s">
        <v>2360</v>
      </c>
      <c r="E2585" s="80"/>
      <c r="F2585" s="96"/>
      <c r="G2585" s="28"/>
      <c r="H2585" s="29"/>
      <c r="I2585" s="29"/>
      <c r="J2585" s="51"/>
      <c r="K2585" s="47"/>
      <c r="L2585" s="447"/>
      <c r="M2585" s="489"/>
      <c r="N2585" s="716"/>
      <c r="O2585" s="396"/>
      <c r="P2585" s="79"/>
      <c r="Q2585" s="104"/>
      <c r="R2585" s="13"/>
      <c r="S2585" s="14"/>
      <c r="AO2585" t="s">
        <v>104</v>
      </c>
      <c r="AV2585" t="str">
        <f>IF(F2585&gt;0,(COUNT($AV$1:AV2584)+1),"")</f>
        <v/>
      </c>
    </row>
    <row r="2586" spans="1:48" ht="15" customHeight="1" x14ac:dyDescent="0.25">
      <c r="A2586" s="1"/>
      <c r="B2586" s="31">
        <v>16372</v>
      </c>
      <c r="C2586" s="16">
        <v>4603725629097</v>
      </c>
      <c r="D2586" s="226" t="s">
        <v>7218</v>
      </c>
      <c r="E2586" s="69">
        <v>8</v>
      </c>
      <c r="F2586" s="222"/>
      <c r="G2586" s="108">
        <v>409.8</v>
      </c>
      <c r="H2586" s="17">
        <v>426</v>
      </c>
      <c r="I2586" s="18">
        <v>442.3</v>
      </c>
      <c r="J2586" s="113" t="s">
        <v>946</v>
      </c>
      <c r="K2586" s="44" t="s">
        <v>947</v>
      </c>
      <c r="L2586" s="442"/>
      <c r="M2586" s="480" t="s">
        <v>104</v>
      </c>
      <c r="N2586" s="1015"/>
      <c r="O2586" s="210"/>
      <c r="P2586" s="68" t="s">
        <v>50</v>
      </c>
      <c r="Q2586" s="100">
        <f t="shared" ref="Q2586:Q2594" si="1434">IF($AO$2579=2,F2586*H2586,IF($AO$2579=1,F2586*G2586,F2586*I2586))</f>
        <v>0</v>
      </c>
      <c r="R2586" s="13" t="str">
        <f t="shared" ref="R2586:R2594" si="1435">IF(AO2586&gt;0,HYPERLINK(AO2586,"Фото &gt;&gt;"),"")</f>
        <v>Фото &gt;&gt;</v>
      </c>
      <c r="S2586" s="14" t="s">
        <v>948</v>
      </c>
      <c r="AK2586">
        <v>1.65</v>
      </c>
      <c r="AL2586">
        <f t="shared" ref="AL2586:AL2594" si="1436">F2586*G2586</f>
        <v>0</v>
      </c>
      <c r="AM2586">
        <f t="shared" ref="AM2586:AM2594" si="1437">F2586*H2586</f>
        <v>0</v>
      </c>
      <c r="AN2586">
        <f t="shared" ref="AN2586:AN2594" si="1438">AK2586*F2586+IF(E2586&gt;1.01,F2586/E2586*0.2,0)</f>
        <v>0</v>
      </c>
      <c r="AO2586" t="s">
        <v>5185</v>
      </c>
      <c r="AV2586" t="str">
        <f>IF(F2586&gt;0,(COUNT($AV$1:AV2585)+1),"")</f>
        <v/>
      </c>
    </row>
    <row r="2587" spans="1:48" ht="15" customHeight="1" x14ac:dyDescent="0.25">
      <c r="A2587" s="1"/>
      <c r="B2587" s="30">
        <v>19110</v>
      </c>
      <c r="C2587" s="20">
        <v>4603725629462</v>
      </c>
      <c r="D2587" s="225" t="s">
        <v>7219</v>
      </c>
      <c r="E2587" s="67">
        <v>8</v>
      </c>
      <c r="F2587" s="222"/>
      <c r="G2587" s="107">
        <v>289.8</v>
      </c>
      <c r="H2587" s="21">
        <v>302</v>
      </c>
      <c r="I2587" s="22">
        <v>313.2</v>
      </c>
      <c r="J2587" s="112" t="s">
        <v>946</v>
      </c>
      <c r="K2587" s="45" t="s">
        <v>947</v>
      </c>
      <c r="L2587" s="437"/>
      <c r="M2587" s="474" t="s">
        <v>104</v>
      </c>
      <c r="N2587" s="1013"/>
      <c r="O2587" s="209"/>
      <c r="P2587" s="66" t="s">
        <v>55</v>
      </c>
      <c r="Q2587" s="100">
        <f t="shared" si="1434"/>
        <v>0</v>
      </c>
      <c r="R2587" s="13" t="str">
        <f t="shared" si="1435"/>
        <v>Фото &gt;&gt;</v>
      </c>
      <c r="S2587" s="14" t="s">
        <v>1768</v>
      </c>
      <c r="AK2587">
        <v>1.2</v>
      </c>
      <c r="AL2587">
        <f t="shared" si="1436"/>
        <v>0</v>
      </c>
      <c r="AM2587">
        <f t="shared" si="1437"/>
        <v>0</v>
      </c>
      <c r="AN2587">
        <f t="shared" si="1438"/>
        <v>0</v>
      </c>
      <c r="AO2587" t="s">
        <v>5458</v>
      </c>
      <c r="AV2587" t="str">
        <f>IF(F2587&gt;0,(COUNT($AV$1:AV2586)+1),"")</f>
        <v/>
      </c>
    </row>
    <row r="2588" spans="1:48" ht="15" customHeight="1" x14ac:dyDescent="0.25">
      <c r="A2588" s="1"/>
      <c r="B2588" s="31">
        <v>16373</v>
      </c>
      <c r="C2588" s="16">
        <v>4603725629080</v>
      </c>
      <c r="D2588" s="226" t="s">
        <v>7220</v>
      </c>
      <c r="E2588" s="69">
        <v>8</v>
      </c>
      <c r="F2588" s="222"/>
      <c r="G2588" s="108">
        <v>409.8</v>
      </c>
      <c r="H2588" s="17">
        <v>426</v>
      </c>
      <c r="I2588" s="18">
        <v>442.3</v>
      </c>
      <c r="J2588" s="113" t="s">
        <v>946</v>
      </c>
      <c r="K2588" s="44" t="s">
        <v>947</v>
      </c>
      <c r="L2588" s="442"/>
      <c r="M2588" s="480" t="s">
        <v>104</v>
      </c>
      <c r="N2588" s="1015"/>
      <c r="O2588" s="210"/>
      <c r="P2588" s="68" t="s">
        <v>50</v>
      </c>
      <c r="Q2588" s="100">
        <f t="shared" si="1434"/>
        <v>0</v>
      </c>
      <c r="R2588" s="13" t="str">
        <f t="shared" si="1435"/>
        <v>Фото &gt;&gt;</v>
      </c>
      <c r="S2588" s="14" t="s">
        <v>948</v>
      </c>
      <c r="AK2588">
        <v>1.65</v>
      </c>
      <c r="AL2588">
        <f t="shared" si="1436"/>
        <v>0</v>
      </c>
      <c r="AM2588">
        <f t="shared" si="1437"/>
        <v>0</v>
      </c>
      <c r="AN2588">
        <f t="shared" si="1438"/>
        <v>0</v>
      </c>
      <c r="AO2588" t="s">
        <v>5186</v>
      </c>
      <c r="AV2588" t="str">
        <f>IF(F2588&gt;0,(COUNT($AV$1:AV2587)+1),"")</f>
        <v/>
      </c>
    </row>
    <row r="2589" spans="1:48" ht="15" customHeight="1" x14ac:dyDescent="0.25">
      <c r="A2589" s="1"/>
      <c r="B2589" s="30">
        <v>16391</v>
      </c>
      <c r="C2589" s="20">
        <v>4603725629257</v>
      </c>
      <c r="D2589" s="225" t="s">
        <v>7221</v>
      </c>
      <c r="E2589" s="67">
        <v>8</v>
      </c>
      <c r="F2589" s="222"/>
      <c r="G2589" s="107">
        <v>345.7</v>
      </c>
      <c r="H2589" s="21">
        <v>360</v>
      </c>
      <c r="I2589" s="22">
        <v>374.2</v>
      </c>
      <c r="J2589" s="112" t="s">
        <v>946</v>
      </c>
      <c r="K2589" s="45" t="s">
        <v>947</v>
      </c>
      <c r="L2589" s="437"/>
      <c r="M2589" s="474" t="s">
        <v>104</v>
      </c>
      <c r="N2589" s="1013"/>
      <c r="O2589" s="209"/>
      <c r="P2589" s="66" t="s">
        <v>55</v>
      </c>
      <c r="Q2589" s="100">
        <f t="shared" si="1434"/>
        <v>0</v>
      </c>
      <c r="R2589" s="13" t="str">
        <f t="shared" si="1435"/>
        <v>Фото &gt;&gt;</v>
      </c>
      <c r="S2589" s="14" t="s">
        <v>949</v>
      </c>
      <c r="AK2589">
        <v>1.1000000000000001</v>
      </c>
      <c r="AL2589">
        <f t="shared" si="1436"/>
        <v>0</v>
      </c>
      <c r="AM2589">
        <f t="shared" si="1437"/>
        <v>0</v>
      </c>
      <c r="AN2589">
        <f t="shared" si="1438"/>
        <v>0</v>
      </c>
      <c r="AO2589" t="s">
        <v>5187</v>
      </c>
      <c r="AV2589" t="str">
        <f>IF(F2589&gt;0,(COUNT($AV$1:AV2588)+1),"")</f>
        <v/>
      </c>
    </row>
    <row r="2590" spans="1:48" ht="15" customHeight="1" x14ac:dyDescent="0.25">
      <c r="A2590" s="1"/>
      <c r="B2590" s="31">
        <v>19841</v>
      </c>
      <c r="C2590" s="16">
        <v>4650128570488</v>
      </c>
      <c r="D2590" s="226" t="s">
        <v>2030</v>
      </c>
      <c r="E2590" s="69">
        <v>8</v>
      </c>
      <c r="F2590" s="222"/>
      <c r="G2590" s="108">
        <v>378.8</v>
      </c>
      <c r="H2590" s="17">
        <v>397.6</v>
      </c>
      <c r="I2590" s="18">
        <v>416.9</v>
      </c>
      <c r="J2590" s="113" t="s">
        <v>946</v>
      </c>
      <c r="K2590" s="44" t="s">
        <v>947</v>
      </c>
      <c r="L2590" s="442"/>
      <c r="M2590" s="480" t="s">
        <v>104</v>
      </c>
      <c r="N2590" s="1015"/>
      <c r="O2590" s="210"/>
      <c r="P2590" s="68" t="s">
        <v>50</v>
      </c>
      <c r="Q2590" s="100">
        <f t="shared" si="1434"/>
        <v>0</v>
      </c>
      <c r="R2590" s="13" t="str">
        <f t="shared" si="1435"/>
        <v>Фото &gt;&gt;</v>
      </c>
      <c r="S2590" s="14" t="s">
        <v>3697</v>
      </c>
      <c r="AK2590">
        <v>1.1000000000000001</v>
      </c>
      <c r="AL2590">
        <f t="shared" si="1436"/>
        <v>0</v>
      </c>
      <c r="AM2590">
        <f t="shared" si="1437"/>
        <v>0</v>
      </c>
      <c r="AN2590">
        <f t="shared" si="1438"/>
        <v>0</v>
      </c>
      <c r="AO2590" t="s">
        <v>2773</v>
      </c>
      <c r="AV2590" t="str">
        <f>IF(F2590&gt;0,(COUNT($AV$1:AV2589)+1),"")</f>
        <v/>
      </c>
    </row>
    <row r="2591" spans="1:48" ht="15" customHeight="1" x14ac:dyDescent="0.25">
      <c r="A2591" s="1"/>
      <c r="B2591" s="30">
        <v>16374</v>
      </c>
      <c r="C2591" s="20">
        <v>4603725629066</v>
      </c>
      <c r="D2591" s="225" t="s">
        <v>5872</v>
      </c>
      <c r="E2591" s="67">
        <v>8</v>
      </c>
      <c r="F2591" s="222"/>
      <c r="G2591" s="107">
        <v>373.7</v>
      </c>
      <c r="H2591" s="21">
        <v>388.4</v>
      </c>
      <c r="I2591" s="22">
        <v>417.9</v>
      </c>
      <c r="J2591" s="112" t="s">
        <v>946</v>
      </c>
      <c r="K2591" s="45" t="s">
        <v>947</v>
      </c>
      <c r="L2591" s="437"/>
      <c r="M2591" s="474" t="s">
        <v>104</v>
      </c>
      <c r="N2591" s="1013"/>
      <c r="O2591" s="209"/>
      <c r="P2591" s="66" t="s">
        <v>50</v>
      </c>
      <c r="Q2591" s="100">
        <f t="shared" si="1434"/>
        <v>0</v>
      </c>
      <c r="R2591" s="13" t="str">
        <f t="shared" si="1435"/>
        <v>Фото &gt;&gt;</v>
      </c>
      <c r="S2591" s="14" t="s">
        <v>952</v>
      </c>
      <c r="AK2591">
        <v>1.3</v>
      </c>
      <c r="AL2591">
        <f t="shared" si="1436"/>
        <v>0</v>
      </c>
      <c r="AM2591">
        <f t="shared" si="1437"/>
        <v>0</v>
      </c>
      <c r="AN2591">
        <f t="shared" si="1438"/>
        <v>0</v>
      </c>
      <c r="AO2591" t="s">
        <v>5188</v>
      </c>
      <c r="AV2591" t="str">
        <f>IF(F2591&gt;0,(COUNT($AV$1:AV2590)+1),"")</f>
        <v/>
      </c>
    </row>
    <row r="2592" spans="1:48" ht="15" customHeight="1" x14ac:dyDescent="0.25">
      <c r="A2592" s="1"/>
      <c r="B2592" s="31">
        <v>16375</v>
      </c>
      <c r="C2592" s="16">
        <v>4603725629073</v>
      </c>
      <c r="D2592" s="226" t="s">
        <v>5873</v>
      </c>
      <c r="E2592" s="69">
        <v>8</v>
      </c>
      <c r="F2592" s="222"/>
      <c r="G2592" s="108">
        <v>373.7</v>
      </c>
      <c r="H2592" s="17">
        <v>388.4</v>
      </c>
      <c r="I2592" s="18">
        <v>417.9</v>
      </c>
      <c r="J2592" s="113" t="s">
        <v>946</v>
      </c>
      <c r="K2592" s="44" t="s">
        <v>947</v>
      </c>
      <c r="L2592" s="442"/>
      <c r="M2592" s="480" t="s">
        <v>104</v>
      </c>
      <c r="N2592" s="1015"/>
      <c r="O2592" s="210"/>
      <c r="P2592" s="68" t="s">
        <v>50</v>
      </c>
      <c r="Q2592" s="100">
        <f t="shared" si="1434"/>
        <v>0</v>
      </c>
      <c r="R2592" s="13" t="str">
        <f t="shared" si="1435"/>
        <v>Фото &gt;&gt;</v>
      </c>
      <c r="S2592" s="14" t="s">
        <v>953</v>
      </c>
      <c r="AK2592">
        <v>1.3</v>
      </c>
      <c r="AL2592">
        <f t="shared" si="1436"/>
        <v>0</v>
      </c>
      <c r="AM2592">
        <f t="shared" si="1437"/>
        <v>0</v>
      </c>
      <c r="AN2592">
        <f t="shared" si="1438"/>
        <v>0</v>
      </c>
      <c r="AO2592" t="s">
        <v>5189</v>
      </c>
      <c r="AV2592" t="str">
        <f>IF(F2592&gt;0,(COUNT($AV$1:AV2591)+1),"")</f>
        <v/>
      </c>
    </row>
    <row r="2593" spans="1:48" ht="15" customHeight="1" x14ac:dyDescent="0.25">
      <c r="A2593" s="1"/>
      <c r="B2593" s="30">
        <v>17961</v>
      </c>
      <c r="C2593" s="20">
        <v>4650128570020</v>
      </c>
      <c r="D2593" s="225" t="s">
        <v>5874</v>
      </c>
      <c r="E2593" s="67">
        <v>7</v>
      </c>
      <c r="F2593" s="222"/>
      <c r="G2593" s="107">
        <v>453.5</v>
      </c>
      <c r="H2593" s="21">
        <v>471.8</v>
      </c>
      <c r="I2593" s="22">
        <v>508.4</v>
      </c>
      <c r="J2593" s="112" t="s">
        <v>946</v>
      </c>
      <c r="K2593" s="45" t="s">
        <v>947</v>
      </c>
      <c r="L2593" s="437"/>
      <c r="M2593" s="474" t="s">
        <v>104</v>
      </c>
      <c r="N2593" s="1013"/>
      <c r="O2593" s="209"/>
      <c r="P2593" s="66" t="s">
        <v>55</v>
      </c>
      <c r="Q2593" s="100">
        <f t="shared" si="1434"/>
        <v>0</v>
      </c>
      <c r="R2593" s="13" t="str">
        <f t="shared" si="1435"/>
        <v>Фото &gt;&gt;</v>
      </c>
      <c r="S2593" s="14" t="s">
        <v>3698</v>
      </c>
      <c r="AK2593">
        <v>1.05</v>
      </c>
      <c r="AL2593">
        <f t="shared" si="1436"/>
        <v>0</v>
      </c>
      <c r="AM2593">
        <f t="shared" si="1437"/>
        <v>0</v>
      </c>
      <c r="AN2593">
        <f t="shared" si="1438"/>
        <v>0</v>
      </c>
      <c r="AO2593" t="s">
        <v>5459</v>
      </c>
      <c r="AV2593" t="str">
        <f>IF(F2593&gt;0,(COUNT($AV$1:AV2592)+1),"")</f>
        <v/>
      </c>
    </row>
    <row r="2594" spans="1:48" ht="15" customHeight="1" x14ac:dyDescent="0.25">
      <c r="A2594" s="1"/>
      <c r="B2594" s="31">
        <v>16376</v>
      </c>
      <c r="C2594" s="16">
        <v>4603725629127</v>
      </c>
      <c r="D2594" s="226" t="s">
        <v>5875</v>
      </c>
      <c r="E2594" s="69">
        <v>8</v>
      </c>
      <c r="F2594" s="222"/>
      <c r="G2594" s="108">
        <v>376.2</v>
      </c>
      <c r="H2594" s="17">
        <v>391.5</v>
      </c>
      <c r="I2594" s="18">
        <v>422</v>
      </c>
      <c r="J2594" s="113" t="s">
        <v>946</v>
      </c>
      <c r="K2594" s="44" t="s">
        <v>947</v>
      </c>
      <c r="L2594" s="442"/>
      <c r="M2594" s="480" t="s">
        <v>104</v>
      </c>
      <c r="N2594" s="1015"/>
      <c r="O2594" s="210"/>
      <c r="P2594" s="68" t="s">
        <v>50</v>
      </c>
      <c r="Q2594" s="100">
        <f t="shared" si="1434"/>
        <v>0</v>
      </c>
      <c r="R2594" s="13" t="str">
        <f t="shared" si="1435"/>
        <v>Фото &gt;&gt;</v>
      </c>
      <c r="S2594" s="14" t="s">
        <v>954</v>
      </c>
      <c r="AK2594">
        <v>1.3</v>
      </c>
      <c r="AL2594">
        <f t="shared" si="1436"/>
        <v>0</v>
      </c>
      <c r="AM2594">
        <f t="shared" si="1437"/>
        <v>0</v>
      </c>
      <c r="AN2594">
        <f t="shared" si="1438"/>
        <v>0</v>
      </c>
      <c r="AO2594" t="s">
        <v>5190</v>
      </c>
      <c r="AV2594" t="str">
        <f>IF(F2594&gt;0,(COUNT($AV$1:AV2593)+1),"")</f>
        <v/>
      </c>
    </row>
    <row r="2595" spans="1:48" ht="15" customHeight="1" x14ac:dyDescent="0.25">
      <c r="A2595" s="1"/>
      <c r="B2595" s="25"/>
      <c r="C2595" s="26"/>
      <c r="D2595" s="228" t="s">
        <v>2361</v>
      </c>
      <c r="E2595" s="80"/>
      <c r="F2595" s="96"/>
      <c r="G2595" s="28"/>
      <c r="H2595" s="29"/>
      <c r="I2595" s="29"/>
      <c r="J2595" s="51"/>
      <c r="K2595" s="47"/>
      <c r="L2595" s="447"/>
      <c r="M2595" s="489"/>
      <c r="N2595" s="716"/>
      <c r="O2595" s="396"/>
      <c r="P2595" s="79"/>
      <c r="Q2595" s="104"/>
      <c r="R2595" s="13"/>
      <c r="S2595" s="14"/>
      <c r="AO2595" t="s">
        <v>104</v>
      </c>
      <c r="AV2595" t="str">
        <f>IF(F2595&gt;0,(COUNT($AV$1:AV2594)+1),"")</f>
        <v/>
      </c>
    </row>
    <row r="2596" spans="1:48" ht="15" customHeight="1" x14ac:dyDescent="0.25">
      <c r="A2596" s="1"/>
      <c r="B2596" s="30">
        <v>16378</v>
      </c>
      <c r="C2596" s="20">
        <v>4603725629103</v>
      </c>
      <c r="D2596" s="225" t="s">
        <v>950</v>
      </c>
      <c r="E2596" s="67">
        <v>12</v>
      </c>
      <c r="F2596" s="222"/>
      <c r="G2596" s="107">
        <v>231.8</v>
      </c>
      <c r="H2596" s="21">
        <v>241</v>
      </c>
      <c r="I2596" s="22">
        <v>250.1</v>
      </c>
      <c r="J2596" s="112" t="s">
        <v>946</v>
      </c>
      <c r="K2596" s="45" t="s">
        <v>947</v>
      </c>
      <c r="L2596" s="437"/>
      <c r="M2596" s="474" t="s">
        <v>104</v>
      </c>
      <c r="N2596" s="1013"/>
      <c r="O2596" s="209"/>
      <c r="P2596" s="66" t="s">
        <v>50</v>
      </c>
      <c r="Q2596" s="100">
        <f>IF($AO$2579=2,F2596*H2596,IF($AO$2579=1,F2596*G2596,F2596*I2596))</f>
        <v>0</v>
      </c>
      <c r="R2596" s="13" t="str">
        <f>IF(AO2596&gt;0,HYPERLINK(AO2596,"Фото &gt;&gt;"),"")</f>
        <v>Фото &gt;&gt;</v>
      </c>
      <c r="S2596" s="14" t="s">
        <v>951</v>
      </c>
      <c r="AK2596">
        <v>1.1000000000000001</v>
      </c>
      <c r="AL2596">
        <f>F2596*G2596</f>
        <v>0</v>
      </c>
      <c r="AM2596">
        <f>F2596*H2596</f>
        <v>0</v>
      </c>
      <c r="AN2596">
        <f>AK2596*F2596+IF(E2596&gt;1.01,F2596/E2596*0.2,0)</f>
        <v>0</v>
      </c>
      <c r="AO2596" t="s">
        <v>3699</v>
      </c>
      <c r="AV2596" t="str">
        <f>IF(F2596&gt;0,(COUNT($AV$1:AV2595)+1),"")</f>
        <v/>
      </c>
    </row>
    <row r="2597" spans="1:48" ht="15" customHeight="1" x14ac:dyDescent="0.25">
      <c r="A2597" s="1"/>
      <c r="B2597" s="31">
        <v>16377</v>
      </c>
      <c r="C2597" s="16">
        <v>4603725629110</v>
      </c>
      <c r="D2597" s="226" t="s">
        <v>1457</v>
      </c>
      <c r="E2597" s="69">
        <v>12</v>
      </c>
      <c r="F2597" s="222"/>
      <c r="G2597" s="108">
        <v>228.8</v>
      </c>
      <c r="H2597" s="17">
        <v>238</v>
      </c>
      <c r="I2597" s="18">
        <v>247.1</v>
      </c>
      <c r="J2597" s="113" t="s">
        <v>946</v>
      </c>
      <c r="K2597" s="44" t="s">
        <v>947</v>
      </c>
      <c r="L2597" s="442"/>
      <c r="M2597" s="480" t="s">
        <v>104</v>
      </c>
      <c r="N2597" s="1015"/>
      <c r="O2597" s="210"/>
      <c r="P2597" s="68" t="s">
        <v>50</v>
      </c>
      <c r="Q2597" s="100">
        <f>IF($AO$2579=2,F2597*H2597,IF($AO$2579=1,F2597*G2597,F2597*I2597))</f>
        <v>0</v>
      </c>
      <c r="R2597" s="13" t="str">
        <f>IF(AO2597&gt;0,HYPERLINK(AO2597,"Фото &gt;&gt;"),"")</f>
        <v>Фото &gt;&gt;</v>
      </c>
      <c r="S2597" s="14" t="s">
        <v>951</v>
      </c>
      <c r="AK2597">
        <v>1.1000000000000001</v>
      </c>
      <c r="AL2597">
        <f>F2597*G2597</f>
        <v>0</v>
      </c>
      <c r="AM2597">
        <f>F2597*H2597</f>
        <v>0</v>
      </c>
      <c r="AN2597">
        <f>AK2597*F2597+IF(E2597&gt;1.01,F2597/E2597*0.2,0)</f>
        <v>0</v>
      </c>
      <c r="AO2597" t="s">
        <v>3700</v>
      </c>
      <c r="AV2597" t="str">
        <f>IF(F2597&gt;0,(COUNT($AV$1:AV2596)+1),"")</f>
        <v/>
      </c>
    </row>
    <row r="2598" spans="1:48" ht="15" customHeight="1" x14ac:dyDescent="0.25">
      <c r="A2598" s="1"/>
      <c r="B2598" s="25"/>
      <c r="C2598" s="26"/>
      <c r="D2598" s="228" t="s">
        <v>2362</v>
      </c>
      <c r="E2598" s="80"/>
      <c r="F2598" s="96"/>
      <c r="G2598" s="28"/>
      <c r="H2598" s="29"/>
      <c r="I2598" s="29"/>
      <c r="J2598" s="51"/>
      <c r="K2598" s="47"/>
      <c r="L2598" s="447"/>
      <c r="M2598" s="489"/>
      <c r="N2598" s="716"/>
      <c r="O2598" s="396"/>
      <c r="P2598" s="79"/>
      <c r="Q2598" s="104"/>
      <c r="R2598" s="13"/>
      <c r="S2598" s="14"/>
      <c r="AO2598" t="s">
        <v>104</v>
      </c>
      <c r="AV2598" t="str">
        <f>IF(F2598&gt;0,(COUNT($AV$1:AV2597)+1),"")</f>
        <v/>
      </c>
    </row>
    <row r="2599" spans="1:48" ht="15" customHeight="1" x14ac:dyDescent="0.25">
      <c r="A2599" s="1"/>
      <c r="B2599" s="30">
        <v>20044</v>
      </c>
      <c r="C2599" s="20">
        <v>4650128570693</v>
      </c>
      <c r="D2599" s="225" t="s">
        <v>2199</v>
      </c>
      <c r="E2599" s="67">
        <v>28</v>
      </c>
      <c r="F2599" s="222"/>
      <c r="G2599" s="107">
        <v>168.8</v>
      </c>
      <c r="H2599" s="21">
        <v>175.9</v>
      </c>
      <c r="I2599" s="22">
        <v>190.2</v>
      </c>
      <c r="J2599" s="112" t="s">
        <v>946</v>
      </c>
      <c r="K2599" s="45" t="s">
        <v>947</v>
      </c>
      <c r="L2599" s="437"/>
      <c r="M2599" s="474" t="s">
        <v>104</v>
      </c>
      <c r="N2599" s="1013"/>
      <c r="O2599" s="209"/>
      <c r="P2599" s="66" t="s">
        <v>50</v>
      </c>
      <c r="Q2599" s="100">
        <f>IF($AO$2579=2,F2599*H2599,IF($AO$2579=1,F2599*G2599,F2599*I2599))</f>
        <v>0</v>
      </c>
      <c r="R2599" s="13" t="str">
        <f>IF(AO2599&gt;0,HYPERLINK(AO2599,"Фото &gt;&gt;"),"")</f>
        <v>Фото &gt;&gt;</v>
      </c>
      <c r="S2599" s="14" t="s">
        <v>3701</v>
      </c>
      <c r="AK2599">
        <v>0.33</v>
      </c>
      <c r="AL2599">
        <f>F2599*G2599</f>
        <v>0</v>
      </c>
      <c r="AM2599">
        <f>F2599*H2599</f>
        <v>0</v>
      </c>
      <c r="AN2599">
        <f>AK2599*F2599+IF(E2599&gt;1.01,F2599/E2599*0.2,0)</f>
        <v>0</v>
      </c>
      <c r="AO2599" t="s">
        <v>2774</v>
      </c>
      <c r="AV2599" t="str">
        <f>IF(F2599&gt;0,(COUNT($AV$1:AV2598)+1),"")</f>
        <v/>
      </c>
    </row>
    <row r="2600" spans="1:48" ht="15" customHeight="1" x14ac:dyDescent="0.25">
      <c r="A2600" s="1"/>
      <c r="B2600" s="31">
        <v>19111</v>
      </c>
      <c r="C2600" s="16">
        <v>4650128570501</v>
      </c>
      <c r="D2600" s="226" t="s">
        <v>7222</v>
      </c>
      <c r="E2600" s="69">
        <v>48</v>
      </c>
      <c r="F2600" s="222"/>
      <c r="G2600" s="108">
        <v>164.8</v>
      </c>
      <c r="H2600" s="17">
        <v>170.9</v>
      </c>
      <c r="I2600" s="18">
        <v>178</v>
      </c>
      <c r="J2600" s="113" t="s">
        <v>946</v>
      </c>
      <c r="K2600" s="44" t="s">
        <v>947</v>
      </c>
      <c r="L2600" s="442"/>
      <c r="M2600" s="480" t="s">
        <v>104</v>
      </c>
      <c r="N2600" s="1015"/>
      <c r="O2600" s="210"/>
      <c r="P2600" s="68" t="s">
        <v>55</v>
      </c>
      <c r="Q2600" s="100">
        <f>IF($AO$2579=2,F2600*H2600,IF($AO$2579=1,F2600*G2600,F2600*I2600))</f>
        <v>0</v>
      </c>
      <c r="R2600" s="13" t="str">
        <f>IF(AO2600&gt;0,HYPERLINK(AO2600,"Фото &gt;&gt;"),"")</f>
        <v>Фото &gt;&gt;</v>
      </c>
      <c r="S2600" s="14" t="s">
        <v>1769</v>
      </c>
      <c r="AK2600">
        <v>7.0000000000000007E-2</v>
      </c>
      <c r="AL2600">
        <f>F2600*G2600</f>
        <v>0</v>
      </c>
      <c r="AM2600">
        <f>F2600*H2600</f>
        <v>0</v>
      </c>
      <c r="AN2600">
        <f>AK2600*F2600+IF(E2600&gt;1.01,F2600/E2600*0.2,0)</f>
        <v>0</v>
      </c>
      <c r="AO2600" t="s">
        <v>5460</v>
      </c>
      <c r="AV2600" t="str">
        <f>IF(F2600&gt;0,(COUNT($AV$1:AV2599)+1),"")</f>
        <v/>
      </c>
    </row>
    <row r="2601" spans="1:48" ht="15" customHeight="1" x14ac:dyDescent="0.25">
      <c r="A2601" s="1"/>
      <c r="B2601" s="25"/>
      <c r="C2601" s="26"/>
      <c r="D2601" s="228" t="s">
        <v>2363</v>
      </c>
      <c r="E2601" s="80"/>
      <c r="F2601" s="96"/>
      <c r="G2601" s="28"/>
      <c r="H2601" s="29"/>
      <c r="I2601" s="29"/>
      <c r="J2601" s="51"/>
      <c r="K2601" s="47"/>
      <c r="L2601" s="447"/>
      <c r="M2601" s="489"/>
      <c r="N2601" s="716"/>
      <c r="O2601" s="396"/>
      <c r="P2601" s="79"/>
      <c r="Q2601" s="104"/>
      <c r="R2601" s="13"/>
      <c r="S2601" s="14"/>
      <c r="AO2601" t="s">
        <v>104</v>
      </c>
      <c r="AV2601" t="str">
        <f>IF(F2601&gt;0,(COUNT($AV$1:AV2600)+1),"")</f>
        <v/>
      </c>
    </row>
    <row r="2602" spans="1:48" ht="15" customHeight="1" x14ac:dyDescent="0.25">
      <c r="A2602" s="1"/>
      <c r="B2602" s="30">
        <v>19577</v>
      </c>
      <c r="C2602" s="20">
        <v>4650128570556</v>
      </c>
      <c r="D2602" s="225" t="s">
        <v>1880</v>
      </c>
      <c r="E2602" s="67">
        <v>12</v>
      </c>
      <c r="F2602" s="222"/>
      <c r="G2602" s="107">
        <v>269.5</v>
      </c>
      <c r="H2602" s="21">
        <v>282.7</v>
      </c>
      <c r="I2602" s="22">
        <v>300</v>
      </c>
      <c r="J2602" s="112" t="s">
        <v>946</v>
      </c>
      <c r="K2602" s="45" t="s">
        <v>958</v>
      </c>
      <c r="L2602" s="437"/>
      <c r="M2602" s="474" t="s">
        <v>104</v>
      </c>
      <c r="N2602" s="1013"/>
      <c r="O2602" s="209"/>
      <c r="P2602" s="66" t="s">
        <v>55</v>
      </c>
      <c r="Q2602" s="100">
        <f>IF($AO$2579=2,F2602*H2602,IF($AO$2579=1,F2602*G2602,F2602*I2602))</f>
        <v>0</v>
      </c>
      <c r="R2602" s="13" t="str">
        <f t="shared" ref="R2602:R2604" si="1439">IF(AO2602&gt;0,HYPERLINK(AO2602,"Фото &gt;&gt;"),"")</f>
        <v>Фото &gt;&gt;</v>
      </c>
      <c r="S2602" s="14" t="s">
        <v>3702</v>
      </c>
      <c r="AK2602">
        <v>0.6</v>
      </c>
      <c r="AL2602">
        <f t="shared" ref="AL2602:AL2604" si="1440">F2602*G2602</f>
        <v>0</v>
      </c>
      <c r="AM2602">
        <f t="shared" ref="AM2602:AM2604" si="1441">F2602*H2602</f>
        <v>0</v>
      </c>
      <c r="AN2602">
        <f t="shared" ref="AN2602:AN2606" si="1442">AK2602*F2602+IF(E2602&gt;1.01,F2602/E2602*0.2,0)</f>
        <v>0</v>
      </c>
      <c r="AO2602" t="s">
        <v>2775</v>
      </c>
      <c r="AV2602" t="str">
        <f>IF(F2602&gt;0,(COUNT($AV$1:AV2601)+1),"")</f>
        <v/>
      </c>
    </row>
    <row r="2603" spans="1:48" ht="15" customHeight="1" x14ac:dyDescent="0.25">
      <c r="A2603" s="1"/>
      <c r="B2603" s="31">
        <v>16379</v>
      </c>
      <c r="C2603" s="16">
        <v>4603725629028</v>
      </c>
      <c r="D2603" s="226" t="s">
        <v>7223</v>
      </c>
      <c r="E2603" s="69">
        <v>16</v>
      </c>
      <c r="F2603" s="222"/>
      <c r="G2603" s="108">
        <v>235.9</v>
      </c>
      <c r="H2603" s="17">
        <v>245.1</v>
      </c>
      <c r="I2603" s="18">
        <v>254.2</v>
      </c>
      <c r="J2603" s="113" t="s">
        <v>946</v>
      </c>
      <c r="K2603" s="44" t="s">
        <v>958</v>
      </c>
      <c r="L2603" s="442"/>
      <c r="M2603" s="480" t="s">
        <v>104</v>
      </c>
      <c r="N2603" s="1015"/>
      <c r="O2603" s="210"/>
      <c r="P2603" s="68" t="s">
        <v>55</v>
      </c>
      <c r="Q2603" s="100">
        <f>IF($AO$2579=2,F2603*H2603,IF($AO$2579=1,F2603*G2603,F2603*I2603))</f>
        <v>0</v>
      </c>
      <c r="R2603" s="13" t="str">
        <f t="shared" si="1439"/>
        <v>Фото &gt;&gt;</v>
      </c>
      <c r="S2603" s="14" t="s">
        <v>959</v>
      </c>
      <c r="AK2603">
        <v>1.1000000000000001</v>
      </c>
      <c r="AL2603">
        <f t="shared" si="1440"/>
        <v>0</v>
      </c>
      <c r="AM2603">
        <f t="shared" si="1441"/>
        <v>0</v>
      </c>
      <c r="AN2603">
        <f t="shared" si="1442"/>
        <v>0</v>
      </c>
      <c r="AO2603" t="s">
        <v>5191</v>
      </c>
      <c r="AV2603" t="str">
        <f>IF(F2603&gt;0,(COUNT($AV$1:AV2602)+1),"")</f>
        <v/>
      </c>
    </row>
    <row r="2604" spans="1:48" ht="15" customHeight="1" x14ac:dyDescent="0.25">
      <c r="A2604" s="1"/>
      <c r="B2604" s="30">
        <v>16384</v>
      </c>
      <c r="C2604" s="20">
        <v>4603725629035</v>
      </c>
      <c r="D2604" s="225" t="s">
        <v>960</v>
      </c>
      <c r="E2604" s="67">
        <v>12</v>
      </c>
      <c r="F2604" s="222"/>
      <c r="G2604" s="107">
        <v>220.7</v>
      </c>
      <c r="H2604" s="21">
        <v>229.8</v>
      </c>
      <c r="I2604" s="22">
        <v>237.9</v>
      </c>
      <c r="J2604" s="112" t="s">
        <v>946</v>
      </c>
      <c r="K2604" s="45" t="s">
        <v>958</v>
      </c>
      <c r="L2604" s="437"/>
      <c r="M2604" s="474" t="s">
        <v>104</v>
      </c>
      <c r="N2604" s="1013"/>
      <c r="O2604" s="209"/>
      <c r="P2604" s="66" t="s">
        <v>55</v>
      </c>
      <c r="Q2604" s="100">
        <f>IF($AO$2579=2,F2604*H2604,IF($AO$2579=1,F2604*G2604,F2604*I2604))</f>
        <v>0</v>
      </c>
      <c r="R2604" s="13" t="str">
        <f t="shared" si="1439"/>
        <v>Фото &gt;&gt;</v>
      </c>
      <c r="S2604" s="14" t="s">
        <v>961</v>
      </c>
      <c r="AK2604">
        <v>0.55000000000000004</v>
      </c>
      <c r="AL2604">
        <f t="shared" si="1440"/>
        <v>0</v>
      </c>
      <c r="AM2604">
        <f t="shared" si="1441"/>
        <v>0</v>
      </c>
      <c r="AN2604">
        <f t="shared" si="1442"/>
        <v>0</v>
      </c>
      <c r="AO2604" t="s">
        <v>5192</v>
      </c>
      <c r="AV2604" t="str">
        <f>IF(F2604&gt;0,(COUNT($AV$1:AV2603)+1),"")</f>
        <v/>
      </c>
    </row>
    <row r="2605" spans="1:48" ht="15" customHeight="1" x14ac:dyDescent="0.25">
      <c r="A2605" s="1"/>
      <c r="B2605" s="25"/>
      <c r="C2605" s="26"/>
      <c r="D2605" s="228" t="s">
        <v>166</v>
      </c>
      <c r="E2605" s="80"/>
      <c r="F2605" s="96"/>
      <c r="G2605" s="28"/>
      <c r="H2605" s="29"/>
      <c r="I2605" s="29"/>
      <c r="J2605" s="51"/>
      <c r="K2605" s="47"/>
      <c r="L2605" s="447"/>
      <c r="M2605" s="489"/>
      <c r="N2605" s="716"/>
      <c r="O2605" s="396"/>
      <c r="P2605" s="79"/>
      <c r="Q2605" s="104"/>
      <c r="R2605" s="13"/>
      <c r="S2605" s="14"/>
      <c r="AL2605">
        <f t="shared" ref="AL2605:AL2606" si="1443">F2605*G2605</f>
        <v>0</v>
      </c>
      <c r="AM2605">
        <f t="shared" ref="AM2605:AM2606" si="1444">F2605*H2605</f>
        <v>0</v>
      </c>
      <c r="AN2605">
        <f t="shared" si="1442"/>
        <v>0</v>
      </c>
      <c r="AO2605" t="s">
        <v>104</v>
      </c>
      <c r="AV2605" t="str">
        <f>IF(F2605&gt;0,(COUNT($AV$1:AV2604)+1),"")</f>
        <v/>
      </c>
    </row>
    <row r="2606" spans="1:48" ht="15" customHeight="1" x14ac:dyDescent="0.25">
      <c r="A2606" s="1"/>
      <c r="B2606" s="30">
        <v>18198</v>
      </c>
      <c r="C2606" s="20">
        <v>4603725629172</v>
      </c>
      <c r="D2606" s="225" t="s">
        <v>7224</v>
      </c>
      <c r="E2606" s="67">
        <v>9</v>
      </c>
      <c r="F2606" s="222"/>
      <c r="G2606" s="107">
        <v>172.9</v>
      </c>
      <c r="H2606" s="21">
        <v>180</v>
      </c>
      <c r="I2606" s="22">
        <v>187.1</v>
      </c>
      <c r="J2606" s="112" t="s">
        <v>946</v>
      </c>
      <c r="K2606" s="45" t="s">
        <v>166</v>
      </c>
      <c r="L2606" s="437"/>
      <c r="M2606" s="474" t="s">
        <v>104</v>
      </c>
      <c r="N2606" s="1013"/>
      <c r="O2606" s="209"/>
      <c r="P2606" s="66" t="s">
        <v>55</v>
      </c>
      <c r="Q2606" s="100">
        <f>IF($AO$2579=2,F2606*H2606,IF($AO$2579=1,F2606*G2606,F2606*I2606))</f>
        <v>0</v>
      </c>
      <c r="R2606" s="13" t="str">
        <f>IF(AO2606&gt;0,HYPERLINK(AO2606,"Фото &gt;&gt;"),"")</f>
        <v>Фото &gt;&gt;</v>
      </c>
      <c r="S2606" s="14" t="s">
        <v>3703</v>
      </c>
      <c r="AK2606">
        <v>0.6</v>
      </c>
      <c r="AL2606">
        <f t="shared" si="1443"/>
        <v>0</v>
      </c>
      <c r="AM2606">
        <f t="shared" si="1444"/>
        <v>0</v>
      </c>
      <c r="AN2606">
        <f t="shared" si="1442"/>
        <v>0</v>
      </c>
      <c r="AO2606" t="s">
        <v>5461</v>
      </c>
      <c r="AV2606" t="str">
        <f>IF(F2606&gt;0,(COUNT($AV$1:AV2605)+1),"")</f>
        <v/>
      </c>
    </row>
    <row r="2607" spans="1:48" ht="15" customHeight="1" x14ac:dyDescent="0.25">
      <c r="A2607" s="1"/>
      <c r="B2607" s="125"/>
      <c r="C2607" s="126"/>
      <c r="D2607" s="127"/>
      <c r="E2607" s="134"/>
      <c r="F2607" s="189"/>
      <c r="G2607" s="130"/>
      <c r="H2607" s="131"/>
      <c r="I2607" s="132"/>
      <c r="J2607" s="128"/>
      <c r="K2607" s="129"/>
      <c r="L2607" s="433"/>
      <c r="M2607" s="481" t="s">
        <v>104</v>
      </c>
      <c r="N2607" s="471"/>
      <c r="O2607" s="181"/>
      <c r="P2607" s="133"/>
      <c r="Q2607" s="135"/>
      <c r="R2607" s="13"/>
      <c r="S2607" s="14"/>
      <c r="AV2607" t="str">
        <f>IF(F2607&gt;0,(COUNT($AV$1:AV2606)+1),"")</f>
        <v/>
      </c>
    </row>
    <row r="2608" spans="1:48" ht="15" customHeight="1" thickBot="1" x14ac:dyDescent="0.3">
      <c r="A2608" s="1"/>
      <c r="B2608" s="136"/>
      <c r="C2608" s="137"/>
      <c r="D2608" s="138"/>
      <c r="E2608" s="145"/>
      <c r="F2608" s="190"/>
      <c r="G2608" s="141"/>
      <c r="H2608" s="142"/>
      <c r="I2608" s="143"/>
      <c r="J2608" s="139"/>
      <c r="K2608" s="140"/>
      <c r="L2608" s="434"/>
      <c r="M2608" s="477" t="s">
        <v>104</v>
      </c>
      <c r="N2608" s="468"/>
      <c r="O2608" s="182"/>
      <c r="P2608" s="144"/>
      <c r="Q2608" s="146"/>
      <c r="R2608" s="13"/>
      <c r="S2608" s="14"/>
      <c r="AV2608" t="str">
        <f>IF(F2608&gt;0,(COUNT($AV$1:AV2607)+1),"")</f>
        <v/>
      </c>
    </row>
    <row r="2609" spans="1:48" ht="24.95" customHeight="1" thickBot="1" x14ac:dyDescent="0.3">
      <c r="A2609" s="1"/>
      <c r="B2609" s="169"/>
      <c r="C2609" s="170"/>
      <c r="D2609" s="171" t="str">
        <f>CONCATENATE("Сибирская клетчатка","     |     Сумма заказа: ",AK2609," руб.")</f>
        <v>Сибирская клетчатка     |     Сумма заказа: 0 руб.</v>
      </c>
      <c r="E2609" s="176"/>
      <c r="F2609" s="177"/>
      <c r="G2609" s="180" t="str">
        <f>CONCATENATE("Ценовая колонка: ",AO2609,"   |   До следующей скидки: ",AJ2609," руб.")</f>
        <v>Ценовая колонка: 3   |   До следующей скидки: 5000 руб.</v>
      </c>
      <c r="H2609" s="174"/>
      <c r="I2609" s="174"/>
      <c r="J2609" s="172" t="s">
        <v>962</v>
      </c>
      <c r="K2609" s="173"/>
      <c r="L2609" s="444"/>
      <c r="M2609" s="486" t="s">
        <v>104</v>
      </c>
      <c r="N2609" s="717"/>
      <c r="O2609" s="184"/>
      <c r="P2609" s="175"/>
      <c r="Q2609" s="178"/>
      <c r="R2609" s="179" t="s">
        <v>1558</v>
      </c>
      <c r="S2609" s="14"/>
      <c r="AJ2609">
        <f>ROUND(IF(AL2609&gt;20000,"0", IF(AND(AL2609&lt;20000,AM2609&gt;5000),20000-AL2609,5000-AM2609)),2)</f>
        <v>5000</v>
      </c>
      <c r="AK2609">
        <f>SUM(Q2611:Q2632)</f>
        <v>0</v>
      </c>
      <c r="AL2609">
        <f>SUM(AL2611:AL2632)</f>
        <v>0</v>
      </c>
      <c r="AM2609">
        <f>SUM(AM2611:AM2632)</f>
        <v>0</v>
      </c>
      <c r="AO2609">
        <f>IF(AM2609&gt;5000,IF(AL2609&gt;20000,1,2),3)</f>
        <v>3</v>
      </c>
      <c r="AV2609" t="str">
        <f>IF(F2609&gt;0,(COUNT($AV$1:AV2608)+1),"")</f>
        <v/>
      </c>
    </row>
    <row r="2610" spans="1:48" ht="27.95" customHeight="1" x14ac:dyDescent="0.25">
      <c r="A2610" s="1"/>
      <c r="B2610" s="296"/>
      <c r="C2610" s="38"/>
      <c r="D2610" s="39" t="s">
        <v>1638</v>
      </c>
      <c r="E2610" s="82"/>
      <c r="F2610" s="97"/>
      <c r="G2610" s="1234" t="s">
        <v>7587</v>
      </c>
      <c r="H2610" s="41" t="s">
        <v>16</v>
      </c>
      <c r="I2610" s="41"/>
      <c r="J2610" s="52"/>
      <c r="K2610" s="48"/>
      <c r="L2610" s="448"/>
      <c r="M2610" s="491" t="s">
        <v>104</v>
      </c>
      <c r="N2610" s="715"/>
      <c r="O2610" s="187"/>
      <c r="P2610" s="81"/>
      <c r="Q2610" s="105"/>
      <c r="R2610" s="13"/>
      <c r="S2610" s="14"/>
      <c r="AV2610" t="str">
        <f>IF(F2610&gt;0,(COUNT($AV$1:AV2609)+1),"")</f>
        <v/>
      </c>
    </row>
    <row r="2611" spans="1:48" ht="15" customHeight="1" x14ac:dyDescent="0.25">
      <c r="A2611" s="1"/>
      <c r="B2611" s="30">
        <v>18116</v>
      </c>
      <c r="C2611" s="20">
        <v>4630049500122</v>
      </c>
      <c r="D2611" s="153" t="s">
        <v>3705</v>
      </c>
      <c r="E2611" s="67">
        <v>12</v>
      </c>
      <c r="F2611" s="222"/>
      <c r="G2611" s="107">
        <v>227.5</v>
      </c>
      <c r="H2611" s="21">
        <v>238.8</v>
      </c>
      <c r="I2611" s="22">
        <v>258</v>
      </c>
      <c r="J2611" s="112" t="s">
        <v>962</v>
      </c>
      <c r="K2611" s="45" t="s">
        <v>88</v>
      </c>
      <c r="L2611" s="437"/>
      <c r="M2611" s="474" t="s">
        <v>1856</v>
      </c>
      <c r="N2611" s="1013" t="s">
        <v>1856</v>
      </c>
      <c r="O2611" s="212"/>
      <c r="P2611" s="66" t="s">
        <v>72</v>
      </c>
      <c r="Q2611" s="100">
        <f t="shared" ref="Q2611:Q2628" si="1445">IF(AND($AO$2609=1,MOD(F2611,E2611)=0),F2611*G2611,IF($AO$2609&lt;=2,F2611*H2611,F2611*I2611))</f>
        <v>0</v>
      </c>
      <c r="R2611" s="13" t="str">
        <f t="shared" ref="R2611:R2625" si="1446">IF(AO2611&gt;0,HYPERLINK(AO2611,"Фото &gt;&gt;"),"")</f>
        <v>Фото &gt;&gt;</v>
      </c>
      <c r="S2611" s="14" t="s">
        <v>3704</v>
      </c>
      <c r="AK2611">
        <v>0.21</v>
      </c>
      <c r="AL2611">
        <f t="shared" ref="AL2611:AL2632" si="1447">F2611*G2611</f>
        <v>0</v>
      </c>
      <c r="AM2611">
        <f t="shared" ref="AM2611:AM2632" si="1448">F2611*H2611</f>
        <v>0</v>
      </c>
      <c r="AN2611">
        <f t="shared" ref="AN2611:AN2632" si="1449">AK2611*F2611+IF(E2611&gt;1.01,F2611/E2611*0.2,0)</f>
        <v>0</v>
      </c>
      <c r="AO2611" t="s">
        <v>5462</v>
      </c>
      <c r="AV2611" t="str">
        <f>IF(F2611&gt;0,(COUNT($AV$1:AV2610)+1),"")</f>
        <v/>
      </c>
    </row>
    <row r="2612" spans="1:48" ht="15" customHeight="1" x14ac:dyDescent="0.25">
      <c r="A2612" s="1"/>
      <c r="B2612" s="31">
        <v>21461</v>
      </c>
      <c r="C2612" s="16"/>
      <c r="D2612" s="422" t="s">
        <v>6959</v>
      </c>
      <c r="E2612" s="69">
        <v>12</v>
      </c>
      <c r="F2612" s="222"/>
      <c r="G2612" s="108">
        <v>227.5</v>
      </c>
      <c r="H2612" s="17">
        <v>238.9</v>
      </c>
      <c r="I2612" s="18">
        <v>258</v>
      </c>
      <c r="J2612" s="113" t="s">
        <v>962</v>
      </c>
      <c r="K2612" s="44" t="s">
        <v>88</v>
      </c>
      <c r="L2612" s="442"/>
      <c r="M2612" s="480" t="s">
        <v>1856</v>
      </c>
      <c r="N2612" s="1015" t="s">
        <v>1856</v>
      </c>
      <c r="O2612" s="210" t="s">
        <v>1637</v>
      </c>
      <c r="P2612" s="68" t="s">
        <v>72</v>
      </c>
      <c r="Q2612" s="100">
        <f t="shared" si="1445"/>
        <v>0</v>
      </c>
      <c r="R2612" s="94" t="str">
        <f t="shared" si="1446"/>
        <v>Фото &gt;&gt;</v>
      </c>
      <c r="S2612" s="14" t="s">
        <v>6957</v>
      </c>
      <c r="AK2612">
        <v>0.21</v>
      </c>
      <c r="AL2612">
        <f t="shared" ref="AL2612" si="1450">F2612*G2612</f>
        <v>0</v>
      </c>
      <c r="AM2612">
        <f t="shared" ref="AM2612" si="1451">F2612*H2612</f>
        <v>0</v>
      </c>
      <c r="AN2612">
        <f t="shared" ref="AN2612" si="1452">AK2612*F2612+IF(E2612&gt;1.01,F2612/E2612*0.2,0)</f>
        <v>0</v>
      </c>
      <c r="AO2612" t="s">
        <v>6958</v>
      </c>
      <c r="AV2612" t="str">
        <f>IF(F2612&gt;0,(COUNT($AV$1:AV2611)+1),"")</f>
        <v/>
      </c>
    </row>
    <row r="2613" spans="1:48" ht="15" customHeight="1" x14ac:dyDescent="0.25">
      <c r="A2613" s="1"/>
      <c r="B2613" s="30">
        <v>11751</v>
      </c>
      <c r="C2613" s="20">
        <v>4607056264712</v>
      </c>
      <c r="D2613" s="225" t="s">
        <v>963</v>
      </c>
      <c r="E2613" s="67">
        <v>12</v>
      </c>
      <c r="F2613" s="222"/>
      <c r="G2613" s="107">
        <v>162.5</v>
      </c>
      <c r="H2613" s="21">
        <v>170.6</v>
      </c>
      <c r="I2613" s="22">
        <v>184.3</v>
      </c>
      <c r="J2613" s="112" t="s">
        <v>962</v>
      </c>
      <c r="K2613" s="45" t="s">
        <v>88</v>
      </c>
      <c r="L2613" s="437"/>
      <c r="M2613" s="474" t="s">
        <v>1856</v>
      </c>
      <c r="N2613" s="1013" t="s">
        <v>1856</v>
      </c>
      <c r="O2613" s="209"/>
      <c r="P2613" s="66" t="s">
        <v>72</v>
      </c>
      <c r="Q2613" s="100">
        <f t="shared" si="1445"/>
        <v>0</v>
      </c>
      <c r="R2613" s="13" t="str">
        <f t="shared" si="1446"/>
        <v>Фото &gt;&gt;</v>
      </c>
      <c r="S2613" s="14" t="s">
        <v>964</v>
      </c>
      <c r="AK2613">
        <v>0.36</v>
      </c>
      <c r="AL2613">
        <f t="shared" si="1447"/>
        <v>0</v>
      </c>
      <c r="AM2613">
        <f t="shared" si="1448"/>
        <v>0</v>
      </c>
      <c r="AN2613">
        <f t="shared" si="1449"/>
        <v>0</v>
      </c>
      <c r="AO2613" t="s">
        <v>5463</v>
      </c>
      <c r="AV2613" t="str">
        <f>IF(F2613&gt;0,(COUNT($AV$1:AV2612)+1),"")</f>
        <v/>
      </c>
    </row>
    <row r="2614" spans="1:48" ht="15" customHeight="1" x14ac:dyDescent="0.25">
      <c r="A2614" s="1"/>
      <c r="B2614" s="31">
        <v>11752</v>
      </c>
      <c r="C2614" s="16">
        <v>4607056264682</v>
      </c>
      <c r="D2614" s="226" t="s">
        <v>965</v>
      </c>
      <c r="E2614" s="69">
        <v>12</v>
      </c>
      <c r="F2614" s="222"/>
      <c r="G2614" s="108">
        <v>162.5</v>
      </c>
      <c r="H2614" s="17">
        <v>170.6</v>
      </c>
      <c r="I2614" s="18">
        <v>184.3</v>
      </c>
      <c r="J2614" s="113" t="s">
        <v>962</v>
      </c>
      <c r="K2614" s="44" t="s">
        <v>88</v>
      </c>
      <c r="L2614" s="442"/>
      <c r="M2614" s="480" t="s">
        <v>1856</v>
      </c>
      <c r="N2614" s="1015" t="s">
        <v>1856</v>
      </c>
      <c r="O2614" s="210"/>
      <c r="P2614" s="68" t="s">
        <v>72</v>
      </c>
      <c r="Q2614" s="100">
        <f t="shared" si="1445"/>
        <v>0</v>
      </c>
      <c r="R2614" s="13" t="str">
        <f t="shared" si="1446"/>
        <v>Фото &gt;&gt;</v>
      </c>
      <c r="S2614" s="14" t="s">
        <v>966</v>
      </c>
      <c r="AK2614">
        <v>0.36</v>
      </c>
      <c r="AL2614">
        <f t="shared" si="1447"/>
        <v>0</v>
      </c>
      <c r="AM2614">
        <f t="shared" si="1448"/>
        <v>0</v>
      </c>
      <c r="AN2614">
        <f t="shared" si="1449"/>
        <v>0</v>
      </c>
      <c r="AO2614" t="s">
        <v>5464</v>
      </c>
      <c r="AV2614" t="str">
        <f>IF(F2614&gt;0,(COUNT($AV$1:AV2613)+1),"")</f>
        <v/>
      </c>
    </row>
    <row r="2615" spans="1:48" ht="15" customHeight="1" x14ac:dyDescent="0.25">
      <c r="A2615" s="1"/>
      <c r="B2615" s="30">
        <v>11753</v>
      </c>
      <c r="C2615" s="20">
        <v>4607056264705</v>
      </c>
      <c r="D2615" s="225" t="s">
        <v>967</v>
      </c>
      <c r="E2615" s="67">
        <v>12</v>
      </c>
      <c r="F2615" s="222"/>
      <c r="G2615" s="107">
        <v>162.5</v>
      </c>
      <c r="H2615" s="21">
        <v>170.6</v>
      </c>
      <c r="I2615" s="22">
        <v>184.3</v>
      </c>
      <c r="J2615" s="112" t="s">
        <v>962</v>
      </c>
      <c r="K2615" s="45" t="s">
        <v>88</v>
      </c>
      <c r="L2615" s="437"/>
      <c r="M2615" s="474" t="s">
        <v>1856</v>
      </c>
      <c r="N2615" s="1013" t="s">
        <v>1856</v>
      </c>
      <c r="O2615" s="209"/>
      <c r="P2615" s="66" t="s">
        <v>72</v>
      </c>
      <c r="Q2615" s="100">
        <f t="shared" si="1445"/>
        <v>0</v>
      </c>
      <c r="R2615" s="13" t="str">
        <f t="shared" si="1446"/>
        <v>Фото &gt;&gt;</v>
      </c>
      <c r="S2615" s="14" t="s">
        <v>968</v>
      </c>
      <c r="AK2615">
        <v>0.36</v>
      </c>
      <c r="AL2615">
        <f t="shared" si="1447"/>
        <v>0</v>
      </c>
      <c r="AM2615">
        <f t="shared" si="1448"/>
        <v>0</v>
      </c>
      <c r="AN2615">
        <f t="shared" si="1449"/>
        <v>0</v>
      </c>
      <c r="AO2615" t="s">
        <v>5465</v>
      </c>
      <c r="AV2615" t="str">
        <f>IF(F2615&gt;0,(COUNT($AV$1:AV2614)+1),"")</f>
        <v/>
      </c>
    </row>
    <row r="2616" spans="1:48" ht="15" customHeight="1" x14ac:dyDescent="0.25">
      <c r="A2616" s="1"/>
      <c r="B2616" s="31">
        <v>10560</v>
      </c>
      <c r="C2616" s="16">
        <v>4607056262817</v>
      </c>
      <c r="D2616" s="226" t="s">
        <v>969</v>
      </c>
      <c r="E2616" s="69">
        <v>12</v>
      </c>
      <c r="F2616" s="222"/>
      <c r="G2616" s="108">
        <v>128.69999999999999</v>
      </c>
      <c r="H2616" s="17">
        <v>135.1</v>
      </c>
      <c r="I2616" s="18">
        <v>146</v>
      </c>
      <c r="J2616" s="113" t="s">
        <v>962</v>
      </c>
      <c r="K2616" s="44" t="s">
        <v>88</v>
      </c>
      <c r="L2616" s="442"/>
      <c r="M2616" s="480" t="s">
        <v>1856</v>
      </c>
      <c r="N2616" s="1015" t="s">
        <v>1856</v>
      </c>
      <c r="O2616" s="210"/>
      <c r="P2616" s="68" t="s">
        <v>72</v>
      </c>
      <c r="Q2616" s="100">
        <f t="shared" si="1445"/>
        <v>0</v>
      </c>
      <c r="R2616" s="13" t="str">
        <f t="shared" si="1446"/>
        <v>Фото &gt;&gt;</v>
      </c>
      <c r="S2616" s="14" t="s">
        <v>970</v>
      </c>
      <c r="AK2616">
        <v>0.22</v>
      </c>
      <c r="AL2616">
        <f t="shared" si="1447"/>
        <v>0</v>
      </c>
      <c r="AM2616">
        <f t="shared" si="1448"/>
        <v>0</v>
      </c>
      <c r="AN2616">
        <f t="shared" si="1449"/>
        <v>0</v>
      </c>
      <c r="AO2616" t="s">
        <v>5193</v>
      </c>
      <c r="AV2616" t="str">
        <f>IF(F2616&gt;0,(COUNT($AV$1:AV2615)+1),"")</f>
        <v/>
      </c>
    </row>
    <row r="2617" spans="1:48" ht="15" customHeight="1" x14ac:dyDescent="0.25">
      <c r="A2617" s="1"/>
      <c r="B2617" s="30">
        <v>6379</v>
      </c>
      <c r="C2617" s="20">
        <v>4607056260080</v>
      </c>
      <c r="D2617" s="225" t="s">
        <v>971</v>
      </c>
      <c r="E2617" s="67">
        <v>12</v>
      </c>
      <c r="F2617" s="222"/>
      <c r="G2617" s="107">
        <v>162.5</v>
      </c>
      <c r="H2617" s="21">
        <v>170.6</v>
      </c>
      <c r="I2617" s="22">
        <v>184.3</v>
      </c>
      <c r="J2617" s="112" t="s">
        <v>962</v>
      </c>
      <c r="K2617" s="45" t="s">
        <v>88</v>
      </c>
      <c r="L2617" s="437"/>
      <c r="M2617" s="474" t="s">
        <v>1856</v>
      </c>
      <c r="N2617" s="1013" t="s">
        <v>1856</v>
      </c>
      <c r="O2617" s="209"/>
      <c r="P2617" s="66" t="s">
        <v>72</v>
      </c>
      <c r="Q2617" s="100">
        <f t="shared" si="1445"/>
        <v>0</v>
      </c>
      <c r="R2617" s="13" t="str">
        <f t="shared" si="1446"/>
        <v>Фото &gt;&gt;</v>
      </c>
      <c r="S2617" s="14" t="s">
        <v>972</v>
      </c>
      <c r="AK2617">
        <v>0.36</v>
      </c>
      <c r="AL2617">
        <f t="shared" si="1447"/>
        <v>0</v>
      </c>
      <c r="AM2617">
        <f t="shared" si="1448"/>
        <v>0</v>
      </c>
      <c r="AN2617">
        <f t="shared" si="1449"/>
        <v>0</v>
      </c>
      <c r="AO2617" t="s">
        <v>5466</v>
      </c>
      <c r="AV2617" t="str">
        <f>IF(F2617&gt;0,(COUNT($AV$1:AV2616)+1),"")</f>
        <v/>
      </c>
    </row>
    <row r="2618" spans="1:48" ht="15" customHeight="1" x14ac:dyDescent="0.25">
      <c r="A2618" s="1"/>
      <c r="B2618" s="31">
        <v>6382</v>
      </c>
      <c r="C2618" s="16">
        <v>4607056261049</v>
      </c>
      <c r="D2618" s="226" t="s">
        <v>973</v>
      </c>
      <c r="E2618" s="69">
        <v>12</v>
      </c>
      <c r="F2618" s="222"/>
      <c r="G2618" s="108">
        <v>123.5</v>
      </c>
      <c r="H2618" s="17">
        <v>129.69999999999999</v>
      </c>
      <c r="I2618" s="18">
        <v>140</v>
      </c>
      <c r="J2618" s="113" t="s">
        <v>962</v>
      </c>
      <c r="K2618" s="44" t="s">
        <v>88</v>
      </c>
      <c r="L2618" s="442"/>
      <c r="M2618" s="480" t="s">
        <v>1856</v>
      </c>
      <c r="N2618" s="1015" t="s">
        <v>1856</v>
      </c>
      <c r="O2618" s="210"/>
      <c r="P2618" s="68" t="s">
        <v>72</v>
      </c>
      <c r="Q2618" s="100">
        <f t="shared" si="1445"/>
        <v>0</v>
      </c>
      <c r="R2618" s="13" t="str">
        <f t="shared" si="1446"/>
        <v>Фото &gt;&gt;</v>
      </c>
      <c r="S2618" s="14" t="s">
        <v>974</v>
      </c>
      <c r="AK2618">
        <v>0.22</v>
      </c>
      <c r="AL2618">
        <f t="shared" si="1447"/>
        <v>0</v>
      </c>
      <c r="AM2618">
        <f t="shared" si="1448"/>
        <v>0</v>
      </c>
      <c r="AN2618">
        <f t="shared" si="1449"/>
        <v>0</v>
      </c>
      <c r="AO2618" t="s">
        <v>5467</v>
      </c>
      <c r="AV2618" t="str">
        <f>IF(F2618&gt;0,(COUNT($AV$1:AV2617)+1),"")</f>
        <v/>
      </c>
    </row>
    <row r="2619" spans="1:48" ht="15" customHeight="1" x14ac:dyDescent="0.25">
      <c r="A2619" s="1"/>
      <c r="B2619" s="30">
        <v>13620</v>
      </c>
      <c r="C2619" s="20">
        <v>4607056267256</v>
      </c>
      <c r="D2619" s="225" t="s">
        <v>975</v>
      </c>
      <c r="E2619" s="67">
        <v>12</v>
      </c>
      <c r="F2619" s="222"/>
      <c r="G2619" s="107">
        <v>162.5</v>
      </c>
      <c r="H2619" s="21">
        <v>170.6</v>
      </c>
      <c r="I2619" s="22">
        <v>184.3</v>
      </c>
      <c r="J2619" s="112" t="s">
        <v>962</v>
      </c>
      <c r="K2619" s="45" t="s">
        <v>88</v>
      </c>
      <c r="L2619" s="437"/>
      <c r="M2619" s="474" t="s">
        <v>1856</v>
      </c>
      <c r="N2619" s="1013" t="s">
        <v>1856</v>
      </c>
      <c r="O2619" s="209"/>
      <c r="P2619" s="66" t="s">
        <v>72</v>
      </c>
      <c r="Q2619" s="100">
        <f t="shared" si="1445"/>
        <v>0</v>
      </c>
      <c r="R2619" s="13" t="str">
        <f t="shared" si="1446"/>
        <v>Фото &gt;&gt;</v>
      </c>
      <c r="S2619" s="14" t="s">
        <v>976</v>
      </c>
      <c r="AK2619">
        <v>0.32</v>
      </c>
      <c r="AL2619">
        <f t="shared" si="1447"/>
        <v>0</v>
      </c>
      <c r="AM2619">
        <f t="shared" si="1448"/>
        <v>0</v>
      </c>
      <c r="AN2619">
        <f t="shared" si="1449"/>
        <v>0</v>
      </c>
      <c r="AO2619" t="s">
        <v>5468</v>
      </c>
      <c r="AV2619" t="str">
        <f>IF(F2619&gt;0,(COUNT($AV$1:AV2618)+1),"")</f>
        <v/>
      </c>
    </row>
    <row r="2620" spans="1:48" ht="15" customHeight="1" x14ac:dyDescent="0.25">
      <c r="A2620" s="1"/>
      <c r="B2620" s="31">
        <v>21052</v>
      </c>
      <c r="C2620" s="16">
        <v>4607056228424</v>
      </c>
      <c r="D2620" s="226" t="s">
        <v>6398</v>
      </c>
      <c r="E2620" s="69">
        <v>12</v>
      </c>
      <c r="F2620" s="222"/>
      <c r="G2620" s="108">
        <v>152</v>
      </c>
      <c r="H2620" s="17">
        <v>160</v>
      </c>
      <c r="I2620" s="18">
        <v>175</v>
      </c>
      <c r="J2620" s="113" t="s">
        <v>962</v>
      </c>
      <c r="K2620" s="44" t="s">
        <v>88</v>
      </c>
      <c r="L2620" s="442"/>
      <c r="M2620" s="480" t="s">
        <v>1856</v>
      </c>
      <c r="N2620" s="1015" t="s">
        <v>1856</v>
      </c>
      <c r="O2620" s="210"/>
      <c r="P2620" s="68" t="s">
        <v>40</v>
      </c>
      <c r="Q2620" s="100">
        <f t="shared" si="1445"/>
        <v>0</v>
      </c>
      <c r="R2620" s="13" t="str">
        <f t="shared" si="1446"/>
        <v>Фото &gt;&gt;</v>
      </c>
      <c r="S2620" s="14" t="s">
        <v>5908</v>
      </c>
      <c r="AK2620">
        <v>0.24</v>
      </c>
      <c r="AL2620">
        <f t="shared" ref="AL2620:AL2621" si="1453">F2620*G2620</f>
        <v>0</v>
      </c>
      <c r="AM2620">
        <f t="shared" ref="AM2620:AM2621" si="1454">F2620*H2620</f>
        <v>0</v>
      </c>
      <c r="AN2620">
        <f t="shared" ref="AN2620:AN2621" si="1455">AK2620*F2620+IF(E2620&gt;1.01,F2620/E2620*0.2,0)</f>
        <v>0</v>
      </c>
      <c r="AO2620" t="s">
        <v>5909</v>
      </c>
      <c r="AQ2620" s="520" t="str">
        <f>CONCATENATE("http://1.c8804.nichost.ru/pics/",B2620,".jpg")</f>
        <v>http://1.c8804.nichost.ru/pics/21052.jpg</v>
      </c>
      <c r="AV2620" t="str">
        <f>IF(F2620&gt;0,(COUNT($AV$1:AV2619)+1),"")</f>
        <v/>
      </c>
    </row>
    <row r="2621" spans="1:48" ht="15" customHeight="1" x14ac:dyDescent="0.25">
      <c r="A2621" s="1"/>
      <c r="B2621" s="30">
        <v>11745</v>
      </c>
      <c r="C2621" s="20">
        <v>4607056260011</v>
      </c>
      <c r="D2621" s="225" t="s">
        <v>977</v>
      </c>
      <c r="E2621" s="67">
        <v>12</v>
      </c>
      <c r="F2621" s="222"/>
      <c r="G2621" s="107">
        <v>167.7</v>
      </c>
      <c r="H2621" s="21">
        <v>176</v>
      </c>
      <c r="I2621" s="22">
        <v>190</v>
      </c>
      <c r="J2621" s="112" t="s">
        <v>962</v>
      </c>
      <c r="K2621" s="45" t="s">
        <v>88</v>
      </c>
      <c r="L2621" s="437"/>
      <c r="M2621" s="474" t="s">
        <v>1856</v>
      </c>
      <c r="N2621" s="1013" t="s">
        <v>1856</v>
      </c>
      <c r="O2621" s="209"/>
      <c r="P2621" s="66" t="s">
        <v>72</v>
      </c>
      <c r="Q2621" s="100">
        <f t="shared" si="1445"/>
        <v>0</v>
      </c>
      <c r="R2621" s="13" t="str">
        <f t="shared" si="1446"/>
        <v>Фото &gt;&gt;</v>
      </c>
      <c r="S2621" s="14" t="s">
        <v>978</v>
      </c>
      <c r="AK2621">
        <v>0.36</v>
      </c>
      <c r="AL2621">
        <f t="shared" si="1453"/>
        <v>0</v>
      </c>
      <c r="AM2621">
        <f t="shared" si="1454"/>
        <v>0</v>
      </c>
      <c r="AN2621">
        <f t="shared" si="1455"/>
        <v>0</v>
      </c>
      <c r="AO2621" t="s">
        <v>5469</v>
      </c>
      <c r="AV2621" t="str">
        <f>IF(F2621&gt;0,(COUNT($AV$1:AV2620)+1),"")</f>
        <v/>
      </c>
    </row>
    <row r="2622" spans="1:48" ht="15" customHeight="1" x14ac:dyDescent="0.25">
      <c r="A2622" s="1"/>
      <c r="B2622" s="31">
        <v>6389</v>
      </c>
      <c r="C2622" s="16">
        <v>4607056260103</v>
      </c>
      <c r="D2622" s="226" t="s">
        <v>979</v>
      </c>
      <c r="E2622" s="69">
        <v>12</v>
      </c>
      <c r="F2622" s="222"/>
      <c r="G2622" s="108">
        <v>162.5</v>
      </c>
      <c r="H2622" s="17">
        <v>170.6</v>
      </c>
      <c r="I2622" s="18">
        <v>184.2</v>
      </c>
      <c r="J2622" s="113" t="s">
        <v>962</v>
      </c>
      <c r="K2622" s="44" t="s">
        <v>88</v>
      </c>
      <c r="L2622" s="442"/>
      <c r="M2622" s="480" t="s">
        <v>1856</v>
      </c>
      <c r="N2622" s="1015" t="s">
        <v>1856</v>
      </c>
      <c r="O2622" s="210"/>
      <c r="P2622" s="68" t="s">
        <v>72</v>
      </c>
      <c r="Q2622" s="100">
        <f t="shared" si="1445"/>
        <v>0</v>
      </c>
      <c r="R2622" s="13" t="str">
        <f t="shared" si="1446"/>
        <v>Фото &gt;&gt;</v>
      </c>
      <c r="S2622" s="14" t="s">
        <v>980</v>
      </c>
      <c r="AK2622">
        <v>0.36</v>
      </c>
      <c r="AL2622">
        <f t="shared" si="1447"/>
        <v>0</v>
      </c>
      <c r="AM2622">
        <f t="shared" si="1448"/>
        <v>0</v>
      </c>
      <c r="AN2622">
        <f t="shared" si="1449"/>
        <v>0</v>
      </c>
      <c r="AO2622" t="s">
        <v>5470</v>
      </c>
      <c r="AV2622" t="str">
        <f>IF(F2622&gt;0,(COUNT($AV$1:AV2621)+1),"")</f>
        <v/>
      </c>
    </row>
    <row r="2623" spans="1:48" ht="15" customHeight="1" x14ac:dyDescent="0.25">
      <c r="A2623" s="1"/>
      <c r="B2623" s="30">
        <v>12099</v>
      </c>
      <c r="C2623" s="20">
        <v>4607056263326</v>
      </c>
      <c r="D2623" s="225" t="s">
        <v>981</v>
      </c>
      <c r="E2623" s="67">
        <v>12</v>
      </c>
      <c r="F2623" s="222"/>
      <c r="G2623" s="107">
        <v>128.69999999999999</v>
      </c>
      <c r="H2623" s="21">
        <v>135.1</v>
      </c>
      <c r="I2623" s="22">
        <v>146</v>
      </c>
      <c r="J2623" s="112" t="s">
        <v>962</v>
      </c>
      <c r="K2623" s="45" t="s">
        <v>88</v>
      </c>
      <c r="L2623" s="437"/>
      <c r="M2623" s="474" t="s">
        <v>1856</v>
      </c>
      <c r="N2623" s="1013" t="s">
        <v>1856</v>
      </c>
      <c r="O2623" s="209"/>
      <c r="P2623" s="66" t="s">
        <v>72</v>
      </c>
      <c r="Q2623" s="100">
        <f t="shared" si="1445"/>
        <v>0</v>
      </c>
      <c r="R2623" s="13" t="str">
        <f t="shared" si="1446"/>
        <v>Фото &gt;&gt;</v>
      </c>
      <c r="S2623" s="14" t="s">
        <v>982</v>
      </c>
      <c r="AK2623">
        <v>0.22</v>
      </c>
      <c r="AL2623">
        <f t="shared" si="1447"/>
        <v>0</v>
      </c>
      <c r="AM2623">
        <f t="shared" si="1448"/>
        <v>0</v>
      </c>
      <c r="AN2623">
        <f t="shared" si="1449"/>
        <v>0</v>
      </c>
      <c r="AO2623" t="s">
        <v>5194</v>
      </c>
      <c r="AV2623" t="str">
        <f>IF(F2623&gt;0,(COUNT($AV$1:AV2622)+1),"")</f>
        <v/>
      </c>
    </row>
    <row r="2624" spans="1:48" ht="15" customHeight="1" x14ac:dyDescent="0.25">
      <c r="A2624" s="1"/>
      <c r="B2624" s="31">
        <v>2745</v>
      </c>
      <c r="C2624" s="16">
        <v>4607056260202</v>
      </c>
      <c r="D2624" s="226" t="s">
        <v>983</v>
      </c>
      <c r="E2624" s="69">
        <v>12</v>
      </c>
      <c r="F2624" s="222"/>
      <c r="G2624" s="108">
        <v>123.5</v>
      </c>
      <c r="H2624" s="17">
        <v>129.69999999999999</v>
      </c>
      <c r="I2624" s="18">
        <v>140</v>
      </c>
      <c r="J2624" s="113" t="s">
        <v>962</v>
      </c>
      <c r="K2624" s="44" t="s">
        <v>88</v>
      </c>
      <c r="L2624" s="442"/>
      <c r="M2624" s="480" t="s">
        <v>1856</v>
      </c>
      <c r="N2624" s="1015" t="s">
        <v>1856</v>
      </c>
      <c r="O2624" s="210"/>
      <c r="P2624" s="68" t="s">
        <v>72</v>
      </c>
      <c r="Q2624" s="100">
        <f t="shared" si="1445"/>
        <v>0</v>
      </c>
      <c r="R2624" s="13" t="str">
        <f t="shared" si="1446"/>
        <v>Фото &gt;&gt;</v>
      </c>
      <c r="S2624" s="14" t="s">
        <v>984</v>
      </c>
      <c r="AK2624">
        <v>0.22</v>
      </c>
      <c r="AL2624">
        <f t="shared" si="1447"/>
        <v>0</v>
      </c>
      <c r="AM2624">
        <f t="shared" si="1448"/>
        <v>0</v>
      </c>
      <c r="AN2624">
        <f t="shared" si="1449"/>
        <v>0</v>
      </c>
      <c r="AO2624" t="s">
        <v>5471</v>
      </c>
      <c r="AV2624" t="str">
        <f>IF(F2624&gt;0,(COUNT($AV$1:AV2623)+1),"")</f>
        <v/>
      </c>
    </row>
    <row r="2625" spans="1:48" ht="15" customHeight="1" x14ac:dyDescent="0.25">
      <c r="A2625" s="1"/>
      <c r="B2625" s="30">
        <v>11757</v>
      </c>
      <c r="C2625" s="20">
        <v>4607056263562</v>
      </c>
      <c r="D2625" s="225" t="s">
        <v>985</v>
      </c>
      <c r="E2625" s="67">
        <v>12</v>
      </c>
      <c r="F2625" s="222"/>
      <c r="G2625" s="107">
        <v>128.69999999999999</v>
      </c>
      <c r="H2625" s="21">
        <v>135.1</v>
      </c>
      <c r="I2625" s="22">
        <v>146</v>
      </c>
      <c r="J2625" s="112" t="s">
        <v>962</v>
      </c>
      <c r="K2625" s="45" t="s">
        <v>88</v>
      </c>
      <c r="L2625" s="437"/>
      <c r="M2625" s="474" t="s">
        <v>1856</v>
      </c>
      <c r="N2625" s="1013" t="s">
        <v>1856</v>
      </c>
      <c r="O2625" s="209"/>
      <c r="P2625" s="66" t="s">
        <v>72</v>
      </c>
      <c r="Q2625" s="100">
        <f t="shared" si="1445"/>
        <v>0</v>
      </c>
      <c r="R2625" s="13" t="str">
        <f t="shared" si="1446"/>
        <v>Фото &gt;&gt;</v>
      </c>
      <c r="S2625" s="14" t="s">
        <v>986</v>
      </c>
      <c r="AK2625">
        <v>0.22</v>
      </c>
      <c r="AL2625">
        <f t="shared" si="1447"/>
        <v>0</v>
      </c>
      <c r="AM2625">
        <f t="shared" si="1448"/>
        <v>0</v>
      </c>
      <c r="AN2625">
        <f t="shared" si="1449"/>
        <v>0</v>
      </c>
      <c r="AO2625" t="s">
        <v>5472</v>
      </c>
      <c r="AV2625" t="str">
        <f>IF(F2625&gt;0,(COUNT($AV$1:AV2624)+1),"")</f>
        <v/>
      </c>
    </row>
    <row r="2626" spans="1:48" ht="15" customHeight="1" x14ac:dyDescent="0.25">
      <c r="A2626" s="1"/>
      <c r="B2626" s="31">
        <v>6398</v>
      </c>
      <c r="C2626" s="16">
        <v>4607056260141</v>
      </c>
      <c r="D2626" s="226" t="s">
        <v>987</v>
      </c>
      <c r="E2626" s="69">
        <v>12</v>
      </c>
      <c r="F2626" s="222"/>
      <c r="G2626" s="108">
        <v>162.5</v>
      </c>
      <c r="H2626" s="17">
        <v>170.6</v>
      </c>
      <c r="I2626" s="18">
        <v>184.2</v>
      </c>
      <c r="J2626" s="113" t="s">
        <v>962</v>
      </c>
      <c r="K2626" s="44" t="s">
        <v>88</v>
      </c>
      <c r="L2626" s="442"/>
      <c r="M2626" s="480" t="s">
        <v>1856</v>
      </c>
      <c r="N2626" s="1015" t="s">
        <v>1856</v>
      </c>
      <c r="O2626" s="210"/>
      <c r="P2626" s="68" t="s">
        <v>72</v>
      </c>
      <c r="Q2626" s="100">
        <f t="shared" si="1445"/>
        <v>0</v>
      </c>
      <c r="R2626" s="13" t="str">
        <f t="shared" ref="R2626:R2657" si="1456">IF(AO2626&gt;0,HYPERLINK(AO2626,"Фото &gt;&gt;"),"")</f>
        <v>Фото &gt;&gt;</v>
      </c>
      <c r="S2626" s="14" t="s">
        <v>988</v>
      </c>
      <c r="AK2626">
        <v>0.36</v>
      </c>
      <c r="AL2626">
        <f t="shared" si="1447"/>
        <v>0</v>
      </c>
      <c r="AM2626">
        <f t="shared" si="1448"/>
        <v>0</v>
      </c>
      <c r="AN2626">
        <f t="shared" si="1449"/>
        <v>0</v>
      </c>
      <c r="AO2626" t="s">
        <v>5473</v>
      </c>
      <c r="AV2626" t="str">
        <f>IF(F2626&gt;0,(COUNT($AV$1:AV2625)+1),"")</f>
        <v/>
      </c>
    </row>
    <row r="2627" spans="1:48" ht="15" customHeight="1" x14ac:dyDescent="0.25">
      <c r="A2627" s="1"/>
      <c r="B2627" s="30">
        <v>2808</v>
      </c>
      <c r="C2627" s="20">
        <v>4607056260165</v>
      </c>
      <c r="D2627" s="225" t="s">
        <v>989</v>
      </c>
      <c r="E2627" s="67">
        <v>12</v>
      </c>
      <c r="F2627" s="222"/>
      <c r="G2627" s="107">
        <v>162.5</v>
      </c>
      <c r="H2627" s="21">
        <v>170.6</v>
      </c>
      <c r="I2627" s="22">
        <v>184.2</v>
      </c>
      <c r="J2627" s="112" t="s">
        <v>962</v>
      </c>
      <c r="K2627" s="45" t="s">
        <v>88</v>
      </c>
      <c r="L2627" s="437"/>
      <c r="M2627" s="474" t="s">
        <v>1856</v>
      </c>
      <c r="N2627" s="1013" t="s">
        <v>1856</v>
      </c>
      <c r="O2627" s="209"/>
      <c r="P2627" s="66" t="s">
        <v>72</v>
      </c>
      <c r="Q2627" s="100">
        <f t="shared" si="1445"/>
        <v>0</v>
      </c>
      <c r="R2627" s="13" t="str">
        <f t="shared" si="1456"/>
        <v>Фото &gt;&gt;</v>
      </c>
      <c r="S2627" s="14" t="s">
        <v>990</v>
      </c>
      <c r="AK2627">
        <v>0.36</v>
      </c>
      <c r="AL2627">
        <f t="shared" si="1447"/>
        <v>0</v>
      </c>
      <c r="AM2627">
        <f t="shared" si="1448"/>
        <v>0</v>
      </c>
      <c r="AN2627">
        <f t="shared" si="1449"/>
        <v>0</v>
      </c>
      <c r="AO2627" t="s">
        <v>5474</v>
      </c>
      <c r="AV2627" t="str">
        <f>IF(F2627&gt;0,(COUNT($AV$1:AV2626)+1),"")</f>
        <v/>
      </c>
    </row>
    <row r="2628" spans="1:48" ht="15" customHeight="1" x14ac:dyDescent="0.25">
      <c r="A2628" s="1"/>
      <c r="B2628" s="31">
        <v>11749</v>
      </c>
      <c r="C2628" s="16">
        <v>4607056260035</v>
      </c>
      <c r="D2628" s="226" t="s">
        <v>991</v>
      </c>
      <c r="E2628" s="69">
        <v>12</v>
      </c>
      <c r="F2628" s="222"/>
      <c r="G2628" s="108">
        <v>159.9</v>
      </c>
      <c r="H2628" s="17">
        <v>167.9</v>
      </c>
      <c r="I2628" s="18">
        <v>181.3</v>
      </c>
      <c r="J2628" s="113" t="s">
        <v>962</v>
      </c>
      <c r="K2628" s="44" t="s">
        <v>88</v>
      </c>
      <c r="L2628" s="442"/>
      <c r="M2628" s="480" t="s">
        <v>1856</v>
      </c>
      <c r="N2628" s="1015" t="s">
        <v>1856</v>
      </c>
      <c r="O2628" s="210"/>
      <c r="P2628" s="68" t="s">
        <v>72</v>
      </c>
      <c r="Q2628" s="100">
        <f t="shared" si="1445"/>
        <v>0</v>
      </c>
      <c r="R2628" s="13" t="str">
        <f t="shared" si="1456"/>
        <v>Фото &gt;&gt;</v>
      </c>
      <c r="S2628" s="14" t="s">
        <v>992</v>
      </c>
      <c r="AK2628">
        <v>0.36</v>
      </c>
      <c r="AL2628">
        <f t="shared" si="1447"/>
        <v>0</v>
      </c>
      <c r="AM2628">
        <f t="shared" si="1448"/>
        <v>0</v>
      </c>
      <c r="AN2628">
        <f t="shared" si="1449"/>
        <v>0</v>
      </c>
      <c r="AO2628" t="s">
        <v>5475</v>
      </c>
      <c r="AV2628" t="str">
        <f>IF(F2628&gt;0,(COUNT($AV$1:AV2627)+1),"")</f>
        <v/>
      </c>
    </row>
    <row r="2629" spans="1:48" ht="15" customHeight="1" x14ac:dyDescent="0.25">
      <c r="A2629" s="1"/>
      <c r="B2629" s="25"/>
      <c r="C2629" s="26"/>
      <c r="D2629" s="27" t="s">
        <v>5992</v>
      </c>
      <c r="E2629" s="80"/>
      <c r="F2629" s="96"/>
      <c r="G2629" s="28"/>
      <c r="H2629" s="29"/>
      <c r="I2629" s="29"/>
      <c r="J2629" s="51"/>
      <c r="K2629" s="47"/>
      <c r="L2629" s="447"/>
      <c r="M2629" s="489" t="s">
        <v>104</v>
      </c>
      <c r="N2629" s="716"/>
      <c r="O2629" s="186"/>
      <c r="P2629" s="79"/>
      <c r="Q2629" s="79"/>
      <c r="R2629" s="13" t="str">
        <f t="shared" si="1456"/>
        <v>Фото &gt;&gt;</v>
      </c>
      <c r="S2629" s="14"/>
      <c r="AL2629">
        <f t="shared" ref="AL2629" si="1457">F2629*G2629</f>
        <v>0</v>
      </c>
      <c r="AM2629">
        <f t="shared" ref="AM2629" si="1458">F2629*H2629</f>
        <v>0</v>
      </c>
      <c r="AN2629">
        <f t="shared" ref="AN2629" si="1459">AK2629*F2629+IF(E2629&gt;1.01,F2629/E2629*0.2,0)</f>
        <v>0</v>
      </c>
      <c r="AO2629" t="s">
        <v>104</v>
      </c>
      <c r="AV2629" t="str">
        <f>IF(F2629&gt;0,(COUNT($AV$1:AV2628)+1),"")</f>
        <v/>
      </c>
    </row>
    <row r="2630" spans="1:48" ht="15" customHeight="1" x14ac:dyDescent="0.25">
      <c r="A2630" s="1"/>
      <c r="B2630" s="30">
        <v>21088</v>
      </c>
      <c r="C2630" s="20">
        <v>4630049505493</v>
      </c>
      <c r="D2630" s="225" t="s">
        <v>6399</v>
      </c>
      <c r="E2630" s="324">
        <v>24</v>
      </c>
      <c r="F2630" s="222"/>
      <c r="G2630" s="107">
        <v>180.7</v>
      </c>
      <c r="H2630" s="21">
        <v>189.7</v>
      </c>
      <c r="I2630" s="22">
        <v>205</v>
      </c>
      <c r="J2630" s="112" t="s">
        <v>962</v>
      </c>
      <c r="K2630" s="45" t="s">
        <v>110</v>
      </c>
      <c r="L2630" s="437"/>
      <c r="M2630" s="474" t="s">
        <v>1856</v>
      </c>
      <c r="N2630" s="1013" t="s">
        <v>1856</v>
      </c>
      <c r="O2630" s="212"/>
      <c r="P2630" s="66" t="s">
        <v>40</v>
      </c>
      <c r="Q2630" s="100">
        <f>IF(AND($AO$2609=1,MOD(F2630,E2630)=0),F2630*G2630,IF($AO$2609&lt;=2,F2630*H2630,F2630*I2630))</f>
        <v>0</v>
      </c>
      <c r="R2630" s="13" t="str">
        <f t="shared" si="1456"/>
        <v>Фото &gt;&gt;</v>
      </c>
      <c r="S2630" s="14" t="s">
        <v>5993</v>
      </c>
      <c r="AK2630">
        <v>0.08</v>
      </c>
      <c r="AL2630">
        <f t="shared" ref="AL2630" si="1460">F2630*G2630</f>
        <v>0</v>
      </c>
      <c r="AM2630">
        <f t="shared" ref="AM2630" si="1461">F2630*H2630</f>
        <v>0</v>
      </c>
      <c r="AN2630">
        <f t="shared" ref="AN2630" si="1462">AK2630*F2630+IF(E2630&gt;1.01,F2630/E2630*0.2,0)</f>
        <v>0</v>
      </c>
      <c r="AO2630" t="s">
        <v>5994</v>
      </c>
      <c r="AV2630" t="str">
        <f>IF(F2630&gt;0,(COUNT($AV$1:AV2629)+1),"")</f>
        <v/>
      </c>
    </row>
    <row r="2631" spans="1:48" ht="15" customHeight="1" x14ac:dyDescent="0.25">
      <c r="A2631" s="1"/>
      <c r="B2631" s="31">
        <v>16309</v>
      </c>
      <c r="C2631" s="16">
        <v>4607056269410</v>
      </c>
      <c r="D2631" s="226" t="s">
        <v>2294</v>
      </c>
      <c r="E2631" s="323">
        <v>24</v>
      </c>
      <c r="F2631" s="222"/>
      <c r="G2631" s="108">
        <v>219</v>
      </c>
      <c r="H2631" s="17">
        <v>230</v>
      </c>
      <c r="I2631" s="18">
        <v>241</v>
      </c>
      <c r="J2631" s="113" t="s">
        <v>962</v>
      </c>
      <c r="K2631" s="44" t="s">
        <v>119</v>
      </c>
      <c r="L2631" s="442"/>
      <c r="M2631" s="480" t="s">
        <v>104</v>
      </c>
      <c r="N2631" s="1015" t="s">
        <v>1856</v>
      </c>
      <c r="O2631" s="217" t="s">
        <v>4539</v>
      </c>
      <c r="P2631" s="68" t="s">
        <v>72</v>
      </c>
      <c r="Q2631" s="100">
        <f>IF(AND($AO$2609=1,MOD(F2631,E2631)=0),F2631*G2631,IF($AO$2609&lt;=2,F2631*H2631,F2631*I2631))</f>
        <v>0</v>
      </c>
      <c r="R2631" s="13" t="str">
        <f t="shared" si="1456"/>
        <v>Фото &gt;&gt;</v>
      </c>
      <c r="S2631" s="14" t="s">
        <v>993</v>
      </c>
      <c r="AK2631">
        <v>0.11</v>
      </c>
      <c r="AL2631">
        <f t="shared" si="1447"/>
        <v>0</v>
      </c>
      <c r="AM2631">
        <f t="shared" si="1448"/>
        <v>0</v>
      </c>
      <c r="AN2631">
        <f t="shared" si="1449"/>
        <v>0</v>
      </c>
      <c r="AO2631" t="s">
        <v>5476</v>
      </c>
      <c r="AV2631" t="str">
        <f>IF(F2631&gt;0,(COUNT($AV$1:AV2630)+1),"")</f>
        <v/>
      </c>
    </row>
    <row r="2632" spans="1:48" ht="15" customHeight="1" x14ac:dyDescent="0.25">
      <c r="A2632" s="1"/>
      <c r="B2632" s="30">
        <v>16312</v>
      </c>
      <c r="C2632" s="20">
        <v>4607056269458</v>
      </c>
      <c r="D2632" s="225" t="s">
        <v>2952</v>
      </c>
      <c r="E2632" s="324">
        <v>24</v>
      </c>
      <c r="F2632" s="222"/>
      <c r="G2632" s="107">
        <v>304.5</v>
      </c>
      <c r="H2632" s="21">
        <v>320</v>
      </c>
      <c r="I2632" s="22">
        <v>336</v>
      </c>
      <c r="J2632" s="112" t="s">
        <v>962</v>
      </c>
      <c r="K2632" s="45" t="s">
        <v>119</v>
      </c>
      <c r="L2632" s="437"/>
      <c r="M2632" s="474" t="s">
        <v>104</v>
      </c>
      <c r="N2632" s="1013" t="s">
        <v>1856</v>
      </c>
      <c r="O2632" s="212" t="s">
        <v>4539</v>
      </c>
      <c r="P2632" s="66" t="s">
        <v>72</v>
      </c>
      <c r="Q2632" s="100">
        <f>IF(AND($AO$2609=1,MOD(F2632,E2632)=0),F2632*G2632,IF($AO$2609&lt;=2,F2632*H2632,F2632*I2632))</f>
        <v>0</v>
      </c>
      <c r="R2632" s="13" t="str">
        <f t="shared" si="1456"/>
        <v>Фото &gt;&gt;</v>
      </c>
      <c r="S2632" s="14" t="s">
        <v>994</v>
      </c>
      <c r="AK2632">
        <v>0.11</v>
      </c>
      <c r="AL2632">
        <f t="shared" si="1447"/>
        <v>0</v>
      </c>
      <c r="AM2632">
        <f t="shared" si="1448"/>
        <v>0</v>
      </c>
      <c r="AN2632">
        <f t="shared" si="1449"/>
        <v>0</v>
      </c>
      <c r="AO2632" t="s">
        <v>5477</v>
      </c>
      <c r="AV2632" t="str">
        <f>IF(F2632&gt;0,(COUNT($AV$1:AV2631)+1),"")</f>
        <v/>
      </c>
    </row>
    <row r="2633" spans="1:48" ht="15" customHeight="1" x14ac:dyDescent="0.25">
      <c r="A2633" s="1"/>
      <c r="B2633" s="125"/>
      <c r="C2633" s="126"/>
      <c r="D2633" s="127"/>
      <c r="E2633" s="134"/>
      <c r="F2633" s="189"/>
      <c r="G2633" s="130"/>
      <c r="H2633" s="131"/>
      <c r="I2633" s="132"/>
      <c r="J2633" s="128"/>
      <c r="K2633" s="129"/>
      <c r="L2633" s="433"/>
      <c r="M2633" s="481" t="s">
        <v>104</v>
      </c>
      <c r="N2633" s="471"/>
      <c r="O2633" s="181"/>
      <c r="P2633" s="133"/>
      <c r="Q2633" s="135"/>
      <c r="R2633" s="13"/>
      <c r="S2633" s="14"/>
      <c r="AV2633" t="str">
        <f>IF(F2633&gt;0,(COUNT($AV$1:AV2632)+1),"")</f>
        <v/>
      </c>
    </row>
    <row r="2634" spans="1:48" ht="15" customHeight="1" thickBot="1" x14ac:dyDescent="0.3">
      <c r="A2634" s="1"/>
      <c r="B2634" s="136"/>
      <c r="C2634" s="137"/>
      <c r="D2634" s="138"/>
      <c r="E2634" s="145"/>
      <c r="F2634" s="190"/>
      <c r="G2634" s="141"/>
      <c r="H2634" s="142"/>
      <c r="I2634" s="143"/>
      <c r="J2634" s="139"/>
      <c r="K2634" s="140"/>
      <c r="L2634" s="434"/>
      <c r="M2634" s="477" t="s">
        <v>104</v>
      </c>
      <c r="N2634" s="468"/>
      <c r="O2634" s="182"/>
      <c r="P2634" s="144"/>
      <c r="Q2634" s="146"/>
      <c r="R2634" s="13"/>
      <c r="S2634" s="14"/>
      <c r="AV2634" t="str">
        <f>IF(F2634&gt;0,(COUNT($AV$1:AV2633)+1),"")</f>
        <v/>
      </c>
    </row>
    <row r="2635" spans="1:48" ht="24.95" customHeight="1" thickBot="1" x14ac:dyDescent="0.3">
      <c r="A2635" s="1"/>
      <c r="B2635" s="169"/>
      <c r="C2635" s="170"/>
      <c r="D2635" s="171" t="str">
        <f>CONCATENATE("Оргтиум","     |     Сумма заказа: ",AK2635," руб.")</f>
        <v>Оргтиум     |     Сумма заказа: 0 руб.</v>
      </c>
      <c r="E2635" s="176"/>
      <c r="F2635" s="177"/>
      <c r="G2635" s="180" t="str">
        <f>CONCATENATE("Ценовая колонка: ",AO2635,"   |   До следующей скидки: ",AJ2635," руб.")</f>
        <v>Ценовая колонка: 3   |   До следующей скидки: 5000 руб.</v>
      </c>
      <c r="H2635" s="174"/>
      <c r="I2635" s="174"/>
      <c r="J2635" s="172" t="s">
        <v>996</v>
      </c>
      <c r="K2635" s="173"/>
      <c r="L2635" s="444"/>
      <c r="M2635" s="486" t="s">
        <v>104</v>
      </c>
      <c r="N2635" s="717"/>
      <c r="O2635" s="184"/>
      <c r="P2635" s="175"/>
      <c r="Q2635" s="178"/>
      <c r="R2635" s="179" t="s">
        <v>1558</v>
      </c>
      <c r="S2635" s="14"/>
      <c r="AJ2635">
        <f>ROUND(IF(AL2635&gt;20000,"0", IF(AND(AL2635&lt;20000,AM2635&gt;5000),20000-AL2635,5000-AM2635)),2)</f>
        <v>5000</v>
      </c>
      <c r="AK2635">
        <f>SUM(Q2637:Q2657)</f>
        <v>0</v>
      </c>
      <c r="AL2635">
        <f>SUM(AL2637:AL2657)</f>
        <v>0</v>
      </c>
      <c r="AM2635">
        <f>SUM(AM2637:AM2657)</f>
        <v>0</v>
      </c>
      <c r="AO2635">
        <f>IF(AM2635&gt;5000,IF(AL2635&gt;20000,1,2),3)</f>
        <v>3</v>
      </c>
      <c r="AV2635" t="str">
        <f>IF(F2635&gt;0,(COUNT($AV$1:AV2634)+1),"")</f>
        <v/>
      </c>
    </row>
    <row r="2636" spans="1:48" ht="15" customHeight="1" x14ac:dyDescent="0.25">
      <c r="A2636" s="1"/>
      <c r="B2636" s="640"/>
      <c r="C2636" s="641"/>
      <c r="D2636" s="642" t="s">
        <v>5829</v>
      </c>
      <c r="E2636" s="643"/>
      <c r="F2636" s="644"/>
      <c r="G2636" s="645" t="s">
        <v>15</v>
      </c>
      <c r="H2636" s="646" t="s">
        <v>16</v>
      </c>
      <c r="I2636" s="646" t="s">
        <v>221</v>
      </c>
      <c r="J2636" s="647"/>
      <c r="K2636" s="648"/>
      <c r="L2636" s="649"/>
      <c r="M2636" s="650" t="s">
        <v>104</v>
      </c>
      <c r="N2636" s="1032"/>
      <c r="O2636" s="651"/>
      <c r="P2636" s="652"/>
      <c r="Q2636" s="653"/>
      <c r="R2636" s="13"/>
      <c r="S2636" s="14"/>
      <c r="AV2636" t="str">
        <f>IF(F2636&gt;0,(COUNT($AV$1:AV2635)+1),"")</f>
        <v/>
      </c>
    </row>
    <row r="2637" spans="1:48" ht="15" customHeight="1" x14ac:dyDescent="0.25">
      <c r="A2637" s="1"/>
      <c r="B2637" s="30">
        <v>21032</v>
      </c>
      <c r="C2637" s="20">
        <v>4603726592147</v>
      </c>
      <c r="D2637" s="225" t="s">
        <v>5830</v>
      </c>
      <c r="E2637" s="67">
        <v>10</v>
      </c>
      <c r="F2637" s="280"/>
      <c r="G2637" s="107">
        <v>580</v>
      </c>
      <c r="H2637" s="21">
        <v>603</v>
      </c>
      <c r="I2637" s="22">
        <v>626</v>
      </c>
      <c r="J2637" s="112" t="s">
        <v>996</v>
      </c>
      <c r="K2637" s="45" t="s">
        <v>19</v>
      </c>
      <c r="L2637" s="437"/>
      <c r="M2637" s="474" t="s">
        <v>1856</v>
      </c>
      <c r="N2637" s="1013" t="s">
        <v>1856</v>
      </c>
      <c r="O2637" s="209"/>
      <c r="P2637" s="66" t="s">
        <v>72</v>
      </c>
      <c r="Q2637" s="100">
        <f t="shared" ref="Q2637:Q2642" si="1463">IF($AO$2635=2,F2637*H2637,IF($AO$2635=1,F2637*G2637,F2637*I2637))</f>
        <v>0</v>
      </c>
      <c r="R2637" s="13" t="str">
        <f t="shared" si="1456"/>
        <v>Фото &gt;&gt;</v>
      </c>
      <c r="S2637" s="14" t="s">
        <v>5838</v>
      </c>
      <c r="AK2637">
        <v>0.15</v>
      </c>
      <c r="AL2637">
        <f t="shared" ref="AL2637:AL2647" si="1464">F2637*G2637</f>
        <v>0</v>
      </c>
      <c r="AM2637">
        <f t="shared" ref="AM2637:AM2647" si="1465">F2637*H2637</f>
        <v>0</v>
      </c>
      <c r="AN2637">
        <f t="shared" ref="AN2637:AN2647" si="1466">AK2637*F2637+IF(E2637&gt;1.01,F2637/E2637*0.2,0)</f>
        <v>0</v>
      </c>
      <c r="AO2637" t="s">
        <v>5839</v>
      </c>
      <c r="AV2637" t="str">
        <f>IF(F2637&gt;0,(COUNT($AV$1:AV2636)+1),"")</f>
        <v/>
      </c>
    </row>
    <row r="2638" spans="1:48" ht="15" customHeight="1" x14ac:dyDescent="0.25">
      <c r="A2638" s="1"/>
      <c r="B2638" s="31">
        <v>21033</v>
      </c>
      <c r="C2638" s="16">
        <v>4603726592154</v>
      </c>
      <c r="D2638" s="226" t="s">
        <v>5833</v>
      </c>
      <c r="E2638" s="69">
        <v>10</v>
      </c>
      <c r="F2638" s="280"/>
      <c r="G2638" s="108">
        <v>1101</v>
      </c>
      <c r="H2638" s="17">
        <v>1145</v>
      </c>
      <c r="I2638" s="18">
        <v>1190</v>
      </c>
      <c r="J2638" s="113" t="s">
        <v>996</v>
      </c>
      <c r="K2638" s="44" t="s">
        <v>19</v>
      </c>
      <c r="L2638" s="442"/>
      <c r="M2638" s="480" t="s">
        <v>1856</v>
      </c>
      <c r="N2638" s="1015" t="s">
        <v>1856</v>
      </c>
      <c r="O2638" s="210"/>
      <c r="P2638" s="68" t="s">
        <v>72</v>
      </c>
      <c r="Q2638" s="100">
        <f t="shared" si="1463"/>
        <v>0</v>
      </c>
      <c r="R2638" s="13" t="str">
        <f t="shared" si="1456"/>
        <v>Фото &gt;&gt;</v>
      </c>
      <c r="S2638" s="14" t="s">
        <v>5838</v>
      </c>
      <c r="AK2638">
        <v>0.25</v>
      </c>
      <c r="AL2638">
        <f t="shared" si="1464"/>
        <v>0</v>
      </c>
      <c r="AM2638">
        <f t="shared" si="1465"/>
        <v>0</v>
      </c>
      <c r="AN2638">
        <f t="shared" si="1466"/>
        <v>0</v>
      </c>
      <c r="AO2638" t="s">
        <v>5840</v>
      </c>
      <c r="AV2638" t="str">
        <f>IF(F2638&gt;0,(COUNT($AV$1:AV2637)+1),"")</f>
        <v/>
      </c>
    </row>
    <row r="2639" spans="1:48" ht="15" customHeight="1" x14ac:dyDescent="0.25">
      <c r="A2639" s="1"/>
      <c r="B2639" s="30">
        <v>21028</v>
      </c>
      <c r="C2639" s="20">
        <v>4603726592673</v>
      </c>
      <c r="D2639" s="225" t="s">
        <v>5831</v>
      </c>
      <c r="E2639" s="67">
        <v>10</v>
      </c>
      <c r="F2639" s="280"/>
      <c r="G2639" s="107">
        <v>180</v>
      </c>
      <c r="H2639" s="21">
        <v>187.2</v>
      </c>
      <c r="I2639" s="22">
        <v>195</v>
      </c>
      <c r="J2639" s="112" t="s">
        <v>996</v>
      </c>
      <c r="K2639" s="45" t="s">
        <v>78</v>
      </c>
      <c r="L2639" s="437"/>
      <c r="M2639" s="474" t="s">
        <v>1856</v>
      </c>
      <c r="N2639" s="1013" t="s">
        <v>1856</v>
      </c>
      <c r="O2639" s="209"/>
      <c r="P2639" s="66" t="s">
        <v>72</v>
      </c>
      <c r="Q2639" s="100">
        <f t="shared" si="1463"/>
        <v>0</v>
      </c>
      <c r="R2639" s="13" t="str">
        <f t="shared" si="1456"/>
        <v>Фото &gt;&gt;</v>
      </c>
      <c r="S2639" s="14" t="s">
        <v>5836</v>
      </c>
      <c r="AK2639">
        <v>0.15</v>
      </c>
      <c r="AL2639">
        <f t="shared" si="1464"/>
        <v>0</v>
      </c>
      <c r="AM2639">
        <f t="shared" si="1465"/>
        <v>0</v>
      </c>
      <c r="AN2639">
        <f t="shared" si="1466"/>
        <v>0</v>
      </c>
      <c r="AO2639" t="s">
        <v>5841</v>
      </c>
      <c r="AV2639" t="str">
        <f>IF(F2639&gt;0,(COUNT($AV$1:AV2638)+1),"")</f>
        <v/>
      </c>
    </row>
    <row r="2640" spans="1:48" ht="15" customHeight="1" x14ac:dyDescent="0.25">
      <c r="A2640" s="1"/>
      <c r="B2640" s="31">
        <v>21029</v>
      </c>
      <c r="C2640" s="16">
        <v>4603726592192</v>
      </c>
      <c r="D2640" s="226" t="s">
        <v>5835</v>
      </c>
      <c r="E2640" s="69">
        <v>10</v>
      </c>
      <c r="F2640" s="280"/>
      <c r="G2640" s="108">
        <v>286.2</v>
      </c>
      <c r="H2640" s="17">
        <v>297.7</v>
      </c>
      <c r="I2640" s="18">
        <v>309</v>
      </c>
      <c r="J2640" s="113" t="s">
        <v>996</v>
      </c>
      <c r="K2640" s="44" t="s">
        <v>78</v>
      </c>
      <c r="L2640" s="442"/>
      <c r="M2640" s="480" t="s">
        <v>1856</v>
      </c>
      <c r="N2640" s="1015" t="s">
        <v>1856</v>
      </c>
      <c r="O2640" s="210"/>
      <c r="P2640" s="68" t="s">
        <v>72</v>
      </c>
      <c r="Q2640" s="100">
        <f t="shared" si="1463"/>
        <v>0</v>
      </c>
      <c r="R2640" s="13" t="str">
        <f t="shared" si="1456"/>
        <v>Фото &gt;&gt;</v>
      </c>
      <c r="S2640" s="14" t="s">
        <v>5836</v>
      </c>
      <c r="AK2640">
        <v>0.25</v>
      </c>
      <c r="AL2640">
        <f t="shared" si="1464"/>
        <v>0</v>
      </c>
      <c r="AM2640">
        <f t="shared" si="1465"/>
        <v>0</v>
      </c>
      <c r="AN2640">
        <f t="shared" si="1466"/>
        <v>0</v>
      </c>
      <c r="AO2640" t="s">
        <v>5842</v>
      </c>
      <c r="AV2640" t="str">
        <f>IF(F2640&gt;0,(COUNT($AV$1:AV2639)+1),"")</f>
        <v/>
      </c>
    </row>
    <row r="2641" spans="1:48" ht="15" customHeight="1" x14ac:dyDescent="0.25">
      <c r="A2641" s="1"/>
      <c r="B2641" s="30">
        <v>21030</v>
      </c>
      <c r="C2641" s="20">
        <v>4603726592161</v>
      </c>
      <c r="D2641" s="225" t="s">
        <v>5832</v>
      </c>
      <c r="E2641" s="67">
        <v>10</v>
      </c>
      <c r="F2641" s="280"/>
      <c r="G2641" s="107">
        <v>397.5</v>
      </c>
      <c r="H2641" s="21">
        <v>413.4</v>
      </c>
      <c r="I2641" s="22">
        <v>429.3</v>
      </c>
      <c r="J2641" s="112" t="s">
        <v>996</v>
      </c>
      <c r="K2641" s="45" t="s">
        <v>78</v>
      </c>
      <c r="L2641" s="437"/>
      <c r="M2641" s="474" t="s">
        <v>1856</v>
      </c>
      <c r="N2641" s="1013" t="s">
        <v>1856</v>
      </c>
      <c r="O2641" s="209"/>
      <c r="P2641" s="66" t="s">
        <v>72</v>
      </c>
      <c r="Q2641" s="100">
        <f t="shared" si="1463"/>
        <v>0</v>
      </c>
      <c r="R2641" s="13" t="str">
        <f t="shared" si="1456"/>
        <v>Фото &gt;&gt;</v>
      </c>
      <c r="S2641" s="14" t="s">
        <v>5837</v>
      </c>
      <c r="AK2641">
        <v>0.15</v>
      </c>
      <c r="AL2641">
        <f t="shared" si="1464"/>
        <v>0</v>
      </c>
      <c r="AM2641">
        <f t="shared" si="1465"/>
        <v>0</v>
      </c>
      <c r="AN2641">
        <f t="shared" si="1466"/>
        <v>0</v>
      </c>
      <c r="AO2641" t="s">
        <v>5843</v>
      </c>
      <c r="AV2641" t="str">
        <f>IF(F2641&gt;0,(COUNT($AV$1:AV2640)+1),"")</f>
        <v/>
      </c>
    </row>
    <row r="2642" spans="1:48" ht="15" customHeight="1" x14ac:dyDescent="0.25">
      <c r="A2642" s="1"/>
      <c r="B2642" s="31">
        <v>21031</v>
      </c>
      <c r="C2642" s="16">
        <v>4603726592178</v>
      </c>
      <c r="D2642" s="226" t="s">
        <v>5834</v>
      </c>
      <c r="E2642" s="69">
        <v>10</v>
      </c>
      <c r="F2642" s="280"/>
      <c r="G2642" s="108">
        <v>732.5</v>
      </c>
      <c r="H2642" s="17">
        <v>761.8</v>
      </c>
      <c r="I2642" s="18">
        <v>791</v>
      </c>
      <c r="J2642" s="113" t="s">
        <v>996</v>
      </c>
      <c r="K2642" s="44" t="s">
        <v>78</v>
      </c>
      <c r="L2642" s="442"/>
      <c r="M2642" s="480" t="s">
        <v>1856</v>
      </c>
      <c r="N2642" s="1015" t="s">
        <v>1856</v>
      </c>
      <c r="O2642" s="210"/>
      <c r="P2642" s="68" t="s">
        <v>72</v>
      </c>
      <c r="Q2642" s="100">
        <f t="shared" si="1463"/>
        <v>0</v>
      </c>
      <c r="R2642" s="13" t="str">
        <f t="shared" si="1456"/>
        <v>Фото &gt;&gt;</v>
      </c>
      <c r="S2642" s="14" t="s">
        <v>5837</v>
      </c>
      <c r="AK2642">
        <v>0.25</v>
      </c>
      <c r="AL2642">
        <f t="shared" si="1464"/>
        <v>0</v>
      </c>
      <c r="AM2642">
        <f t="shared" si="1465"/>
        <v>0</v>
      </c>
      <c r="AN2642">
        <f t="shared" si="1466"/>
        <v>0</v>
      </c>
      <c r="AO2642" t="s">
        <v>5844</v>
      </c>
      <c r="AV2642" t="str">
        <f>IF(F2642&gt;0,(COUNT($AV$1:AV2641)+1),"")</f>
        <v/>
      </c>
    </row>
    <row r="2643" spans="1:48" ht="15" customHeight="1" x14ac:dyDescent="0.25">
      <c r="A2643" s="1"/>
      <c r="B2643" s="25"/>
      <c r="C2643" s="26"/>
      <c r="D2643" s="27" t="s">
        <v>68</v>
      </c>
      <c r="E2643" s="80"/>
      <c r="F2643" s="96"/>
      <c r="G2643" s="28"/>
      <c r="H2643" s="29"/>
      <c r="I2643" s="29"/>
      <c r="J2643" s="51"/>
      <c r="K2643" s="47"/>
      <c r="L2643" s="447"/>
      <c r="M2643" s="489" t="s">
        <v>104</v>
      </c>
      <c r="N2643" s="716"/>
      <c r="O2643" s="186"/>
      <c r="P2643" s="79"/>
      <c r="Q2643" s="104"/>
      <c r="R2643" s="13" t="str">
        <f t="shared" si="1456"/>
        <v/>
      </c>
      <c r="S2643" s="14"/>
      <c r="AV2643" t="str">
        <f>IF(F2643&gt;0,(COUNT($AV$1:AV2642)+1),"")</f>
        <v/>
      </c>
    </row>
    <row r="2644" spans="1:48" ht="15" customHeight="1" x14ac:dyDescent="0.25">
      <c r="A2644" s="1"/>
      <c r="B2644" s="31">
        <v>21233</v>
      </c>
      <c r="C2644" s="16">
        <v>4680115835221</v>
      </c>
      <c r="D2644" s="226" t="s">
        <v>6339</v>
      </c>
      <c r="E2644" s="69">
        <v>6</v>
      </c>
      <c r="F2644" s="222"/>
      <c r="G2644" s="108">
        <v>525</v>
      </c>
      <c r="H2644" s="17">
        <v>546</v>
      </c>
      <c r="I2644" s="18">
        <v>567</v>
      </c>
      <c r="J2644" s="113" t="s">
        <v>996</v>
      </c>
      <c r="K2644" s="44" t="s">
        <v>19</v>
      </c>
      <c r="L2644" s="442" t="s">
        <v>4258</v>
      </c>
      <c r="M2644" s="480" t="s">
        <v>1856</v>
      </c>
      <c r="N2644" s="1015" t="s">
        <v>1856</v>
      </c>
      <c r="O2644" s="210"/>
      <c r="P2644" s="68" t="s">
        <v>50</v>
      </c>
      <c r="Q2644" s="100">
        <f t="shared" ref="Q2644:Q2649" si="1467">IF($AO$2635=2,F2644*H2644,IF($AO$2635=1,F2644*G2644,F2644*I2644))</f>
        <v>0</v>
      </c>
      <c r="R2644" s="13" t="str">
        <f t="shared" si="1456"/>
        <v>Фото &gt;&gt;</v>
      </c>
      <c r="S2644" s="14" t="s">
        <v>6340</v>
      </c>
      <c r="AK2644">
        <v>0.21</v>
      </c>
      <c r="AL2644">
        <f t="shared" ref="AL2644:AL2645" si="1468">F2644*G2644</f>
        <v>0</v>
      </c>
      <c r="AM2644">
        <f t="shared" ref="AM2644:AM2645" si="1469">F2644*H2644</f>
        <v>0</v>
      </c>
      <c r="AN2644">
        <f t="shared" ref="AN2644:AN2645" si="1470">AK2644*F2644+IF(E2644&gt;1.01,F2644/E2644*0.2,0)</f>
        <v>0</v>
      </c>
      <c r="AO2644" t="s">
        <v>6341</v>
      </c>
      <c r="AV2644" t="str">
        <f>IF(F2644&gt;0,(COUNT($AV$1:AV2643)+1),"")</f>
        <v/>
      </c>
    </row>
    <row r="2645" spans="1:48" ht="15" customHeight="1" x14ac:dyDescent="0.25">
      <c r="A2645" s="1"/>
      <c r="B2645" s="30">
        <v>17728</v>
      </c>
      <c r="C2645" s="20">
        <v>4603739790073</v>
      </c>
      <c r="D2645" s="153" t="s">
        <v>995</v>
      </c>
      <c r="E2645" s="67">
        <v>10</v>
      </c>
      <c r="F2645" s="222"/>
      <c r="G2645" s="107">
        <v>298.7</v>
      </c>
      <c r="H2645" s="21">
        <v>310.7</v>
      </c>
      <c r="I2645" s="22">
        <v>323</v>
      </c>
      <c r="J2645" s="112" t="s">
        <v>996</v>
      </c>
      <c r="K2645" s="45" t="s">
        <v>373</v>
      </c>
      <c r="L2645" s="437"/>
      <c r="M2645" s="474" t="s">
        <v>1856</v>
      </c>
      <c r="N2645" s="1013" t="s">
        <v>1856</v>
      </c>
      <c r="O2645" s="212"/>
      <c r="P2645" s="66" t="s">
        <v>72</v>
      </c>
      <c r="Q2645" s="100">
        <f t="shared" si="1467"/>
        <v>0</v>
      </c>
      <c r="R2645" s="13" t="str">
        <f t="shared" si="1456"/>
        <v>Фото &gt;&gt;</v>
      </c>
      <c r="S2645" s="14" t="s">
        <v>3706</v>
      </c>
      <c r="AK2645">
        <v>0.12</v>
      </c>
      <c r="AL2645">
        <f t="shared" si="1468"/>
        <v>0</v>
      </c>
      <c r="AM2645">
        <f t="shared" si="1469"/>
        <v>0</v>
      </c>
      <c r="AN2645">
        <f t="shared" si="1470"/>
        <v>0</v>
      </c>
      <c r="AO2645" t="s">
        <v>2776</v>
      </c>
      <c r="AV2645" t="str">
        <f>IF(F2645&gt;0,(COUNT($AV$1:AV2644)+1),"")</f>
        <v/>
      </c>
    </row>
    <row r="2646" spans="1:48" ht="15" customHeight="1" x14ac:dyDescent="0.25">
      <c r="A2646" s="1"/>
      <c r="B2646" s="31">
        <v>17843</v>
      </c>
      <c r="C2646" s="16">
        <v>4603726592338</v>
      </c>
      <c r="D2646" s="154" t="s">
        <v>997</v>
      </c>
      <c r="E2646" s="69">
        <v>10</v>
      </c>
      <c r="F2646" s="222"/>
      <c r="G2646" s="108">
        <v>312.5</v>
      </c>
      <c r="H2646" s="17">
        <v>325</v>
      </c>
      <c r="I2646" s="18">
        <v>338</v>
      </c>
      <c r="J2646" s="113" t="s">
        <v>996</v>
      </c>
      <c r="K2646" s="44" t="s">
        <v>78</v>
      </c>
      <c r="L2646" s="442"/>
      <c r="M2646" s="480" t="s">
        <v>1856</v>
      </c>
      <c r="N2646" s="1015" t="s">
        <v>1856</v>
      </c>
      <c r="O2646" s="217"/>
      <c r="P2646" s="68" t="s">
        <v>72</v>
      </c>
      <c r="Q2646" s="100">
        <f t="shared" si="1467"/>
        <v>0</v>
      </c>
      <c r="R2646" s="13" t="str">
        <f t="shared" si="1456"/>
        <v>Фото &gt;&gt;</v>
      </c>
      <c r="S2646" s="14" t="s">
        <v>3707</v>
      </c>
      <c r="AK2646">
        <v>0.12</v>
      </c>
      <c r="AL2646">
        <f t="shared" si="1464"/>
        <v>0</v>
      </c>
      <c r="AM2646">
        <f t="shared" si="1465"/>
        <v>0</v>
      </c>
      <c r="AN2646">
        <f t="shared" si="1466"/>
        <v>0</v>
      </c>
      <c r="AO2646" t="s">
        <v>3708</v>
      </c>
      <c r="AV2646" t="str">
        <f>IF(F2646&gt;0,(COUNT($AV$1:AV2645)+1),"")</f>
        <v/>
      </c>
    </row>
    <row r="2647" spans="1:48" ht="15" customHeight="1" x14ac:dyDescent="0.25">
      <c r="A2647" s="1"/>
      <c r="B2647" s="30">
        <v>20318</v>
      </c>
      <c r="C2647" s="20">
        <v>4603739790257</v>
      </c>
      <c r="D2647" s="153" t="s">
        <v>6814</v>
      </c>
      <c r="E2647" s="67">
        <v>6</v>
      </c>
      <c r="F2647" s="222"/>
      <c r="G2647" s="107">
        <v>541</v>
      </c>
      <c r="H2647" s="21">
        <v>563</v>
      </c>
      <c r="I2647" s="22">
        <v>584</v>
      </c>
      <c r="J2647" s="112" t="s">
        <v>996</v>
      </c>
      <c r="K2647" s="45" t="s">
        <v>85</v>
      </c>
      <c r="L2647" s="437"/>
      <c r="M2647" s="474" t="s">
        <v>1856</v>
      </c>
      <c r="N2647" s="1013" t="s">
        <v>1856</v>
      </c>
      <c r="O2647" s="212"/>
      <c r="P2647" s="66" t="s">
        <v>72</v>
      </c>
      <c r="Q2647" s="100">
        <f t="shared" si="1467"/>
        <v>0</v>
      </c>
      <c r="R2647" s="13" t="str">
        <f t="shared" si="1456"/>
        <v>Фото &gt;&gt;</v>
      </c>
      <c r="S2647" s="14" t="s">
        <v>998</v>
      </c>
      <c r="AK2647">
        <v>0.22</v>
      </c>
      <c r="AL2647">
        <f t="shared" si="1464"/>
        <v>0</v>
      </c>
      <c r="AM2647">
        <f t="shared" si="1465"/>
        <v>0</v>
      </c>
      <c r="AN2647">
        <f t="shared" si="1466"/>
        <v>0</v>
      </c>
      <c r="AO2647" t="s">
        <v>2777</v>
      </c>
      <c r="AV2647" t="str">
        <f>IF(F2647&gt;0,(COUNT($AV$1:AV2646)+1),"")</f>
        <v/>
      </c>
    </row>
    <row r="2648" spans="1:48" ht="15" customHeight="1" x14ac:dyDescent="0.25">
      <c r="A2648" s="1"/>
      <c r="B2648" s="31">
        <v>20760</v>
      </c>
      <c r="C2648" s="16" t="s">
        <v>104</v>
      </c>
      <c r="D2648" s="226" t="s">
        <v>4510</v>
      </c>
      <c r="E2648" s="69">
        <v>6</v>
      </c>
      <c r="F2648" s="222"/>
      <c r="G2648" s="108">
        <v>508</v>
      </c>
      <c r="H2648" s="17">
        <v>531</v>
      </c>
      <c r="I2648" s="18">
        <v>560</v>
      </c>
      <c r="J2648" s="113" t="s">
        <v>996</v>
      </c>
      <c r="K2648" s="44" t="s">
        <v>85</v>
      </c>
      <c r="L2648" s="442"/>
      <c r="M2648" s="480" t="s">
        <v>1856</v>
      </c>
      <c r="N2648" s="1015" t="s">
        <v>1856</v>
      </c>
      <c r="O2648" s="210"/>
      <c r="P2648" s="68" t="s">
        <v>72</v>
      </c>
      <c r="Q2648" s="100">
        <f t="shared" si="1467"/>
        <v>0</v>
      </c>
      <c r="R2648" s="13" t="str">
        <f t="shared" si="1456"/>
        <v>Фото &gt;&gt;</v>
      </c>
      <c r="S2648" s="14" t="s">
        <v>998</v>
      </c>
      <c r="AK2648">
        <v>0.2</v>
      </c>
      <c r="AL2648">
        <f t="shared" ref="AL2648:AL2649" si="1471">F2648*G2648</f>
        <v>0</v>
      </c>
      <c r="AM2648">
        <f t="shared" ref="AM2648:AM2649" si="1472">F2648*H2648</f>
        <v>0</v>
      </c>
      <c r="AN2648">
        <f t="shared" ref="AN2648:AN2649" si="1473">AK2648*F2648+IF(E2648&gt;1.01,F2648/E2648*0.2,0)</f>
        <v>0</v>
      </c>
      <c r="AO2648" t="s">
        <v>4511</v>
      </c>
      <c r="AV2648" t="str">
        <f>IF(F2648&gt;0,(COUNT($AV$1:AV2647)+1),"")</f>
        <v/>
      </c>
    </row>
    <row r="2649" spans="1:48" ht="15" customHeight="1" x14ac:dyDescent="0.25">
      <c r="A2649" s="1"/>
      <c r="B2649" s="30">
        <v>17734</v>
      </c>
      <c r="C2649" s="20">
        <v>4603739790042</v>
      </c>
      <c r="D2649" s="153" t="s">
        <v>999</v>
      </c>
      <c r="E2649" s="67">
        <v>6</v>
      </c>
      <c r="F2649" s="222"/>
      <c r="G2649" s="107">
        <v>256</v>
      </c>
      <c r="H2649" s="21">
        <v>266.5</v>
      </c>
      <c r="I2649" s="22">
        <v>276</v>
      </c>
      <c r="J2649" s="112" t="s">
        <v>996</v>
      </c>
      <c r="K2649" s="45" t="s">
        <v>68</v>
      </c>
      <c r="L2649" s="437"/>
      <c r="M2649" s="474" t="s">
        <v>1856</v>
      </c>
      <c r="N2649" s="1013" t="s">
        <v>1856</v>
      </c>
      <c r="O2649" s="212"/>
      <c r="P2649" s="66" t="s">
        <v>40</v>
      </c>
      <c r="Q2649" s="100">
        <f t="shared" si="1467"/>
        <v>0</v>
      </c>
      <c r="R2649" s="13" t="str">
        <f t="shared" si="1456"/>
        <v>Фото &gt;&gt;</v>
      </c>
      <c r="S2649" s="14" t="s">
        <v>1000</v>
      </c>
      <c r="AK2649">
        <v>7.0000000000000007E-2</v>
      </c>
      <c r="AL2649">
        <f t="shared" si="1471"/>
        <v>0</v>
      </c>
      <c r="AM2649">
        <f t="shared" si="1472"/>
        <v>0</v>
      </c>
      <c r="AN2649">
        <f t="shared" si="1473"/>
        <v>0</v>
      </c>
      <c r="AO2649" t="s">
        <v>2778</v>
      </c>
      <c r="AV2649" t="str">
        <f>IF(F2649&gt;0,(COUNT($AV$1:AV2648)+1),"")</f>
        <v/>
      </c>
    </row>
    <row r="2650" spans="1:48" ht="15" customHeight="1" x14ac:dyDescent="0.25">
      <c r="A2650" s="1"/>
      <c r="B2650" s="25"/>
      <c r="C2650" s="26"/>
      <c r="D2650" s="27" t="s">
        <v>198</v>
      </c>
      <c r="E2650" s="80"/>
      <c r="F2650" s="96"/>
      <c r="G2650" s="28"/>
      <c r="H2650" s="29"/>
      <c r="I2650" s="29"/>
      <c r="J2650" s="51"/>
      <c r="K2650" s="47"/>
      <c r="L2650" s="447"/>
      <c r="M2650" s="489"/>
      <c r="N2650" s="716"/>
      <c r="O2650" s="186"/>
      <c r="P2650" s="79"/>
      <c r="Q2650" s="104"/>
      <c r="R2650" s="13"/>
      <c r="S2650" s="14"/>
      <c r="AL2650">
        <f t="shared" ref="AL2650:AL2654" si="1474">F2650*G2650</f>
        <v>0</v>
      </c>
      <c r="AM2650">
        <f t="shared" ref="AM2650:AM2654" si="1475">F2650*H2650</f>
        <v>0</v>
      </c>
      <c r="AN2650">
        <f t="shared" ref="AN2650:AN2657" si="1476">AK2650*F2650+IF(E2650&gt;1.01,F2650/E2650*0.2,0)</f>
        <v>0</v>
      </c>
      <c r="AV2650" t="str">
        <f>IF(F2650&gt;0,(COUNT($AV$1:AV2649)+1),"")</f>
        <v/>
      </c>
    </row>
    <row r="2651" spans="1:48" ht="15" customHeight="1" x14ac:dyDescent="0.25">
      <c r="A2651" s="1"/>
      <c r="B2651" s="31">
        <v>17730</v>
      </c>
      <c r="C2651" s="16">
        <v>4603739790813</v>
      </c>
      <c r="D2651" s="154" t="s">
        <v>1001</v>
      </c>
      <c r="E2651" s="69">
        <v>6</v>
      </c>
      <c r="F2651" s="222"/>
      <c r="G2651" s="108">
        <v>547</v>
      </c>
      <c r="H2651" s="17">
        <v>569</v>
      </c>
      <c r="I2651" s="18">
        <v>591</v>
      </c>
      <c r="J2651" s="113" t="s">
        <v>996</v>
      </c>
      <c r="K2651" s="44" t="s">
        <v>198</v>
      </c>
      <c r="L2651" s="442"/>
      <c r="M2651" s="480" t="s">
        <v>1856</v>
      </c>
      <c r="N2651" s="1015" t="s">
        <v>1856</v>
      </c>
      <c r="O2651" s="326"/>
      <c r="P2651" s="68" t="s">
        <v>72</v>
      </c>
      <c r="Q2651" s="100">
        <f>IF($AO$2635=2,F2651*H2651,IF($AO$2635=1,F2651*G2651,F2651*I2651))</f>
        <v>0</v>
      </c>
      <c r="R2651" s="13" t="str">
        <f t="shared" si="1456"/>
        <v>Фото &gt;&gt;</v>
      </c>
      <c r="S2651" s="14" t="s">
        <v>1002</v>
      </c>
      <c r="AK2651">
        <v>0.27</v>
      </c>
      <c r="AL2651">
        <f t="shared" si="1474"/>
        <v>0</v>
      </c>
      <c r="AM2651">
        <f t="shared" si="1475"/>
        <v>0</v>
      </c>
      <c r="AN2651">
        <f t="shared" si="1476"/>
        <v>0</v>
      </c>
      <c r="AO2651" t="s">
        <v>2779</v>
      </c>
      <c r="AV2651" t="str">
        <f>IF(F2651&gt;0,(COUNT($AV$1:AV2650)+1),"")</f>
        <v/>
      </c>
    </row>
    <row r="2652" spans="1:48" ht="15" customHeight="1" x14ac:dyDescent="0.25">
      <c r="A2652" s="1"/>
      <c r="B2652" s="30">
        <v>17731</v>
      </c>
      <c r="C2652" s="20">
        <v>4603739790844</v>
      </c>
      <c r="D2652" s="225" t="s">
        <v>1003</v>
      </c>
      <c r="E2652" s="67">
        <v>6</v>
      </c>
      <c r="F2652" s="222"/>
      <c r="G2652" s="107">
        <v>597.5</v>
      </c>
      <c r="H2652" s="21">
        <v>621</v>
      </c>
      <c r="I2652" s="22">
        <v>645</v>
      </c>
      <c r="J2652" s="112" t="s">
        <v>996</v>
      </c>
      <c r="K2652" s="45" t="s">
        <v>198</v>
      </c>
      <c r="L2652" s="437"/>
      <c r="M2652" s="474" t="s">
        <v>1856</v>
      </c>
      <c r="N2652" s="1013" t="s">
        <v>1856</v>
      </c>
      <c r="O2652" s="325"/>
      <c r="P2652" s="66" t="s">
        <v>72</v>
      </c>
      <c r="Q2652" s="100">
        <f>IF($AO$2635=2,F2652*H2652,IF($AO$2635=1,F2652*G2652,F2652*I2652))</f>
        <v>0</v>
      </c>
      <c r="R2652" s="13" t="str">
        <f t="shared" si="1456"/>
        <v>Фото &gt;&gt;</v>
      </c>
      <c r="S2652" s="14" t="s">
        <v>1004</v>
      </c>
      <c r="AK2652">
        <v>0.27</v>
      </c>
      <c r="AL2652">
        <f t="shared" si="1474"/>
        <v>0</v>
      </c>
      <c r="AM2652">
        <f t="shared" si="1475"/>
        <v>0</v>
      </c>
      <c r="AN2652">
        <f t="shared" si="1476"/>
        <v>0</v>
      </c>
      <c r="AO2652" t="s">
        <v>2780</v>
      </c>
      <c r="AV2652" t="str">
        <f>IF(F2652&gt;0,(COUNT($AV$1:AV2651)+1),"")</f>
        <v/>
      </c>
    </row>
    <row r="2653" spans="1:48" ht="15" customHeight="1" x14ac:dyDescent="0.25">
      <c r="A2653" s="1"/>
      <c r="B2653" s="31">
        <v>19120</v>
      </c>
      <c r="C2653" s="16">
        <v>4603739790882</v>
      </c>
      <c r="D2653" s="226" t="s">
        <v>1777</v>
      </c>
      <c r="E2653" s="69">
        <v>6</v>
      </c>
      <c r="F2653" s="222"/>
      <c r="G2653" s="108">
        <v>358</v>
      </c>
      <c r="H2653" s="17">
        <v>371</v>
      </c>
      <c r="I2653" s="18">
        <v>387</v>
      </c>
      <c r="J2653" s="113" t="s">
        <v>996</v>
      </c>
      <c r="K2653" s="44" t="s">
        <v>198</v>
      </c>
      <c r="L2653" s="442"/>
      <c r="M2653" s="480" t="s">
        <v>1856</v>
      </c>
      <c r="N2653" s="1015" t="s">
        <v>1856</v>
      </c>
      <c r="O2653" s="326"/>
      <c r="P2653" s="68" t="s">
        <v>72</v>
      </c>
      <c r="Q2653" s="100">
        <f>IF($AO$2635=2,F2653*H2653,IF($AO$2635=1,F2653*G2653,F2653*I2653))</f>
        <v>0</v>
      </c>
      <c r="R2653" s="13" t="str">
        <f t="shared" si="1456"/>
        <v>Фото &gt;&gt;</v>
      </c>
      <c r="S2653" s="14" t="s">
        <v>3711</v>
      </c>
      <c r="AK2653">
        <v>0.27</v>
      </c>
      <c r="AL2653">
        <f t="shared" si="1474"/>
        <v>0</v>
      </c>
      <c r="AM2653">
        <f t="shared" si="1475"/>
        <v>0</v>
      </c>
      <c r="AN2653">
        <f t="shared" si="1476"/>
        <v>0</v>
      </c>
      <c r="AO2653" t="s">
        <v>3709</v>
      </c>
      <c r="AV2653" t="str">
        <f>IF(F2653&gt;0,(COUNT($AV$1:AV2652)+1),"")</f>
        <v/>
      </c>
    </row>
    <row r="2654" spans="1:48" ht="15" customHeight="1" x14ac:dyDescent="0.25">
      <c r="A2654" s="1"/>
      <c r="B2654" s="30">
        <v>18801</v>
      </c>
      <c r="C2654" s="20">
        <v>4603726592833</v>
      </c>
      <c r="D2654" s="225" t="s">
        <v>1005</v>
      </c>
      <c r="E2654" s="67">
        <v>4</v>
      </c>
      <c r="F2654" s="222"/>
      <c r="G2654" s="107">
        <v>690</v>
      </c>
      <c r="H2654" s="21">
        <v>717</v>
      </c>
      <c r="I2654" s="22">
        <v>745</v>
      </c>
      <c r="J2654" s="112" t="s">
        <v>996</v>
      </c>
      <c r="K2654" s="45" t="s">
        <v>198</v>
      </c>
      <c r="L2654" s="437"/>
      <c r="M2654" s="474" t="s">
        <v>1856</v>
      </c>
      <c r="N2654" s="1013" t="s">
        <v>1856</v>
      </c>
      <c r="O2654" s="325"/>
      <c r="P2654" s="66" t="s">
        <v>72</v>
      </c>
      <c r="Q2654" s="100">
        <f>IF($AO$2635=2,F2654*H2654,IF($AO$2635=1,F2654*G2654,F2654*I2654))</f>
        <v>0</v>
      </c>
      <c r="R2654" s="13" t="str">
        <f t="shared" si="1456"/>
        <v>Фото &gt;&gt;</v>
      </c>
      <c r="S2654" s="14" t="s">
        <v>3711</v>
      </c>
      <c r="AK2654">
        <v>0.51</v>
      </c>
      <c r="AL2654">
        <f t="shared" si="1474"/>
        <v>0</v>
      </c>
      <c r="AM2654">
        <f t="shared" si="1475"/>
        <v>0</v>
      </c>
      <c r="AN2654">
        <f t="shared" si="1476"/>
        <v>0</v>
      </c>
      <c r="AO2654" t="s">
        <v>3710</v>
      </c>
      <c r="AV2654" t="str">
        <f>IF(F2654&gt;0,(COUNT($AV$1:AV2653)+1),"")</f>
        <v/>
      </c>
    </row>
    <row r="2655" spans="1:48" ht="15" customHeight="1" x14ac:dyDescent="0.25">
      <c r="A2655" s="1"/>
      <c r="B2655" s="25"/>
      <c r="C2655" s="26"/>
      <c r="D2655" s="27" t="s">
        <v>117</v>
      </c>
      <c r="E2655" s="80"/>
      <c r="F2655" s="96"/>
      <c r="G2655" s="28"/>
      <c r="H2655" s="29"/>
      <c r="I2655" s="29"/>
      <c r="J2655" s="51"/>
      <c r="K2655" s="47"/>
      <c r="L2655" s="447"/>
      <c r="M2655" s="489"/>
      <c r="N2655" s="716"/>
      <c r="O2655" s="186"/>
      <c r="P2655" s="79"/>
      <c r="Q2655" s="104"/>
      <c r="R2655" s="13"/>
      <c r="S2655" s="14"/>
      <c r="AL2655">
        <f t="shared" ref="AL2655:AL2657" si="1477">F2655*G2655</f>
        <v>0</v>
      </c>
      <c r="AM2655">
        <f t="shared" ref="AM2655:AM2657" si="1478">F2655*H2655</f>
        <v>0</v>
      </c>
      <c r="AN2655">
        <f t="shared" si="1476"/>
        <v>0</v>
      </c>
      <c r="AV2655" t="str">
        <f>IF(F2655&gt;0,(COUNT($AV$1:AV2654)+1),"")</f>
        <v/>
      </c>
    </row>
    <row r="2656" spans="1:48" ht="15" customHeight="1" x14ac:dyDescent="0.25">
      <c r="A2656" s="1"/>
      <c r="B2656" s="30">
        <v>18836</v>
      </c>
      <c r="C2656" s="20">
        <v>4603757494335</v>
      </c>
      <c r="D2656" s="153" t="s">
        <v>1006</v>
      </c>
      <c r="E2656" s="67">
        <v>6</v>
      </c>
      <c r="F2656" s="222"/>
      <c r="G2656" s="107">
        <v>183.7</v>
      </c>
      <c r="H2656" s="21">
        <v>191</v>
      </c>
      <c r="I2656" s="22">
        <v>198</v>
      </c>
      <c r="J2656" s="112" t="s">
        <v>996</v>
      </c>
      <c r="K2656" s="45" t="s">
        <v>117</v>
      </c>
      <c r="L2656" s="437"/>
      <c r="M2656" s="474" t="s">
        <v>1856</v>
      </c>
      <c r="N2656" s="1013" t="s">
        <v>1856</v>
      </c>
      <c r="O2656" s="325"/>
      <c r="P2656" s="66" t="s">
        <v>72</v>
      </c>
      <c r="Q2656" s="100">
        <f>IF($AO$2635=2,F2656*H2656,IF($AO$2635=1,F2656*G2656,F2656*I2656))</f>
        <v>0</v>
      </c>
      <c r="R2656" s="13" t="str">
        <f t="shared" si="1456"/>
        <v>Фото &gt;&gt;</v>
      </c>
      <c r="S2656" s="14" t="s">
        <v>3713</v>
      </c>
      <c r="AK2656">
        <v>0.12</v>
      </c>
      <c r="AL2656">
        <f t="shared" si="1477"/>
        <v>0</v>
      </c>
      <c r="AM2656">
        <f t="shared" si="1478"/>
        <v>0</v>
      </c>
      <c r="AN2656">
        <f t="shared" si="1476"/>
        <v>0</v>
      </c>
      <c r="AO2656" t="s">
        <v>3712</v>
      </c>
      <c r="AV2656" t="str">
        <f>IF(F2656&gt;0,(COUNT($AV$1:AV2655)+1),"")</f>
        <v/>
      </c>
    </row>
    <row r="2657" spans="1:48" ht="15" customHeight="1" x14ac:dyDescent="0.25">
      <c r="A2657" s="1"/>
      <c r="B2657" s="31">
        <v>17735</v>
      </c>
      <c r="C2657" s="16">
        <v>4603726592987</v>
      </c>
      <c r="D2657" s="154" t="s">
        <v>1007</v>
      </c>
      <c r="E2657" s="69">
        <v>6</v>
      </c>
      <c r="F2657" s="222"/>
      <c r="G2657" s="108">
        <v>213.7</v>
      </c>
      <c r="H2657" s="17">
        <v>222.3</v>
      </c>
      <c r="I2657" s="18">
        <v>231</v>
      </c>
      <c r="J2657" s="113" t="s">
        <v>996</v>
      </c>
      <c r="K2657" s="44" t="s">
        <v>117</v>
      </c>
      <c r="L2657" s="442"/>
      <c r="M2657" s="480" t="s">
        <v>1856</v>
      </c>
      <c r="N2657" s="1015" t="s">
        <v>1856</v>
      </c>
      <c r="O2657" s="217"/>
      <c r="P2657" s="68" t="s">
        <v>55</v>
      </c>
      <c r="Q2657" s="100">
        <f>IF($AO$2635=2,F2657*H2657,IF($AO$2635=1,F2657*G2657,F2657*I2657))</f>
        <v>0</v>
      </c>
      <c r="R2657" s="13" t="str">
        <f t="shared" si="1456"/>
        <v>Фото &gt;&gt;</v>
      </c>
      <c r="S2657" s="14" t="s">
        <v>1008</v>
      </c>
      <c r="AK2657">
        <v>7.0000000000000007E-2</v>
      </c>
      <c r="AL2657">
        <f t="shared" si="1477"/>
        <v>0</v>
      </c>
      <c r="AM2657">
        <f t="shared" si="1478"/>
        <v>0</v>
      </c>
      <c r="AN2657">
        <f t="shared" si="1476"/>
        <v>0</v>
      </c>
      <c r="AO2657" t="s">
        <v>2781</v>
      </c>
      <c r="AV2657" t="str">
        <f>IF(F2657&gt;0,(COUNT($AV$1:AV2656)+1),"")</f>
        <v/>
      </c>
    </row>
    <row r="2658" spans="1:48" ht="15" customHeight="1" x14ac:dyDescent="0.25">
      <c r="A2658" s="1"/>
      <c r="B2658" s="125"/>
      <c r="C2658" s="126"/>
      <c r="D2658" s="127"/>
      <c r="E2658" s="134"/>
      <c r="F2658" s="189"/>
      <c r="G2658" s="130"/>
      <c r="H2658" s="131"/>
      <c r="I2658" s="132"/>
      <c r="J2658" s="128"/>
      <c r="K2658" s="129"/>
      <c r="L2658" s="433"/>
      <c r="M2658" s="481" t="s">
        <v>104</v>
      </c>
      <c r="N2658" s="471"/>
      <c r="O2658" s="181"/>
      <c r="P2658" s="133"/>
      <c r="Q2658" s="135"/>
      <c r="R2658" s="13"/>
      <c r="S2658" s="14"/>
      <c r="AV2658" t="str">
        <f>IF(F2658&gt;0,(COUNT($AV$1:AV2657)+1),"")</f>
        <v/>
      </c>
    </row>
    <row r="2659" spans="1:48" ht="15" customHeight="1" thickBot="1" x14ac:dyDescent="0.3">
      <c r="A2659" s="1"/>
      <c r="B2659" s="136"/>
      <c r="C2659" s="137"/>
      <c r="D2659" s="138"/>
      <c r="E2659" s="145"/>
      <c r="F2659" s="190"/>
      <c r="G2659" s="141"/>
      <c r="H2659" s="142"/>
      <c r="I2659" s="143"/>
      <c r="J2659" s="139"/>
      <c r="K2659" s="140"/>
      <c r="L2659" s="434"/>
      <c r="M2659" s="477" t="s">
        <v>104</v>
      </c>
      <c r="N2659" s="468"/>
      <c r="O2659" s="182"/>
      <c r="P2659" s="144"/>
      <c r="Q2659" s="146"/>
      <c r="R2659" s="13"/>
      <c r="S2659" s="14"/>
      <c r="AV2659" t="str">
        <f>IF(F2659&gt;0,(COUNT($AV$1:AV2658)+1),"")</f>
        <v/>
      </c>
    </row>
    <row r="2660" spans="1:48" ht="24.75" customHeight="1" thickBot="1" x14ac:dyDescent="0.3">
      <c r="A2660" s="1"/>
      <c r="B2660" s="169"/>
      <c r="C2660" s="170"/>
      <c r="D2660" s="171" t="str">
        <f>CONCATENATE("Фрутилад","     |     Сумма заказа: ",AK2660," руб.")</f>
        <v>Фрутилад     |     Сумма заказа: 0 руб.</v>
      </c>
      <c r="E2660" s="176"/>
      <c r="F2660" s="177"/>
      <c r="G2660" s="180" t="str">
        <f>CONCATENATE("Ценовая колонка: ",AO2660,"   |   До следующей скидки: ",AJ2660," руб.")</f>
        <v>Ценовая колонка: 3   |   До следующей скидки: 5000 руб.</v>
      </c>
      <c r="H2660" s="174"/>
      <c r="I2660" s="174"/>
      <c r="J2660" s="172" t="s">
        <v>5541</v>
      </c>
      <c r="K2660" s="173"/>
      <c r="L2660" s="444"/>
      <c r="M2660" s="486" t="s">
        <v>104</v>
      </c>
      <c r="N2660" s="717"/>
      <c r="O2660" s="184"/>
      <c r="P2660" s="175"/>
      <c r="Q2660" s="178"/>
      <c r="R2660" s="179" t="s">
        <v>1558</v>
      </c>
      <c r="S2660" s="14"/>
      <c r="AJ2660">
        <f>ROUND(IF(AL2660&gt;20000,"0", IF(AND(AL2660&lt;20000,AM2660&gt;5000),20000-AL2660,5000-AM2660)),2)</f>
        <v>5000</v>
      </c>
      <c r="AK2660">
        <f>SUM(Q2662:Q2696)</f>
        <v>0</v>
      </c>
      <c r="AL2660">
        <f>SUM(AL2662:AL2696)</f>
        <v>0</v>
      </c>
      <c r="AM2660">
        <f>SUM(AM2662:AM2696)</f>
        <v>0</v>
      </c>
      <c r="AO2660">
        <f>IF(AM2660&gt;5000,IF(AL2660&gt;20000,1,2),3)</f>
        <v>3</v>
      </c>
      <c r="AV2660" t="str">
        <f>IF(F2660&gt;0,(COUNT($AV$1:AV2659)+1),"")</f>
        <v/>
      </c>
    </row>
    <row r="2661" spans="1:48" ht="15" customHeight="1" x14ac:dyDescent="0.25">
      <c r="A2661" s="1"/>
      <c r="B2661" s="296"/>
      <c r="C2661" s="38"/>
      <c r="D2661" s="39" t="s">
        <v>96</v>
      </c>
      <c r="E2661" s="82"/>
      <c r="F2661" s="97"/>
      <c r="G2661" s="40" t="s">
        <v>15</v>
      </c>
      <c r="H2661" s="41" t="s">
        <v>16</v>
      </c>
      <c r="I2661" s="41" t="s">
        <v>221</v>
      </c>
      <c r="J2661" s="52"/>
      <c r="K2661" s="48"/>
      <c r="L2661" s="448"/>
      <c r="M2661" s="491" t="s">
        <v>104</v>
      </c>
      <c r="N2661" s="715"/>
      <c r="O2661" s="187"/>
      <c r="P2661" s="81"/>
      <c r="Q2661" s="105"/>
      <c r="R2661" s="13"/>
      <c r="S2661" s="14"/>
      <c r="AV2661" t="str">
        <f>IF(F2661&gt;0,(COUNT($AV$1:AV2660)+1),"")</f>
        <v/>
      </c>
    </row>
    <row r="2662" spans="1:48" ht="15" customHeight="1" x14ac:dyDescent="0.25">
      <c r="A2662" s="1"/>
      <c r="B2662" s="30">
        <v>13261</v>
      </c>
      <c r="C2662" s="20">
        <v>4607051352612</v>
      </c>
      <c r="D2662" s="264" t="s">
        <v>1012</v>
      </c>
      <c r="E2662" s="85">
        <v>24</v>
      </c>
      <c r="F2662" s="222"/>
      <c r="G2662" s="107">
        <v>38.799999999999997</v>
      </c>
      <c r="H2662" s="21">
        <v>41</v>
      </c>
      <c r="I2662" s="22">
        <v>44</v>
      </c>
      <c r="J2662" s="112" t="s">
        <v>5541</v>
      </c>
      <c r="K2662" s="45" t="s">
        <v>96</v>
      </c>
      <c r="L2662" s="437"/>
      <c r="M2662" s="474" t="s">
        <v>1856</v>
      </c>
      <c r="N2662" s="1013" t="s">
        <v>1856</v>
      </c>
      <c r="O2662" s="212" t="s">
        <v>2270</v>
      </c>
      <c r="P2662" s="66" t="s">
        <v>72</v>
      </c>
      <c r="Q2662" s="100">
        <f t="shared" ref="Q2662:Q2681" si="1479">IF($AO$2660=2,F2662*H2662,IF($AO$2660=1,F2662*G2662,F2662*I2662))</f>
        <v>0</v>
      </c>
      <c r="R2662" s="13" t="str">
        <f t="shared" ref="R2662:R2663" si="1480">IF(AO2662&gt;0,HYPERLINK(AO2662,"Фото &gt;&gt;"),"")</f>
        <v>Фото &gt;&gt;</v>
      </c>
      <c r="S2662" s="14" t="s">
        <v>3018</v>
      </c>
      <c r="AK2662">
        <v>0.03</v>
      </c>
      <c r="AL2662">
        <f t="shared" ref="AL2662:AL2691" si="1481">F2662*G2662</f>
        <v>0</v>
      </c>
      <c r="AM2662">
        <f t="shared" ref="AM2662:AM2691" si="1482">F2662*H2662</f>
        <v>0</v>
      </c>
      <c r="AN2662">
        <f t="shared" ref="AN2662:AN2665" si="1483">AK2662*F2662+IF(E2662&gt;1.01,F2662/E2662*0.2,0)</f>
        <v>0</v>
      </c>
      <c r="AO2662" t="s">
        <v>3019</v>
      </c>
      <c r="AV2662" t="str">
        <f>IF(F2662&gt;0,(COUNT($AV$1:AV2661)+1),"")</f>
        <v/>
      </c>
    </row>
    <row r="2663" spans="1:48" ht="15" customHeight="1" x14ac:dyDescent="0.25">
      <c r="A2663" s="1"/>
      <c r="B2663" s="31">
        <v>10766</v>
      </c>
      <c r="C2663" s="16">
        <v>4607051351868</v>
      </c>
      <c r="D2663" s="154" t="s">
        <v>1015</v>
      </c>
      <c r="E2663" s="86">
        <v>24</v>
      </c>
      <c r="F2663" s="222"/>
      <c r="G2663" s="108">
        <v>38.799999999999997</v>
      </c>
      <c r="H2663" s="17">
        <v>41</v>
      </c>
      <c r="I2663" s="18">
        <v>45</v>
      </c>
      <c r="J2663" s="113" t="s">
        <v>5541</v>
      </c>
      <c r="K2663" s="44" t="s">
        <v>96</v>
      </c>
      <c r="L2663" s="442"/>
      <c r="M2663" s="480" t="s">
        <v>1856</v>
      </c>
      <c r="N2663" s="1015" t="s">
        <v>1856</v>
      </c>
      <c r="O2663" s="217" t="s">
        <v>2270</v>
      </c>
      <c r="P2663" s="68" t="s">
        <v>72</v>
      </c>
      <c r="Q2663" s="100">
        <f t="shared" si="1479"/>
        <v>0</v>
      </c>
      <c r="R2663" s="13" t="str">
        <f t="shared" si="1480"/>
        <v>Фото &gt;&gt;</v>
      </c>
      <c r="S2663" s="14" t="s">
        <v>3020</v>
      </c>
      <c r="AK2663">
        <v>0.03</v>
      </c>
      <c r="AL2663">
        <f t="shared" si="1481"/>
        <v>0</v>
      </c>
      <c r="AM2663">
        <f t="shared" si="1482"/>
        <v>0</v>
      </c>
      <c r="AN2663">
        <f t="shared" si="1483"/>
        <v>0</v>
      </c>
      <c r="AO2663" t="s">
        <v>3021</v>
      </c>
      <c r="AV2663" t="str">
        <f>IF(F2663&gt;0,(COUNT($AV$1:AV2662)+1),"")</f>
        <v/>
      </c>
    </row>
    <row r="2664" spans="1:48" ht="15" customHeight="1" x14ac:dyDescent="0.25">
      <c r="A2664" s="1"/>
      <c r="B2664" s="30">
        <v>10768</v>
      </c>
      <c r="C2664" s="20">
        <v>4607051351844</v>
      </c>
      <c r="D2664" s="264" t="s">
        <v>1016</v>
      </c>
      <c r="E2664" s="85">
        <v>24</v>
      </c>
      <c r="F2664" s="222"/>
      <c r="G2664" s="107">
        <v>38.799999999999997</v>
      </c>
      <c r="H2664" s="21">
        <v>41</v>
      </c>
      <c r="I2664" s="22">
        <v>45</v>
      </c>
      <c r="J2664" s="112" t="s">
        <v>5541</v>
      </c>
      <c r="K2664" s="45" t="s">
        <v>96</v>
      </c>
      <c r="L2664" s="437"/>
      <c r="M2664" s="474" t="s">
        <v>1856</v>
      </c>
      <c r="N2664" s="1013" t="s">
        <v>1856</v>
      </c>
      <c r="O2664" s="212" t="s">
        <v>2270</v>
      </c>
      <c r="P2664" s="66" t="s">
        <v>72</v>
      </c>
      <c r="Q2664" s="100">
        <f t="shared" si="1479"/>
        <v>0</v>
      </c>
      <c r="R2664" s="13" t="str">
        <f t="shared" ref="R2664:R2713" si="1484">IF(AO2664&gt;0,HYPERLINK(AO2664,"Фото &gt;&gt;"),"")</f>
        <v>Фото &gt;&gt;</v>
      </c>
      <c r="S2664" s="14" t="s">
        <v>3022</v>
      </c>
      <c r="AK2664">
        <v>0.03</v>
      </c>
      <c r="AL2664">
        <f t="shared" si="1481"/>
        <v>0</v>
      </c>
      <c r="AM2664">
        <f t="shared" si="1482"/>
        <v>0</v>
      </c>
      <c r="AN2664">
        <f t="shared" si="1483"/>
        <v>0</v>
      </c>
      <c r="AO2664" t="s">
        <v>3023</v>
      </c>
      <c r="AV2664" t="str">
        <f>IF(F2664&gt;0,(COUNT($AV$1:AV2663)+1),"")</f>
        <v/>
      </c>
    </row>
    <row r="2665" spans="1:48" ht="15" customHeight="1" x14ac:dyDescent="0.25">
      <c r="A2665" s="1"/>
      <c r="B2665" s="31">
        <v>10769</v>
      </c>
      <c r="C2665" s="16">
        <v>4607051352636</v>
      </c>
      <c r="D2665" s="154" t="s">
        <v>1024</v>
      </c>
      <c r="E2665" s="86">
        <v>24</v>
      </c>
      <c r="F2665" s="222"/>
      <c r="G2665" s="108">
        <v>38.799999999999997</v>
      </c>
      <c r="H2665" s="17">
        <v>41</v>
      </c>
      <c r="I2665" s="18">
        <v>45</v>
      </c>
      <c r="J2665" s="113" t="s">
        <v>5541</v>
      </c>
      <c r="K2665" s="44" t="s">
        <v>96</v>
      </c>
      <c r="L2665" s="442"/>
      <c r="M2665" s="480" t="s">
        <v>1856</v>
      </c>
      <c r="N2665" s="1015" t="s">
        <v>1856</v>
      </c>
      <c r="O2665" s="217" t="s">
        <v>2270</v>
      </c>
      <c r="P2665" s="68" t="s">
        <v>72</v>
      </c>
      <c r="Q2665" s="100">
        <f t="shared" si="1479"/>
        <v>0</v>
      </c>
      <c r="R2665" s="13" t="str">
        <f t="shared" ref="R2665:R2669" si="1485">IF(AO2665&gt;0,HYPERLINK(AO2665,"Фото &gt;&gt;"),"")</f>
        <v>Фото &gt;&gt;</v>
      </c>
      <c r="S2665" s="14" t="s">
        <v>3024</v>
      </c>
      <c r="AK2665">
        <v>0.04</v>
      </c>
      <c r="AL2665">
        <f t="shared" ref="AL2665:AL2668" si="1486">F2665*G2665</f>
        <v>0</v>
      </c>
      <c r="AM2665">
        <f t="shared" ref="AM2665:AM2668" si="1487">F2665*H2665</f>
        <v>0</v>
      </c>
      <c r="AN2665">
        <f t="shared" si="1483"/>
        <v>0</v>
      </c>
      <c r="AO2665" t="s">
        <v>3025</v>
      </c>
      <c r="AV2665" t="str">
        <f>IF(F2665&gt;0,(COUNT($AV$1:AV2664)+1),"")</f>
        <v/>
      </c>
    </row>
    <row r="2666" spans="1:48" ht="15" customHeight="1" x14ac:dyDescent="0.25">
      <c r="A2666" s="1"/>
      <c r="B2666" s="785">
        <v>20281</v>
      </c>
      <c r="C2666" s="786">
        <v>4607051355125</v>
      </c>
      <c r="D2666" s="1105" t="s">
        <v>3876</v>
      </c>
      <c r="E2666" s="894">
        <v>24</v>
      </c>
      <c r="F2666" s="789"/>
      <c r="G2666" s="811">
        <v>37.700000000000003</v>
      </c>
      <c r="H2666" s="790">
        <v>39.200000000000003</v>
      </c>
      <c r="I2666" s="791">
        <v>42.1</v>
      </c>
      <c r="J2666" s="792" t="s">
        <v>5541</v>
      </c>
      <c r="K2666" s="793" t="s">
        <v>96</v>
      </c>
      <c r="L2666" s="781"/>
      <c r="M2666" s="782" t="s">
        <v>1856</v>
      </c>
      <c r="N2666" s="1009" t="s">
        <v>1856</v>
      </c>
      <c r="O2666" s="783" t="s">
        <v>2270</v>
      </c>
      <c r="P2666" s="784" t="s">
        <v>20</v>
      </c>
      <c r="Q2666" s="100">
        <f t="shared" si="1479"/>
        <v>0</v>
      </c>
      <c r="R2666" s="13" t="str">
        <f t="shared" si="1485"/>
        <v>Фото &gt;&gt;</v>
      </c>
      <c r="S2666" s="14" t="s">
        <v>3040</v>
      </c>
      <c r="AK2666">
        <v>0.03</v>
      </c>
      <c r="AL2666">
        <f t="shared" si="1486"/>
        <v>0</v>
      </c>
      <c r="AM2666">
        <f t="shared" si="1487"/>
        <v>0</v>
      </c>
      <c r="AN2666">
        <f>AK2666*F2666</f>
        <v>0</v>
      </c>
      <c r="AO2666" t="s">
        <v>3042</v>
      </c>
      <c r="AV2666" t="str">
        <f>IF(F2666&gt;0,(COUNT($AV$1:AV2665)+1),"")</f>
        <v/>
      </c>
    </row>
    <row r="2667" spans="1:48" ht="15" customHeight="1" x14ac:dyDescent="0.25">
      <c r="A2667" s="1"/>
      <c r="B2667" s="31">
        <v>20282</v>
      </c>
      <c r="C2667" s="16">
        <v>4607051356269</v>
      </c>
      <c r="D2667" s="385" t="s">
        <v>3877</v>
      </c>
      <c r="E2667" s="86">
        <v>24</v>
      </c>
      <c r="F2667" s="222"/>
      <c r="G2667" s="108">
        <v>37.700000000000003</v>
      </c>
      <c r="H2667" s="17">
        <v>39.200000000000003</v>
      </c>
      <c r="I2667" s="18">
        <v>42.1</v>
      </c>
      <c r="J2667" s="113" t="s">
        <v>5541</v>
      </c>
      <c r="K2667" s="44" t="s">
        <v>96</v>
      </c>
      <c r="L2667" s="442"/>
      <c r="M2667" s="480" t="s">
        <v>1856</v>
      </c>
      <c r="N2667" s="1015" t="s">
        <v>1856</v>
      </c>
      <c r="O2667" s="217" t="s">
        <v>2270</v>
      </c>
      <c r="P2667" s="68" t="s">
        <v>20</v>
      </c>
      <c r="Q2667" s="100">
        <f t="shared" si="1479"/>
        <v>0</v>
      </c>
      <c r="R2667" s="13" t="str">
        <f t="shared" si="1485"/>
        <v>Фото &gt;&gt;</v>
      </c>
      <c r="S2667" s="14" t="s">
        <v>3041</v>
      </c>
      <c r="AK2667">
        <v>0.03</v>
      </c>
      <c r="AL2667">
        <f t="shared" si="1486"/>
        <v>0</v>
      </c>
      <c r="AM2667">
        <f t="shared" si="1487"/>
        <v>0</v>
      </c>
      <c r="AN2667">
        <f>AK2667*F2667</f>
        <v>0</v>
      </c>
      <c r="AO2667" t="s">
        <v>3043</v>
      </c>
      <c r="AV2667" t="str">
        <f>IF(F2667&gt;0,(COUNT($AV$1:AV2666)+1),"")</f>
        <v/>
      </c>
    </row>
    <row r="2668" spans="1:48" ht="15" customHeight="1" x14ac:dyDescent="0.25">
      <c r="A2668" s="1"/>
      <c r="B2668" s="30">
        <v>20280</v>
      </c>
      <c r="C2668" s="20">
        <v>4607051355118</v>
      </c>
      <c r="D2668" s="264" t="s">
        <v>3878</v>
      </c>
      <c r="E2668" s="85">
        <v>24</v>
      </c>
      <c r="F2668" s="222"/>
      <c r="G2668" s="107">
        <v>37.700000000000003</v>
      </c>
      <c r="H2668" s="21">
        <v>39.200000000000003</v>
      </c>
      <c r="I2668" s="22">
        <v>42.1</v>
      </c>
      <c r="J2668" s="112" t="s">
        <v>5541</v>
      </c>
      <c r="K2668" s="45" t="s">
        <v>96</v>
      </c>
      <c r="L2668" s="437"/>
      <c r="M2668" s="474" t="s">
        <v>1856</v>
      </c>
      <c r="N2668" s="1013" t="s">
        <v>1856</v>
      </c>
      <c r="O2668" s="212" t="s">
        <v>2270</v>
      </c>
      <c r="P2668" s="66" t="s">
        <v>20</v>
      </c>
      <c r="Q2668" s="100">
        <f t="shared" si="1479"/>
        <v>0</v>
      </c>
      <c r="R2668" s="13" t="str">
        <f t="shared" si="1485"/>
        <v>Фото &gt;&gt;</v>
      </c>
      <c r="S2668" s="14" t="s">
        <v>3039</v>
      </c>
      <c r="AK2668">
        <v>0.03</v>
      </c>
      <c r="AL2668">
        <f t="shared" si="1486"/>
        <v>0</v>
      </c>
      <c r="AM2668">
        <f t="shared" si="1487"/>
        <v>0</v>
      </c>
      <c r="AN2668">
        <f>AK2668*F2668</f>
        <v>0</v>
      </c>
      <c r="AO2668" t="s">
        <v>3044</v>
      </c>
      <c r="AV2668" t="str">
        <f>IF(F2668&gt;0,(COUNT($AV$1:AV2667)+1),"")</f>
        <v/>
      </c>
    </row>
    <row r="2669" spans="1:48" ht="15" customHeight="1" x14ac:dyDescent="0.25">
      <c r="A2669" s="1"/>
      <c r="B2669" s="31">
        <v>18292</v>
      </c>
      <c r="C2669" s="16">
        <v>4607051354173</v>
      </c>
      <c r="D2669" s="154" t="s">
        <v>3030</v>
      </c>
      <c r="E2669" s="86">
        <v>24</v>
      </c>
      <c r="F2669" s="222"/>
      <c r="G2669" s="108">
        <v>26.5</v>
      </c>
      <c r="H2669" s="17">
        <v>28</v>
      </c>
      <c r="I2669" s="18">
        <v>33</v>
      </c>
      <c r="J2669" s="113" t="s">
        <v>5541</v>
      </c>
      <c r="K2669" s="44" t="s">
        <v>96</v>
      </c>
      <c r="L2669" s="442"/>
      <c r="M2669" s="480" t="s">
        <v>1856</v>
      </c>
      <c r="N2669" s="1015" t="s">
        <v>1856</v>
      </c>
      <c r="O2669" s="217" t="s">
        <v>2270</v>
      </c>
      <c r="P2669" s="68" t="s">
        <v>100</v>
      </c>
      <c r="Q2669" s="100">
        <f t="shared" si="1479"/>
        <v>0</v>
      </c>
      <c r="R2669" s="13" t="str">
        <f t="shared" si="1485"/>
        <v>Фото &gt;&gt;</v>
      </c>
      <c r="S2669" s="14" t="s">
        <v>3033</v>
      </c>
      <c r="AK2669">
        <v>0.04</v>
      </c>
      <c r="AL2669">
        <f t="shared" si="1481"/>
        <v>0</v>
      </c>
      <c r="AM2669">
        <f t="shared" si="1482"/>
        <v>0</v>
      </c>
      <c r="AN2669">
        <f t="shared" ref="AN2669:AN2696" si="1488">AK2669*F2669+IF(E2669&gt;1.01,F2669/E2669*0.2,0)</f>
        <v>0</v>
      </c>
      <c r="AO2669" t="s">
        <v>3036</v>
      </c>
      <c r="AV2669" t="str">
        <f>IF(F2669&gt;0,(COUNT($AV$1:AV2668)+1),"")</f>
        <v/>
      </c>
    </row>
    <row r="2670" spans="1:48" ht="15" customHeight="1" x14ac:dyDescent="0.25">
      <c r="A2670" s="1"/>
      <c r="B2670" s="30">
        <v>18810</v>
      </c>
      <c r="C2670" s="20">
        <v>4607051354319</v>
      </c>
      <c r="D2670" s="264" t="s">
        <v>3031</v>
      </c>
      <c r="E2670" s="85">
        <v>24</v>
      </c>
      <c r="F2670" s="222"/>
      <c r="G2670" s="107">
        <v>26.5</v>
      </c>
      <c r="H2670" s="21">
        <v>28</v>
      </c>
      <c r="I2670" s="22">
        <v>33</v>
      </c>
      <c r="J2670" s="112" t="s">
        <v>5541</v>
      </c>
      <c r="K2670" s="45" t="s">
        <v>96</v>
      </c>
      <c r="L2670" s="437"/>
      <c r="M2670" s="474" t="s">
        <v>1856</v>
      </c>
      <c r="N2670" s="1013" t="s">
        <v>1856</v>
      </c>
      <c r="O2670" s="212" t="s">
        <v>2270</v>
      </c>
      <c r="P2670" s="66" t="s">
        <v>100</v>
      </c>
      <c r="Q2670" s="100">
        <f t="shared" si="1479"/>
        <v>0</v>
      </c>
      <c r="R2670" s="13" t="str">
        <f t="shared" si="1484"/>
        <v>Фото &gt;&gt;</v>
      </c>
      <c r="S2670" s="14" t="s">
        <v>3035</v>
      </c>
      <c r="AK2670">
        <v>0.04</v>
      </c>
      <c r="AL2670">
        <f t="shared" si="1481"/>
        <v>0</v>
      </c>
      <c r="AM2670">
        <f t="shared" si="1482"/>
        <v>0</v>
      </c>
      <c r="AN2670">
        <f t="shared" si="1488"/>
        <v>0</v>
      </c>
      <c r="AO2670" t="s">
        <v>3037</v>
      </c>
      <c r="AV2670" t="str">
        <f>IF(F2670&gt;0,(COUNT($AV$1:AV2669)+1),"")</f>
        <v/>
      </c>
    </row>
    <row r="2671" spans="1:48" ht="15" customHeight="1" x14ac:dyDescent="0.25">
      <c r="A2671" s="1"/>
      <c r="B2671" s="31">
        <v>18293</v>
      </c>
      <c r="C2671" s="16">
        <v>4607051354197</v>
      </c>
      <c r="D2671" s="154" t="s">
        <v>3032</v>
      </c>
      <c r="E2671" s="86">
        <v>24</v>
      </c>
      <c r="F2671" s="222"/>
      <c r="G2671" s="108">
        <v>26.5</v>
      </c>
      <c r="H2671" s="17">
        <v>28</v>
      </c>
      <c r="I2671" s="18">
        <v>33</v>
      </c>
      <c r="J2671" s="113" t="s">
        <v>5541</v>
      </c>
      <c r="K2671" s="44" t="s">
        <v>96</v>
      </c>
      <c r="L2671" s="442"/>
      <c r="M2671" s="480" t="s">
        <v>1856</v>
      </c>
      <c r="N2671" s="1015" t="s">
        <v>1856</v>
      </c>
      <c r="O2671" s="217" t="s">
        <v>2270</v>
      </c>
      <c r="P2671" s="68" t="s">
        <v>100</v>
      </c>
      <c r="Q2671" s="100">
        <f t="shared" si="1479"/>
        <v>0</v>
      </c>
      <c r="R2671" s="13" t="str">
        <f t="shared" si="1484"/>
        <v>Фото &gt;&gt;</v>
      </c>
      <c r="S2671" s="14" t="s">
        <v>3034</v>
      </c>
      <c r="AK2671">
        <v>0.04</v>
      </c>
      <c r="AL2671">
        <f t="shared" si="1481"/>
        <v>0</v>
      </c>
      <c r="AM2671">
        <f t="shared" si="1482"/>
        <v>0</v>
      </c>
      <c r="AN2671">
        <f t="shared" si="1488"/>
        <v>0</v>
      </c>
      <c r="AO2671" t="s">
        <v>3038</v>
      </c>
      <c r="AV2671" t="str">
        <f>IF(F2671&gt;0,(COUNT($AV$1:AV2670)+1),"")</f>
        <v/>
      </c>
    </row>
    <row r="2672" spans="1:48" ht="15" customHeight="1" x14ac:dyDescent="0.25">
      <c r="A2672" s="1"/>
      <c r="B2672" s="30">
        <v>17202</v>
      </c>
      <c r="C2672" s="20">
        <v>4607051353459</v>
      </c>
      <c r="D2672" s="264" t="s">
        <v>1017</v>
      </c>
      <c r="E2672" s="85">
        <v>20</v>
      </c>
      <c r="F2672" s="222"/>
      <c r="G2672" s="107">
        <v>29.1</v>
      </c>
      <c r="H2672" s="21">
        <v>31</v>
      </c>
      <c r="I2672" s="22">
        <v>34</v>
      </c>
      <c r="J2672" s="112" t="s">
        <v>5541</v>
      </c>
      <c r="K2672" s="45" t="s">
        <v>96</v>
      </c>
      <c r="L2672" s="437"/>
      <c r="M2672" s="474" t="s">
        <v>1856</v>
      </c>
      <c r="N2672" s="1013" t="s">
        <v>1856</v>
      </c>
      <c r="O2672" s="212" t="s">
        <v>2271</v>
      </c>
      <c r="P2672" s="66" t="s">
        <v>195</v>
      </c>
      <c r="Q2672" s="100">
        <f t="shared" si="1479"/>
        <v>0</v>
      </c>
      <c r="R2672" s="13" t="str">
        <f t="shared" si="1484"/>
        <v>Фото &gt;&gt;</v>
      </c>
      <c r="S2672" s="14" t="s">
        <v>1018</v>
      </c>
      <c r="AK2672">
        <v>0.05</v>
      </c>
      <c r="AL2672">
        <f t="shared" si="1481"/>
        <v>0</v>
      </c>
      <c r="AM2672">
        <f t="shared" si="1482"/>
        <v>0</v>
      </c>
      <c r="AN2672">
        <f t="shared" si="1488"/>
        <v>0</v>
      </c>
      <c r="AO2672" t="s">
        <v>3015</v>
      </c>
      <c r="AV2672" t="str">
        <f>IF(F2672&gt;0,(COUNT($AV$1:AV2671)+1),"")</f>
        <v/>
      </c>
    </row>
    <row r="2673" spans="1:48" ht="15" customHeight="1" x14ac:dyDescent="0.25">
      <c r="A2673" s="1"/>
      <c r="B2673" s="31">
        <v>20983</v>
      </c>
      <c r="C2673" s="16" t="s">
        <v>104</v>
      </c>
      <c r="D2673" s="226" t="s">
        <v>6174</v>
      </c>
      <c r="E2673" s="86">
        <v>20</v>
      </c>
      <c r="F2673" s="222"/>
      <c r="G2673" s="108">
        <v>51.7</v>
      </c>
      <c r="H2673" s="17">
        <v>54</v>
      </c>
      <c r="I2673" s="18">
        <v>59</v>
      </c>
      <c r="J2673" s="113" t="s">
        <v>5541</v>
      </c>
      <c r="K2673" s="44" t="s">
        <v>96</v>
      </c>
      <c r="L2673" s="442"/>
      <c r="M2673" s="480"/>
      <c r="N2673" s="1015"/>
      <c r="O2673" s="217" t="s">
        <v>2271</v>
      </c>
      <c r="P2673" s="68" t="s">
        <v>20</v>
      </c>
      <c r="Q2673" s="100">
        <f t="shared" si="1479"/>
        <v>0</v>
      </c>
      <c r="R2673" s="13" t="str">
        <f t="shared" si="1484"/>
        <v>Фото &gt;&gt;</v>
      </c>
      <c r="S2673" s="14" t="s">
        <v>1020</v>
      </c>
      <c r="AK2673">
        <v>0.05</v>
      </c>
      <c r="AL2673">
        <f t="shared" ref="AL2673" si="1489">F2673*G2673</f>
        <v>0</v>
      </c>
      <c r="AM2673">
        <f t="shared" ref="AM2673" si="1490">F2673*H2673</f>
        <v>0</v>
      </c>
      <c r="AN2673">
        <f t="shared" ref="AN2673" si="1491">AK2673*F2673+IF(E2673&gt;1.01,F2673/E2673*0.2,0)</f>
        <v>0</v>
      </c>
      <c r="AO2673" t="s">
        <v>5709</v>
      </c>
      <c r="AV2673" t="str">
        <f>IF(F2673&gt;0,(COUNT($AV$1:AV2672)+1),"")</f>
        <v/>
      </c>
    </row>
    <row r="2674" spans="1:48" ht="15" customHeight="1" x14ac:dyDescent="0.25">
      <c r="A2674" s="1"/>
      <c r="B2674" s="30">
        <v>17200</v>
      </c>
      <c r="C2674" s="20">
        <v>4607051353466</v>
      </c>
      <c r="D2674" s="264" t="s">
        <v>1019</v>
      </c>
      <c r="E2674" s="85">
        <v>20</v>
      </c>
      <c r="F2674" s="222"/>
      <c r="G2674" s="107">
        <v>51.7</v>
      </c>
      <c r="H2674" s="21">
        <v>54</v>
      </c>
      <c r="I2674" s="22">
        <v>59</v>
      </c>
      <c r="J2674" s="112" t="s">
        <v>5541</v>
      </c>
      <c r="K2674" s="45" t="s">
        <v>96</v>
      </c>
      <c r="L2674" s="437"/>
      <c r="M2674" s="474" t="s">
        <v>1856</v>
      </c>
      <c r="N2674" s="1013" t="s">
        <v>1856</v>
      </c>
      <c r="O2674" s="212" t="s">
        <v>2271</v>
      </c>
      <c r="P2674" s="66" t="s">
        <v>195</v>
      </c>
      <c r="Q2674" s="100">
        <f t="shared" si="1479"/>
        <v>0</v>
      </c>
      <c r="R2674" s="13" t="str">
        <f t="shared" si="1484"/>
        <v>Фото &gt;&gt;</v>
      </c>
      <c r="S2674" s="14" t="s">
        <v>1020</v>
      </c>
      <c r="AK2674">
        <v>0.05</v>
      </c>
      <c r="AL2674">
        <f t="shared" si="1481"/>
        <v>0</v>
      </c>
      <c r="AM2674">
        <f t="shared" si="1482"/>
        <v>0</v>
      </c>
      <c r="AN2674">
        <f t="shared" si="1488"/>
        <v>0</v>
      </c>
      <c r="AO2674" t="s">
        <v>3016</v>
      </c>
      <c r="AV2674" t="str">
        <f>IF(F2674&gt;0,(COUNT($AV$1:AV2673)+1),"")</f>
        <v/>
      </c>
    </row>
    <row r="2675" spans="1:48" ht="15" customHeight="1" x14ac:dyDescent="0.25">
      <c r="A2675" s="1"/>
      <c r="B2675" s="31">
        <v>17201</v>
      </c>
      <c r="C2675" s="16">
        <v>4607051353473</v>
      </c>
      <c r="D2675" s="154" t="s">
        <v>1021</v>
      </c>
      <c r="E2675" s="86">
        <v>20</v>
      </c>
      <c r="F2675" s="222"/>
      <c r="G2675" s="108">
        <v>51.7</v>
      </c>
      <c r="H2675" s="17">
        <v>54</v>
      </c>
      <c r="I2675" s="18">
        <v>59</v>
      </c>
      <c r="J2675" s="113" t="s">
        <v>5541</v>
      </c>
      <c r="K2675" s="44" t="s">
        <v>96</v>
      </c>
      <c r="L2675" s="442"/>
      <c r="M2675" s="480" t="s">
        <v>1856</v>
      </c>
      <c r="N2675" s="1015" t="s">
        <v>1856</v>
      </c>
      <c r="O2675" s="217" t="s">
        <v>2271</v>
      </c>
      <c r="P2675" s="68" t="s">
        <v>195</v>
      </c>
      <c r="Q2675" s="100">
        <f t="shared" si="1479"/>
        <v>0</v>
      </c>
      <c r="R2675" s="13" t="str">
        <f t="shared" si="1484"/>
        <v>Фото &gt;&gt;</v>
      </c>
      <c r="S2675" s="14" t="s">
        <v>1022</v>
      </c>
      <c r="AK2675">
        <v>0.05</v>
      </c>
      <c r="AL2675">
        <f t="shared" si="1481"/>
        <v>0</v>
      </c>
      <c r="AM2675">
        <f t="shared" si="1482"/>
        <v>0</v>
      </c>
      <c r="AN2675">
        <f t="shared" si="1488"/>
        <v>0</v>
      </c>
      <c r="AO2675" t="s">
        <v>3017</v>
      </c>
      <c r="AV2675" t="str">
        <f>IF(F2675&gt;0,(COUNT($AV$1:AV2674)+1),"")</f>
        <v/>
      </c>
    </row>
    <row r="2676" spans="1:48" ht="15" customHeight="1" x14ac:dyDescent="0.25">
      <c r="A2676" s="1"/>
      <c r="B2676" s="37">
        <v>12293</v>
      </c>
      <c r="C2676" s="23">
        <v>4607051354180</v>
      </c>
      <c r="D2676" s="1104" t="s">
        <v>1023</v>
      </c>
      <c r="E2676" s="89">
        <v>24</v>
      </c>
      <c r="F2676" s="223"/>
      <c r="G2676" s="111">
        <v>26.5</v>
      </c>
      <c r="H2676" s="5">
        <v>28</v>
      </c>
      <c r="I2676" s="24">
        <v>33</v>
      </c>
      <c r="J2676" s="115" t="s">
        <v>5541</v>
      </c>
      <c r="K2676" s="46" t="s">
        <v>96</v>
      </c>
      <c r="L2676" s="440"/>
      <c r="M2676" s="482" t="s">
        <v>1856</v>
      </c>
      <c r="N2676" s="1002" t="s">
        <v>1856</v>
      </c>
      <c r="O2676" s="214" t="s">
        <v>2270</v>
      </c>
      <c r="P2676" s="74" t="s">
        <v>100</v>
      </c>
      <c r="Q2676" s="100">
        <f t="shared" si="1479"/>
        <v>0</v>
      </c>
      <c r="R2676" s="13" t="str">
        <f t="shared" si="1484"/>
        <v>Фото &gt;&gt;</v>
      </c>
      <c r="S2676" s="14" t="s">
        <v>3013</v>
      </c>
      <c r="AK2676">
        <v>0.04</v>
      </c>
      <c r="AL2676">
        <f t="shared" si="1481"/>
        <v>0</v>
      </c>
      <c r="AM2676">
        <f t="shared" si="1482"/>
        <v>0</v>
      </c>
      <c r="AN2676">
        <f t="shared" si="1488"/>
        <v>0</v>
      </c>
      <c r="AO2676" t="s">
        <v>3014</v>
      </c>
      <c r="AV2676" t="str">
        <f>IF(F2676&gt;0,(COUNT($AV$1:AV2675)+1),"")</f>
        <v/>
      </c>
    </row>
    <row r="2677" spans="1:48" ht="15" customHeight="1" x14ac:dyDescent="0.25">
      <c r="A2677" s="1"/>
      <c r="B2677" s="795">
        <v>10772</v>
      </c>
      <c r="C2677" s="796">
        <v>4607051352810</v>
      </c>
      <c r="D2677" s="898" t="s">
        <v>1013</v>
      </c>
      <c r="E2677" s="895">
        <v>20</v>
      </c>
      <c r="F2677" s="789"/>
      <c r="G2677" s="810">
        <v>41.3</v>
      </c>
      <c r="H2677" s="799">
        <v>43.5</v>
      </c>
      <c r="I2677" s="800">
        <v>47</v>
      </c>
      <c r="J2677" s="801" t="s">
        <v>5541</v>
      </c>
      <c r="K2677" s="802" t="s">
        <v>96</v>
      </c>
      <c r="L2677" s="803"/>
      <c r="M2677" s="804"/>
      <c r="N2677" s="1006" t="s">
        <v>1856</v>
      </c>
      <c r="O2677" s="887" t="s">
        <v>2271</v>
      </c>
      <c r="P2677" s="806" t="s">
        <v>418</v>
      </c>
      <c r="Q2677" s="100">
        <f t="shared" si="1479"/>
        <v>0</v>
      </c>
      <c r="R2677" s="13" t="str">
        <f t="shared" si="1484"/>
        <v>Фото &gt;&gt;</v>
      </c>
      <c r="S2677" s="14" t="s">
        <v>1014</v>
      </c>
      <c r="AK2677">
        <v>0.06</v>
      </c>
      <c r="AL2677">
        <f t="shared" ref="AL2677" si="1492">F2677*G2677</f>
        <v>0</v>
      </c>
      <c r="AM2677">
        <f t="shared" ref="AM2677" si="1493">F2677*H2677</f>
        <v>0</v>
      </c>
      <c r="AN2677">
        <f t="shared" si="1488"/>
        <v>0</v>
      </c>
      <c r="AO2677" t="s">
        <v>3026</v>
      </c>
      <c r="AV2677" t="str">
        <f>IF(F2677&gt;0,(COUNT($AV$1:AV2676)+1),"")</f>
        <v/>
      </c>
    </row>
    <row r="2678" spans="1:48" ht="15" customHeight="1" x14ac:dyDescent="0.25">
      <c r="A2678" s="1"/>
      <c r="B2678" s="37">
        <v>10770</v>
      </c>
      <c r="C2678" s="23">
        <v>4607051352803</v>
      </c>
      <c r="D2678" s="1104" t="s">
        <v>2376</v>
      </c>
      <c r="E2678" s="89">
        <v>20</v>
      </c>
      <c r="F2678" s="223"/>
      <c r="G2678" s="111">
        <v>41.3</v>
      </c>
      <c r="H2678" s="5">
        <v>43.5</v>
      </c>
      <c r="I2678" s="24">
        <v>47</v>
      </c>
      <c r="J2678" s="115" t="s">
        <v>5541</v>
      </c>
      <c r="K2678" s="46" t="s">
        <v>96</v>
      </c>
      <c r="L2678" s="440"/>
      <c r="M2678" s="482"/>
      <c r="N2678" s="1002" t="s">
        <v>1856</v>
      </c>
      <c r="O2678" s="214" t="s">
        <v>2271</v>
      </c>
      <c r="P2678" s="74" t="s">
        <v>418</v>
      </c>
      <c r="Q2678" s="100">
        <f t="shared" si="1479"/>
        <v>0</v>
      </c>
      <c r="R2678" s="13" t="str">
        <f t="shared" si="1484"/>
        <v>Фото &gt;&gt;</v>
      </c>
      <c r="S2678" s="14" t="s">
        <v>1025</v>
      </c>
      <c r="AK2678">
        <v>0.06</v>
      </c>
      <c r="AL2678">
        <f t="shared" si="1481"/>
        <v>0</v>
      </c>
      <c r="AM2678">
        <f t="shared" si="1482"/>
        <v>0</v>
      </c>
      <c r="AN2678">
        <f t="shared" si="1488"/>
        <v>0</v>
      </c>
      <c r="AO2678" t="s">
        <v>3027</v>
      </c>
      <c r="AV2678" t="str">
        <f>IF(F2678&gt;0,(COUNT($AV$1:AV2677)+1),"")</f>
        <v/>
      </c>
    </row>
    <row r="2679" spans="1:48" ht="15" customHeight="1" x14ac:dyDescent="0.25">
      <c r="A2679" s="1"/>
      <c r="B2679" s="795">
        <v>19958</v>
      </c>
      <c r="C2679" s="796">
        <v>4607051355446</v>
      </c>
      <c r="D2679" s="898" t="s">
        <v>2377</v>
      </c>
      <c r="E2679" s="895">
        <v>24</v>
      </c>
      <c r="F2679" s="789"/>
      <c r="G2679" s="810">
        <v>34</v>
      </c>
      <c r="H2679" s="799">
        <v>35.6</v>
      </c>
      <c r="I2679" s="800">
        <v>39.200000000000003</v>
      </c>
      <c r="J2679" s="801" t="s">
        <v>5541</v>
      </c>
      <c r="K2679" s="802" t="s">
        <v>96</v>
      </c>
      <c r="L2679" s="803"/>
      <c r="M2679" s="804" t="s">
        <v>1856</v>
      </c>
      <c r="N2679" s="1006" t="s">
        <v>1856</v>
      </c>
      <c r="O2679" s="887" t="s">
        <v>2270</v>
      </c>
      <c r="P2679" s="806" t="s">
        <v>100</v>
      </c>
      <c r="Q2679" s="100">
        <f t="shared" si="1479"/>
        <v>0</v>
      </c>
      <c r="R2679" s="13" t="str">
        <f t="shared" si="1484"/>
        <v>Фото &gt;&gt;</v>
      </c>
      <c r="S2679" s="14" t="s">
        <v>2105</v>
      </c>
      <c r="AK2679">
        <v>0.03</v>
      </c>
      <c r="AL2679">
        <f t="shared" ref="AL2679" si="1494">F2679*G2679</f>
        <v>0</v>
      </c>
      <c r="AM2679">
        <f t="shared" ref="AM2679" si="1495">F2679*H2679</f>
        <v>0</v>
      </c>
      <c r="AN2679">
        <f t="shared" si="1488"/>
        <v>0</v>
      </c>
      <c r="AO2679" t="s">
        <v>2782</v>
      </c>
      <c r="AV2679" t="str">
        <f>IF(F2679&gt;0,(COUNT($AV$1:AV2678)+1),"")</f>
        <v/>
      </c>
    </row>
    <row r="2680" spans="1:48" ht="15" customHeight="1" x14ac:dyDescent="0.25">
      <c r="A2680" s="1"/>
      <c r="B2680" s="30">
        <v>19075</v>
      </c>
      <c r="C2680" s="20">
        <v>4607051354333</v>
      </c>
      <c r="D2680" s="264" t="s">
        <v>2378</v>
      </c>
      <c r="E2680" s="85">
        <v>24</v>
      </c>
      <c r="F2680" s="222"/>
      <c r="G2680" s="107">
        <v>34</v>
      </c>
      <c r="H2680" s="21">
        <v>35.6</v>
      </c>
      <c r="I2680" s="22">
        <v>39.200000000000003</v>
      </c>
      <c r="J2680" s="112" t="s">
        <v>5541</v>
      </c>
      <c r="K2680" s="45" t="s">
        <v>96</v>
      </c>
      <c r="L2680" s="437"/>
      <c r="M2680" s="474" t="s">
        <v>1856</v>
      </c>
      <c r="N2680" s="1013" t="s">
        <v>1856</v>
      </c>
      <c r="O2680" s="212" t="s">
        <v>2270</v>
      </c>
      <c r="P2680" s="66" t="s">
        <v>100</v>
      </c>
      <c r="Q2680" s="100">
        <f t="shared" si="1479"/>
        <v>0</v>
      </c>
      <c r="R2680" s="13" t="str">
        <f t="shared" si="1484"/>
        <v>Фото &gt;&gt;</v>
      </c>
      <c r="S2680" s="14" t="s">
        <v>1748</v>
      </c>
      <c r="AK2680">
        <v>0.03</v>
      </c>
      <c r="AL2680">
        <f t="shared" si="1481"/>
        <v>0</v>
      </c>
      <c r="AM2680">
        <f t="shared" si="1482"/>
        <v>0</v>
      </c>
      <c r="AN2680">
        <f t="shared" si="1488"/>
        <v>0</v>
      </c>
      <c r="AO2680" t="s">
        <v>3028</v>
      </c>
      <c r="AV2680" t="str">
        <f>IF(F2680&gt;0,(COUNT($AV$1:AV2679)+1),"")</f>
        <v/>
      </c>
    </row>
    <row r="2681" spans="1:48" ht="15" customHeight="1" x14ac:dyDescent="0.25">
      <c r="A2681" s="1"/>
      <c r="B2681" s="31">
        <v>19076</v>
      </c>
      <c r="C2681" s="16">
        <v>4607051354357</v>
      </c>
      <c r="D2681" s="154" t="s">
        <v>2379</v>
      </c>
      <c r="E2681" s="86">
        <v>24</v>
      </c>
      <c r="F2681" s="222"/>
      <c r="G2681" s="108">
        <v>34</v>
      </c>
      <c r="H2681" s="17">
        <v>35.6</v>
      </c>
      <c r="I2681" s="18">
        <v>39.200000000000003</v>
      </c>
      <c r="J2681" s="113" t="s">
        <v>5541</v>
      </c>
      <c r="K2681" s="44" t="s">
        <v>96</v>
      </c>
      <c r="L2681" s="442"/>
      <c r="M2681" s="480" t="s">
        <v>1856</v>
      </c>
      <c r="N2681" s="1015" t="s">
        <v>1856</v>
      </c>
      <c r="O2681" s="217" t="s">
        <v>2270</v>
      </c>
      <c r="P2681" s="68" t="s">
        <v>100</v>
      </c>
      <c r="Q2681" s="100">
        <f t="shared" si="1479"/>
        <v>0</v>
      </c>
      <c r="R2681" s="13" t="str">
        <f t="shared" si="1484"/>
        <v>Фото &gt;&gt;</v>
      </c>
      <c r="S2681" s="14" t="s">
        <v>1749</v>
      </c>
      <c r="AK2681">
        <v>0.03</v>
      </c>
      <c r="AL2681">
        <f t="shared" si="1481"/>
        <v>0</v>
      </c>
      <c r="AM2681">
        <f t="shared" si="1482"/>
        <v>0</v>
      </c>
      <c r="AN2681">
        <f t="shared" si="1488"/>
        <v>0</v>
      </c>
      <c r="AO2681" t="s">
        <v>3029</v>
      </c>
      <c r="AV2681" t="str">
        <f>IF(F2681&gt;0,(COUNT($AV$1:AV2680)+1),"")</f>
        <v/>
      </c>
    </row>
    <row r="2682" spans="1:48" ht="15" customHeight="1" x14ac:dyDescent="0.25">
      <c r="A2682" s="1"/>
      <c r="B2682" s="25"/>
      <c r="C2682" s="26"/>
      <c r="D2682" s="27" t="s">
        <v>4145</v>
      </c>
      <c r="E2682" s="80"/>
      <c r="F2682" s="96"/>
      <c r="G2682" s="397"/>
      <c r="H2682" s="398"/>
      <c r="I2682" s="398"/>
      <c r="J2682" s="51"/>
      <c r="K2682" s="47"/>
      <c r="L2682" s="447"/>
      <c r="M2682" s="489"/>
      <c r="N2682" s="716"/>
      <c r="O2682" s="186"/>
      <c r="P2682" s="79"/>
      <c r="Q2682" s="104"/>
      <c r="R2682" s="13"/>
      <c r="S2682" s="14"/>
      <c r="AL2682">
        <f t="shared" ref="AL2682:AL2688" si="1496">F2682*G2682</f>
        <v>0</v>
      </c>
      <c r="AM2682">
        <f t="shared" ref="AM2682:AM2688" si="1497">F2682*H2682</f>
        <v>0</v>
      </c>
      <c r="AN2682">
        <f t="shared" ref="AN2682:AN2688" si="1498">AK2682*F2682+IF(E2682&gt;1.01,F2682/E2682*0.2,0)</f>
        <v>0</v>
      </c>
      <c r="AV2682" t="str">
        <f>IF(F2682&gt;0,(COUNT($AV$1:AV2681)+1),"")</f>
        <v/>
      </c>
    </row>
    <row r="2683" spans="1:48" ht="15" customHeight="1" x14ac:dyDescent="0.25">
      <c r="A2683" s="1"/>
      <c r="B2683" s="31">
        <v>20709</v>
      </c>
      <c r="C2683" s="16">
        <v>4607051354111</v>
      </c>
      <c r="D2683" s="226" t="s">
        <v>4522</v>
      </c>
      <c r="E2683" s="86">
        <v>12</v>
      </c>
      <c r="F2683" s="222"/>
      <c r="G2683" s="108">
        <v>40.1</v>
      </c>
      <c r="H2683" s="17">
        <v>42</v>
      </c>
      <c r="I2683" s="18">
        <v>45</v>
      </c>
      <c r="J2683" s="113" t="s">
        <v>5541</v>
      </c>
      <c r="K2683" s="44" t="s">
        <v>96</v>
      </c>
      <c r="L2683" s="442"/>
      <c r="M2683" s="480" t="s">
        <v>1856</v>
      </c>
      <c r="N2683" s="1015" t="s">
        <v>1856</v>
      </c>
      <c r="O2683" s="217" t="s">
        <v>4226</v>
      </c>
      <c r="P2683" s="68" t="s">
        <v>72</v>
      </c>
      <c r="Q2683" s="100">
        <f t="shared" ref="Q2683:Q2688" si="1499">IF($AO$2660=2,F2683*H2683,IF($AO$2660=1,F2683*G2683,F2683*I2683))</f>
        <v>0</v>
      </c>
      <c r="R2683" s="13" t="str">
        <f t="shared" si="1484"/>
        <v>Фото &gt;&gt;</v>
      </c>
      <c r="S2683" s="14" t="s">
        <v>4523</v>
      </c>
      <c r="AK2683">
        <v>3.5000000000000003E-2</v>
      </c>
      <c r="AL2683">
        <f t="shared" ref="AL2683:AL2684" si="1500">F2683*G2683</f>
        <v>0</v>
      </c>
      <c r="AM2683">
        <f t="shared" ref="AM2683:AM2684" si="1501">F2683*H2683</f>
        <v>0</v>
      </c>
      <c r="AN2683">
        <f t="shared" ref="AN2683:AN2684" si="1502">AK2683*F2683+IF(E2683&gt;1.01,F2683/E2683*0.2,0)</f>
        <v>0</v>
      </c>
      <c r="AO2683" t="s">
        <v>4524</v>
      </c>
      <c r="AV2683" t="str">
        <f>IF(F2683&gt;0,(COUNT($AV$1:AV2682)+1),"")</f>
        <v/>
      </c>
    </row>
    <row r="2684" spans="1:48" ht="15" customHeight="1" x14ac:dyDescent="0.25">
      <c r="A2684" s="1"/>
      <c r="B2684" s="30">
        <v>20609</v>
      </c>
      <c r="C2684" s="20">
        <v>4607051356504</v>
      </c>
      <c r="D2684" s="225" t="s">
        <v>4774</v>
      </c>
      <c r="E2684" s="85">
        <v>12</v>
      </c>
      <c r="F2684" s="222"/>
      <c r="G2684" s="107">
        <v>43.5</v>
      </c>
      <c r="H2684" s="21">
        <v>45.1</v>
      </c>
      <c r="I2684" s="22">
        <v>48.5</v>
      </c>
      <c r="J2684" s="112" t="s">
        <v>5541</v>
      </c>
      <c r="K2684" s="45" t="s">
        <v>96</v>
      </c>
      <c r="L2684" s="437"/>
      <c r="M2684" s="474" t="s">
        <v>1856</v>
      </c>
      <c r="N2684" s="1013" t="s">
        <v>1856</v>
      </c>
      <c r="O2684" s="212" t="s">
        <v>4226</v>
      </c>
      <c r="P2684" s="66" t="s">
        <v>100</v>
      </c>
      <c r="Q2684" s="100">
        <f t="shared" si="1499"/>
        <v>0</v>
      </c>
      <c r="R2684" s="13" t="str">
        <f t="shared" si="1484"/>
        <v>Фото &gt;&gt;</v>
      </c>
      <c r="S2684" s="14" t="s">
        <v>4146</v>
      </c>
      <c r="AK2684">
        <v>3.5000000000000003E-2</v>
      </c>
      <c r="AL2684">
        <f t="shared" si="1500"/>
        <v>0</v>
      </c>
      <c r="AM2684">
        <f t="shared" si="1501"/>
        <v>0</v>
      </c>
      <c r="AN2684">
        <f t="shared" si="1502"/>
        <v>0</v>
      </c>
      <c r="AO2684" t="s">
        <v>4151</v>
      </c>
      <c r="AV2684" t="str">
        <f>IF(F2684&gt;0,(COUNT($AV$1:AV2683)+1),"")</f>
        <v/>
      </c>
    </row>
    <row r="2685" spans="1:48" ht="15" customHeight="1" x14ac:dyDescent="0.25">
      <c r="A2685" s="1"/>
      <c r="B2685" s="31">
        <v>20603</v>
      </c>
      <c r="C2685" s="16">
        <v>4607051356597</v>
      </c>
      <c r="D2685" s="226" t="s">
        <v>4775</v>
      </c>
      <c r="E2685" s="86">
        <v>12</v>
      </c>
      <c r="F2685" s="222"/>
      <c r="G2685" s="108">
        <v>43.5</v>
      </c>
      <c r="H2685" s="17">
        <v>45.5</v>
      </c>
      <c r="I2685" s="18">
        <v>50</v>
      </c>
      <c r="J2685" s="113" t="s">
        <v>5541</v>
      </c>
      <c r="K2685" s="44" t="s">
        <v>96</v>
      </c>
      <c r="L2685" s="442"/>
      <c r="M2685" s="480" t="s">
        <v>1856</v>
      </c>
      <c r="N2685" s="1015" t="s">
        <v>1856</v>
      </c>
      <c r="O2685" s="217" t="s">
        <v>4226</v>
      </c>
      <c r="P2685" s="68" t="s">
        <v>100</v>
      </c>
      <c r="Q2685" s="100">
        <f t="shared" si="1499"/>
        <v>0</v>
      </c>
      <c r="R2685" s="13" t="str">
        <f t="shared" si="1484"/>
        <v>Фото &gt;&gt;</v>
      </c>
      <c r="S2685" s="14" t="s">
        <v>4147</v>
      </c>
      <c r="AK2685">
        <v>3.5000000000000003E-2</v>
      </c>
      <c r="AL2685">
        <f t="shared" si="1496"/>
        <v>0</v>
      </c>
      <c r="AM2685">
        <f t="shared" si="1497"/>
        <v>0</v>
      </c>
      <c r="AN2685">
        <f t="shared" si="1498"/>
        <v>0</v>
      </c>
      <c r="AO2685" t="s">
        <v>4152</v>
      </c>
      <c r="AV2685" t="str">
        <f>IF(F2685&gt;0,(COUNT($AV$1:AV2684)+1),"")</f>
        <v/>
      </c>
    </row>
    <row r="2686" spans="1:48" ht="15" customHeight="1" x14ac:dyDescent="0.25">
      <c r="A2686" s="1"/>
      <c r="B2686" s="30">
        <v>20606</v>
      </c>
      <c r="C2686" s="20">
        <v>4607051356580</v>
      </c>
      <c r="D2686" s="225" t="s">
        <v>4776</v>
      </c>
      <c r="E2686" s="85">
        <v>12</v>
      </c>
      <c r="F2686" s="222"/>
      <c r="G2686" s="107">
        <v>43.5</v>
      </c>
      <c r="H2686" s="21">
        <v>45.5</v>
      </c>
      <c r="I2686" s="22">
        <v>50</v>
      </c>
      <c r="J2686" s="112" t="s">
        <v>5541</v>
      </c>
      <c r="K2686" s="45" t="s">
        <v>96</v>
      </c>
      <c r="L2686" s="437"/>
      <c r="M2686" s="474" t="s">
        <v>1856</v>
      </c>
      <c r="N2686" s="1013" t="s">
        <v>1856</v>
      </c>
      <c r="O2686" s="212" t="s">
        <v>4226</v>
      </c>
      <c r="P2686" s="66" t="s">
        <v>100</v>
      </c>
      <c r="Q2686" s="100">
        <f t="shared" si="1499"/>
        <v>0</v>
      </c>
      <c r="R2686" s="13" t="str">
        <f t="shared" si="1484"/>
        <v>Фото &gt;&gt;</v>
      </c>
      <c r="S2686" s="14" t="s">
        <v>4148</v>
      </c>
      <c r="AK2686">
        <v>3.5000000000000003E-2</v>
      </c>
      <c r="AL2686">
        <f t="shared" si="1496"/>
        <v>0</v>
      </c>
      <c r="AM2686">
        <f t="shared" si="1497"/>
        <v>0</v>
      </c>
      <c r="AN2686">
        <f t="shared" si="1498"/>
        <v>0</v>
      </c>
      <c r="AO2686" t="s">
        <v>4153</v>
      </c>
      <c r="AV2686" t="str">
        <f>IF(F2686&gt;0,(COUNT($AV$1:AV2685)+1),"")</f>
        <v/>
      </c>
    </row>
    <row r="2687" spans="1:48" ht="15" customHeight="1" x14ac:dyDescent="0.25">
      <c r="A2687" s="1"/>
      <c r="B2687" s="31">
        <v>20607</v>
      </c>
      <c r="C2687" s="16">
        <v>4607051356573</v>
      </c>
      <c r="D2687" s="226" t="s">
        <v>4777</v>
      </c>
      <c r="E2687" s="86">
        <v>12</v>
      </c>
      <c r="F2687" s="222"/>
      <c r="G2687" s="108">
        <v>43.5</v>
      </c>
      <c r="H2687" s="17">
        <v>45.5</v>
      </c>
      <c r="I2687" s="18">
        <v>50</v>
      </c>
      <c r="J2687" s="113" t="s">
        <v>5541</v>
      </c>
      <c r="K2687" s="44" t="s">
        <v>96</v>
      </c>
      <c r="L2687" s="442"/>
      <c r="M2687" s="480" t="s">
        <v>1856</v>
      </c>
      <c r="N2687" s="1015" t="s">
        <v>1856</v>
      </c>
      <c r="O2687" s="217" t="s">
        <v>4226</v>
      </c>
      <c r="P2687" s="68" t="s">
        <v>100</v>
      </c>
      <c r="Q2687" s="100">
        <f t="shared" si="1499"/>
        <v>0</v>
      </c>
      <c r="R2687" s="13" t="str">
        <f t="shared" si="1484"/>
        <v>Фото &gt;&gt;</v>
      </c>
      <c r="S2687" s="14" t="s">
        <v>4149</v>
      </c>
      <c r="AK2687">
        <v>3.5000000000000003E-2</v>
      </c>
      <c r="AL2687">
        <f t="shared" si="1496"/>
        <v>0</v>
      </c>
      <c r="AM2687">
        <f t="shared" si="1497"/>
        <v>0</v>
      </c>
      <c r="AN2687">
        <f t="shared" si="1498"/>
        <v>0</v>
      </c>
      <c r="AO2687" t="s">
        <v>4154</v>
      </c>
      <c r="AV2687" t="str">
        <f>IF(F2687&gt;0,(COUNT($AV$1:AV2686)+1),"")</f>
        <v/>
      </c>
    </row>
    <row r="2688" spans="1:48" ht="15" customHeight="1" x14ac:dyDescent="0.25">
      <c r="A2688" s="1"/>
      <c r="B2688" s="30">
        <v>20608</v>
      </c>
      <c r="C2688" s="20">
        <v>4607051356542</v>
      </c>
      <c r="D2688" s="225" t="s">
        <v>4778</v>
      </c>
      <c r="E2688" s="85">
        <v>12</v>
      </c>
      <c r="F2688" s="222"/>
      <c r="G2688" s="107">
        <v>43.5</v>
      </c>
      <c r="H2688" s="21">
        <v>45.5</v>
      </c>
      <c r="I2688" s="22">
        <v>50</v>
      </c>
      <c r="J2688" s="112" t="s">
        <v>5541</v>
      </c>
      <c r="K2688" s="45" t="s">
        <v>96</v>
      </c>
      <c r="L2688" s="437"/>
      <c r="M2688" s="474" t="s">
        <v>1856</v>
      </c>
      <c r="N2688" s="1013" t="s">
        <v>1856</v>
      </c>
      <c r="O2688" s="212" t="s">
        <v>4226</v>
      </c>
      <c r="P2688" s="66" t="s">
        <v>100</v>
      </c>
      <c r="Q2688" s="100">
        <f t="shared" si="1499"/>
        <v>0</v>
      </c>
      <c r="R2688" s="13" t="str">
        <f t="shared" si="1484"/>
        <v>Фото &gt;&gt;</v>
      </c>
      <c r="S2688" s="14" t="s">
        <v>4150</v>
      </c>
      <c r="AK2688">
        <v>3.5000000000000003E-2</v>
      </c>
      <c r="AL2688">
        <f t="shared" si="1496"/>
        <v>0</v>
      </c>
      <c r="AM2688">
        <f t="shared" si="1497"/>
        <v>0</v>
      </c>
      <c r="AN2688">
        <f t="shared" si="1498"/>
        <v>0</v>
      </c>
      <c r="AO2688" t="s">
        <v>4155</v>
      </c>
      <c r="AV2688" t="str">
        <f>IF(F2688&gt;0,(COUNT($AV$1:AV2687)+1),"")</f>
        <v/>
      </c>
    </row>
    <row r="2689" spans="1:48" ht="15" customHeight="1" x14ac:dyDescent="0.25">
      <c r="A2689" s="1"/>
      <c r="B2689" s="25"/>
      <c r="C2689" s="26"/>
      <c r="D2689" s="27" t="s">
        <v>1447</v>
      </c>
      <c r="E2689" s="80"/>
      <c r="F2689" s="96"/>
      <c r="G2689" s="397"/>
      <c r="H2689" s="398"/>
      <c r="I2689" s="398"/>
      <c r="J2689" s="51"/>
      <c r="K2689" s="47"/>
      <c r="L2689" s="447"/>
      <c r="M2689" s="489" t="s">
        <v>104</v>
      </c>
      <c r="N2689" s="716"/>
      <c r="O2689" s="186"/>
      <c r="P2689" s="79"/>
      <c r="Q2689" s="104"/>
      <c r="R2689" s="13"/>
      <c r="S2689" s="14"/>
      <c r="AL2689">
        <f t="shared" si="1481"/>
        <v>0</v>
      </c>
      <c r="AM2689">
        <f t="shared" si="1482"/>
        <v>0</v>
      </c>
      <c r="AN2689">
        <f t="shared" si="1488"/>
        <v>0</v>
      </c>
      <c r="AV2689" t="str">
        <f>IF(F2689&gt;0,(COUNT($AV$1:AV2688)+1),"")</f>
        <v/>
      </c>
    </row>
    <row r="2690" spans="1:48" ht="15" customHeight="1" x14ac:dyDescent="0.25">
      <c r="A2690" s="1"/>
      <c r="B2690" s="30">
        <v>16210</v>
      </c>
      <c r="C2690" s="20">
        <v>4607051353398</v>
      </c>
      <c r="D2690" s="421" t="s">
        <v>7262</v>
      </c>
      <c r="E2690" s="67">
        <v>7</v>
      </c>
      <c r="F2690" s="222"/>
      <c r="G2690" s="419">
        <v>105</v>
      </c>
      <c r="H2690" s="417">
        <v>105</v>
      </c>
      <c r="I2690" s="418">
        <v>105</v>
      </c>
      <c r="J2690" s="112" t="s">
        <v>5541</v>
      </c>
      <c r="K2690" s="45" t="s">
        <v>128</v>
      </c>
      <c r="L2690" s="437"/>
      <c r="M2690" s="474" t="s">
        <v>1856</v>
      </c>
      <c r="N2690" s="1013" t="s">
        <v>1856</v>
      </c>
      <c r="O2690" s="209" t="s">
        <v>7261</v>
      </c>
      <c r="P2690" s="66" t="s">
        <v>53</v>
      </c>
      <c r="Q2690" s="100">
        <f>IF($AO$2660=2,F2690*H2690,IF($AO$2660=1,F2690*G2690,F2690*I2690))</f>
        <v>0</v>
      </c>
      <c r="R2690" s="13" t="str">
        <f t="shared" si="1484"/>
        <v>Фото &gt;&gt;</v>
      </c>
      <c r="S2690" s="14" t="s">
        <v>3054</v>
      </c>
      <c r="AK2690">
        <v>0.35</v>
      </c>
      <c r="AL2690">
        <f t="shared" si="1481"/>
        <v>0</v>
      </c>
      <c r="AM2690">
        <f t="shared" si="1482"/>
        <v>0</v>
      </c>
      <c r="AN2690">
        <f t="shared" si="1488"/>
        <v>0</v>
      </c>
      <c r="AO2690" t="s">
        <v>3055</v>
      </c>
      <c r="AV2690" t="str">
        <f>IF(F2690&gt;0,(COUNT($AV$1:AV2689)+1),"")</f>
        <v/>
      </c>
    </row>
    <row r="2691" spans="1:48" ht="15" customHeight="1" x14ac:dyDescent="0.25">
      <c r="A2691" s="1"/>
      <c r="B2691" s="25"/>
      <c r="C2691" s="26"/>
      <c r="D2691" s="228" t="s">
        <v>199</v>
      </c>
      <c r="E2691" s="80"/>
      <c r="F2691" s="96"/>
      <c r="G2691" s="28"/>
      <c r="H2691" s="29"/>
      <c r="I2691" s="29"/>
      <c r="J2691" s="51"/>
      <c r="K2691" s="47"/>
      <c r="L2691" s="447"/>
      <c r="M2691" s="489" t="s">
        <v>104</v>
      </c>
      <c r="N2691" s="716"/>
      <c r="O2691" s="426"/>
      <c r="P2691" s="79"/>
      <c r="Q2691" s="104"/>
      <c r="R2691" s="13"/>
      <c r="S2691" s="14"/>
      <c r="AL2691">
        <f t="shared" si="1481"/>
        <v>0</v>
      </c>
      <c r="AM2691">
        <f t="shared" si="1482"/>
        <v>0</v>
      </c>
      <c r="AN2691">
        <f t="shared" si="1488"/>
        <v>0</v>
      </c>
      <c r="AV2691" t="str">
        <f>IF(F2691&gt;0,(COUNT($AV$1:AV2690)+1),"")</f>
        <v/>
      </c>
    </row>
    <row r="2692" spans="1:48" ht="15" customHeight="1" x14ac:dyDescent="0.25">
      <c r="A2692" s="1"/>
      <c r="B2692" s="30">
        <v>10791</v>
      </c>
      <c r="C2692" s="20">
        <v>4607051351882</v>
      </c>
      <c r="D2692" s="153" t="s">
        <v>3045</v>
      </c>
      <c r="E2692" s="85">
        <v>24</v>
      </c>
      <c r="F2692" s="222"/>
      <c r="G2692" s="107">
        <v>74.8</v>
      </c>
      <c r="H2692" s="21">
        <v>77.599999999999994</v>
      </c>
      <c r="I2692" s="22">
        <v>85</v>
      </c>
      <c r="J2692" s="112" t="s">
        <v>5541</v>
      </c>
      <c r="K2692" s="45" t="s">
        <v>373</v>
      </c>
      <c r="L2692" s="437"/>
      <c r="M2692" s="474" t="s">
        <v>1856</v>
      </c>
      <c r="N2692" s="1013" t="s">
        <v>1856</v>
      </c>
      <c r="O2692" s="212" t="s">
        <v>2270</v>
      </c>
      <c r="P2692" s="66" t="s">
        <v>418</v>
      </c>
      <c r="Q2692" s="100">
        <f>IF($AO$2660=2,F2692*H2692,IF($AO$2660=1,F2692*G2692,F2692*I2692))</f>
        <v>0</v>
      </c>
      <c r="R2692" s="13" t="str">
        <f>IF(AO2692&gt;0,HYPERLINK(AO2692,"Фото &gt;&gt;"),"")</f>
        <v>Фото &gt;&gt;</v>
      </c>
      <c r="S2692" s="14" t="s">
        <v>3046</v>
      </c>
      <c r="AK2692">
        <v>0.05</v>
      </c>
      <c r="AL2692">
        <f>F2692*G2692</f>
        <v>0</v>
      </c>
      <c r="AM2692">
        <f>F2692*H2692</f>
        <v>0</v>
      </c>
      <c r="AN2692">
        <f t="shared" si="1488"/>
        <v>0</v>
      </c>
      <c r="AO2692" t="s">
        <v>3050</v>
      </c>
      <c r="AV2692" t="str">
        <f>IF(F2692&gt;0,(COUNT($AV$1:AV2691)+1),"")</f>
        <v/>
      </c>
    </row>
    <row r="2693" spans="1:48" ht="15" customHeight="1" x14ac:dyDescent="0.25">
      <c r="A2693" s="1"/>
      <c r="B2693" s="31">
        <v>16803</v>
      </c>
      <c r="C2693" s="16">
        <v>4607051353220</v>
      </c>
      <c r="D2693" s="226" t="s">
        <v>4137</v>
      </c>
      <c r="E2693" s="86">
        <v>24</v>
      </c>
      <c r="F2693" s="222"/>
      <c r="G2693" s="108">
        <v>49.7</v>
      </c>
      <c r="H2693" s="17">
        <v>52</v>
      </c>
      <c r="I2693" s="18">
        <v>58</v>
      </c>
      <c r="J2693" s="113" t="s">
        <v>5541</v>
      </c>
      <c r="K2693" s="44" t="s">
        <v>373</v>
      </c>
      <c r="L2693" s="442"/>
      <c r="M2693" s="480" t="s">
        <v>104</v>
      </c>
      <c r="N2693" s="1015" t="s">
        <v>1856</v>
      </c>
      <c r="O2693" s="217" t="s">
        <v>2270</v>
      </c>
      <c r="P2693" s="68" t="s">
        <v>418</v>
      </c>
      <c r="Q2693" s="100">
        <f>IF($AO$2660=2,F2693*H2693,IF($AO$2660=1,F2693*G2693,F2693*I2693))</f>
        <v>0</v>
      </c>
      <c r="R2693" s="13" t="str">
        <f>IF(AO2693&gt;0,HYPERLINK(AO2693,"Фото &gt;&gt;"),"")</f>
        <v>Фото &gt;&gt;</v>
      </c>
      <c r="S2693" s="14" t="s">
        <v>3047</v>
      </c>
      <c r="AK2693">
        <v>0.05</v>
      </c>
      <c r="AL2693">
        <f>F2693*G2693</f>
        <v>0</v>
      </c>
      <c r="AM2693">
        <f>F2693*H2693</f>
        <v>0</v>
      </c>
      <c r="AN2693">
        <f t="shared" si="1488"/>
        <v>0</v>
      </c>
      <c r="AO2693" t="s">
        <v>3051</v>
      </c>
      <c r="AV2693" t="str">
        <f>IF(F2693&gt;0,(COUNT($AV$1:AV2692)+1),"")</f>
        <v/>
      </c>
    </row>
    <row r="2694" spans="1:48" ht="15" customHeight="1" x14ac:dyDescent="0.25">
      <c r="A2694" s="1"/>
      <c r="B2694" s="30">
        <v>13621</v>
      </c>
      <c r="C2694" s="20">
        <v>4607051351684</v>
      </c>
      <c r="D2694" s="225" t="s">
        <v>4068</v>
      </c>
      <c r="E2694" s="85">
        <v>24</v>
      </c>
      <c r="F2694" s="222"/>
      <c r="G2694" s="107">
        <v>74.8</v>
      </c>
      <c r="H2694" s="21">
        <v>77.599999999999994</v>
      </c>
      <c r="I2694" s="22">
        <v>85</v>
      </c>
      <c r="J2694" s="112" t="s">
        <v>5541</v>
      </c>
      <c r="K2694" s="45" t="s">
        <v>373</v>
      </c>
      <c r="L2694" s="437"/>
      <c r="M2694" s="474" t="s">
        <v>104</v>
      </c>
      <c r="N2694" s="1013" t="s">
        <v>1856</v>
      </c>
      <c r="O2694" s="212" t="s">
        <v>2270</v>
      </c>
      <c r="P2694" s="66" t="s">
        <v>418</v>
      </c>
      <c r="Q2694" s="100">
        <f>IF($AO$2660=2,F2694*H2694,IF($AO$2660=1,F2694*G2694,F2694*I2694))</f>
        <v>0</v>
      </c>
      <c r="R2694" s="13" t="str">
        <f>IF(AO2694&gt;0,HYPERLINK(AO2694,"Фото &gt;&gt;"),"")</f>
        <v>Фото &gt;&gt;</v>
      </c>
      <c r="S2694" s="14" t="s">
        <v>3048</v>
      </c>
      <c r="AK2694">
        <v>0.05</v>
      </c>
      <c r="AL2694">
        <f>F2694*G2694</f>
        <v>0</v>
      </c>
      <c r="AM2694">
        <f>F2694*H2694</f>
        <v>0</v>
      </c>
      <c r="AN2694">
        <f t="shared" si="1488"/>
        <v>0</v>
      </c>
      <c r="AO2694" t="s">
        <v>3052</v>
      </c>
      <c r="AV2694" t="str">
        <f>IF(F2694&gt;0,(COUNT($AV$1:AV2693)+1),"")</f>
        <v/>
      </c>
    </row>
    <row r="2695" spans="1:48" ht="15" customHeight="1" x14ac:dyDescent="0.25">
      <c r="A2695" s="1"/>
      <c r="B2695" s="31">
        <v>21485</v>
      </c>
      <c r="C2695" s="16"/>
      <c r="D2695" s="422" t="s">
        <v>6966</v>
      </c>
      <c r="E2695" s="86">
        <v>24</v>
      </c>
      <c r="F2695" s="222"/>
      <c r="G2695" s="108">
        <v>74.8</v>
      </c>
      <c r="H2695" s="17">
        <v>77.599999999999994</v>
      </c>
      <c r="I2695" s="18">
        <v>85</v>
      </c>
      <c r="J2695" s="113" t="s">
        <v>5541</v>
      </c>
      <c r="K2695" s="44" t="s">
        <v>373</v>
      </c>
      <c r="L2695" s="442"/>
      <c r="M2695" s="480" t="s">
        <v>104</v>
      </c>
      <c r="N2695" s="1015" t="s">
        <v>1856</v>
      </c>
      <c r="O2695" s="210" t="s">
        <v>7314</v>
      </c>
      <c r="P2695" s="68" t="s">
        <v>418</v>
      </c>
      <c r="Q2695" s="100">
        <f>IF($AO$2660=2,F2695*H2695,IF($AO$2660=1,F2695*G2695,F2695*I2695))</f>
        <v>0</v>
      </c>
      <c r="R2695" s="13" t="str">
        <f>IF(AO2695&gt;0,HYPERLINK(AO2695,"Фото &gt;&gt;"),"")</f>
        <v>Фото &gt;&gt;</v>
      </c>
      <c r="S2695" s="14" t="s">
        <v>6967</v>
      </c>
      <c r="AK2695">
        <v>0.05</v>
      </c>
      <c r="AL2695">
        <f>F2695*G2695</f>
        <v>0</v>
      </c>
      <c r="AM2695">
        <f>F2695*H2695</f>
        <v>0</v>
      </c>
      <c r="AN2695">
        <f t="shared" ref="AN2695" si="1503">AK2695*F2695+IF(E2695&gt;1.01,F2695/E2695*0.2,0)</f>
        <v>0</v>
      </c>
      <c r="AO2695" t="s">
        <v>6965</v>
      </c>
      <c r="AV2695" t="str">
        <f>IF(F2695&gt;0,(COUNT($AV$1:AV2694)+1),"")</f>
        <v/>
      </c>
    </row>
    <row r="2696" spans="1:48" ht="15" customHeight="1" x14ac:dyDescent="0.25">
      <c r="A2696" s="1"/>
      <c r="B2696" s="30">
        <v>10764</v>
      </c>
      <c r="C2696" s="20">
        <v>4607051350182</v>
      </c>
      <c r="D2696" s="225" t="s">
        <v>4069</v>
      </c>
      <c r="E2696" s="85">
        <v>24</v>
      </c>
      <c r="F2696" s="222"/>
      <c r="G2696" s="107">
        <v>74</v>
      </c>
      <c r="H2696" s="21">
        <v>77</v>
      </c>
      <c r="I2696" s="22">
        <v>84</v>
      </c>
      <c r="J2696" s="112" t="s">
        <v>5541</v>
      </c>
      <c r="K2696" s="45" t="s">
        <v>373</v>
      </c>
      <c r="L2696" s="437"/>
      <c r="M2696" s="474" t="s">
        <v>104</v>
      </c>
      <c r="N2696" s="1013" t="s">
        <v>1856</v>
      </c>
      <c r="O2696" s="212" t="s">
        <v>2270</v>
      </c>
      <c r="P2696" s="66" t="s">
        <v>418</v>
      </c>
      <c r="Q2696" s="100">
        <f>IF($AO$2660=2,F2696*H2696,IF($AO$2660=1,F2696*G2696,F2696*I2696))</f>
        <v>0</v>
      </c>
      <c r="R2696" s="13" t="str">
        <f>IF(AO2696&gt;0,HYPERLINK(AO2696,"Фото &gt;&gt;"),"")</f>
        <v>Фото &gt;&gt;</v>
      </c>
      <c r="S2696" s="14" t="s">
        <v>3049</v>
      </c>
      <c r="AK2696">
        <v>0.05</v>
      </c>
      <c r="AL2696">
        <f>F2696*G2696</f>
        <v>0</v>
      </c>
      <c r="AM2696">
        <f>F2696*H2696</f>
        <v>0</v>
      </c>
      <c r="AN2696">
        <f t="shared" si="1488"/>
        <v>0</v>
      </c>
      <c r="AO2696" t="s">
        <v>3053</v>
      </c>
      <c r="AV2696" t="str">
        <f>IF(F2696&gt;0,(COUNT($AV$1:AV2695)+1),"")</f>
        <v/>
      </c>
    </row>
    <row r="2697" spans="1:48" ht="15" customHeight="1" x14ac:dyDescent="0.25">
      <c r="A2697" s="1"/>
      <c r="B2697" s="125"/>
      <c r="C2697" s="126"/>
      <c r="D2697" s="127"/>
      <c r="E2697" s="134"/>
      <c r="F2697" s="189"/>
      <c r="G2697" s="130"/>
      <c r="H2697" s="131"/>
      <c r="I2697" s="132"/>
      <c r="J2697" s="128"/>
      <c r="K2697" s="129"/>
      <c r="L2697" s="433"/>
      <c r="M2697" s="481" t="s">
        <v>104</v>
      </c>
      <c r="N2697" s="471"/>
      <c r="O2697" s="181"/>
      <c r="P2697" s="133"/>
      <c r="Q2697" s="135"/>
      <c r="R2697" s="13"/>
      <c r="S2697" s="14"/>
      <c r="AV2697" t="str">
        <f>IF(F2697&gt;0,(COUNT($AV$1:AV2696)+1),"")</f>
        <v/>
      </c>
    </row>
    <row r="2698" spans="1:48" ht="15" customHeight="1" thickBot="1" x14ac:dyDescent="0.3">
      <c r="A2698" s="1"/>
      <c r="B2698" s="136"/>
      <c r="C2698" s="137"/>
      <c r="D2698" s="138"/>
      <c r="E2698" s="145"/>
      <c r="F2698" s="190"/>
      <c r="G2698" s="141"/>
      <c r="H2698" s="142"/>
      <c r="I2698" s="143"/>
      <c r="J2698" s="139"/>
      <c r="K2698" s="140"/>
      <c r="L2698" s="434"/>
      <c r="M2698" s="477" t="s">
        <v>104</v>
      </c>
      <c r="N2698" s="468"/>
      <c r="O2698" s="182"/>
      <c r="P2698" s="144"/>
      <c r="Q2698" s="146"/>
      <c r="R2698" s="13"/>
      <c r="S2698" s="14"/>
      <c r="AV2698" t="str">
        <f>IF(F2698&gt;0,(COUNT($AV$1:AV2697)+1),"")</f>
        <v/>
      </c>
    </row>
    <row r="2699" spans="1:48" ht="24.75" customHeight="1" thickBot="1" x14ac:dyDescent="0.3">
      <c r="A2699" s="1"/>
      <c r="B2699" s="169"/>
      <c r="C2699" s="170"/>
      <c r="D2699" s="171" t="str">
        <f>CONCATENATE("Здоровые вкусы","     |     Сумма заказа: ",AK2699," руб.")</f>
        <v>Здоровые вкусы     |     Сумма заказа: 0 руб.</v>
      </c>
      <c r="E2699" s="176"/>
      <c r="F2699" s="177"/>
      <c r="G2699" s="180" t="str">
        <f>CONCATENATE("Ценовая колонка: ",AO2699,"   |   До следующей скидки: ",AJ2699," руб.")</f>
        <v>Ценовая колонка: 3   |   До следующей скидки: 5000 руб.</v>
      </c>
      <c r="H2699" s="174"/>
      <c r="I2699" s="174"/>
      <c r="J2699" s="172" t="s">
        <v>1026</v>
      </c>
      <c r="K2699" s="173"/>
      <c r="L2699" s="444"/>
      <c r="M2699" s="486" t="s">
        <v>104</v>
      </c>
      <c r="N2699" s="717"/>
      <c r="O2699" s="184"/>
      <c r="P2699" s="175"/>
      <c r="Q2699" s="178"/>
      <c r="R2699" s="179" t="s">
        <v>1558</v>
      </c>
      <c r="S2699" s="14"/>
      <c r="AJ2699">
        <f>ROUND(IF(AL2699&gt;20000,"0", IF(AND(AL2699&lt;20000,AM2699&gt;5000),20000-AL2699,5000-AM2699)),2)</f>
        <v>5000</v>
      </c>
      <c r="AK2699">
        <f>SUM(Q2701:Q2713)</f>
        <v>0</v>
      </c>
      <c r="AL2699">
        <f>SUM(AL2701:AL2713)</f>
        <v>0</v>
      </c>
      <c r="AM2699">
        <f>SUM(AM2701:AM2713)</f>
        <v>0</v>
      </c>
      <c r="AO2699">
        <f>IF(AM2699&gt;5000,IF(AL2699&gt;20000,1,2),3)</f>
        <v>3</v>
      </c>
      <c r="AV2699" t="str">
        <f>IF(F2699&gt;0,(COUNT($AV$1:AV2698)+1),"")</f>
        <v/>
      </c>
    </row>
    <row r="2700" spans="1:48" ht="15" customHeight="1" x14ac:dyDescent="0.25">
      <c r="A2700" s="1"/>
      <c r="B2700" s="296"/>
      <c r="C2700" s="38"/>
      <c r="D2700" s="39" t="s">
        <v>19</v>
      </c>
      <c r="E2700" s="82"/>
      <c r="F2700" s="97"/>
      <c r="G2700" s="40" t="s">
        <v>15</v>
      </c>
      <c r="H2700" s="41" t="s">
        <v>16</v>
      </c>
      <c r="I2700" s="41" t="s">
        <v>221</v>
      </c>
      <c r="J2700" s="52"/>
      <c r="K2700" s="48"/>
      <c r="L2700" s="448"/>
      <c r="M2700" s="491" t="s">
        <v>104</v>
      </c>
      <c r="N2700" s="715"/>
      <c r="O2700" s="187"/>
      <c r="P2700" s="81"/>
      <c r="Q2700" s="105"/>
      <c r="R2700" s="13"/>
      <c r="S2700" s="14"/>
      <c r="AV2700" t="str">
        <f>IF(F2700&gt;0,(COUNT($AV$1:AV2699)+1),"")</f>
        <v/>
      </c>
    </row>
    <row r="2701" spans="1:48" ht="15" customHeight="1" x14ac:dyDescent="0.25">
      <c r="A2701" s="1"/>
      <c r="B2701" s="30">
        <v>15695</v>
      </c>
      <c r="C2701" s="20">
        <v>4680018523348</v>
      </c>
      <c r="D2701" s="153" t="s">
        <v>1027</v>
      </c>
      <c r="E2701" s="67">
        <v>6</v>
      </c>
      <c r="F2701" s="222"/>
      <c r="G2701" s="107">
        <v>186</v>
      </c>
      <c r="H2701" s="21">
        <v>193</v>
      </c>
      <c r="I2701" s="22">
        <v>201</v>
      </c>
      <c r="J2701" s="112" t="s">
        <v>1026</v>
      </c>
      <c r="K2701" s="45" t="s">
        <v>19</v>
      </c>
      <c r="L2701" s="437"/>
      <c r="M2701" s="474" t="s">
        <v>1856</v>
      </c>
      <c r="N2701" s="1013" t="s">
        <v>1856</v>
      </c>
      <c r="O2701" s="212"/>
      <c r="P2701" s="66" t="s">
        <v>72</v>
      </c>
      <c r="Q2701" s="100">
        <f t="shared" ref="Q2701:Q2709" si="1504">IF($AO$2699=2,F2701*H2701,IF($AO$2699=1,F2701*G2701,F2701*I2701))</f>
        <v>0</v>
      </c>
      <c r="R2701" s="13" t="str">
        <f t="shared" ref="R2701:R2709" si="1505">IF(AO2701&gt;0,HYPERLINK(AO2701,"Фото &gt;&gt;"),"")</f>
        <v>Фото &gt;&gt;</v>
      </c>
      <c r="S2701" s="14" t="s">
        <v>747</v>
      </c>
      <c r="AK2701">
        <v>0.46</v>
      </c>
      <c r="AL2701">
        <f t="shared" ref="AL2701:AL2713" si="1506">F2701*G2701</f>
        <v>0</v>
      </c>
      <c r="AM2701">
        <f t="shared" ref="AM2701:AM2713" si="1507">F2701*H2701</f>
        <v>0</v>
      </c>
      <c r="AN2701">
        <f t="shared" ref="AN2701:AN2713" si="1508">AK2701*F2701+IF(E2701&gt;1.01,F2701/E2701*0.2,0)</f>
        <v>0</v>
      </c>
      <c r="AO2701" t="s">
        <v>5195</v>
      </c>
      <c r="AV2701" t="str">
        <f>IF(F2701&gt;0,(COUNT($AV$1:AV2700)+1),"")</f>
        <v/>
      </c>
    </row>
    <row r="2702" spans="1:48" ht="15" customHeight="1" x14ac:dyDescent="0.25">
      <c r="A2702" s="1"/>
      <c r="B2702" s="31">
        <v>15696</v>
      </c>
      <c r="C2702" s="16">
        <v>4680018523614</v>
      </c>
      <c r="D2702" s="154" t="s">
        <v>1033</v>
      </c>
      <c r="E2702" s="69">
        <v>6</v>
      </c>
      <c r="F2702" s="222"/>
      <c r="G2702" s="108">
        <v>286</v>
      </c>
      <c r="H2702" s="17">
        <v>297</v>
      </c>
      <c r="I2702" s="18">
        <v>309</v>
      </c>
      <c r="J2702" s="113" t="s">
        <v>1026</v>
      </c>
      <c r="K2702" s="44" t="s">
        <v>19</v>
      </c>
      <c r="L2702" s="442"/>
      <c r="M2702" s="480" t="s">
        <v>1856</v>
      </c>
      <c r="N2702" s="1015" t="s">
        <v>1856</v>
      </c>
      <c r="O2702" s="217"/>
      <c r="P2702" s="68" t="s">
        <v>72</v>
      </c>
      <c r="Q2702" s="100">
        <f t="shared" si="1504"/>
        <v>0</v>
      </c>
      <c r="R2702" s="13" t="str">
        <f t="shared" si="1505"/>
        <v>Фото &gt;&gt;</v>
      </c>
      <c r="S2702" s="14" t="s">
        <v>747</v>
      </c>
      <c r="AK2702">
        <v>0.84</v>
      </c>
      <c r="AL2702">
        <f t="shared" si="1506"/>
        <v>0</v>
      </c>
      <c r="AM2702">
        <f t="shared" si="1507"/>
        <v>0</v>
      </c>
      <c r="AN2702">
        <f t="shared" si="1508"/>
        <v>0</v>
      </c>
      <c r="AO2702" t="s">
        <v>5196</v>
      </c>
      <c r="AV2702" t="str">
        <f>IF(F2702&gt;0,(COUNT($AV$1:AV2701)+1),"")</f>
        <v/>
      </c>
    </row>
    <row r="2703" spans="1:48" ht="15" customHeight="1" x14ac:dyDescent="0.25">
      <c r="A2703" s="1"/>
      <c r="B2703" s="30">
        <v>15702</v>
      </c>
      <c r="C2703" s="20">
        <v>4680018523263</v>
      </c>
      <c r="D2703" s="153" t="s">
        <v>240</v>
      </c>
      <c r="E2703" s="67">
        <v>6</v>
      </c>
      <c r="F2703" s="222"/>
      <c r="G2703" s="107">
        <v>404</v>
      </c>
      <c r="H2703" s="21">
        <v>420</v>
      </c>
      <c r="I2703" s="22">
        <v>436</v>
      </c>
      <c r="J2703" s="112" t="s">
        <v>1026</v>
      </c>
      <c r="K2703" s="45" t="s">
        <v>19</v>
      </c>
      <c r="L2703" s="437"/>
      <c r="M2703" s="474" t="s">
        <v>1856</v>
      </c>
      <c r="N2703" s="1013" t="s">
        <v>1856</v>
      </c>
      <c r="O2703" s="212"/>
      <c r="P2703" s="66" t="s">
        <v>72</v>
      </c>
      <c r="Q2703" s="100">
        <f t="shared" si="1504"/>
        <v>0</v>
      </c>
      <c r="R2703" s="13" t="str">
        <f t="shared" si="1505"/>
        <v>Фото &gt;&gt;</v>
      </c>
      <c r="S2703" s="14" t="s">
        <v>1028</v>
      </c>
      <c r="AK2703">
        <v>0.46</v>
      </c>
      <c r="AL2703">
        <f t="shared" si="1506"/>
        <v>0</v>
      </c>
      <c r="AM2703">
        <f t="shared" si="1507"/>
        <v>0</v>
      </c>
      <c r="AN2703">
        <f t="shared" si="1508"/>
        <v>0</v>
      </c>
      <c r="AO2703" t="s">
        <v>5197</v>
      </c>
      <c r="AV2703" t="str">
        <f>IF(F2703&gt;0,(COUNT($AV$1:AV2702)+1),"")</f>
        <v/>
      </c>
    </row>
    <row r="2704" spans="1:48" ht="15" customHeight="1" x14ac:dyDescent="0.25">
      <c r="A2704" s="1"/>
      <c r="B2704" s="31">
        <v>15706</v>
      </c>
      <c r="C2704" s="16">
        <v>4680018523225</v>
      </c>
      <c r="D2704" s="154" t="s">
        <v>243</v>
      </c>
      <c r="E2704" s="69">
        <v>6</v>
      </c>
      <c r="F2704" s="222"/>
      <c r="G2704" s="108">
        <v>287</v>
      </c>
      <c r="H2704" s="17">
        <v>299</v>
      </c>
      <c r="I2704" s="18">
        <v>310</v>
      </c>
      <c r="J2704" s="113" t="s">
        <v>1026</v>
      </c>
      <c r="K2704" s="44" t="s">
        <v>19</v>
      </c>
      <c r="L2704" s="442"/>
      <c r="M2704" s="480" t="s">
        <v>1856</v>
      </c>
      <c r="N2704" s="1015" t="s">
        <v>1856</v>
      </c>
      <c r="O2704" s="217"/>
      <c r="P2704" s="68" t="s">
        <v>72</v>
      </c>
      <c r="Q2704" s="100">
        <f t="shared" si="1504"/>
        <v>0</v>
      </c>
      <c r="R2704" s="13" t="str">
        <f t="shared" si="1505"/>
        <v>Фото &gt;&gt;</v>
      </c>
      <c r="S2704" s="14" t="s">
        <v>1029</v>
      </c>
      <c r="AK2704">
        <v>0.46</v>
      </c>
      <c r="AL2704">
        <f t="shared" si="1506"/>
        <v>0</v>
      </c>
      <c r="AM2704">
        <f t="shared" si="1507"/>
        <v>0</v>
      </c>
      <c r="AN2704">
        <f t="shared" si="1508"/>
        <v>0</v>
      </c>
      <c r="AO2704" t="s">
        <v>5198</v>
      </c>
      <c r="AV2704" t="str">
        <f>IF(F2704&gt;0,(COUNT($AV$1:AV2703)+1),"")</f>
        <v/>
      </c>
    </row>
    <row r="2705" spans="1:48" ht="15" customHeight="1" x14ac:dyDescent="0.25">
      <c r="A2705" s="1"/>
      <c r="B2705" s="30">
        <v>15708</v>
      </c>
      <c r="C2705" s="20">
        <v>4680018523188</v>
      </c>
      <c r="D2705" s="153" t="s">
        <v>246</v>
      </c>
      <c r="E2705" s="67">
        <v>6</v>
      </c>
      <c r="F2705" s="222"/>
      <c r="G2705" s="107">
        <v>106</v>
      </c>
      <c r="H2705" s="21">
        <v>110</v>
      </c>
      <c r="I2705" s="22">
        <v>115</v>
      </c>
      <c r="J2705" s="112" t="s">
        <v>1026</v>
      </c>
      <c r="K2705" s="45" t="s">
        <v>19</v>
      </c>
      <c r="L2705" s="437"/>
      <c r="M2705" s="474" t="s">
        <v>1856</v>
      </c>
      <c r="N2705" s="1013" t="s">
        <v>1856</v>
      </c>
      <c r="O2705" s="212"/>
      <c r="P2705" s="66" t="s">
        <v>72</v>
      </c>
      <c r="Q2705" s="100">
        <f t="shared" si="1504"/>
        <v>0</v>
      </c>
      <c r="R2705" s="13" t="str">
        <f t="shared" si="1505"/>
        <v>Фото &gt;&gt;</v>
      </c>
      <c r="S2705" s="14" t="s">
        <v>1030</v>
      </c>
      <c r="AK2705">
        <v>0.46</v>
      </c>
      <c r="AL2705">
        <f t="shared" si="1506"/>
        <v>0</v>
      </c>
      <c r="AM2705">
        <f t="shared" si="1507"/>
        <v>0</v>
      </c>
      <c r="AN2705">
        <f t="shared" si="1508"/>
        <v>0</v>
      </c>
      <c r="AO2705" t="s">
        <v>5199</v>
      </c>
      <c r="AV2705" t="str">
        <f>IF(F2705&gt;0,(COUNT($AV$1:AV2704)+1),"")</f>
        <v/>
      </c>
    </row>
    <row r="2706" spans="1:48" ht="15" customHeight="1" x14ac:dyDescent="0.25">
      <c r="A2706" s="1"/>
      <c r="B2706" s="31">
        <v>15709</v>
      </c>
      <c r="C2706" s="16">
        <v>4680018523577</v>
      </c>
      <c r="D2706" s="154" t="s">
        <v>247</v>
      </c>
      <c r="E2706" s="69">
        <v>6</v>
      </c>
      <c r="F2706" s="222"/>
      <c r="G2706" s="108">
        <v>166</v>
      </c>
      <c r="H2706" s="17">
        <v>173</v>
      </c>
      <c r="I2706" s="18">
        <v>179</v>
      </c>
      <c r="J2706" s="113" t="s">
        <v>1026</v>
      </c>
      <c r="K2706" s="44" t="s">
        <v>19</v>
      </c>
      <c r="L2706" s="442"/>
      <c r="M2706" s="480" t="s">
        <v>1856</v>
      </c>
      <c r="N2706" s="1015" t="s">
        <v>1856</v>
      </c>
      <c r="O2706" s="217"/>
      <c r="P2706" s="68" t="s">
        <v>72</v>
      </c>
      <c r="Q2706" s="100">
        <f t="shared" si="1504"/>
        <v>0</v>
      </c>
      <c r="R2706" s="13" t="str">
        <f t="shared" si="1505"/>
        <v>Фото &gt;&gt;</v>
      </c>
      <c r="S2706" s="14" t="s">
        <v>1030</v>
      </c>
      <c r="AK2706">
        <v>0.84</v>
      </c>
      <c r="AL2706">
        <f t="shared" si="1506"/>
        <v>0</v>
      </c>
      <c r="AM2706">
        <f t="shared" si="1507"/>
        <v>0</v>
      </c>
      <c r="AN2706">
        <f t="shared" si="1508"/>
        <v>0</v>
      </c>
      <c r="AO2706" t="s">
        <v>5200</v>
      </c>
      <c r="AV2706" t="str">
        <f>IF(F2706&gt;0,(COUNT($AV$1:AV2705)+1),"")</f>
        <v/>
      </c>
    </row>
    <row r="2707" spans="1:48" ht="15" customHeight="1" x14ac:dyDescent="0.25">
      <c r="A2707" s="1"/>
      <c r="B2707" s="30">
        <v>15710</v>
      </c>
      <c r="C2707" s="20">
        <v>4680018523829</v>
      </c>
      <c r="D2707" s="153" t="s">
        <v>254</v>
      </c>
      <c r="E2707" s="67">
        <v>6</v>
      </c>
      <c r="F2707" s="222"/>
      <c r="G2707" s="107">
        <v>218</v>
      </c>
      <c r="H2707" s="21">
        <v>226</v>
      </c>
      <c r="I2707" s="22">
        <v>235</v>
      </c>
      <c r="J2707" s="112" t="s">
        <v>1026</v>
      </c>
      <c r="K2707" s="45" t="s">
        <v>19</v>
      </c>
      <c r="L2707" s="437"/>
      <c r="M2707" s="474" t="s">
        <v>1856</v>
      </c>
      <c r="N2707" s="1013" t="s">
        <v>1856</v>
      </c>
      <c r="O2707" s="212"/>
      <c r="P2707" s="66" t="s">
        <v>72</v>
      </c>
      <c r="Q2707" s="100">
        <f t="shared" si="1504"/>
        <v>0</v>
      </c>
      <c r="R2707" s="13" t="str">
        <f t="shared" si="1505"/>
        <v>Фото &gt;&gt;</v>
      </c>
      <c r="S2707" s="14" t="s">
        <v>1031</v>
      </c>
      <c r="AK2707">
        <v>0.46</v>
      </c>
      <c r="AL2707">
        <f t="shared" si="1506"/>
        <v>0</v>
      </c>
      <c r="AM2707">
        <f t="shared" si="1507"/>
        <v>0</v>
      </c>
      <c r="AN2707">
        <f t="shared" si="1508"/>
        <v>0</v>
      </c>
      <c r="AO2707" t="s">
        <v>5201</v>
      </c>
      <c r="AV2707" t="str">
        <f>IF(F2707&gt;0,(COUNT($AV$1:AV2706)+1),"")</f>
        <v/>
      </c>
    </row>
    <row r="2708" spans="1:48" ht="15" customHeight="1" x14ac:dyDescent="0.25">
      <c r="A2708" s="1"/>
      <c r="B2708" s="31">
        <v>15713</v>
      </c>
      <c r="C2708" s="16">
        <v>4680018523645</v>
      </c>
      <c r="D2708" s="154" t="s">
        <v>265</v>
      </c>
      <c r="E2708" s="69">
        <v>6</v>
      </c>
      <c r="F2708" s="222"/>
      <c r="G2708" s="108">
        <v>691</v>
      </c>
      <c r="H2708" s="17">
        <v>719</v>
      </c>
      <c r="I2708" s="18">
        <v>747</v>
      </c>
      <c r="J2708" s="113" t="s">
        <v>1026</v>
      </c>
      <c r="K2708" s="44" t="s">
        <v>19</v>
      </c>
      <c r="L2708" s="442"/>
      <c r="M2708" s="480" t="s">
        <v>1856</v>
      </c>
      <c r="N2708" s="1015" t="s">
        <v>1856</v>
      </c>
      <c r="O2708" s="217"/>
      <c r="P2708" s="68" t="s">
        <v>72</v>
      </c>
      <c r="Q2708" s="100">
        <f t="shared" si="1504"/>
        <v>0</v>
      </c>
      <c r="R2708" s="13" t="str">
        <f t="shared" si="1505"/>
        <v>Фото &gt;&gt;</v>
      </c>
      <c r="S2708" s="14" t="s">
        <v>1032</v>
      </c>
      <c r="AK2708">
        <v>0.46</v>
      </c>
      <c r="AL2708">
        <f t="shared" si="1506"/>
        <v>0</v>
      </c>
      <c r="AM2708">
        <f t="shared" si="1507"/>
        <v>0</v>
      </c>
      <c r="AN2708">
        <f t="shared" si="1508"/>
        <v>0</v>
      </c>
      <c r="AO2708" t="s">
        <v>5202</v>
      </c>
      <c r="AV2708" t="str">
        <f>IF(F2708&gt;0,(COUNT($AV$1:AV2707)+1),"")</f>
        <v/>
      </c>
    </row>
    <row r="2709" spans="1:48" ht="15" customHeight="1" x14ac:dyDescent="0.25">
      <c r="A2709" s="1"/>
      <c r="B2709" s="30">
        <v>15714</v>
      </c>
      <c r="C2709" s="20">
        <v>4980018523652</v>
      </c>
      <c r="D2709" s="153" t="s">
        <v>1034</v>
      </c>
      <c r="E2709" s="67">
        <v>6</v>
      </c>
      <c r="F2709" s="222"/>
      <c r="G2709" s="107">
        <v>1065</v>
      </c>
      <c r="H2709" s="21">
        <v>1107</v>
      </c>
      <c r="I2709" s="22">
        <v>1150</v>
      </c>
      <c r="J2709" s="112" t="s">
        <v>1026</v>
      </c>
      <c r="K2709" s="45" t="s">
        <v>19</v>
      </c>
      <c r="L2709" s="437"/>
      <c r="M2709" s="474" t="s">
        <v>1856</v>
      </c>
      <c r="N2709" s="1013" t="s">
        <v>1856</v>
      </c>
      <c r="O2709" s="212"/>
      <c r="P2709" s="66" t="s">
        <v>72</v>
      </c>
      <c r="Q2709" s="100">
        <f t="shared" si="1504"/>
        <v>0</v>
      </c>
      <c r="R2709" s="13" t="str">
        <f t="shared" si="1505"/>
        <v>Фото &gt;&gt;</v>
      </c>
      <c r="S2709" s="14" t="s">
        <v>1032</v>
      </c>
      <c r="AK2709">
        <v>0.84</v>
      </c>
      <c r="AL2709">
        <f t="shared" si="1506"/>
        <v>0</v>
      </c>
      <c r="AM2709">
        <f t="shared" si="1507"/>
        <v>0</v>
      </c>
      <c r="AN2709">
        <f t="shared" si="1508"/>
        <v>0</v>
      </c>
      <c r="AO2709" t="s">
        <v>5203</v>
      </c>
      <c r="AV2709" t="str">
        <f>IF(F2709&gt;0,(COUNT($AV$1:AV2708)+1),"")</f>
        <v/>
      </c>
    </row>
    <row r="2710" spans="1:48" ht="15" customHeight="1" x14ac:dyDescent="0.25">
      <c r="A2710" s="1"/>
      <c r="B2710" s="25"/>
      <c r="C2710" s="26"/>
      <c r="D2710" s="27" t="s">
        <v>77</v>
      </c>
      <c r="E2710" s="80"/>
      <c r="F2710" s="96"/>
      <c r="G2710" s="28"/>
      <c r="H2710" s="29"/>
      <c r="I2710" s="29"/>
      <c r="J2710" s="51"/>
      <c r="K2710" s="47"/>
      <c r="L2710" s="447"/>
      <c r="M2710" s="489"/>
      <c r="N2710" s="716"/>
      <c r="O2710" s="186"/>
      <c r="P2710" s="79"/>
      <c r="Q2710" s="104"/>
      <c r="R2710" s="13"/>
      <c r="S2710" s="14"/>
      <c r="AL2710">
        <f t="shared" si="1506"/>
        <v>0</v>
      </c>
      <c r="AM2710">
        <f t="shared" si="1507"/>
        <v>0</v>
      </c>
      <c r="AN2710">
        <f t="shared" si="1508"/>
        <v>0</v>
      </c>
      <c r="AO2710" t="s">
        <v>104</v>
      </c>
      <c r="AV2710" t="str">
        <f>IF(F2710&gt;0,(COUNT($AV$1:AV2709)+1),"")</f>
        <v/>
      </c>
    </row>
    <row r="2711" spans="1:48" ht="15" customHeight="1" x14ac:dyDescent="0.25">
      <c r="A2711" s="1"/>
      <c r="B2711" s="30">
        <v>16592</v>
      </c>
      <c r="C2711" s="20">
        <v>4680018522570</v>
      </c>
      <c r="D2711" s="153" t="s">
        <v>774</v>
      </c>
      <c r="E2711" s="67">
        <v>10</v>
      </c>
      <c r="F2711" s="222"/>
      <c r="G2711" s="107">
        <v>73.3</v>
      </c>
      <c r="H2711" s="21">
        <v>80</v>
      </c>
      <c r="I2711" s="22">
        <v>86.5</v>
      </c>
      <c r="J2711" s="112" t="s">
        <v>1026</v>
      </c>
      <c r="K2711" s="45" t="s">
        <v>78</v>
      </c>
      <c r="L2711" s="437"/>
      <c r="M2711" s="474" t="s">
        <v>1856</v>
      </c>
      <c r="N2711" s="1013" t="s">
        <v>1856</v>
      </c>
      <c r="O2711" s="212"/>
      <c r="P2711" s="66" t="s">
        <v>72</v>
      </c>
      <c r="Q2711" s="100">
        <f>IF($AO$2699=2,F2711*H2711,IF($AO$2699=1,F2711*G2711,F2711*I2711))</f>
        <v>0</v>
      </c>
      <c r="R2711" s="13" t="str">
        <f t="shared" si="1484"/>
        <v>Фото &gt;&gt;</v>
      </c>
      <c r="S2711" s="14" t="s">
        <v>571</v>
      </c>
      <c r="AK2711">
        <v>0.33</v>
      </c>
      <c r="AL2711">
        <f t="shared" si="1506"/>
        <v>0</v>
      </c>
      <c r="AM2711">
        <f t="shared" si="1507"/>
        <v>0</v>
      </c>
      <c r="AN2711">
        <f t="shared" si="1508"/>
        <v>0</v>
      </c>
      <c r="AO2711" t="s">
        <v>5204</v>
      </c>
      <c r="AV2711" t="str">
        <f>IF(F2711&gt;0,(COUNT($AV$1:AV2710)+1),"")</f>
        <v/>
      </c>
    </row>
    <row r="2712" spans="1:48" ht="15" customHeight="1" x14ac:dyDescent="0.25">
      <c r="A2712" s="1"/>
      <c r="B2712" s="31">
        <v>16593</v>
      </c>
      <c r="C2712" s="16">
        <v>4680018522617</v>
      </c>
      <c r="D2712" s="154" t="s">
        <v>1035</v>
      </c>
      <c r="E2712" s="69">
        <v>10</v>
      </c>
      <c r="F2712" s="222"/>
      <c r="G2712" s="108">
        <v>65</v>
      </c>
      <c r="H2712" s="17">
        <v>68.3</v>
      </c>
      <c r="I2712" s="18">
        <v>73.7</v>
      </c>
      <c r="J2712" s="113" t="s">
        <v>1026</v>
      </c>
      <c r="K2712" s="44" t="s">
        <v>78</v>
      </c>
      <c r="L2712" s="442"/>
      <c r="M2712" s="480" t="s">
        <v>1856</v>
      </c>
      <c r="N2712" s="1015" t="s">
        <v>1856</v>
      </c>
      <c r="O2712" s="217"/>
      <c r="P2712" s="68" t="s">
        <v>72</v>
      </c>
      <c r="Q2712" s="100">
        <f>IF($AO$2699=2,F2712*H2712,IF($AO$2699=1,F2712*G2712,F2712*I2712))</f>
        <v>0</v>
      </c>
      <c r="R2712" s="13" t="str">
        <f t="shared" si="1484"/>
        <v>Фото &gt;&gt;</v>
      </c>
      <c r="S2712" s="14" t="s">
        <v>400</v>
      </c>
      <c r="AK2712">
        <v>0.33</v>
      </c>
      <c r="AL2712">
        <f t="shared" si="1506"/>
        <v>0</v>
      </c>
      <c r="AM2712">
        <f t="shared" si="1507"/>
        <v>0</v>
      </c>
      <c r="AN2712">
        <f t="shared" si="1508"/>
        <v>0</v>
      </c>
      <c r="AO2712" t="s">
        <v>5205</v>
      </c>
      <c r="AV2712" t="str">
        <f>IF(F2712&gt;0,(COUNT($AV$1:AV2711)+1),"")</f>
        <v/>
      </c>
    </row>
    <row r="2713" spans="1:48" ht="15" customHeight="1" x14ac:dyDescent="0.25">
      <c r="A2713" s="1"/>
      <c r="B2713" s="30">
        <v>16596</v>
      </c>
      <c r="C2713" s="20">
        <v>4680018522532</v>
      </c>
      <c r="D2713" s="153" t="s">
        <v>777</v>
      </c>
      <c r="E2713" s="67">
        <v>10</v>
      </c>
      <c r="F2713" s="222"/>
      <c r="G2713" s="107">
        <v>64.599999999999994</v>
      </c>
      <c r="H2713" s="21">
        <v>67.900000000000006</v>
      </c>
      <c r="I2713" s="22">
        <v>73.3</v>
      </c>
      <c r="J2713" s="112" t="s">
        <v>1026</v>
      </c>
      <c r="K2713" s="45" t="s">
        <v>78</v>
      </c>
      <c r="L2713" s="437"/>
      <c r="M2713" s="474" t="s">
        <v>1856</v>
      </c>
      <c r="N2713" s="1013" t="s">
        <v>1856</v>
      </c>
      <c r="O2713" s="212"/>
      <c r="P2713" s="66" t="s">
        <v>72</v>
      </c>
      <c r="Q2713" s="100">
        <f>IF($AO$2699=2,F2713*H2713,IF($AO$2699=1,F2713*G2713,F2713*I2713))</f>
        <v>0</v>
      </c>
      <c r="R2713" s="13" t="str">
        <f t="shared" si="1484"/>
        <v>Фото &gt;&gt;</v>
      </c>
      <c r="S2713" s="14" t="s">
        <v>401</v>
      </c>
      <c r="AK2713">
        <v>0.33</v>
      </c>
      <c r="AL2713">
        <f t="shared" si="1506"/>
        <v>0</v>
      </c>
      <c r="AM2713">
        <f t="shared" si="1507"/>
        <v>0</v>
      </c>
      <c r="AN2713">
        <f t="shared" si="1508"/>
        <v>0</v>
      </c>
      <c r="AO2713" t="s">
        <v>5206</v>
      </c>
      <c r="AV2713" t="str">
        <f>IF(F2713&gt;0,(COUNT($AV$1:AV2712)+1),"")</f>
        <v/>
      </c>
    </row>
    <row r="2714" spans="1:48" ht="15" customHeight="1" x14ac:dyDescent="0.25">
      <c r="A2714" s="1"/>
      <c r="B2714" s="125"/>
      <c r="C2714" s="126"/>
      <c r="D2714" s="127"/>
      <c r="E2714" s="134"/>
      <c r="F2714" s="189"/>
      <c r="G2714" s="130"/>
      <c r="H2714" s="131"/>
      <c r="I2714" s="132"/>
      <c r="J2714" s="128"/>
      <c r="K2714" s="129"/>
      <c r="L2714" s="433"/>
      <c r="M2714" s="481" t="s">
        <v>104</v>
      </c>
      <c r="N2714" s="471"/>
      <c r="O2714" s="181"/>
      <c r="P2714" s="133"/>
      <c r="Q2714" s="135"/>
      <c r="R2714" s="13"/>
      <c r="S2714" s="14"/>
      <c r="AV2714" t="str">
        <f>IF(F2714&gt;0,(COUNT($AV$1:AV2713)+1),"")</f>
        <v/>
      </c>
    </row>
    <row r="2715" spans="1:48" ht="15" customHeight="1" thickBot="1" x14ac:dyDescent="0.3">
      <c r="A2715" s="1"/>
      <c r="B2715" s="136"/>
      <c r="C2715" s="137"/>
      <c r="D2715" s="138"/>
      <c r="E2715" s="145"/>
      <c r="F2715" s="190"/>
      <c r="G2715" s="141"/>
      <c r="H2715" s="142"/>
      <c r="I2715" s="143"/>
      <c r="J2715" s="139"/>
      <c r="K2715" s="140"/>
      <c r="L2715" s="434"/>
      <c r="M2715" s="477" t="s">
        <v>104</v>
      </c>
      <c r="N2715" s="468"/>
      <c r="O2715" s="182"/>
      <c r="P2715" s="144"/>
      <c r="Q2715" s="146"/>
      <c r="R2715" s="13"/>
      <c r="S2715" s="14"/>
      <c r="AV2715" t="str">
        <f>IF(F2715&gt;0,(COUNT($AV$1:AV2714)+1),"")</f>
        <v/>
      </c>
    </row>
    <row r="2716" spans="1:48" ht="24.75" customHeight="1" thickBot="1" x14ac:dyDescent="0.3">
      <c r="A2716" s="1"/>
      <c r="B2716" s="597"/>
      <c r="C2716" s="598"/>
      <c r="D2716" s="599" t="str">
        <f>CONCATENATE("Диал экспорт","     |     Сумма заказа: ",AK2716," руб.")</f>
        <v>Диал экспорт     |     Сумма заказа: 0 руб.</v>
      </c>
      <c r="E2716" s="600"/>
      <c r="F2716" s="601"/>
      <c r="G2716" s="602" t="str">
        <f>CONCATENATE("Ценовая колонка: ",AO2716,"   |   До следующей скидки: ",AJ2716," руб.")</f>
        <v>Ценовая колонка: 3   |   До следующей скидки: 3000 руб.</v>
      </c>
      <c r="H2716" s="603"/>
      <c r="I2716" s="603"/>
      <c r="J2716" s="604" t="s">
        <v>4244</v>
      </c>
      <c r="K2716" s="605"/>
      <c r="L2716" s="606"/>
      <c r="M2716" s="607" t="s">
        <v>104</v>
      </c>
      <c r="N2716" s="1033"/>
      <c r="O2716" s="608"/>
      <c r="P2716" s="609"/>
      <c r="Q2716" s="610"/>
      <c r="R2716" s="611" t="s">
        <v>1558</v>
      </c>
      <c r="S2716" s="14"/>
      <c r="AJ2716">
        <f>ROUND(IF(AL2716&gt;10000,"0", IF(AND(AL2716&lt;10000,AM2716&gt;3000),10000-AL2716,3000-AM2716)),2)</f>
        <v>3000</v>
      </c>
      <c r="AK2716">
        <f>SUM(Q2722:Q2728)</f>
        <v>0</v>
      </c>
      <c r="AL2716">
        <f>SUM(AL2722:AL2728)</f>
        <v>0</v>
      </c>
      <c r="AM2716">
        <f>SUM(AM2722:AM2728)</f>
        <v>0</v>
      </c>
      <c r="AO2716">
        <f>IF(AM2716&gt;5000,IF(AL2716&gt;15000,1,2),3)</f>
        <v>3</v>
      </c>
      <c r="AV2716" t="str">
        <f>IF(F2716&gt;0,(COUNT($AV$1:AV2715)+1),"")</f>
        <v/>
      </c>
    </row>
    <row r="2717" spans="1:48" ht="15" customHeight="1" x14ac:dyDescent="0.25">
      <c r="A2717" s="1"/>
      <c r="B2717" s="158"/>
      <c r="C2717" s="159"/>
      <c r="D2717" s="263" t="s">
        <v>4245</v>
      </c>
      <c r="E2717" s="238"/>
      <c r="F2717" s="203"/>
      <c r="G2717" s="239"/>
      <c r="H2717" s="240"/>
      <c r="I2717" s="240"/>
      <c r="J2717" s="241"/>
      <c r="K2717" s="201"/>
      <c r="L2717" s="428"/>
      <c r="M2717" s="475"/>
      <c r="N2717" s="467"/>
      <c r="O2717" s="166"/>
      <c r="P2717" s="242"/>
      <c r="Q2717" s="202"/>
      <c r="R2717" s="13"/>
      <c r="S2717" s="14"/>
      <c r="AV2717" t="str">
        <f>IF(F2717&gt;0,(COUNT($AV$1:AV2716)+1),"")</f>
        <v/>
      </c>
    </row>
    <row r="2718" spans="1:48" ht="15" customHeight="1" x14ac:dyDescent="0.25">
      <c r="A2718" s="1"/>
      <c r="B2718" s="158"/>
      <c r="C2718" s="159"/>
      <c r="D2718" s="263" t="s">
        <v>4000</v>
      </c>
      <c r="E2718" s="238"/>
      <c r="F2718" s="203"/>
      <c r="G2718" s="239"/>
      <c r="H2718" s="240"/>
      <c r="I2718" s="240"/>
      <c r="J2718" s="241"/>
      <c r="K2718" s="201"/>
      <c r="L2718" s="428"/>
      <c r="M2718" s="475"/>
      <c r="N2718" s="467"/>
      <c r="O2718" s="166"/>
      <c r="P2718" s="242"/>
      <c r="Q2718" s="202"/>
      <c r="R2718" s="13"/>
      <c r="S2718" s="14"/>
      <c r="AV2718" t="str">
        <f>IF(F2718&gt;0,(COUNT($AV$1:AV2717)+1),"")</f>
        <v/>
      </c>
    </row>
    <row r="2719" spans="1:48" ht="15" customHeight="1" x14ac:dyDescent="0.25">
      <c r="A2719" s="1"/>
      <c r="B2719" s="158"/>
      <c r="C2719" s="159"/>
      <c r="D2719" s="263" t="s">
        <v>4246</v>
      </c>
      <c r="E2719" s="238"/>
      <c r="F2719" s="203"/>
      <c r="G2719" s="239"/>
      <c r="H2719" s="240"/>
      <c r="I2719" s="240"/>
      <c r="J2719" s="241"/>
      <c r="K2719" s="201"/>
      <c r="L2719" s="428"/>
      <c r="M2719" s="475"/>
      <c r="N2719" s="467"/>
      <c r="O2719" s="166"/>
      <c r="P2719" s="242"/>
      <c r="Q2719" s="202"/>
      <c r="R2719" s="13"/>
      <c r="S2719" s="14"/>
      <c r="AV2719" t="str">
        <f>IF(F2719&gt;0,(COUNT($AV$1:AV2718)+1),"")</f>
        <v/>
      </c>
    </row>
    <row r="2720" spans="1:48" ht="15" customHeight="1" x14ac:dyDescent="0.25">
      <c r="A2720" s="1"/>
      <c r="B2720" s="158"/>
      <c r="C2720" s="159"/>
      <c r="D2720" s="263"/>
      <c r="E2720" s="238"/>
      <c r="F2720" s="203"/>
      <c r="G2720" s="239"/>
      <c r="H2720" s="240"/>
      <c r="I2720" s="240"/>
      <c r="J2720" s="241"/>
      <c r="K2720" s="201"/>
      <c r="L2720" s="428"/>
      <c r="M2720" s="475"/>
      <c r="N2720" s="467"/>
      <c r="O2720" s="166"/>
      <c r="P2720" s="242"/>
      <c r="Q2720" s="202"/>
      <c r="R2720" s="13"/>
      <c r="S2720" s="14"/>
      <c r="AV2720" t="str">
        <f>IF(F2720&gt;0,(COUNT($AV$1:AV2719)+1),"")</f>
        <v/>
      </c>
    </row>
    <row r="2721" spans="1:48" ht="15" customHeight="1" x14ac:dyDescent="0.25">
      <c r="A2721" s="1"/>
      <c r="B2721" s="612"/>
      <c r="C2721" s="613"/>
      <c r="D2721" s="9" t="s">
        <v>19</v>
      </c>
      <c r="E2721" s="77"/>
      <c r="F2721" s="95"/>
      <c r="G2721" s="10" t="s">
        <v>170</v>
      </c>
      <c r="H2721" s="11" t="s">
        <v>16</v>
      </c>
      <c r="I2721" s="11" t="s">
        <v>221</v>
      </c>
      <c r="J2721" s="50"/>
      <c r="K2721" s="42"/>
      <c r="L2721" s="445"/>
      <c r="M2721" s="487" t="s">
        <v>104</v>
      </c>
      <c r="N2721" s="1017"/>
      <c r="O2721" s="185"/>
      <c r="P2721" s="76"/>
      <c r="Q2721" s="102"/>
      <c r="R2721" s="13"/>
      <c r="S2721" s="14"/>
      <c r="AV2721" t="str">
        <f>IF(F2721&gt;0,(COUNT($AV$1:AV2720)+1),"")</f>
        <v/>
      </c>
    </row>
    <row r="2722" spans="1:48" ht="15" customHeight="1" x14ac:dyDescent="0.25">
      <c r="A2722" s="1"/>
      <c r="B2722" s="31">
        <v>20660</v>
      </c>
      <c r="C2722" s="16">
        <v>4660013181279</v>
      </c>
      <c r="D2722" s="226" t="s">
        <v>4257</v>
      </c>
      <c r="E2722" s="69">
        <v>6</v>
      </c>
      <c r="F2722" s="222"/>
      <c r="G2722" s="108">
        <v>192.5</v>
      </c>
      <c r="H2722" s="17">
        <v>202</v>
      </c>
      <c r="I2722" s="18">
        <v>215</v>
      </c>
      <c r="J2722" s="113" t="s">
        <v>4244</v>
      </c>
      <c r="K2722" s="44" t="s">
        <v>19</v>
      </c>
      <c r="L2722" s="442" t="s">
        <v>4258</v>
      </c>
      <c r="M2722" s="480" t="s">
        <v>1856</v>
      </c>
      <c r="N2722" s="1015" t="s">
        <v>1856</v>
      </c>
      <c r="O2722" s="210"/>
      <c r="P2722" s="68" t="s">
        <v>50</v>
      </c>
      <c r="Q2722" s="100">
        <f t="shared" ref="Q2722:Q2728" si="1509">IF($AO$2716=2,F2722*H2722,IF($AO$2716=1,F2722*G2722,F2722*I2722))</f>
        <v>0</v>
      </c>
      <c r="R2722" s="13" t="str">
        <f t="shared" ref="R2722:R2728" si="1510">IF(AO2722&gt;0,HYPERLINK(AO2722,"Фото &gt;&gt;"),"")</f>
        <v>Фото &gt;&gt;</v>
      </c>
      <c r="S2722" s="14" t="s">
        <v>4253</v>
      </c>
      <c r="AK2722">
        <v>0.42</v>
      </c>
      <c r="AL2722">
        <f t="shared" ref="AL2722:AL2728" si="1511">F2722*G2722</f>
        <v>0</v>
      </c>
      <c r="AM2722">
        <f t="shared" ref="AM2722:AM2728" si="1512">F2722*H2722</f>
        <v>0</v>
      </c>
      <c r="AN2722">
        <f t="shared" ref="AN2722:AN2728" si="1513">AK2722*F2722+IF(E2722&gt;1.01,F2722/E2722*0.2,0)</f>
        <v>0</v>
      </c>
      <c r="AO2722" t="s">
        <v>4259</v>
      </c>
      <c r="AV2722" t="str">
        <f>IF(F2722&gt;0,(COUNT($AV$1:AV2721)+1),"")</f>
        <v/>
      </c>
    </row>
    <row r="2723" spans="1:48" ht="15" customHeight="1" x14ac:dyDescent="0.25">
      <c r="A2723" s="1"/>
      <c r="B2723" s="30">
        <v>20663</v>
      </c>
      <c r="C2723" s="20">
        <v>4660013181002</v>
      </c>
      <c r="D2723" s="225" t="s">
        <v>4248</v>
      </c>
      <c r="E2723" s="67">
        <v>6</v>
      </c>
      <c r="F2723" s="222"/>
      <c r="G2723" s="107">
        <v>299</v>
      </c>
      <c r="H2723" s="21">
        <v>314</v>
      </c>
      <c r="I2723" s="22">
        <v>330</v>
      </c>
      <c r="J2723" s="112" t="s">
        <v>4244</v>
      </c>
      <c r="K2723" s="45" t="s">
        <v>19</v>
      </c>
      <c r="L2723" s="437" t="s">
        <v>4258</v>
      </c>
      <c r="M2723" s="474" t="s">
        <v>1856</v>
      </c>
      <c r="N2723" s="1013" t="s">
        <v>1856</v>
      </c>
      <c r="O2723" s="209"/>
      <c r="P2723" s="66" t="s">
        <v>50</v>
      </c>
      <c r="Q2723" s="100">
        <f t="shared" si="1509"/>
        <v>0</v>
      </c>
      <c r="R2723" s="13" t="str">
        <f t="shared" si="1510"/>
        <v>Фото &gt;&gt;</v>
      </c>
      <c r="S2723" s="14" t="s">
        <v>4254</v>
      </c>
      <c r="AK2723">
        <v>0.42</v>
      </c>
      <c r="AL2723">
        <f t="shared" si="1511"/>
        <v>0</v>
      </c>
      <c r="AM2723">
        <f t="shared" si="1512"/>
        <v>0</v>
      </c>
      <c r="AN2723">
        <f t="shared" si="1513"/>
        <v>0</v>
      </c>
      <c r="AO2723" t="s">
        <v>4260</v>
      </c>
      <c r="AV2723" t="str">
        <f>IF(F2723&gt;0,(COUNT($AV$1:AV2722)+1),"")</f>
        <v/>
      </c>
    </row>
    <row r="2724" spans="1:48" ht="15" customHeight="1" x14ac:dyDescent="0.25">
      <c r="A2724" s="1"/>
      <c r="B2724" s="31">
        <v>20667</v>
      </c>
      <c r="C2724" s="16">
        <v>4660013180975</v>
      </c>
      <c r="D2724" s="226" t="s">
        <v>4247</v>
      </c>
      <c r="E2724" s="69">
        <v>6</v>
      </c>
      <c r="F2724" s="222"/>
      <c r="G2724" s="108">
        <v>487.5</v>
      </c>
      <c r="H2724" s="17">
        <v>512</v>
      </c>
      <c r="I2724" s="18">
        <v>540</v>
      </c>
      <c r="J2724" s="113" t="s">
        <v>4244</v>
      </c>
      <c r="K2724" s="44" t="s">
        <v>19</v>
      </c>
      <c r="L2724" s="442" t="s">
        <v>4258</v>
      </c>
      <c r="M2724" s="480" t="s">
        <v>1856</v>
      </c>
      <c r="N2724" s="1015" t="s">
        <v>1856</v>
      </c>
      <c r="O2724" s="210"/>
      <c r="P2724" s="68" t="s">
        <v>50</v>
      </c>
      <c r="Q2724" s="100">
        <f t="shared" si="1509"/>
        <v>0</v>
      </c>
      <c r="R2724" s="13" t="str">
        <f t="shared" si="1510"/>
        <v>Фото &gt;&gt;</v>
      </c>
      <c r="S2724" s="14" t="s">
        <v>4254</v>
      </c>
      <c r="AK2724">
        <v>0.72</v>
      </c>
      <c r="AL2724">
        <f t="shared" si="1511"/>
        <v>0</v>
      </c>
      <c r="AM2724">
        <f t="shared" si="1512"/>
        <v>0</v>
      </c>
      <c r="AN2724">
        <f t="shared" si="1513"/>
        <v>0</v>
      </c>
      <c r="AO2724" t="s">
        <v>4261</v>
      </c>
      <c r="AV2724" t="str">
        <f>IF(F2724&gt;0,(COUNT($AV$1:AV2723)+1),"")</f>
        <v/>
      </c>
    </row>
    <row r="2725" spans="1:48" ht="15" customHeight="1" x14ac:dyDescent="0.25">
      <c r="A2725" s="1"/>
      <c r="B2725" s="30">
        <v>20665</v>
      </c>
      <c r="C2725" s="20">
        <v>4660013180586</v>
      </c>
      <c r="D2725" s="225" t="s">
        <v>4249</v>
      </c>
      <c r="E2725" s="67">
        <v>6</v>
      </c>
      <c r="F2725" s="222"/>
      <c r="G2725" s="107">
        <v>110</v>
      </c>
      <c r="H2725" s="21">
        <v>115.5</v>
      </c>
      <c r="I2725" s="22">
        <v>122</v>
      </c>
      <c r="J2725" s="112" t="s">
        <v>4244</v>
      </c>
      <c r="K2725" s="45" t="s">
        <v>19</v>
      </c>
      <c r="L2725" s="437" t="s">
        <v>4258</v>
      </c>
      <c r="M2725" s="474" t="s">
        <v>1856</v>
      </c>
      <c r="N2725" s="1013" t="s">
        <v>1856</v>
      </c>
      <c r="O2725" s="209"/>
      <c r="P2725" s="66" t="s">
        <v>50</v>
      </c>
      <c r="Q2725" s="100">
        <f t="shared" si="1509"/>
        <v>0</v>
      </c>
      <c r="R2725" s="13" t="str">
        <f t="shared" si="1510"/>
        <v>Фото &gt;&gt;</v>
      </c>
      <c r="S2725" s="14" t="s">
        <v>1163</v>
      </c>
      <c r="AK2725">
        <v>0.42</v>
      </c>
      <c r="AL2725">
        <f t="shared" si="1511"/>
        <v>0</v>
      </c>
      <c r="AM2725">
        <f t="shared" si="1512"/>
        <v>0</v>
      </c>
      <c r="AN2725">
        <f t="shared" si="1513"/>
        <v>0</v>
      </c>
      <c r="AO2725" t="s">
        <v>4262</v>
      </c>
      <c r="AV2725" t="str">
        <f>IF(F2725&gt;0,(COUNT($AV$1:AV2724)+1),"")</f>
        <v/>
      </c>
    </row>
    <row r="2726" spans="1:48" ht="15" customHeight="1" x14ac:dyDescent="0.25">
      <c r="A2726" s="1"/>
      <c r="B2726" s="31">
        <v>20664</v>
      </c>
      <c r="C2726" s="16">
        <v>4660013180555</v>
      </c>
      <c r="D2726" s="226" t="s">
        <v>4250</v>
      </c>
      <c r="E2726" s="69">
        <v>6</v>
      </c>
      <c r="F2726" s="222"/>
      <c r="G2726" s="108">
        <v>174</v>
      </c>
      <c r="H2726" s="17">
        <v>182</v>
      </c>
      <c r="I2726" s="18">
        <v>192</v>
      </c>
      <c r="J2726" s="113" t="s">
        <v>4244</v>
      </c>
      <c r="K2726" s="44" t="s">
        <v>19</v>
      </c>
      <c r="L2726" s="442" t="s">
        <v>4258</v>
      </c>
      <c r="M2726" s="480" t="s">
        <v>1856</v>
      </c>
      <c r="N2726" s="1015" t="s">
        <v>1856</v>
      </c>
      <c r="O2726" s="210"/>
      <c r="P2726" s="68" t="s">
        <v>50</v>
      </c>
      <c r="Q2726" s="100">
        <f t="shared" si="1509"/>
        <v>0</v>
      </c>
      <c r="R2726" s="13" t="str">
        <f t="shared" si="1510"/>
        <v>Фото &gt;&gt;</v>
      </c>
      <c r="S2726" s="14" t="s">
        <v>1163</v>
      </c>
      <c r="AK2726">
        <v>0.72</v>
      </c>
      <c r="AL2726">
        <f t="shared" si="1511"/>
        <v>0</v>
      </c>
      <c r="AM2726">
        <f t="shared" si="1512"/>
        <v>0</v>
      </c>
      <c r="AN2726">
        <f t="shared" si="1513"/>
        <v>0</v>
      </c>
      <c r="AO2726" t="s">
        <v>4263</v>
      </c>
      <c r="AV2726" t="str">
        <f>IF(F2726&gt;0,(COUNT($AV$1:AV2725)+1),"")</f>
        <v/>
      </c>
    </row>
    <row r="2727" spans="1:48" ht="15" customHeight="1" x14ac:dyDescent="0.25">
      <c r="A2727" s="1"/>
      <c r="B2727" s="30">
        <v>20666</v>
      </c>
      <c r="C2727" s="20">
        <v>4660013182160</v>
      </c>
      <c r="D2727" s="225" t="s">
        <v>4251</v>
      </c>
      <c r="E2727" s="67">
        <v>6</v>
      </c>
      <c r="F2727" s="222"/>
      <c r="G2727" s="107">
        <v>227.5</v>
      </c>
      <c r="H2727" s="21">
        <v>239</v>
      </c>
      <c r="I2727" s="22">
        <v>252</v>
      </c>
      <c r="J2727" s="112" t="s">
        <v>4244</v>
      </c>
      <c r="K2727" s="45" t="s">
        <v>19</v>
      </c>
      <c r="L2727" s="437" t="s">
        <v>4258</v>
      </c>
      <c r="M2727" s="474" t="s">
        <v>1856</v>
      </c>
      <c r="N2727" s="1013" t="s">
        <v>1856</v>
      </c>
      <c r="O2727" s="209"/>
      <c r="P2727" s="66" t="s">
        <v>50</v>
      </c>
      <c r="Q2727" s="100">
        <f t="shared" si="1509"/>
        <v>0</v>
      </c>
      <c r="R2727" s="13" t="str">
        <f t="shared" si="1510"/>
        <v>Фото &gt;&gt;</v>
      </c>
      <c r="S2727" s="14" t="s">
        <v>4255</v>
      </c>
      <c r="AK2727">
        <v>0.42</v>
      </c>
      <c r="AL2727">
        <f t="shared" si="1511"/>
        <v>0</v>
      </c>
      <c r="AM2727">
        <f t="shared" si="1512"/>
        <v>0</v>
      </c>
      <c r="AN2727">
        <f t="shared" si="1513"/>
        <v>0</v>
      </c>
      <c r="AO2727" t="s">
        <v>4264</v>
      </c>
      <c r="AV2727" t="str">
        <f>IF(F2727&gt;0,(COUNT($AV$1:AV2726)+1),"")</f>
        <v/>
      </c>
    </row>
    <row r="2728" spans="1:48" ht="15" customHeight="1" x14ac:dyDescent="0.25">
      <c r="A2728" s="1"/>
      <c r="B2728" s="31">
        <v>20661</v>
      </c>
      <c r="C2728" s="16">
        <v>4660013180708</v>
      </c>
      <c r="D2728" s="226" t="s">
        <v>4252</v>
      </c>
      <c r="E2728" s="69">
        <v>6</v>
      </c>
      <c r="F2728" s="222"/>
      <c r="G2728" s="108">
        <v>476</v>
      </c>
      <c r="H2728" s="17">
        <v>500</v>
      </c>
      <c r="I2728" s="18">
        <v>533.4</v>
      </c>
      <c r="J2728" s="113" t="s">
        <v>4244</v>
      </c>
      <c r="K2728" s="44" t="s">
        <v>19</v>
      </c>
      <c r="L2728" s="442" t="s">
        <v>4258</v>
      </c>
      <c r="M2728" s="480" t="s">
        <v>1856</v>
      </c>
      <c r="N2728" s="1015" t="s">
        <v>1856</v>
      </c>
      <c r="O2728" s="210"/>
      <c r="P2728" s="68" t="s">
        <v>50</v>
      </c>
      <c r="Q2728" s="100">
        <f t="shared" si="1509"/>
        <v>0</v>
      </c>
      <c r="R2728" s="13" t="str">
        <f t="shared" si="1510"/>
        <v>Фото &gt;&gt;</v>
      </c>
      <c r="S2728" s="14" t="s">
        <v>4256</v>
      </c>
      <c r="AK2728">
        <v>0.42</v>
      </c>
      <c r="AL2728">
        <f t="shared" si="1511"/>
        <v>0</v>
      </c>
      <c r="AM2728">
        <f t="shared" si="1512"/>
        <v>0</v>
      </c>
      <c r="AN2728">
        <f t="shared" si="1513"/>
        <v>0</v>
      </c>
      <c r="AO2728" t="s">
        <v>4265</v>
      </c>
      <c r="AV2728" t="str">
        <f>IF(F2728&gt;0,(COUNT($AV$1:AV2727)+1),"")</f>
        <v/>
      </c>
    </row>
    <row r="2729" spans="1:48" ht="15" customHeight="1" x14ac:dyDescent="0.25">
      <c r="A2729" s="1"/>
      <c r="B2729" s="125"/>
      <c r="C2729" s="126"/>
      <c r="D2729" s="127"/>
      <c r="E2729" s="134"/>
      <c r="F2729" s="189"/>
      <c r="G2729" s="130"/>
      <c r="H2729" s="131"/>
      <c r="I2729" s="132"/>
      <c r="J2729" s="128"/>
      <c r="K2729" s="129"/>
      <c r="L2729" s="433"/>
      <c r="M2729" s="481"/>
      <c r="N2729" s="471"/>
      <c r="O2729" s="181"/>
      <c r="P2729" s="133"/>
      <c r="Q2729" s="135"/>
      <c r="R2729" s="13"/>
      <c r="S2729" s="14"/>
      <c r="AV2729" t="str">
        <f>IF(F2729&gt;0,(COUNT($AV$1:AV2728)+1),"")</f>
        <v/>
      </c>
    </row>
    <row r="2730" spans="1:48" ht="15" customHeight="1" thickBot="1" x14ac:dyDescent="0.3">
      <c r="A2730" s="1"/>
      <c r="B2730" s="158"/>
      <c r="C2730" s="159"/>
      <c r="D2730" s="160"/>
      <c r="E2730" s="167"/>
      <c r="F2730" s="191"/>
      <c r="G2730" s="163"/>
      <c r="H2730" s="164"/>
      <c r="I2730" s="165"/>
      <c r="J2730" s="161"/>
      <c r="K2730" s="162"/>
      <c r="L2730" s="439"/>
      <c r="M2730" s="475"/>
      <c r="N2730" s="467"/>
      <c r="O2730" s="183"/>
      <c r="P2730" s="166"/>
      <c r="Q2730" s="168"/>
      <c r="R2730" s="13"/>
      <c r="S2730" s="14"/>
      <c r="AV2730" t="str">
        <f>IF(F2730&gt;0,(COUNT($AV$1:AV2729)+1),"")</f>
        <v/>
      </c>
    </row>
    <row r="2731" spans="1:48" ht="24.75" customHeight="1" thickBot="1" x14ac:dyDescent="0.3">
      <c r="A2731" s="1"/>
      <c r="B2731" s="169"/>
      <c r="C2731" s="170"/>
      <c r="D2731" s="171" t="str">
        <f>CONCATENATE("Иван да","     |     Сумма заказа: ",AK2731," руб.")</f>
        <v>Иван да     |     Сумма заказа: 0 руб.</v>
      </c>
      <c r="E2731" s="176"/>
      <c r="F2731" s="177"/>
      <c r="G2731" s="180" t="str">
        <f>CONCATENATE("Ценовая колонка: ",AO2731,"   |   До следующей скидки: ",AJ2731," руб.")</f>
        <v>Ценовая колонка: 3   |   До следующей скидки: 5000 руб.</v>
      </c>
      <c r="H2731" s="174"/>
      <c r="I2731" s="174"/>
      <c r="J2731" s="172" t="s">
        <v>1042</v>
      </c>
      <c r="K2731" s="173"/>
      <c r="L2731" s="444"/>
      <c r="M2731" s="486" t="s">
        <v>104</v>
      </c>
      <c r="N2731" s="717"/>
      <c r="O2731" s="184"/>
      <c r="P2731" s="175"/>
      <c r="Q2731" s="178"/>
      <c r="R2731" s="179" t="s">
        <v>1558</v>
      </c>
      <c r="S2731" s="14"/>
      <c r="AJ2731">
        <f>ROUND(IF(AL2731&gt;20000,"0", IF(AND(AL2731&lt;20000,AM2731&gt;5000),20000-AL2731,5000-AM2731)),2)</f>
        <v>5000</v>
      </c>
      <c r="AK2731">
        <f>SUM(Q2733:Q2757)</f>
        <v>0</v>
      </c>
      <c r="AL2731">
        <f>SUM(AL2733:AL2757)</f>
        <v>0</v>
      </c>
      <c r="AM2731">
        <f>SUM(AM2733:AM2757)</f>
        <v>0</v>
      </c>
      <c r="AO2731">
        <f>IF(AM2731&gt;5000,IF(AL2731&gt;20000,1,2),3)</f>
        <v>3</v>
      </c>
      <c r="AV2731" t="str">
        <f>IF(F2731&gt;0,(COUNT($AV$1:AV2730)+1),"")</f>
        <v/>
      </c>
    </row>
    <row r="2732" spans="1:48" ht="15" customHeight="1" x14ac:dyDescent="0.25">
      <c r="A2732" s="1"/>
      <c r="B2732" s="296"/>
      <c r="C2732" s="38"/>
      <c r="D2732" s="39" t="s">
        <v>326</v>
      </c>
      <c r="E2732" s="82"/>
      <c r="F2732" s="97"/>
      <c r="G2732" s="40" t="s">
        <v>15</v>
      </c>
      <c r="H2732" s="41" t="s">
        <v>16</v>
      </c>
      <c r="I2732" s="41" t="s">
        <v>221</v>
      </c>
      <c r="J2732" s="52"/>
      <c r="K2732" s="48"/>
      <c r="L2732" s="448"/>
      <c r="M2732" s="491" t="s">
        <v>104</v>
      </c>
      <c r="N2732" s="715"/>
      <c r="O2732" s="187"/>
      <c r="P2732" s="81"/>
      <c r="Q2732" s="105"/>
      <c r="R2732" s="13"/>
      <c r="S2732" s="14"/>
      <c r="AV2732" t="str">
        <f>IF(F2732&gt;0,(COUNT($AV$1:AV2731)+1),"")</f>
        <v/>
      </c>
    </row>
    <row r="2733" spans="1:48" ht="15" customHeight="1" x14ac:dyDescent="0.25">
      <c r="A2733" s="1"/>
      <c r="B2733" s="30">
        <v>18123</v>
      </c>
      <c r="C2733" s="20">
        <v>4631136445920</v>
      </c>
      <c r="D2733" s="225" t="s">
        <v>4331</v>
      </c>
      <c r="E2733" s="67">
        <v>18</v>
      </c>
      <c r="F2733" s="222"/>
      <c r="G2733" s="107">
        <v>124</v>
      </c>
      <c r="H2733" s="21">
        <v>128.6</v>
      </c>
      <c r="I2733" s="22">
        <v>152.5</v>
      </c>
      <c r="J2733" s="112" t="s">
        <v>1042</v>
      </c>
      <c r="K2733" s="45" t="s">
        <v>326</v>
      </c>
      <c r="L2733" s="437"/>
      <c r="M2733" s="474" t="s">
        <v>1856</v>
      </c>
      <c r="N2733" s="1013" t="s">
        <v>1856</v>
      </c>
      <c r="O2733" s="209"/>
      <c r="P2733" s="66" t="s">
        <v>125</v>
      </c>
      <c r="Q2733" s="100">
        <f t="shared" ref="Q2733:Q2739" si="1514">IF($AO$2731=2,F2733*H2733,IF($AO$2731=1,F2733*G2733,F2733*I2733))</f>
        <v>0</v>
      </c>
      <c r="R2733" s="13" t="str">
        <f t="shared" ref="R2733:R2747" si="1515">IF(AO2733&gt;0,HYPERLINK(AO2733,"Фото &gt;&gt;"),"")</f>
        <v>Фото &gt;&gt;</v>
      </c>
      <c r="S2733" s="14" t="s">
        <v>1723</v>
      </c>
      <c r="AK2733">
        <v>0.17</v>
      </c>
      <c r="AL2733">
        <f t="shared" ref="AL2733:AL2747" si="1516">F2733*G2733</f>
        <v>0</v>
      </c>
      <c r="AM2733">
        <f t="shared" ref="AM2733:AM2747" si="1517">F2733*H2733</f>
        <v>0</v>
      </c>
      <c r="AN2733">
        <f t="shared" ref="AN2733:AN2747" si="1518">AK2733*F2733+IF(E2733&gt;1.01,F2733/E2733*0.2,0)</f>
        <v>0</v>
      </c>
      <c r="AO2733" t="s">
        <v>5478</v>
      </c>
      <c r="AV2733" t="str">
        <f>IF(F2733&gt;0,(COUNT($AV$1:AV2732)+1),"")</f>
        <v/>
      </c>
    </row>
    <row r="2734" spans="1:48" ht="15" customHeight="1" x14ac:dyDescent="0.25">
      <c r="A2734" s="1"/>
      <c r="B2734" s="31">
        <v>18125</v>
      </c>
      <c r="C2734" s="16">
        <v>4631144988709</v>
      </c>
      <c r="D2734" s="226" t="s">
        <v>2211</v>
      </c>
      <c r="E2734" s="69">
        <v>18</v>
      </c>
      <c r="F2734" s="222"/>
      <c r="G2734" s="108">
        <v>106.2</v>
      </c>
      <c r="H2734" s="17">
        <v>110.2</v>
      </c>
      <c r="I2734" s="18">
        <v>130.6</v>
      </c>
      <c r="J2734" s="113" t="s">
        <v>1042</v>
      </c>
      <c r="K2734" s="44" t="s">
        <v>326</v>
      </c>
      <c r="L2734" s="442"/>
      <c r="M2734" s="480" t="s">
        <v>1856</v>
      </c>
      <c r="N2734" s="1015" t="s">
        <v>1856</v>
      </c>
      <c r="O2734" s="217"/>
      <c r="P2734" s="68" t="s">
        <v>125</v>
      </c>
      <c r="Q2734" s="100">
        <f t="shared" si="1514"/>
        <v>0</v>
      </c>
      <c r="R2734" s="13" t="str">
        <f t="shared" si="1515"/>
        <v>Фото &gt;&gt;</v>
      </c>
      <c r="S2734" s="14" t="s">
        <v>1724</v>
      </c>
      <c r="AK2734">
        <v>0.17</v>
      </c>
      <c r="AL2734">
        <f t="shared" si="1516"/>
        <v>0</v>
      </c>
      <c r="AM2734">
        <f t="shared" si="1517"/>
        <v>0</v>
      </c>
      <c r="AN2734">
        <f t="shared" si="1518"/>
        <v>0</v>
      </c>
      <c r="AO2734" t="s">
        <v>5479</v>
      </c>
      <c r="AV2734" t="str">
        <f>IF(F2734&gt;0,(COUNT($AV$1:AV2733)+1),"")</f>
        <v/>
      </c>
    </row>
    <row r="2735" spans="1:48" ht="15" customHeight="1" x14ac:dyDescent="0.25">
      <c r="A2735" s="1"/>
      <c r="B2735" s="30">
        <v>19012</v>
      </c>
      <c r="C2735" s="20">
        <v>4631139962189</v>
      </c>
      <c r="D2735" s="225" t="s">
        <v>1901</v>
      </c>
      <c r="E2735" s="67">
        <v>18</v>
      </c>
      <c r="F2735" s="222"/>
      <c r="G2735" s="107">
        <v>107.5</v>
      </c>
      <c r="H2735" s="21">
        <v>111.5</v>
      </c>
      <c r="I2735" s="22">
        <v>132.19999999999999</v>
      </c>
      <c r="J2735" s="112" t="s">
        <v>1042</v>
      </c>
      <c r="K2735" s="45" t="s">
        <v>326</v>
      </c>
      <c r="L2735" s="437"/>
      <c r="M2735" s="474" t="s">
        <v>1856</v>
      </c>
      <c r="N2735" s="1013" t="s">
        <v>1856</v>
      </c>
      <c r="O2735" s="209"/>
      <c r="P2735" s="66" t="s">
        <v>125</v>
      </c>
      <c r="Q2735" s="100">
        <f t="shared" si="1514"/>
        <v>0</v>
      </c>
      <c r="R2735" s="13" t="str">
        <f t="shared" si="1515"/>
        <v>Фото &gt;&gt;</v>
      </c>
      <c r="S2735" s="14" t="s">
        <v>1722</v>
      </c>
      <c r="AK2735">
        <v>0.17</v>
      </c>
      <c r="AL2735">
        <f t="shared" si="1516"/>
        <v>0</v>
      </c>
      <c r="AM2735">
        <f t="shared" si="1517"/>
        <v>0</v>
      </c>
      <c r="AN2735">
        <f t="shared" si="1518"/>
        <v>0</v>
      </c>
      <c r="AO2735" t="s">
        <v>5480</v>
      </c>
      <c r="AV2735" t="str">
        <f>IF(F2735&gt;0,(COUNT($AV$1:AV2734)+1),"")</f>
        <v/>
      </c>
    </row>
    <row r="2736" spans="1:48" ht="15" customHeight="1" x14ac:dyDescent="0.25">
      <c r="A2736" s="1"/>
      <c r="B2736" s="31">
        <v>18284</v>
      </c>
      <c r="C2736" s="16">
        <v>4631144649150</v>
      </c>
      <c r="D2736" s="226" t="s">
        <v>2212</v>
      </c>
      <c r="E2736" s="69">
        <v>18</v>
      </c>
      <c r="F2736" s="222"/>
      <c r="G2736" s="108">
        <v>107.5</v>
      </c>
      <c r="H2736" s="17">
        <v>111.5</v>
      </c>
      <c r="I2736" s="18">
        <v>132.19999999999999</v>
      </c>
      <c r="J2736" s="113" t="s">
        <v>1042</v>
      </c>
      <c r="K2736" s="44" t="s">
        <v>326</v>
      </c>
      <c r="L2736" s="442"/>
      <c r="M2736" s="480" t="s">
        <v>1856</v>
      </c>
      <c r="N2736" s="1015" t="s">
        <v>1856</v>
      </c>
      <c r="O2736" s="210"/>
      <c r="P2736" s="68" t="s">
        <v>125</v>
      </c>
      <c r="Q2736" s="100">
        <f t="shared" si="1514"/>
        <v>0</v>
      </c>
      <c r="R2736" s="13" t="str">
        <f t="shared" si="1515"/>
        <v>Фото &gt;&gt;</v>
      </c>
      <c r="S2736" s="14" t="s">
        <v>1725</v>
      </c>
      <c r="AK2736">
        <v>0.17</v>
      </c>
      <c r="AL2736">
        <f t="shared" si="1516"/>
        <v>0</v>
      </c>
      <c r="AM2736">
        <f t="shared" si="1517"/>
        <v>0</v>
      </c>
      <c r="AN2736">
        <f t="shared" si="1518"/>
        <v>0</v>
      </c>
      <c r="AO2736" t="s">
        <v>5481</v>
      </c>
      <c r="AV2736" t="str">
        <f>IF(F2736&gt;0,(COUNT($AV$1:AV2735)+1),"")</f>
        <v/>
      </c>
    </row>
    <row r="2737" spans="1:48" ht="15" customHeight="1" x14ac:dyDescent="0.25">
      <c r="A2737" s="1"/>
      <c r="B2737" s="30">
        <v>18283</v>
      </c>
      <c r="C2737" s="20">
        <v>4631144649136</v>
      </c>
      <c r="D2737" s="225" t="s">
        <v>4546</v>
      </c>
      <c r="E2737" s="67">
        <v>18</v>
      </c>
      <c r="F2737" s="222"/>
      <c r="G2737" s="107">
        <v>107.5</v>
      </c>
      <c r="H2737" s="21">
        <v>111.5</v>
      </c>
      <c r="I2737" s="22">
        <v>132.19999999999999</v>
      </c>
      <c r="J2737" s="112" t="s">
        <v>1042</v>
      </c>
      <c r="K2737" s="45" t="s">
        <v>326</v>
      </c>
      <c r="L2737" s="437"/>
      <c r="M2737" s="474" t="s">
        <v>1856</v>
      </c>
      <c r="N2737" s="1013" t="s">
        <v>1856</v>
      </c>
      <c r="O2737" s="209"/>
      <c r="P2737" s="66" t="s">
        <v>125</v>
      </c>
      <c r="Q2737" s="100">
        <f t="shared" si="1514"/>
        <v>0</v>
      </c>
      <c r="R2737" s="13" t="str">
        <f t="shared" si="1515"/>
        <v>Фото &gt;&gt;</v>
      </c>
      <c r="S2737" s="14" t="s">
        <v>1726</v>
      </c>
      <c r="AK2737">
        <v>0.17</v>
      </c>
      <c r="AL2737">
        <f t="shared" si="1516"/>
        <v>0</v>
      </c>
      <c r="AM2737">
        <f t="shared" si="1517"/>
        <v>0</v>
      </c>
      <c r="AN2737">
        <f t="shared" si="1518"/>
        <v>0</v>
      </c>
      <c r="AO2737" t="s">
        <v>5482</v>
      </c>
      <c r="AV2737" t="str">
        <f>IF(F2737&gt;0,(COUNT($AV$1:AV2736)+1),"")</f>
        <v/>
      </c>
    </row>
    <row r="2738" spans="1:48" ht="15" customHeight="1" x14ac:dyDescent="0.25">
      <c r="A2738" s="1"/>
      <c r="B2738" s="31">
        <v>18282</v>
      </c>
      <c r="C2738" s="16">
        <v>4631144649129</v>
      </c>
      <c r="D2738" s="226" t="s">
        <v>2213</v>
      </c>
      <c r="E2738" s="69">
        <v>18</v>
      </c>
      <c r="F2738" s="222"/>
      <c r="G2738" s="108">
        <v>97.9</v>
      </c>
      <c r="H2738" s="17">
        <v>101.5</v>
      </c>
      <c r="I2738" s="18">
        <v>120.4</v>
      </c>
      <c r="J2738" s="113" t="s">
        <v>1042</v>
      </c>
      <c r="K2738" s="44" t="s">
        <v>326</v>
      </c>
      <c r="L2738" s="442"/>
      <c r="M2738" s="480" t="s">
        <v>1856</v>
      </c>
      <c r="N2738" s="1015" t="s">
        <v>1856</v>
      </c>
      <c r="O2738" s="217"/>
      <c r="P2738" s="68" t="s">
        <v>125</v>
      </c>
      <c r="Q2738" s="100">
        <f t="shared" si="1514"/>
        <v>0</v>
      </c>
      <c r="R2738" s="13" t="str">
        <f t="shared" si="1515"/>
        <v>Фото &gt;&gt;</v>
      </c>
      <c r="S2738" s="14" t="s">
        <v>1727</v>
      </c>
      <c r="AK2738">
        <v>0.17</v>
      </c>
      <c r="AL2738">
        <f t="shared" si="1516"/>
        <v>0</v>
      </c>
      <c r="AM2738">
        <f t="shared" si="1517"/>
        <v>0</v>
      </c>
      <c r="AN2738">
        <f t="shared" si="1518"/>
        <v>0</v>
      </c>
      <c r="AO2738" t="s">
        <v>5483</v>
      </c>
      <c r="AV2738" t="str">
        <f>IF(F2738&gt;0,(COUNT($AV$1:AV2737)+1),"")</f>
        <v/>
      </c>
    </row>
    <row r="2739" spans="1:48" ht="15" customHeight="1" x14ac:dyDescent="0.25">
      <c r="A2739" s="1"/>
      <c r="B2739" s="30">
        <v>18075</v>
      </c>
      <c r="C2739" s="20">
        <v>4631144649143</v>
      </c>
      <c r="D2739" s="225" t="s">
        <v>2214</v>
      </c>
      <c r="E2739" s="67">
        <v>18</v>
      </c>
      <c r="F2739" s="222"/>
      <c r="G2739" s="107">
        <v>107.5</v>
      </c>
      <c r="H2739" s="21">
        <v>111.5</v>
      </c>
      <c r="I2739" s="22">
        <v>132.19999999999999</v>
      </c>
      <c r="J2739" s="112" t="s">
        <v>1042</v>
      </c>
      <c r="K2739" s="45" t="s">
        <v>326</v>
      </c>
      <c r="L2739" s="437"/>
      <c r="M2739" s="474" t="s">
        <v>1856</v>
      </c>
      <c r="N2739" s="1013" t="s">
        <v>1856</v>
      </c>
      <c r="O2739" s="212"/>
      <c r="P2739" s="66" t="s">
        <v>125</v>
      </c>
      <c r="Q2739" s="100">
        <f t="shared" si="1514"/>
        <v>0</v>
      </c>
      <c r="R2739" s="13" t="str">
        <f t="shared" si="1515"/>
        <v>Фото &gt;&gt;</v>
      </c>
      <c r="S2739" s="14" t="s">
        <v>3714</v>
      </c>
      <c r="AK2739">
        <v>0.17</v>
      </c>
      <c r="AL2739">
        <f t="shared" si="1516"/>
        <v>0</v>
      </c>
      <c r="AM2739">
        <f t="shared" si="1517"/>
        <v>0</v>
      </c>
      <c r="AN2739">
        <f t="shared" si="1518"/>
        <v>0</v>
      </c>
      <c r="AO2739" t="s">
        <v>5484</v>
      </c>
      <c r="AV2739" t="str">
        <f>IF(F2739&gt;0,(COUNT($AV$1:AV2738)+1),"")</f>
        <v/>
      </c>
    </row>
    <row r="2740" spans="1:48" ht="15" customHeight="1" x14ac:dyDescent="0.25">
      <c r="A2740" s="1"/>
      <c r="B2740" s="25"/>
      <c r="C2740" s="26"/>
      <c r="D2740" s="27" t="s">
        <v>124</v>
      </c>
      <c r="E2740" s="80"/>
      <c r="F2740" s="96"/>
      <c r="G2740" s="28"/>
      <c r="H2740" s="29"/>
      <c r="I2740" s="29"/>
      <c r="J2740" s="51"/>
      <c r="K2740" s="47"/>
      <c r="L2740" s="447"/>
      <c r="M2740" s="489"/>
      <c r="N2740" s="716"/>
      <c r="O2740" s="186"/>
      <c r="P2740" s="79"/>
      <c r="Q2740" s="104"/>
      <c r="R2740" s="13"/>
      <c r="S2740" s="14"/>
      <c r="AL2740">
        <f t="shared" si="1516"/>
        <v>0</v>
      </c>
      <c r="AM2740">
        <f t="shared" si="1517"/>
        <v>0</v>
      </c>
      <c r="AN2740">
        <f t="shared" si="1518"/>
        <v>0</v>
      </c>
      <c r="AO2740" t="s">
        <v>104</v>
      </c>
      <c r="AV2740" t="str">
        <f>IF(F2740&gt;0,(COUNT($AV$1:AV2739)+1),"")</f>
        <v/>
      </c>
    </row>
    <row r="2741" spans="1:48" ht="15" customHeight="1" x14ac:dyDescent="0.25">
      <c r="A2741" s="1"/>
      <c r="B2741" s="31">
        <v>21526</v>
      </c>
      <c r="C2741" s="16">
        <v>4680232992753</v>
      </c>
      <c r="D2741" s="422" t="s">
        <v>7098</v>
      </c>
      <c r="E2741" s="69">
        <v>24</v>
      </c>
      <c r="F2741" s="222"/>
      <c r="G2741" s="108">
        <v>67.900000000000006</v>
      </c>
      <c r="H2741" s="17">
        <v>70.5</v>
      </c>
      <c r="I2741" s="18">
        <v>83.5</v>
      </c>
      <c r="J2741" s="113" t="s">
        <v>1042</v>
      </c>
      <c r="K2741" s="44" t="s">
        <v>124</v>
      </c>
      <c r="L2741" s="442"/>
      <c r="M2741" s="480" t="s">
        <v>1856</v>
      </c>
      <c r="N2741" s="1015" t="s">
        <v>1856</v>
      </c>
      <c r="O2741" s="210" t="s">
        <v>1637</v>
      </c>
      <c r="P2741" s="68" t="s">
        <v>122</v>
      </c>
      <c r="Q2741" s="100">
        <f t="shared" ref="Q2741:Q2747" si="1519">IF($AO$2731=2,F2741*H2741,IF($AO$2731=1,F2741*G2741,F2741*I2741))</f>
        <v>0</v>
      </c>
      <c r="R2741" s="94" t="str">
        <f t="shared" ref="R2741:R2743" si="1520">IF(AO2741&gt;0,HYPERLINK(AO2741,"Фото &gt;&gt;"),"")</f>
        <v>Фото &gt;&gt;</v>
      </c>
      <c r="S2741" s="14"/>
      <c r="AK2741">
        <v>0.16</v>
      </c>
      <c r="AL2741">
        <f t="shared" ref="AL2741" si="1521">F2741*G2741</f>
        <v>0</v>
      </c>
      <c r="AM2741">
        <f t="shared" ref="AM2741" si="1522">F2741*H2741</f>
        <v>0</v>
      </c>
      <c r="AN2741">
        <f t="shared" ref="AN2741" si="1523">AK2741*F2741+IF(E2741&gt;1.01,F2741/E2741*0.2,0)</f>
        <v>0</v>
      </c>
      <c r="AO2741" t="s">
        <v>7099</v>
      </c>
      <c r="AV2741" t="str">
        <f>IF(F2741&gt;0,(COUNT($AV$1:AV2740)+1),"")</f>
        <v/>
      </c>
    </row>
    <row r="2742" spans="1:48" ht="15" customHeight="1" x14ac:dyDescent="0.25">
      <c r="A2742" s="1"/>
      <c r="B2742" s="30">
        <v>15727</v>
      </c>
      <c r="C2742" s="20">
        <v>4631137474165</v>
      </c>
      <c r="D2742" s="153" t="s">
        <v>6099</v>
      </c>
      <c r="E2742" s="67">
        <v>24</v>
      </c>
      <c r="F2742" s="222"/>
      <c r="G2742" s="107">
        <v>69</v>
      </c>
      <c r="H2742" s="21">
        <v>71.599999999999994</v>
      </c>
      <c r="I2742" s="22">
        <v>85</v>
      </c>
      <c r="J2742" s="112" t="s">
        <v>1042</v>
      </c>
      <c r="K2742" s="45" t="s">
        <v>124</v>
      </c>
      <c r="L2742" s="437"/>
      <c r="M2742" s="474" t="s">
        <v>1856</v>
      </c>
      <c r="N2742" s="1013" t="s">
        <v>1856</v>
      </c>
      <c r="O2742" s="212"/>
      <c r="P2742" s="66" t="s">
        <v>122</v>
      </c>
      <c r="Q2742" s="100">
        <f t="shared" si="1519"/>
        <v>0</v>
      </c>
      <c r="R2742" s="13" t="str">
        <f t="shared" si="1520"/>
        <v>Фото &gt;&gt;</v>
      </c>
      <c r="S2742" s="14" t="s">
        <v>6100</v>
      </c>
      <c r="AK2742">
        <v>0.16</v>
      </c>
      <c r="AL2742">
        <f t="shared" si="1516"/>
        <v>0</v>
      </c>
      <c r="AM2742">
        <f t="shared" si="1517"/>
        <v>0</v>
      </c>
      <c r="AN2742">
        <f t="shared" si="1518"/>
        <v>0</v>
      </c>
      <c r="AO2742" t="s">
        <v>6101</v>
      </c>
      <c r="AV2742" t="str">
        <f>IF(F2742&gt;0,(COUNT($AV$1:AV2741)+1),"")</f>
        <v/>
      </c>
    </row>
    <row r="2743" spans="1:48" ht="15" customHeight="1" x14ac:dyDescent="0.25">
      <c r="A2743" s="1"/>
      <c r="B2743" s="31">
        <v>15726</v>
      </c>
      <c r="C2743" s="16">
        <v>4631137474158</v>
      </c>
      <c r="D2743" s="226" t="s">
        <v>1628</v>
      </c>
      <c r="E2743" s="69">
        <v>24</v>
      </c>
      <c r="F2743" s="222"/>
      <c r="G2743" s="108">
        <v>64.8</v>
      </c>
      <c r="H2743" s="17">
        <v>67.2</v>
      </c>
      <c r="I2743" s="18">
        <v>80</v>
      </c>
      <c r="J2743" s="113" t="s">
        <v>1042</v>
      </c>
      <c r="K2743" s="44" t="s">
        <v>124</v>
      </c>
      <c r="L2743" s="442"/>
      <c r="M2743" s="480" t="s">
        <v>1856</v>
      </c>
      <c r="N2743" s="1015" t="s">
        <v>1856</v>
      </c>
      <c r="O2743" s="210"/>
      <c r="P2743" s="68" t="s">
        <v>122</v>
      </c>
      <c r="Q2743" s="100">
        <f t="shared" si="1519"/>
        <v>0</v>
      </c>
      <c r="R2743" s="13" t="str">
        <f t="shared" si="1520"/>
        <v>Фото &gt;&gt;</v>
      </c>
      <c r="S2743" s="14" t="s">
        <v>1043</v>
      </c>
      <c r="AK2743">
        <v>0.16</v>
      </c>
      <c r="AL2743">
        <f t="shared" si="1516"/>
        <v>0</v>
      </c>
      <c r="AM2743">
        <f t="shared" si="1517"/>
        <v>0</v>
      </c>
      <c r="AN2743">
        <f t="shared" si="1518"/>
        <v>0</v>
      </c>
      <c r="AO2743" t="s">
        <v>5213</v>
      </c>
      <c r="AV2743" t="str">
        <f>IF(F2743&gt;0,(COUNT($AV$1:AV2742)+1),"")</f>
        <v/>
      </c>
    </row>
    <row r="2744" spans="1:48" ht="15" customHeight="1" x14ac:dyDescent="0.25">
      <c r="A2744" s="1"/>
      <c r="B2744" s="30">
        <v>15730</v>
      </c>
      <c r="C2744" s="20">
        <v>4631138353889</v>
      </c>
      <c r="D2744" s="153" t="s">
        <v>1629</v>
      </c>
      <c r="E2744" s="67">
        <v>24</v>
      </c>
      <c r="F2744" s="222"/>
      <c r="G2744" s="107">
        <v>70.3</v>
      </c>
      <c r="H2744" s="21">
        <v>72.900000000000006</v>
      </c>
      <c r="I2744" s="22">
        <v>86.5</v>
      </c>
      <c r="J2744" s="112" t="s">
        <v>1042</v>
      </c>
      <c r="K2744" s="45" t="s">
        <v>124</v>
      </c>
      <c r="L2744" s="437"/>
      <c r="M2744" s="474" t="s">
        <v>1856</v>
      </c>
      <c r="N2744" s="1013" t="s">
        <v>1856</v>
      </c>
      <c r="O2744" s="212"/>
      <c r="P2744" s="66" t="s">
        <v>122</v>
      </c>
      <c r="Q2744" s="100">
        <f t="shared" si="1519"/>
        <v>0</v>
      </c>
      <c r="R2744" s="13" t="str">
        <f t="shared" si="1515"/>
        <v>Фото &gt;&gt;</v>
      </c>
      <c r="S2744" s="14" t="s">
        <v>7112</v>
      </c>
      <c r="AK2744">
        <v>0.16</v>
      </c>
      <c r="AL2744">
        <f t="shared" si="1516"/>
        <v>0</v>
      </c>
      <c r="AM2744">
        <f t="shared" si="1517"/>
        <v>0</v>
      </c>
      <c r="AN2744">
        <f t="shared" si="1518"/>
        <v>0</v>
      </c>
      <c r="AO2744" t="s">
        <v>6102</v>
      </c>
      <c r="AV2744" t="str">
        <f>IF(F2744&gt;0,(COUNT($AV$1:AV2743)+1),"")</f>
        <v/>
      </c>
    </row>
    <row r="2745" spans="1:48" ht="15" customHeight="1" x14ac:dyDescent="0.25">
      <c r="A2745" s="1"/>
      <c r="B2745" s="31">
        <v>15729</v>
      </c>
      <c r="C2745" s="16">
        <v>4631137474189</v>
      </c>
      <c r="D2745" s="226" t="s">
        <v>1630</v>
      </c>
      <c r="E2745" s="69">
        <v>24</v>
      </c>
      <c r="F2745" s="222"/>
      <c r="G2745" s="108">
        <v>67.900000000000006</v>
      </c>
      <c r="H2745" s="17">
        <v>70.5</v>
      </c>
      <c r="I2745" s="18">
        <v>83.5</v>
      </c>
      <c r="J2745" s="113" t="s">
        <v>1042</v>
      </c>
      <c r="K2745" s="44" t="s">
        <v>124</v>
      </c>
      <c r="L2745" s="442"/>
      <c r="M2745" s="480" t="s">
        <v>1856</v>
      </c>
      <c r="N2745" s="1015" t="s">
        <v>1856</v>
      </c>
      <c r="O2745" s="210"/>
      <c r="P2745" s="68" t="s">
        <v>122</v>
      </c>
      <c r="Q2745" s="100">
        <f t="shared" si="1519"/>
        <v>0</v>
      </c>
      <c r="R2745" s="13" t="str">
        <f t="shared" si="1515"/>
        <v>Фото &gt;&gt;</v>
      </c>
      <c r="S2745" s="14" t="s">
        <v>1044</v>
      </c>
      <c r="AK2745">
        <v>0.16</v>
      </c>
      <c r="AL2745">
        <f t="shared" si="1516"/>
        <v>0</v>
      </c>
      <c r="AM2745">
        <f t="shared" si="1517"/>
        <v>0</v>
      </c>
      <c r="AN2745">
        <f t="shared" si="1518"/>
        <v>0</v>
      </c>
      <c r="AO2745" t="s">
        <v>5214</v>
      </c>
      <c r="AV2745" t="str">
        <f>IF(F2745&gt;0,(COUNT($AV$1:AV2744)+1),"")</f>
        <v/>
      </c>
    </row>
    <row r="2746" spans="1:48" ht="15" customHeight="1" x14ac:dyDescent="0.25">
      <c r="A2746" s="1"/>
      <c r="B2746" s="30">
        <v>16107</v>
      </c>
      <c r="C2746" s="20">
        <v>4631140338614</v>
      </c>
      <c r="D2746" s="153" t="s">
        <v>1631</v>
      </c>
      <c r="E2746" s="67">
        <v>24</v>
      </c>
      <c r="F2746" s="222"/>
      <c r="G2746" s="107">
        <v>66.2</v>
      </c>
      <c r="H2746" s="21">
        <v>68.7</v>
      </c>
      <c r="I2746" s="22">
        <v>81.400000000000006</v>
      </c>
      <c r="J2746" s="112" t="s">
        <v>1042</v>
      </c>
      <c r="K2746" s="45" t="s">
        <v>124</v>
      </c>
      <c r="L2746" s="437"/>
      <c r="M2746" s="474" t="s">
        <v>1856</v>
      </c>
      <c r="N2746" s="1013" t="s">
        <v>1856</v>
      </c>
      <c r="O2746" s="212"/>
      <c r="P2746" s="66" t="s">
        <v>122</v>
      </c>
      <c r="Q2746" s="100">
        <f t="shared" si="1519"/>
        <v>0</v>
      </c>
      <c r="R2746" s="13" t="str">
        <f t="shared" si="1515"/>
        <v>Фото &gt;&gt;</v>
      </c>
      <c r="S2746" s="14" t="s">
        <v>6104</v>
      </c>
      <c r="AK2746">
        <v>0.16</v>
      </c>
      <c r="AL2746">
        <f t="shared" si="1516"/>
        <v>0</v>
      </c>
      <c r="AM2746">
        <f t="shared" si="1517"/>
        <v>0</v>
      </c>
      <c r="AN2746">
        <f t="shared" si="1518"/>
        <v>0</v>
      </c>
      <c r="AO2746" t="s">
        <v>6103</v>
      </c>
      <c r="AV2746" t="str">
        <f>IF(F2746&gt;0,(COUNT($AV$1:AV2745)+1),"")</f>
        <v/>
      </c>
    </row>
    <row r="2747" spans="1:48" ht="15" customHeight="1" x14ac:dyDescent="0.25">
      <c r="A2747" s="1"/>
      <c r="B2747" s="31">
        <v>15732</v>
      </c>
      <c r="C2747" s="16">
        <v>4631137474196</v>
      </c>
      <c r="D2747" s="226" t="s">
        <v>1632</v>
      </c>
      <c r="E2747" s="69">
        <v>24</v>
      </c>
      <c r="F2747" s="222"/>
      <c r="G2747" s="108">
        <v>65</v>
      </c>
      <c r="H2747" s="17">
        <v>67.5</v>
      </c>
      <c r="I2747" s="18">
        <v>80</v>
      </c>
      <c r="J2747" s="113" t="s">
        <v>1042</v>
      </c>
      <c r="K2747" s="44" t="s">
        <v>124</v>
      </c>
      <c r="L2747" s="442"/>
      <c r="M2747" s="480" t="s">
        <v>1856</v>
      </c>
      <c r="N2747" s="1015" t="s">
        <v>1856</v>
      </c>
      <c r="O2747" s="210"/>
      <c r="P2747" s="68" t="s">
        <v>122</v>
      </c>
      <c r="Q2747" s="100">
        <f t="shared" si="1519"/>
        <v>0</v>
      </c>
      <c r="R2747" s="13" t="str">
        <f t="shared" si="1515"/>
        <v>Фото &gt;&gt;</v>
      </c>
      <c r="S2747" s="14" t="s">
        <v>3715</v>
      </c>
      <c r="AK2747">
        <v>0.16</v>
      </c>
      <c r="AL2747">
        <f t="shared" si="1516"/>
        <v>0</v>
      </c>
      <c r="AM2747">
        <f t="shared" si="1517"/>
        <v>0</v>
      </c>
      <c r="AN2747">
        <f t="shared" si="1518"/>
        <v>0</v>
      </c>
      <c r="AO2747" t="s">
        <v>5215</v>
      </c>
      <c r="AV2747" t="str">
        <f>IF(F2747&gt;0,(COUNT($AV$1:AV2746)+1),"")</f>
        <v/>
      </c>
    </row>
    <row r="2748" spans="1:48" ht="15" customHeight="1" x14ac:dyDescent="0.25">
      <c r="A2748" s="1"/>
      <c r="B2748" s="25"/>
      <c r="C2748" s="26"/>
      <c r="D2748" s="27" t="s">
        <v>7113</v>
      </c>
      <c r="E2748" s="80"/>
      <c r="F2748" s="96"/>
      <c r="G2748" s="28"/>
      <c r="H2748" s="29"/>
      <c r="I2748" s="29"/>
      <c r="J2748" s="51"/>
      <c r="K2748" s="47"/>
      <c r="L2748" s="447"/>
      <c r="M2748" s="489"/>
      <c r="N2748" s="716"/>
      <c r="O2748" s="186"/>
      <c r="P2748" s="79"/>
      <c r="Q2748" s="104"/>
      <c r="R2748" s="13"/>
      <c r="S2748" s="14"/>
      <c r="AL2748">
        <f t="shared" ref="AL2748:AL2755" si="1524">F2748*G2748</f>
        <v>0</v>
      </c>
      <c r="AM2748">
        <f t="shared" ref="AM2748:AM2755" si="1525">F2748*H2748</f>
        <v>0</v>
      </c>
      <c r="AN2748">
        <f t="shared" ref="AN2748:AN2755" si="1526">AK2748*F2748+IF(E2748&gt;1.01,F2748/E2748*0.2,0)</f>
        <v>0</v>
      </c>
      <c r="AO2748" t="s">
        <v>104</v>
      </c>
      <c r="AV2748" t="str">
        <f>IF(F2748&gt;0,(COUNT($AV$1:AV2747)+1),"")</f>
        <v/>
      </c>
    </row>
    <row r="2749" spans="1:48" ht="15" customHeight="1" x14ac:dyDescent="0.25">
      <c r="A2749" s="1"/>
      <c r="B2749" s="30">
        <v>21129</v>
      </c>
      <c r="C2749" s="20">
        <v>4631137704439</v>
      </c>
      <c r="D2749" s="225" t="s">
        <v>7303</v>
      </c>
      <c r="E2749" s="67">
        <v>12</v>
      </c>
      <c r="F2749" s="222"/>
      <c r="G2749" s="107">
        <v>355</v>
      </c>
      <c r="H2749" s="21">
        <v>370</v>
      </c>
      <c r="I2749" s="22">
        <v>408</v>
      </c>
      <c r="J2749" s="112" t="s">
        <v>1042</v>
      </c>
      <c r="K2749" s="45" t="s">
        <v>117</v>
      </c>
      <c r="L2749" s="437"/>
      <c r="M2749" s="474" t="s">
        <v>1856</v>
      </c>
      <c r="N2749" s="1013" t="s">
        <v>1856</v>
      </c>
      <c r="O2749" s="209"/>
      <c r="P2749" s="66" t="s">
        <v>50</v>
      </c>
      <c r="Q2749" s="100">
        <f t="shared" ref="Q2749:Q2757" si="1527">IF($AO$2731=2,F2749*H2749,IF($AO$2731=1,F2749*G2749,F2749*I2749))</f>
        <v>0</v>
      </c>
      <c r="R2749" s="13" t="str">
        <f t="shared" ref="R2749:R2751" si="1528">IF(AO2749&gt;0,HYPERLINK(AO2749,"Фото &gt;&gt;"),"")</f>
        <v>Фото &gt;&gt;</v>
      </c>
      <c r="S2749" s="14" t="s">
        <v>7114</v>
      </c>
      <c r="AK2749">
        <v>0.11</v>
      </c>
      <c r="AL2749">
        <f t="shared" si="1524"/>
        <v>0</v>
      </c>
      <c r="AM2749">
        <f t="shared" si="1525"/>
        <v>0</v>
      </c>
      <c r="AN2749">
        <f t="shared" si="1526"/>
        <v>0</v>
      </c>
      <c r="AO2749" t="s">
        <v>7117</v>
      </c>
      <c r="AV2749" t="str">
        <f>IF(F2749&gt;0,(COUNT($AV$1:AV2748)+1),"")</f>
        <v/>
      </c>
    </row>
    <row r="2750" spans="1:48" ht="15" customHeight="1" x14ac:dyDescent="0.25">
      <c r="A2750" s="1"/>
      <c r="B2750" s="31">
        <v>17278</v>
      </c>
      <c r="C2750" s="16">
        <v>4631137704408</v>
      </c>
      <c r="D2750" s="226" t="s">
        <v>7304</v>
      </c>
      <c r="E2750" s="69">
        <v>12</v>
      </c>
      <c r="F2750" s="222"/>
      <c r="G2750" s="108">
        <v>355</v>
      </c>
      <c r="H2750" s="17">
        <v>370</v>
      </c>
      <c r="I2750" s="18">
        <v>405</v>
      </c>
      <c r="J2750" s="113" t="s">
        <v>1042</v>
      </c>
      <c r="K2750" s="44" t="s">
        <v>117</v>
      </c>
      <c r="L2750" s="442"/>
      <c r="M2750" s="480" t="s">
        <v>1856</v>
      </c>
      <c r="N2750" s="1015" t="s">
        <v>1856</v>
      </c>
      <c r="O2750" s="210"/>
      <c r="P2750" s="68" t="s">
        <v>50</v>
      </c>
      <c r="Q2750" s="100">
        <f t="shared" si="1527"/>
        <v>0</v>
      </c>
      <c r="R2750" s="13" t="str">
        <f t="shared" si="1528"/>
        <v>Фото &gt;&gt;</v>
      </c>
      <c r="S2750" s="14" t="s">
        <v>7115</v>
      </c>
      <c r="AK2750">
        <v>0.11</v>
      </c>
      <c r="AL2750">
        <f t="shared" si="1524"/>
        <v>0</v>
      </c>
      <c r="AM2750">
        <f t="shared" si="1525"/>
        <v>0</v>
      </c>
      <c r="AN2750">
        <f t="shared" si="1526"/>
        <v>0</v>
      </c>
      <c r="AO2750" t="s">
        <v>7118</v>
      </c>
      <c r="AV2750" t="str">
        <f>IF(F2750&gt;0,(COUNT($AV$1:AV2749)+1),"")</f>
        <v/>
      </c>
    </row>
    <row r="2751" spans="1:48" ht="15" customHeight="1" x14ac:dyDescent="0.25">
      <c r="A2751" s="1"/>
      <c r="B2751" s="30">
        <v>17275</v>
      </c>
      <c r="C2751" s="20">
        <v>4631139962141</v>
      </c>
      <c r="D2751" s="225" t="s">
        <v>7305</v>
      </c>
      <c r="E2751" s="67">
        <v>12</v>
      </c>
      <c r="F2751" s="222"/>
      <c r="G2751" s="107">
        <v>355</v>
      </c>
      <c r="H2751" s="21">
        <v>370</v>
      </c>
      <c r="I2751" s="22">
        <v>405</v>
      </c>
      <c r="J2751" s="112" t="s">
        <v>1042</v>
      </c>
      <c r="K2751" s="45" t="s">
        <v>117</v>
      </c>
      <c r="L2751" s="437"/>
      <c r="M2751" s="474" t="s">
        <v>1856</v>
      </c>
      <c r="N2751" s="1013" t="s">
        <v>1856</v>
      </c>
      <c r="O2751" s="209"/>
      <c r="P2751" s="66" t="s">
        <v>50</v>
      </c>
      <c r="Q2751" s="100">
        <f t="shared" si="1527"/>
        <v>0</v>
      </c>
      <c r="R2751" s="13" t="str">
        <f t="shared" si="1528"/>
        <v>Фото &gt;&gt;</v>
      </c>
      <c r="S2751" s="14" t="s">
        <v>7116</v>
      </c>
      <c r="AK2751">
        <v>0.11</v>
      </c>
      <c r="AL2751">
        <f t="shared" si="1524"/>
        <v>0</v>
      </c>
      <c r="AM2751">
        <f t="shared" si="1525"/>
        <v>0</v>
      </c>
      <c r="AN2751">
        <f t="shared" si="1526"/>
        <v>0</v>
      </c>
      <c r="AO2751" t="s">
        <v>7119</v>
      </c>
      <c r="AV2751" t="str">
        <f>IF(F2751&gt;0,(COUNT($AV$1:AV2750)+1),"")</f>
        <v/>
      </c>
    </row>
    <row r="2752" spans="1:48" ht="15" customHeight="1" x14ac:dyDescent="0.25">
      <c r="A2752" s="1"/>
      <c r="B2752" s="31">
        <v>17586</v>
      </c>
      <c r="C2752" s="16">
        <v>4631141857732</v>
      </c>
      <c r="D2752" s="226" t="s">
        <v>3906</v>
      </c>
      <c r="E2752" s="69">
        <v>24</v>
      </c>
      <c r="F2752" s="222"/>
      <c r="G2752" s="108">
        <v>206</v>
      </c>
      <c r="H2752" s="17">
        <v>213</v>
      </c>
      <c r="I2752" s="18">
        <v>253.3</v>
      </c>
      <c r="J2752" s="113" t="s">
        <v>1042</v>
      </c>
      <c r="K2752" s="44" t="s">
        <v>117</v>
      </c>
      <c r="L2752" s="442"/>
      <c r="M2752" s="480" t="s">
        <v>1856</v>
      </c>
      <c r="N2752" s="1015" t="s">
        <v>1856</v>
      </c>
      <c r="O2752" s="210"/>
      <c r="P2752" s="68" t="s">
        <v>50</v>
      </c>
      <c r="Q2752" s="100">
        <f t="shared" si="1527"/>
        <v>0</v>
      </c>
      <c r="R2752" s="13" t="str">
        <f t="shared" ref="R2752:R2757" si="1529">IF(AO2752&gt;0,HYPERLINK(AO2752,"Фото &gt;&gt;"),"")</f>
        <v>Фото &gt;&gt;</v>
      </c>
      <c r="S2752" s="14" t="s">
        <v>3716</v>
      </c>
      <c r="AK2752">
        <v>0.12</v>
      </c>
      <c r="AL2752">
        <f t="shared" si="1524"/>
        <v>0</v>
      </c>
      <c r="AM2752">
        <f t="shared" si="1525"/>
        <v>0</v>
      </c>
      <c r="AN2752">
        <f t="shared" si="1526"/>
        <v>0</v>
      </c>
      <c r="AO2752" t="s">
        <v>5216</v>
      </c>
      <c r="AV2752" t="str">
        <f>IF(F2752&gt;0,(COUNT($AV$1:AV2751)+1),"")</f>
        <v/>
      </c>
    </row>
    <row r="2753" spans="1:48" ht="15" customHeight="1" x14ac:dyDescent="0.25">
      <c r="A2753" s="1"/>
      <c r="B2753" s="30">
        <v>17587</v>
      </c>
      <c r="C2753" s="20">
        <v>4631141857718</v>
      </c>
      <c r="D2753" s="153" t="s">
        <v>3907</v>
      </c>
      <c r="E2753" s="67">
        <v>24</v>
      </c>
      <c r="F2753" s="222"/>
      <c r="G2753" s="107">
        <v>206</v>
      </c>
      <c r="H2753" s="21">
        <v>213.6</v>
      </c>
      <c r="I2753" s="22">
        <v>253.3</v>
      </c>
      <c r="J2753" s="112" t="s">
        <v>1042</v>
      </c>
      <c r="K2753" s="45" t="s">
        <v>117</v>
      </c>
      <c r="L2753" s="437"/>
      <c r="M2753" s="474" t="s">
        <v>1856</v>
      </c>
      <c r="N2753" s="1013" t="s">
        <v>1856</v>
      </c>
      <c r="O2753" s="212"/>
      <c r="P2753" s="66" t="s">
        <v>50</v>
      </c>
      <c r="Q2753" s="100">
        <f t="shared" si="1527"/>
        <v>0</v>
      </c>
      <c r="R2753" s="13" t="str">
        <f t="shared" si="1529"/>
        <v>Фото &gt;&gt;</v>
      </c>
      <c r="S2753" s="14" t="s">
        <v>1045</v>
      </c>
      <c r="AK2753">
        <v>0.12</v>
      </c>
      <c r="AL2753">
        <f t="shared" si="1524"/>
        <v>0</v>
      </c>
      <c r="AM2753">
        <f t="shared" si="1525"/>
        <v>0</v>
      </c>
      <c r="AN2753">
        <f t="shared" si="1526"/>
        <v>0</v>
      </c>
      <c r="AO2753" t="s">
        <v>5217</v>
      </c>
      <c r="AV2753" t="str">
        <f>IF(F2753&gt;0,(COUNT($AV$1:AV2752)+1),"")</f>
        <v/>
      </c>
    </row>
    <row r="2754" spans="1:48" ht="15" customHeight="1" x14ac:dyDescent="0.25">
      <c r="A2754" s="1"/>
      <c r="B2754" s="31">
        <v>20466</v>
      </c>
      <c r="C2754" s="16">
        <v>4680232991039</v>
      </c>
      <c r="D2754" s="226" t="s">
        <v>4215</v>
      </c>
      <c r="E2754" s="69">
        <v>24</v>
      </c>
      <c r="F2754" s="222"/>
      <c r="G2754" s="108">
        <v>206</v>
      </c>
      <c r="H2754" s="17">
        <v>213.6</v>
      </c>
      <c r="I2754" s="18">
        <v>253.3</v>
      </c>
      <c r="J2754" s="113" t="s">
        <v>1042</v>
      </c>
      <c r="K2754" s="44" t="s">
        <v>117</v>
      </c>
      <c r="L2754" s="442"/>
      <c r="M2754" s="480" t="s">
        <v>1856</v>
      </c>
      <c r="N2754" s="1015" t="s">
        <v>1856</v>
      </c>
      <c r="O2754" s="210"/>
      <c r="P2754" s="68" t="s">
        <v>50</v>
      </c>
      <c r="Q2754" s="100">
        <f t="shared" si="1527"/>
        <v>0</v>
      </c>
      <c r="R2754" s="13" t="str">
        <f t="shared" si="1529"/>
        <v>Фото &gt;&gt;</v>
      </c>
      <c r="S2754" s="14" t="s">
        <v>3910</v>
      </c>
      <c r="AK2754">
        <v>0.12</v>
      </c>
      <c r="AL2754">
        <f t="shared" si="1524"/>
        <v>0</v>
      </c>
      <c r="AM2754">
        <f t="shared" si="1525"/>
        <v>0</v>
      </c>
      <c r="AN2754">
        <f t="shared" si="1526"/>
        <v>0</v>
      </c>
      <c r="AO2754" t="s">
        <v>5332</v>
      </c>
      <c r="AV2754" t="str">
        <f>IF(F2754&gt;0,(COUNT($AV$1:AV2753)+1),"")</f>
        <v/>
      </c>
    </row>
    <row r="2755" spans="1:48" ht="15" customHeight="1" x14ac:dyDescent="0.25">
      <c r="A2755" s="1"/>
      <c r="B2755" s="30">
        <v>17588</v>
      </c>
      <c r="C2755" s="20">
        <v>4631141729152</v>
      </c>
      <c r="D2755" s="153" t="s">
        <v>3908</v>
      </c>
      <c r="E2755" s="67">
        <v>24</v>
      </c>
      <c r="F2755" s="222"/>
      <c r="G2755" s="107">
        <v>206</v>
      </c>
      <c r="H2755" s="21">
        <v>213.6</v>
      </c>
      <c r="I2755" s="22">
        <v>253.3</v>
      </c>
      <c r="J2755" s="112" t="s">
        <v>1042</v>
      </c>
      <c r="K2755" s="45" t="s">
        <v>117</v>
      </c>
      <c r="L2755" s="437"/>
      <c r="M2755" s="474" t="s">
        <v>1856</v>
      </c>
      <c r="N2755" s="1013" t="s">
        <v>1856</v>
      </c>
      <c r="O2755" s="212"/>
      <c r="P2755" s="66" t="s">
        <v>50</v>
      </c>
      <c r="Q2755" s="100">
        <f t="shared" si="1527"/>
        <v>0</v>
      </c>
      <c r="R2755" s="13" t="str">
        <f t="shared" si="1529"/>
        <v>Фото &gt;&gt;</v>
      </c>
      <c r="S2755" s="14" t="s">
        <v>3717</v>
      </c>
      <c r="AK2755">
        <v>0.12</v>
      </c>
      <c r="AL2755">
        <f t="shared" si="1524"/>
        <v>0</v>
      </c>
      <c r="AM2755">
        <f t="shared" si="1525"/>
        <v>0</v>
      </c>
      <c r="AN2755">
        <f t="shared" si="1526"/>
        <v>0</v>
      </c>
      <c r="AO2755" t="s">
        <v>5218</v>
      </c>
      <c r="AV2755" t="str">
        <f>IF(F2755&gt;0,(COUNT($AV$1:AV2754)+1),"")</f>
        <v/>
      </c>
    </row>
    <row r="2756" spans="1:48" ht="15" customHeight="1" x14ac:dyDescent="0.25">
      <c r="A2756" s="1"/>
      <c r="B2756" s="31">
        <v>20467</v>
      </c>
      <c r="C2756" s="16">
        <v>4680232990995</v>
      </c>
      <c r="D2756" s="226" t="s">
        <v>4216</v>
      </c>
      <c r="E2756" s="69">
        <v>24</v>
      </c>
      <c r="F2756" s="222"/>
      <c r="G2756" s="108">
        <v>206</v>
      </c>
      <c r="H2756" s="17">
        <v>213.6</v>
      </c>
      <c r="I2756" s="18">
        <v>253.3</v>
      </c>
      <c r="J2756" s="113" t="s">
        <v>1042</v>
      </c>
      <c r="K2756" s="44" t="s">
        <v>117</v>
      </c>
      <c r="L2756" s="442"/>
      <c r="M2756" s="480" t="s">
        <v>1856</v>
      </c>
      <c r="N2756" s="1015" t="s">
        <v>1856</v>
      </c>
      <c r="O2756" s="210"/>
      <c r="P2756" s="68" t="s">
        <v>50</v>
      </c>
      <c r="Q2756" s="100">
        <f t="shared" si="1527"/>
        <v>0</v>
      </c>
      <c r="R2756" s="13" t="str">
        <f t="shared" si="1529"/>
        <v>Фото &gt;&gt;</v>
      </c>
      <c r="S2756" s="14" t="s">
        <v>3911</v>
      </c>
      <c r="AK2756">
        <v>0.12</v>
      </c>
      <c r="AL2756">
        <f t="shared" ref="AL2756:AL2757" si="1530">F2756*G2756</f>
        <v>0</v>
      </c>
      <c r="AM2756">
        <f t="shared" ref="AM2756:AM2757" si="1531">F2756*H2756</f>
        <v>0</v>
      </c>
      <c r="AN2756">
        <f t="shared" ref="AN2756:AN2757" si="1532">AK2756*F2756+IF(E2756&gt;1.01,F2756/E2756*0.2,0)</f>
        <v>0</v>
      </c>
      <c r="AO2756" t="s">
        <v>5333</v>
      </c>
      <c r="AV2756" t="str">
        <f>IF(F2756&gt;0,(COUNT($AV$1:AV2755)+1),"")</f>
        <v/>
      </c>
    </row>
    <row r="2757" spans="1:48" ht="15" customHeight="1" x14ac:dyDescent="0.25">
      <c r="A2757" s="1"/>
      <c r="B2757" s="30">
        <v>17591</v>
      </c>
      <c r="C2757" s="20">
        <v>4631141857725</v>
      </c>
      <c r="D2757" s="153" t="s">
        <v>3909</v>
      </c>
      <c r="E2757" s="67">
        <v>24</v>
      </c>
      <c r="F2757" s="222"/>
      <c r="G2757" s="107">
        <v>206</v>
      </c>
      <c r="H2757" s="21">
        <v>213.6</v>
      </c>
      <c r="I2757" s="22">
        <v>253.3</v>
      </c>
      <c r="J2757" s="112" t="s">
        <v>1042</v>
      </c>
      <c r="K2757" s="45" t="s">
        <v>117</v>
      </c>
      <c r="L2757" s="437"/>
      <c r="M2757" s="474" t="s">
        <v>1856</v>
      </c>
      <c r="N2757" s="1013" t="s">
        <v>1856</v>
      </c>
      <c r="O2757" s="212"/>
      <c r="P2757" s="66" t="s">
        <v>50</v>
      </c>
      <c r="Q2757" s="100">
        <f t="shared" si="1527"/>
        <v>0</v>
      </c>
      <c r="R2757" s="13" t="str">
        <f t="shared" si="1529"/>
        <v>Фото &gt;&gt;</v>
      </c>
      <c r="S2757" s="14" t="s">
        <v>1046</v>
      </c>
      <c r="AK2757">
        <v>0.12</v>
      </c>
      <c r="AL2757">
        <f t="shared" si="1530"/>
        <v>0</v>
      </c>
      <c r="AM2757">
        <f t="shared" si="1531"/>
        <v>0</v>
      </c>
      <c r="AN2757">
        <f t="shared" si="1532"/>
        <v>0</v>
      </c>
      <c r="AO2757" t="s">
        <v>5219</v>
      </c>
      <c r="AV2757" t="str">
        <f>IF(F2757&gt;0,(COUNT($AV$1:AV2756)+1),"")</f>
        <v/>
      </c>
    </row>
    <row r="2758" spans="1:48" ht="15" customHeight="1" x14ac:dyDescent="0.25">
      <c r="A2758" s="1"/>
      <c r="B2758" s="125"/>
      <c r="C2758" s="126"/>
      <c r="D2758" s="127"/>
      <c r="E2758" s="134"/>
      <c r="F2758" s="189"/>
      <c r="G2758" s="130"/>
      <c r="H2758" s="131"/>
      <c r="I2758" s="132"/>
      <c r="J2758" s="128"/>
      <c r="K2758" s="129"/>
      <c r="L2758" s="433"/>
      <c r="M2758" s="481" t="s">
        <v>104</v>
      </c>
      <c r="N2758" s="471"/>
      <c r="O2758" s="181"/>
      <c r="P2758" s="133"/>
      <c r="Q2758" s="135"/>
      <c r="R2758" s="13"/>
      <c r="S2758" s="14"/>
      <c r="AV2758" t="str">
        <f>IF(F2758&gt;0,(COUNT($AV$1:AV2757)+1),"")</f>
        <v/>
      </c>
    </row>
    <row r="2759" spans="1:48" ht="15" customHeight="1" thickBot="1" x14ac:dyDescent="0.3">
      <c r="A2759" s="1"/>
      <c r="B2759" s="136"/>
      <c r="C2759" s="137"/>
      <c r="D2759" s="138"/>
      <c r="E2759" s="145"/>
      <c r="F2759" s="190"/>
      <c r="G2759" s="141"/>
      <c r="H2759" s="142"/>
      <c r="I2759" s="143"/>
      <c r="J2759" s="139"/>
      <c r="K2759" s="140"/>
      <c r="L2759" s="434"/>
      <c r="M2759" s="477" t="s">
        <v>104</v>
      </c>
      <c r="N2759" s="468"/>
      <c r="O2759" s="182"/>
      <c r="P2759" s="144"/>
      <c r="Q2759" s="146"/>
      <c r="R2759" s="13"/>
      <c r="S2759" s="14"/>
      <c r="AV2759" t="str">
        <f>IF(F2759&gt;0,(COUNT($AV$1:AV2758)+1),"")</f>
        <v/>
      </c>
    </row>
    <row r="2760" spans="1:48" ht="24.75" customHeight="1" thickBot="1" x14ac:dyDescent="0.3">
      <c r="A2760" s="1"/>
      <c r="B2760" s="169"/>
      <c r="C2760" s="170"/>
      <c r="D2760" s="171" t="str">
        <f>CONCATENATE("NutVill","     |     Сумма заказа: ",AK2760," руб.")</f>
        <v>NutVill     |     Сумма заказа: 0 руб.</v>
      </c>
      <c r="E2760" s="176"/>
      <c r="F2760" s="177"/>
      <c r="G2760" s="180" t="str">
        <f>CONCATENATE("Ценовая колонка: ",AO2760,"   |   До следующей скидки: ",AJ2760," руб.")</f>
        <v>Ценовая колонка: 3   |   До следующей скидки: 5000 руб.</v>
      </c>
      <c r="H2760" s="174"/>
      <c r="I2760" s="174"/>
      <c r="J2760" s="172" t="s">
        <v>5542</v>
      </c>
      <c r="K2760" s="173"/>
      <c r="L2760" s="444"/>
      <c r="M2760" s="486" t="s">
        <v>104</v>
      </c>
      <c r="N2760" s="717"/>
      <c r="O2760" s="184"/>
      <c r="P2760" s="175"/>
      <c r="Q2760" s="178"/>
      <c r="R2760" s="179" t="s">
        <v>1558</v>
      </c>
      <c r="S2760" s="14"/>
      <c r="AJ2760">
        <f>ROUND(IF(AL2760&gt;20000,"0", IF(AND(AL2760&lt;20000,AM2760&gt;5000),20000-AL2760,5000-AM2760)),2)</f>
        <v>5000</v>
      </c>
      <c r="AK2760">
        <f>SUM(Q2761:Q2789)</f>
        <v>0</v>
      </c>
      <c r="AL2760">
        <f>SUM(AL2761:AL2789)</f>
        <v>0</v>
      </c>
      <c r="AM2760">
        <f>SUM(AM2761:AM2789)</f>
        <v>0</v>
      </c>
      <c r="AO2760">
        <f>IF(AM2760&gt;5000,IF(AL2760&gt;20000,1,2),3)</f>
        <v>3</v>
      </c>
      <c r="AV2760" t="str">
        <f>IF(F2760&gt;0,(COUNT($AV$1:AV2759)+1),"")</f>
        <v/>
      </c>
    </row>
    <row r="2761" spans="1:48" ht="15" customHeight="1" x14ac:dyDescent="0.25">
      <c r="A2761" s="1"/>
      <c r="B2761" s="25"/>
      <c r="C2761" s="26"/>
      <c r="D2761" s="27" t="s">
        <v>326</v>
      </c>
      <c r="E2761" s="80"/>
      <c r="F2761" s="96"/>
      <c r="G2761" s="28" t="s">
        <v>15</v>
      </c>
      <c r="H2761" s="29" t="s">
        <v>16</v>
      </c>
      <c r="I2761" s="29" t="s">
        <v>221</v>
      </c>
      <c r="J2761" s="51"/>
      <c r="K2761" s="47"/>
      <c r="L2761" s="447"/>
      <c r="M2761" s="489" t="s">
        <v>104</v>
      </c>
      <c r="N2761" s="716"/>
      <c r="O2761" s="186"/>
      <c r="P2761" s="79"/>
      <c r="Q2761" s="104"/>
      <c r="R2761" s="13"/>
      <c r="S2761" s="14"/>
      <c r="AV2761" t="str">
        <f>IF(F2761&gt;0,(COUNT($AV$1:AV2760)+1),"")</f>
        <v/>
      </c>
    </row>
    <row r="2762" spans="1:48" ht="15" customHeight="1" x14ac:dyDescent="0.25">
      <c r="A2762" s="1"/>
      <c r="B2762" s="785">
        <v>21534</v>
      </c>
      <c r="C2762" s="786"/>
      <c r="D2762" s="933" t="s">
        <v>7244</v>
      </c>
      <c r="E2762" s="788">
        <v>14</v>
      </c>
      <c r="F2762" s="789"/>
      <c r="G2762" s="811">
        <v>142.5</v>
      </c>
      <c r="H2762" s="790">
        <v>150</v>
      </c>
      <c r="I2762" s="791">
        <v>164</v>
      </c>
      <c r="J2762" s="792" t="s">
        <v>5542</v>
      </c>
      <c r="K2762" s="793" t="s">
        <v>326</v>
      </c>
      <c r="L2762" s="781"/>
      <c r="M2762" s="782" t="s">
        <v>1856</v>
      </c>
      <c r="N2762" s="1009"/>
      <c r="O2762" s="794" t="s">
        <v>1637</v>
      </c>
      <c r="P2762" s="784" t="s">
        <v>53</v>
      </c>
      <c r="Q2762" s="100">
        <f t="shared" ref="Q2762:Q2774" si="1533">IF($AO$2760=2,F2762*H2762,IF($AO$2760=1,F2762*G2762,F2762*I2762))</f>
        <v>0</v>
      </c>
      <c r="R2762" s="94" t="str">
        <f t="shared" ref="R2762:R2766" si="1534">IF(AO2762&gt;0,HYPERLINK(AO2762,"Фото &gt;&gt;"),"")</f>
        <v>Фото &gt;&gt;</v>
      </c>
      <c r="S2762" s="14" t="s">
        <v>7242</v>
      </c>
      <c r="AK2762">
        <v>8.5000000000000006E-2</v>
      </c>
      <c r="AL2762">
        <f t="shared" ref="AL2762:AL2765" si="1535">F2762*G2762</f>
        <v>0</v>
      </c>
      <c r="AM2762">
        <f t="shared" ref="AM2762:AM2765" si="1536">F2762*H2762</f>
        <v>0</v>
      </c>
      <c r="AN2762">
        <f t="shared" ref="AN2762:AN2765" si="1537">AK2762*F2762+IF(E2762&gt;1.01,F2762/E2762*0.2,0)</f>
        <v>0</v>
      </c>
      <c r="AO2762" t="s">
        <v>7240</v>
      </c>
      <c r="AV2762" t="str">
        <f>IF(F2762&gt;0,(COUNT($AV$1:AV2761)+1),"")</f>
        <v/>
      </c>
    </row>
    <row r="2763" spans="1:48" ht="15" customHeight="1" x14ac:dyDescent="0.25">
      <c r="A2763" s="1"/>
      <c r="B2763" s="32">
        <v>21533</v>
      </c>
      <c r="C2763" s="33"/>
      <c r="D2763" s="615" t="s">
        <v>7245</v>
      </c>
      <c r="E2763" s="71">
        <v>14</v>
      </c>
      <c r="F2763" s="223"/>
      <c r="G2763" s="109">
        <v>160.6</v>
      </c>
      <c r="H2763" s="34">
        <v>168.6</v>
      </c>
      <c r="I2763" s="35">
        <v>180</v>
      </c>
      <c r="J2763" s="114" t="s">
        <v>5542</v>
      </c>
      <c r="K2763" s="57" t="s">
        <v>326</v>
      </c>
      <c r="L2763" s="438"/>
      <c r="M2763" s="484" t="s">
        <v>1856</v>
      </c>
      <c r="N2763" s="1008"/>
      <c r="O2763" s="219" t="s">
        <v>1637</v>
      </c>
      <c r="P2763" s="70" t="s">
        <v>53</v>
      </c>
      <c r="Q2763" s="100">
        <f t="shared" si="1533"/>
        <v>0</v>
      </c>
      <c r="R2763" s="94" t="str">
        <f t="shared" si="1534"/>
        <v>Фото &gt;&gt;</v>
      </c>
      <c r="S2763" s="14" t="s">
        <v>7243</v>
      </c>
      <c r="AK2763">
        <v>8.5000000000000006E-2</v>
      </c>
      <c r="AL2763">
        <f t="shared" si="1535"/>
        <v>0</v>
      </c>
      <c r="AM2763">
        <f t="shared" si="1536"/>
        <v>0</v>
      </c>
      <c r="AN2763">
        <f t="shared" si="1537"/>
        <v>0</v>
      </c>
      <c r="AO2763" t="s">
        <v>7241</v>
      </c>
      <c r="AV2763" t="str">
        <f>IF(F2763&gt;0,(COUNT($AV$1:AV2762)+1),"")</f>
        <v/>
      </c>
    </row>
    <row r="2764" spans="1:48" ht="15" customHeight="1" x14ac:dyDescent="0.25">
      <c r="A2764" s="1"/>
      <c r="B2764" s="785">
        <v>18613</v>
      </c>
      <c r="C2764" s="786">
        <v>4680089420768</v>
      </c>
      <c r="D2764" s="787" t="s">
        <v>6717</v>
      </c>
      <c r="E2764" s="788">
        <v>14</v>
      </c>
      <c r="F2764" s="789"/>
      <c r="G2764" s="811">
        <v>126.5</v>
      </c>
      <c r="H2764" s="790">
        <v>131.5</v>
      </c>
      <c r="I2764" s="791">
        <v>141.80000000000001</v>
      </c>
      <c r="J2764" s="792" t="s">
        <v>5542</v>
      </c>
      <c r="K2764" s="793" t="s">
        <v>326</v>
      </c>
      <c r="L2764" s="781"/>
      <c r="M2764" s="782" t="s">
        <v>1856</v>
      </c>
      <c r="N2764" s="1009" t="s">
        <v>1856</v>
      </c>
      <c r="O2764" s="794"/>
      <c r="P2764" s="784" t="s">
        <v>53</v>
      </c>
      <c r="Q2764" s="100">
        <f t="shared" si="1533"/>
        <v>0</v>
      </c>
      <c r="R2764" s="13" t="str">
        <f t="shared" si="1534"/>
        <v>Фото &gt;&gt;</v>
      </c>
      <c r="S2764" s="14" t="s">
        <v>3727</v>
      </c>
      <c r="AK2764">
        <v>0.12</v>
      </c>
      <c r="AL2764">
        <f t="shared" si="1535"/>
        <v>0</v>
      </c>
      <c r="AM2764">
        <f t="shared" si="1536"/>
        <v>0</v>
      </c>
      <c r="AN2764">
        <f t="shared" si="1537"/>
        <v>0</v>
      </c>
      <c r="AO2764" t="s">
        <v>5220</v>
      </c>
      <c r="AV2764" t="str">
        <f>IF(F2764&gt;0,(COUNT($AV$1:AV2763)+1),"")</f>
        <v/>
      </c>
    </row>
    <row r="2765" spans="1:48" ht="15" customHeight="1" x14ac:dyDescent="0.25">
      <c r="A2765" s="1"/>
      <c r="B2765" s="31">
        <v>18614</v>
      </c>
      <c r="C2765" s="16">
        <v>4680089420805</v>
      </c>
      <c r="D2765" s="226" t="s">
        <v>6718</v>
      </c>
      <c r="E2765" s="69">
        <v>14</v>
      </c>
      <c r="F2765" s="222"/>
      <c r="G2765" s="108">
        <v>126.5</v>
      </c>
      <c r="H2765" s="17">
        <v>131.5</v>
      </c>
      <c r="I2765" s="18">
        <v>141.80000000000001</v>
      </c>
      <c r="J2765" s="113" t="s">
        <v>5542</v>
      </c>
      <c r="K2765" s="44" t="s">
        <v>326</v>
      </c>
      <c r="L2765" s="442"/>
      <c r="M2765" s="480" t="s">
        <v>1856</v>
      </c>
      <c r="N2765" s="1015" t="s">
        <v>1856</v>
      </c>
      <c r="O2765" s="210"/>
      <c r="P2765" s="68" t="s">
        <v>53</v>
      </c>
      <c r="Q2765" s="100">
        <f t="shared" si="1533"/>
        <v>0</v>
      </c>
      <c r="R2765" s="13" t="str">
        <f t="shared" si="1534"/>
        <v>Фото &gt;&gt;</v>
      </c>
      <c r="S2765" s="14" t="s">
        <v>3726</v>
      </c>
      <c r="AK2765">
        <v>0.12</v>
      </c>
      <c r="AL2765">
        <f t="shared" si="1535"/>
        <v>0</v>
      </c>
      <c r="AM2765">
        <f t="shared" si="1536"/>
        <v>0</v>
      </c>
      <c r="AN2765">
        <f t="shared" si="1537"/>
        <v>0</v>
      </c>
      <c r="AO2765" t="s">
        <v>5485</v>
      </c>
      <c r="AV2765" t="str">
        <f>IF(F2765&gt;0,(COUNT($AV$1:AV2764)+1),"")</f>
        <v/>
      </c>
    </row>
    <row r="2766" spans="1:48" ht="15" customHeight="1" x14ac:dyDescent="0.25">
      <c r="A2766" s="1"/>
      <c r="B2766" s="37">
        <v>18615</v>
      </c>
      <c r="C2766" s="23">
        <v>4680089420782</v>
      </c>
      <c r="D2766" s="237" t="s">
        <v>6719</v>
      </c>
      <c r="E2766" s="75">
        <v>14</v>
      </c>
      <c r="F2766" s="223"/>
      <c r="G2766" s="111">
        <v>126.5</v>
      </c>
      <c r="H2766" s="5">
        <v>131.5</v>
      </c>
      <c r="I2766" s="24">
        <v>141.80000000000001</v>
      </c>
      <c r="J2766" s="115" t="s">
        <v>5542</v>
      </c>
      <c r="K2766" s="46" t="s">
        <v>326</v>
      </c>
      <c r="L2766" s="440"/>
      <c r="M2766" s="482" t="s">
        <v>1856</v>
      </c>
      <c r="N2766" s="1002" t="s">
        <v>1856</v>
      </c>
      <c r="O2766" s="211"/>
      <c r="P2766" s="74" t="s">
        <v>53</v>
      </c>
      <c r="Q2766" s="100">
        <f t="shared" si="1533"/>
        <v>0</v>
      </c>
      <c r="R2766" s="13" t="str">
        <f t="shared" si="1534"/>
        <v>Фото &gt;&gt;</v>
      </c>
      <c r="S2766" s="14" t="s">
        <v>3725</v>
      </c>
      <c r="AK2766">
        <v>0.12</v>
      </c>
      <c r="AL2766">
        <f t="shared" ref="AL2766:AL2788" si="1538">F2766*G2766</f>
        <v>0</v>
      </c>
      <c r="AM2766">
        <f t="shared" ref="AM2766:AM2788" si="1539">F2766*H2766</f>
        <v>0</v>
      </c>
      <c r="AN2766">
        <f t="shared" ref="AN2766:AN2789" si="1540">AK2766*F2766+IF(E2766&gt;1.01,F2766/E2766*0.2,0)</f>
        <v>0</v>
      </c>
      <c r="AO2766" t="s">
        <v>5221</v>
      </c>
      <c r="AV2766" t="str">
        <f>IF(F2766&gt;0,(COUNT($AV$1:AV2765)+1),"")</f>
        <v/>
      </c>
    </row>
    <row r="2767" spans="1:48" ht="15" customHeight="1" x14ac:dyDescent="0.25">
      <c r="A2767" s="1"/>
      <c r="B2767" s="795">
        <v>19251</v>
      </c>
      <c r="C2767" s="796">
        <v>4680089420935</v>
      </c>
      <c r="D2767" s="797" t="s">
        <v>6720</v>
      </c>
      <c r="E2767" s="798">
        <v>14</v>
      </c>
      <c r="F2767" s="789"/>
      <c r="G2767" s="810">
        <v>135.19999999999999</v>
      </c>
      <c r="H2767" s="799">
        <v>140.6</v>
      </c>
      <c r="I2767" s="800">
        <v>151</v>
      </c>
      <c r="J2767" s="801" t="s">
        <v>5542</v>
      </c>
      <c r="K2767" s="802" t="s">
        <v>326</v>
      </c>
      <c r="L2767" s="803"/>
      <c r="M2767" s="804" t="s">
        <v>1856</v>
      </c>
      <c r="N2767" s="1006" t="s">
        <v>1856</v>
      </c>
      <c r="O2767" s="805"/>
      <c r="P2767" s="806" t="s">
        <v>53</v>
      </c>
      <c r="Q2767" s="100">
        <f t="shared" si="1533"/>
        <v>0</v>
      </c>
      <c r="R2767" s="13" t="str">
        <f t="shared" ref="R2767:R2789" si="1541">IF(AO2767&gt;0,HYPERLINK(AO2767,"Фото &gt;&gt;"),"")</f>
        <v>Фото &gt;&gt;</v>
      </c>
      <c r="S2767" s="14" t="s">
        <v>3722</v>
      </c>
      <c r="AK2767">
        <v>0.1</v>
      </c>
      <c r="AL2767">
        <f t="shared" si="1538"/>
        <v>0</v>
      </c>
      <c r="AM2767">
        <f t="shared" si="1539"/>
        <v>0</v>
      </c>
      <c r="AN2767">
        <f t="shared" si="1540"/>
        <v>0</v>
      </c>
      <c r="AO2767" t="s">
        <v>5486</v>
      </c>
      <c r="AV2767" t="str">
        <f>IF(F2767&gt;0,(COUNT($AV$1:AV2766)+1),"")</f>
        <v/>
      </c>
    </row>
    <row r="2768" spans="1:48" ht="15" customHeight="1" x14ac:dyDescent="0.25">
      <c r="A2768" s="1"/>
      <c r="B2768" s="30">
        <v>20850</v>
      </c>
      <c r="C2768" s="20">
        <v>4680089422489</v>
      </c>
      <c r="D2768" s="225" t="s">
        <v>6721</v>
      </c>
      <c r="E2768" s="67">
        <v>14</v>
      </c>
      <c r="F2768" s="222"/>
      <c r="G2768" s="107">
        <v>168.3</v>
      </c>
      <c r="H2768" s="21">
        <v>176.7</v>
      </c>
      <c r="I2768" s="22">
        <v>185.6</v>
      </c>
      <c r="J2768" s="112" t="s">
        <v>5542</v>
      </c>
      <c r="K2768" s="45" t="s">
        <v>326</v>
      </c>
      <c r="L2768" s="437"/>
      <c r="M2768" s="474" t="s">
        <v>1856</v>
      </c>
      <c r="N2768" s="1013" t="s">
        <v>1856</v>
      </c>
      <c r="O2768" s="209"/>
      <c r="P2768" s="66" t="s">
        <v>53</v>
      </c>
      <c r="Q2768" s="100">
        <f t="shared" si="1533"/>
        <v>0</v>
      </c>
      <c r="R2768" s="13"/>
      <c r="S2768" s="14" t="s">
        <v>4606</v>
      </c>
      <c r="AK2768">
        <v>0.1</v>
      </c>
      <c r="AL2768">
        <f t="shared" ref="AL2768:AL2769" si="1542">F2768*G2768</f>
        <v>0</v>
      </c>
      <c r="AM2768">
        <f t="shared" ref="AM2768:AM2769" si="1543">F2768*H2768</f>
        <v>0</v>
      </c>
      <c r="AN2768">
        <f t="shared" ref="AN2768:AN2769" si="1544">AK2768*F2768+IF(E2768&gt;1.01,F2768/E2768*0.2,0)</f>
        <v>0</v>
      </c>
      <c r="AO2768" t="s">
        <v>104</v>
      </c>
      <c r="AV2768" t="str">
        <f>IF(F2768&gt;0,(COUNT($AV$1:AV2767)+1),"")</f>
        <v/>
      </c>
    </row>
    <row r="2769" spans="1:48" ht="15" customHeight="1" x14ac:dyDescent="0.25">
      <c r="A2769" s="1"/>
      <c r="B2769" s="31">
        <v>20849</v>
      </c>
      <c r="C2769" s="16">
        <v>4680089422472</v>
      </c>
      <c r="D2769" s="226" t="s">
        <v>6722</v>
      </c>
      <c r="E2769" s="69">
        <v>14</v>
      </c>
      <c r="F2769" s="222"/>
      <c r="G2769" s="108">
        <v>142.30000000000001</v>
      </c>
      <c r="H2769" s="17">
        <v>149.4</v>
      </c>
      <c r="I2769" s="18">
        <v>157.1</v>
      </c>
      <c r="J2769" s="113" t="s">
        <v>5542</v>
      </c>
      <c r="K2769" s="44" t="s">
        <v>326</v>
      </c>
      <c r="L2769" s="442"/>
      <c r="M2769" s="480" t="s">
        <v>1856</v>
      </c>
      <c r="N2769" s="1015" t="s">
        <v>1856</v>
      </c>
      <c r="O2769" s="210"/>
      <c r="P2769" s="68" t="s">
        <v>53</v>
      </c>
      <c r="Q2769" s="100">
        <f t="shared" si="1533"/>
        <v>0</v>
      </c>
      <c r="R2769" s="13"/>
      <c r="S2769" s="14"/>
      <c r="AK2769">
        <v>0.1</v>
      </c>
      <c r="AL2769">
        <f t="shared" si="1542"/>
        <v>0</v>
      </c>
      <c r="AM2769">
        <f t="shared" si="1543"/>
        <v>0</v>
      </c>
      <c r="AN2769">
        <f t="shared" si="1544"/>
        <v>0</v>
      </c>
      <c r="AO2769" t="s">
        <v>104</v>
      </c>
      <c r="AV2769" t="str">
        <f>IF(F2769&gt;0,(COUNT($AV$1:AV2768)+1),"")</f>
        <v/>
      </c>
    </row>
    <row r="2770" spans="1:48" ht="15" customHeight="1" x14ac:dyDescent="0.25">
      <c r="A2770" s="1"/>
      <c r="B2770" s="30">
        <v>19252</v>
      </c>
      <c r="C2770" s="20">
        <v>4680089420959</v>
      </c>
      <c r="D2770" s="225" t="s">
        <v>6723</v>
      </c>
      <c r="E2770" s="67">
        <v>14</v>
      </c>
      <c r="F2770" s="222"/>
      <c r="G2770" s="107">
        <v>135.19999999999999</v>
      </c>
      <c r="H2770" s="21">
        <v>140.6</v>
      </c>
      <c r="I2770" s="22">
        <v>151</v>
      </c>
      <c r="J2770" s="112" t="s">
        <v>5542</v>
      </c>
      <c r="K2770" s="45" t="s">
        <v>326</v>
      </c>
      <c r="L2770" s="437"/>
      <c r="M2770" s="474" t="s">
        <v>1856</v>
      </c>
      <c r="N2770" s="1013" t="s">
        <v>1856</v>
      </c>
      <c r="O2770" s="209"/>
      <c r="P2770" s="66" t="s">
        <v>72</v>
      </c>
      <c r="Q2770" s="100">
        <f t="shared" si="1533"/>
        <v>0</v>
      </c>
      <c r="R2770" s="13" t="str">
        <f t="shared" si="1541"/>
        <v>Фото &gt;&gt;</v>
      </c>
      <c r="S2770" s="14" t="s">
        <v>3720</v>
      </c>
      <c r="AK2770">
        <v>0.1</v>
      </c>
      <c r="AL2770">
        <f t="shared" si="1538"/>
        <v>0</v>
      </c>
      <c r="AM2770">
        <f t="shared" si="1539"/>
        <v>0</v>
      </c>
      <c r="AN2770">
        <f t="shared" si="1540"/>
        <v>0</v>
      </c>
      <c r="AO2770" t="s">
        <v>5487</v>
      </c>
      <c r="AV2770" t="str">
        <f>IF(F2770&gt;0,(COUNT($AV$1:AV2769)+1),"")</f>
        <v/>
      </c>
    </row>
    <row r="2771" spans="1:48" ht="15" customHeight="1" x14ac:dyDescent="0.25">
      <c r="A2771" s="1"/>
      <c r="B2771" s="31">
        <v>19253</v>
      </c>
      <c r="C2771" s="16">
        <v>4680089421000</v>
      </c>
      <c r="D2771" s="226" t="s">
        <v>6724</v>
      </c>
      <c r="E2771" s="69">
        <v>14</v>
      </c>
      <c r="F2771" s="222"/>
      <c r="G2771" s="108">
        <v>135.19999999999999</v>
      </c>
      <c r="H2771" s="17">
        <v>140.6</v>
      </c>
      <c r="I2771" s="18">
        <v>151</v>
      </c>
      <c r="J2771" s="113" t="s">
        <v>5542</v>
      </c>
      <c r="K2771" s="44" t="s">
        <v>326</v>
      </c>
      <c r="L2771" s="442"/>
      <c r="M2771" s="480" t="s">
        <v>1856</v>
      </c>
      <c r="N2771" s="1015" t="s">
        <v>1856</v>
      </c>
      <c r="O2771" s="210"/>
      <c r="P2771" s="68" t="s">
        <v>72</v>
      </c>
      <c r="Q2771" s="100">
        <f t="shared" si="1533"/>
        <v>0</v>
      </c>
      <c r="R2771" s="13" t="str">
        <f t="shared" si="1541"/>
        <v>Фото &gt;&gt;</v>
      </c>
      <c r="S2771" s="14" t="s">
        <v>3719</v>
      </c>
      <c r="AK2771">
        <v>0.1</v>
      </c>
      <c r="AL2771">
        <f t="shared" si="1538"/>
        <v>0</v>
      </c>
      <c r="AM2771">
        <f t="shared" si="1539"/>
        <v>0</v>
      </c>
      <c r="AN2771">
        <f t="shared" si="1540"/>
        <v>0</v>
      </c>
      <c r="AO2771" t="s">
        <v>5488</v>
      </c>
      <c r="AV2771" t="str">
        <f>IF(F2771&gt;0,(COUNT($AV$1:AV2770)+1),"")</f>
        <v/>
      </c>
    </row>
    <row r="2772" spans="1:48" ht="15" customHeight="1" x14ac:dyDescent="0.25">
      <c r="A2772" s="1"/>
      <c r="B2772" s="37">
        <v>19254</v>
      </c>
      <c r="C2772" s="23">
        <v>4680089420973</v>
      </c>
      <c r="D2772" s="237" t="s">
        <v>6725</v>
      </c>
      <c r="E2772" s="75">
        <v>14</v>
      </c>
      <c r="F2772" s="223"/>
      <c r="G2772" s="111">
        <v>155.6</v>
      </c>
      <c r="H2772" s="5">
        <v>161.80000000000001</v>
      </c>
      <c r="I2772" s="24">
        <v>174.4</v>
      </c>
      <c r="J2772" s="115" t="s">
        <v>5542</v>
      </c>
      <c r="K2772" s="46" t="s">
        <v>326</v>
      </c>
      <c r="L2772" s="440"/>
      <c r="M2772" s="482" t="s">
        <v>1856</v>
      </c>
      <c r="N2772" s="1002" t="s">
        <v>1856</v>
      </c>
      <c r="O2772" s="211"/>
      <c r="P2772" s="74" t="s">
        <v>53</v>
      </c>
      <c r="Q2772" s="100">
        <f t="shared" si="1533"/>
        <v>0</v>
      </c>
      <c r="R2772" s="13" t="str">
        <f t="shared" si="1541"/>
        <v>Фото &gt;&gt;</v>
      </c>
      <c r="S2772" s="14" t="s">
        <v>3721</v>
      </c>
      <c r="AK2772">
        <v>0.1</v>
      </c>
      <c r="AL2772">
        <f t="shared" si="1538"/>
        <v>0</v>
      </c>
      <c r="AM2772">
        <f t="shared" si="1539"/>
        <v>0</v>
      </c>
      <c r="AN2772">
        <f t="shared" si="1540"/>
        <v>0</v>
      </c>
      <c r="AO2772" t="s">
        <v>5489</v>
      </c>
      <c r="AV2772" t="str">
        <f>IF(F2772&gt;0,(COUNT($AV$1:AV2771)+1),"")</f>
        <v/>
      </c>
    </row>
    <row r="2773" spans="1:48" ht="15" customHeight="1" x14ac:dyDescent="0.25">
      <c r="A2773" s="1"/>
      <c r="B2773" s="795">
        <v>19349</v>
      </c>
      <c r="C2773" s="796">
        <v>4680089421130</v>
      </c>
      <c r="D2773" s="797" t="s">
        <v>1932</v>
      </c>
      <c r="E2773" s="798">
        <v>14</v>
      </c>
      <c r="F2773" s="789"/>
      <c r="G2773" s="810">
        <v>124.2</v>
      </c>
      <c r="H2773" s="799">
        <v>131.5</v>
      </c>
      <c r="I2773" s="800">
        <v>141.80000000000001</v>
      </c>
      <c r="J2773" s="801" t="s">
        <v>5542</v>
      </c>
      <c r="K2773" s="802" t="s">
        <v>326</v>
      </c>
      <c r="L2773" s="803"/>
      <c r="M2773" s="804" t="s">
        <v>1856</v>
      </c>
      <c r="N2773" s="1006" t="s">
        <v>1856</v>
      </c>
      <c r="O2773" s="805"/>
      <c r="P2773" s="806" t="s">
        <v>53</v>
      </c>
      <c r="Q2773" s="100">
        <f t="shared" si="1533"/>
        <v>0</v>
      </c>
      <c r="R2773" s="13" t="str">
        <f t="shared" si="1541"/>
        <v>Фото &gt;&gt;</v>
      </c>
      <c r="S2773" s="14" t="s">
        <v>3728</v>
      </c>
      <c r="AK2773">
        <v>0.1</v>
      </c>
      <c r="AL2773">
        <f t="shared" si="1538"/>
        <v>0</v>
      </c>
      <c r="AM2773">
        <f t="shared" si="1539"/>
        <v>0</v>
      </c>
      <c r="AN2773">
        <f t="shared" si="1540"/>
        <v>0</v>
      </c>
      <c r="AO2773" t="s">
        <v>5490</v>
      </c>
      <c r="AV2773" t="str">
        <f>IF(F2773&gt;0,(COUNT($AV$1:AV2772)+1),"")</f>
        <v/>
      </c>
    </row>
    <row r="2774" spans="1:48" ht="15" customHeight="1" x14ac:dyDescent="0.25">
      <c r="A2774" s="1"/>
      <c r="B2774" s="30">
        <v>19350</v>
      </c>
      <c r="C2774" s="20">
        <v>4680089421154</v>
      </c>
      <c r="D2774" s="225" t="s">
        <v>1902</v>
      </c>
      <c r="E2774" s="67">
        <v>14</v>
      </c>
      <c r="F2774" s="222"/>
      <c r="G2774" s="107">
        <v>124.2</v>
      </c>
      <c r="H2774" s="21">
        <v>131.5</v>
      </c>
      <c r="I2774" s="22">
        <v>141.80000000000001</v>
      </c>
      <c r="J2774" s="112" t="s">
        <v>5542</v>
      </c>
      <c r="K2774" s="45" t="s">
        <v>326</v>
      </c>
      <c r="L2774" s="437"/>
      <c r="M2774" s="474" t="s">
        <v>1856</v>
      </c>
      <c r="N2774" s="1013" t="s">
        <v>1856</v>
      </c>
      <c r="O2774" s="209"/>
      <c r="P2774" s="66" t="s">
        <v>53</v>
      </c>
      <c r="Q2774" s="100">
        <f t="shared" si="1533"/>
        <v>0</v>
      </c>
      <c r="R2774" s="13" t="str">
        <f t="shared" si="1541"/>
        <v>Фото &gt;&gt;</v>
      </c>
      <c r="S2774" s="14" t="s">
        <v>3735</v>
      </c>
      <c r="AK2774">
        <v>0.1</v>
      </c>
      <c r="AL2774">
        <f t="shared" si="1538"/>
        <v>0</v>
      </c>
      <c r="AM2774">
        <f t="shared" si="1539"/>
        <v>0</v>
      </c>
      <c r="AN2774">
        <f t="shared" si="1540"/>
        <v>0</v>
      </c>
      <c r="AO2774" t="s">
        <v>3736</v>
      </c>
      <c r="AV2774" t="str">
        <f>IF(F2774&gt;0,(COUNT($AV$1:AV2773)+1),"")</f>
        <v/>
      </c>
    </row>
    <row r="2775" spans="1:48" ht="15" customHeight="1" x14ac:dyDescent="0.25">
      <c r="A2775" s="1"/>
      <c r="B2775" s="25"/>
      <c r="C2775" s="26"/>
      <c r="D2775" s="27" t="s">
        <v>201</v>
      </c>
      <c r="E2775" s="80"/>
      <c r="F2775" s="96"/>
      <c r="G2775" s="28"/>
      <c r="H2775" s="29"/>
      <c r="I2775" s="29"/>
      <c r="J2775" s="51"/>
      <c r="K2775" s="47"/>
      <c r="L2775" s="447"/>
      <c r="M2775" s="489" t="s">
        <v>104</v>
      </c>
      <c r="N2775" s="716"/>
      <c r="O2775" s="186"/>
      <c r="P2775" s="79"/>
      <c r="Q2775" s="104"/>
      <c r="R2775" s="13"/>
      <c r="S2775" s="14"/>
      <c r="AL2775">
        <f t="shared" si="1538"/>
        <v>0</v>
      </c>
      <c r="AM2775">
        <f t="shared" si="1539"/>
        <v>0</v>
      </c>
      <c r="AN2775">
        <f t="shared" si="1540"/>
        <v>0</v>
      </c>
      <c r="AO2775" t="s">
        <v>104</v>
      </c>
      <c r="AV2775" t="str">
        <f>IF(F2775&gt;0,(COUNT($AV$1:AV2774)+1),"")</f>
        <v/>
      </c>
    </row>
    <row r="2776" spans="1:48" ht="15" customHeight="1" x14ac:dyDescent="0.25">
      <c r="A2776" s="1"/>
      <c r="B2776" s="30">
        <v>18769</v>
      </c>
      <c r="C2776" s="20">
        <v>4680089420850</v>
      </c>
      <c r="D2776" s="153" t="s">
        <v>1047</v>
      </c>
      <c r="E2776" s="67">
        <v>12</v>
      </c>
      <c r="F2776" s="222"/>
      <c r="G2776" s="107">
        <v>214.2</v>
      </c>
      <c r="H2776" s="21">
        <v>221.3</v>
      </c>
      <c r="I2776" s="22">
        <v>235.6</v>
      </c>
      <c r="J2776" s="112" t="s">
        <v>5542</v>
      </c>
      <c r="K2776" s="45" t="s">
        <v>201</v>
      </c>
      <c r="L2776" s="437"/>
      <c r="M2776" s="474" t="s">
        <v>1856</v>
      </c>
      <c r="N2776" s="1013" t="s">
        <v>1856</v>
      </c>
      <c r="O2776" s="212"/>
      <c r="P2776" s="66" t="s">
        <v>72</v>
      </c>
      <c r="Q2776" s="100">
        <f t="shared" ref="Q2776:Q2787" si="1545">IF($AO$2760=2,F2776*H2776,IF($AO$2760=1,F2776*G2776,F2776*I2776))</f>
        <v>0</v>
      </c>
      <c r="R2776" s="13" t="str">
        <f t="shared" si="1541"/>
        <v>Фото &gt;&gt;</v>
      </c>
      <c r="S2776" s="14" t="s">
        <v>3731</v>
      </c>
      <c r="AK2776">
        <v>0.34</v>
      </c>
      <c r="AL2776">
        <f t="shared" si="1538"/>
        <v>0</v>
      </c>
      <c r="AM2776">
        <f t="shared" si="1539"/>
        <v>0</v>
      </c>
      <c r="AN2776">
        <f t="shared" si="1540"/>
        <v>0</v>
      </c>
      <c r="AO2776" t="s">
        <v>5222</v>
      </c>
      <c r="AV2776" t="str">
        <f>IF(F2776&gt;0,(COUNT($AV$1:AV2775)+1),"")</f>
        <v/>
      </c>
    </row>
    <row r="2777" spans="1:48" ht="15" customHeight="1" x14ac:dyDescent="0.25">
      <c r="A2777" s="1"/>
      <c r="B2777" s="31">
        <v>18327</v>
      </c>
      <c r="C2777" s="16">
        <v>4680089420010</v>
      </c>
      <c r="D2777" s="154" t="s">
        <v>1720</v>
      </c>
      <c r="E2777" s="69">
        <v>12</v>
      </c>
      <c r="F2777" s="222"/>
      <c r="G2777" s="108">
        <v>200.9</v>
      </c>
      <c r="H2777" s="17">
        <v>208.1</v>
      </c>
      <c r="I2777" s="18">
        <v>221.3</v>
      </c>
      <c r="J2777" s="113" t="s">
        <v>5542</v>
      </c>
      <c r="K2777" s="44" t="s">
        <v>201</v>
      </c>
      <c r="L2777" s="442"/>
      <c r="M2777" s="480" t="s">
        <v>1856</v>
      </c>
      <c r="N2777" s="1015" t="s">
        <v>1856</v>
      </c>
      <c r="O2777" s="217"/>
      <c r="P2777" s="68" t="s">
        <v>72</v>
      </c>
      <c r="Q2777" s="100">
        <f t="shared" si="1545"/>
        <v>0</v>
      </c>
      <c r="R2777" s="13" t="str">
        <f t="shared" si="1541"/>
        <v>Фото &gt;&gt;</v>
      </c>
      <c r="S2777" s="14" t="s">
        <v>3751</v>
      </c>
      <c r="AK2777">
        <v>0.34</v>
      </c>
      <c r="AL2777">
        <f t="shared" si="1538"/>
        <v>0</v>
      </c>
      <c r="AM2777">
        <f t="shared" si="1539"/>
        <v>0</v>
      </c>
      <c r="AN2777">
        <f t="shared" si="1540"/>
        <v>0</v>
      </c>
      <c r="AO2777" t="s">
        <v>3750</v>
      </c>
      <c r="AV2777" t="str">
        <f>IF(F2777&gt;0,(COUNT($AV$1:AV2776)+1),"")</f>
        <v/>
      </c>
    </row>
    <row r="2778" spans="1:48" ht="15" customHeight="1" x14ac:dyDescent="0.25">
      <c r="A2778" s="1"/>
      <c r="B2778" s="30">
        <v>18771</v>
      </c>
      <c r="C2778" s="20">
        <v>4680089420874</v>
      </c>
      <c r="D2778" s="153" t="s">
        <v>1048</v>
      </c>
      <c r="E2778" s="67">
        <v>12</v>
      </c>
      <c r="F2778" s="222"/>
      <c r="G2778" s="107">
        <v>214.2</v>
      </c>
      <c r="H2778" s="21">
        <v>221.3</v>
      </c>
      <c r="I2778" s="22">
        <v>235.6</v>
      </c>
      <c r="J2778" s="112" t="s">
        <v>5542</v>
      </c>
      <c r="K2778" s="45" t="s">
        <v>201</v>
      </c>
      <c r="L2778" s="437"/>
      <c r="M2778" s="474" t="s">
        <v>1856</v>
      </c>
      <c r="N2778" s="1013" t="s">
        <v>1856</v>
      </c>
      <c r="O2778" s="212"/>
      <c r="P2778" s="66" t="s">
        <v>72</v>
      </c>
      <c r="Q2778" s="100">
        <f t="shared" si="1545"/>
        <v>0</v>
      </c>
      <c r="R2778" s="13" t="str">
        <f t="shared" si="1541"/>
        <v>Фото &gt;&gt;</v>
      </c>
      <c r="S2778" s="14" t="s">
        <v>3732</v>
      </c>
      <c r="AK2778">
        <v>0.2</v>
      </c>
      <c r="AL2778">
        <f t="shared" si="1538"/>
        <v>0</v>
      </c>
      <c r="AM2778">
        <f t="shared" si="1539"/>
        <v>0</v>
      </c>
      <c r="AN2778">
        <f t="shared" si="1540"/>
        <v>0</v>
      </c>
      <c r="AO2778" t="s">
        <v>5223</v>
      </c>
      <c r="AV2778" t="str">
        <f>IF(F2778&gt;0,(COUNT($AV$1:AV2777)+1),"")</f>
        <v/>
      </c>
    </row>
    <row r="2779" spans="1:48" ht="15" customHeight="1" x14ac:dyDescent="0.25">
      <c r="A2779" s="1"/>
      <c r="B2779" s="31">
        <v>18770</v>
      </c>
      <c r="C2779" s="16">
        <v>4680089420898</v>
      </c>
      <c r="D2779" s="154" t="s">
        <v>1049</v>
      </c>
      <c r="E2779" s="69">
        <v>12</v>
      </c>
      <c r="F2779" s="222"/>
      <c r="G2779" s="108">
        <v>250.9</v>
      </c>
      <c r="H2779" s="17">
        <v>259.10000000000002</v>
      </c>
      <c r="I2779" s="18">
        <v>276.39999999999998</v>
      </c>
      <c r="J2779" s="113" t="s">
        <v>5542</v>
      </c>
      <c r="K2779" s="44" t="s">
        <v>201</v>
      </c>
      <c r="L2779" s="442"/>
      <c r="M2779" s="480" t="s">
        <v>1856</v>
      </c>
      <c r="N2779" s="1015" t="s">
        <v>1856</v>
      </c>
      <c r="O2779" s="217"/>
      <c r="P2779" s="68" t="s">
        <v>72</v>
      </c>
      <c r="Q2779" s="100">
        <f t="shared" si="1545"/>
        <v>0</v>
      </c>
      <c r="R2779" s="13" t="str">
        <f t="shared" si="1541"/>
        <v>Фото &gt;&gt;</v>
      </c>
      <c r="S2779" s="14" t="s">
        <v>3729</v>
      </c>
      <c r="AK2779">
        <v>0.2</v>
      </c>
      <c r="AL2779">
        <f t="shared" si="1538"/>
        <v>0</v>
      </c>
      <c r="AM2779">
        <f t="shared" si="1539"/>
        <v>0</v>
      </c>
      <c r="AN2779">
        <f t="shared" si="1540"/>
        <v>0</v>
      </c>
      <c r="AO2779" t="s">
        <v>5491</v>
      </c>
      <c r="AV2779" t="str">
        <f>IF(F2779&gt;0,(COUNT($AV$1:AV2778)+1),"")</f>
        <v/>
      </c>
    </row>
    <row r="2780" spans="1:48" ht="15" customHeight="1" x14ac:dyDescent="0.25">
      <c r="A2780" s="1"/>
      <c r="B2780" s="30">
        <v>21284</v>
      </c>
      <c r="C2780" s="20">
        <v>4680089422670</v>
      </c>
      <c r="D2780" s="225" t="s">
        <v>7306</v>
      </c>
      <c r="E2780" s="67">
        <v>12</v>
      </c>
      <c r="F2780" s="222"/>
      <c r="G2780" s="107">
        <v>217.3</v>
      </c>
      <c r="H2780" s="21">
        <v>228.5</v>
      </c>
      <c r="I2780" s="22">
        <v>250.9</v>
      </c>
      <c r="J2780" s="112" t="s">
        <v>5542</v>
      </c>
      <c r="K2780" s="45" t="s">
        <v>201</v>
      </c>
      <c r="L2780" s="437"/>
      <c r="M2780" s="474" t="s">
        <v>1856</v>
      </c>
      <c r="N2780" s="1013" t="s">
        <v>1856</v>
      </c>
      <c r="O2780" s="209"/>
      <c r="P2780" s="66" t="s">
        <v>72</v>
      </c>
      <c r="Q2780" s="100">
        <f t="shared" si="1545"/>
        <v>0</v>
      </c>
      <c r="R2780" s="13" t="str">
        <f t="shared" si="1541"/>
        <v>Фото &gt;&gt;</v>
      </c>
      <c r="S2780" s="14" t="s">
        <v>6468</v>
      </c>
      <c r="AK2780">
        <v>0.3</v>
      </c>
      <c r="AL2780">
        <f t="shared" ref="AL2780" si="1546">F2780*G2780</f>
        <v>0</v>
      </c>
      <c r="AM2780">
        <f t="shared" ref="AM2780" si="1547">F2780*H2780</f>
        <v>0</v>
      </c>
      <c r="AN2780">
        <f t="shared" ref="AN2780" si="1548">AK2780*F2780+IF(E2780&gt;1.01,F2780/E2780*0.2,0)</f>
        <v>0</v>
      </c>
      <c r="AO2780" t="s">
        <v>6469</v>
      </c>
      <c r="AV2780" t="str">
        <f>IF(F2780&gt;0,(COUNT($AV$1:AV2779)+1),"")</f>
        <v/>
      </c>
    </row>
    <row r="2781" spans="1:48" ht="15" customHeight="1" x14ac:dyDescent="0.25">
      <c r="A2781" s="1"/>
      <c r="B2781" s="31">
        <v>18772</v>
      </c>
      <c r="C2781" s="16">
        <v>4680089420911</v>
      </c>
      <c r="D2781" s="154" t="s">
        <v>1050</v>
      </c>
      <c r="E2781" s="69">
        <v>12</v>
      </c>
      <c r="F2781" s="222"/>
      <c r="G2781" s="108">
        <v>250.9</v>
      </c>
      <c r="H2781" s="17">
        <v>259.10000000000002</v>
      </c>
      <c r="I2781" s="18">
        <v>276.39999999999998</v>
      </c>
      <c r="J2781" s="113" t="s">
        <v>5542</v>
      </c>
      <c r="K2781" s="44" t="s">
        <v>201</v>
      </c>
      <c r="L2781" s="442"/>
      <c r="M2781" s="480" t="s">
        <v>1856</v>
      </c>
      <c r="N2781" s="1015" t="s">
        <v>1856</v>
      </c>
      <c r="O2781" s="217"/>
      <c r="P2781" s="68" t="s">
        <v>72</v>
      </c>
      <c r="Q2781" s="100">
        <f t="shared" si="1545"/>
        <v>0</v>
      </c>
      <c r="R2781" s="13" t="str">
        <f t="shared" si="1541"/>
        <v>Фото &gt;&gt;</v>
      </c>
      <c r="S2781" s="14" t="s">
        <v>3730</v>
      </c>
      <c r="AK2781">
        <v>0.2</v>
      </c>
      <c r="AL2781">
        <f t="shared" si="1538"/>
        <v>0</v>
      </c>
      <c r="AM2781">
        <f t="shared" si="1539"/>
        <v>0</v>
      </c>
      <c r="AN2781">
        <f t="shared" si="1540"/>
        <v>0</v>
      </c>
      <c r="AO2781" t="s">
        <v>5492</v>
      </c>
      <c r="AV2781" t="str">
        <f>IF(F2781&gt;0,(COUNT($AV$1:AV2780)+1),"")</f>
        <v/>
      </c>
    </row>
    <row r="2782" spans="1:48" ht="15" customHeight="1" x14ac:dyDescent="0.25">
      <c r="A2782" s="1"/>
      <c r="B2782" s="37">
        <v>18328</v>
      </c>
      <c r="C2782" s="23">
        <v>4680089420041</v>
      </c>
      <c r="D2782" s="156" t="s">
        <v>1051</v>
      </c>
      <c r="E2782" s="75">
        <v>12</v>
      </c>
      <c r="F2782" s="223"/>
      <c r="G2782" s="111">
        <v>217.3</v>
      </c>
      <c r="H2782" s="5">
        <v>224.4</v>
      </c>
      <c r="I2782" s="24">
        <v>239.7</v>
      </c>
      <c r="J2782" s="115" t="s">
        <v>5542</v>
      </c>
      <c r="K2782" s="46" t="s">
        <v>201</v>
      </c>
      <c r="L2782" s="440"/>
      <c r="M2782" s="482" t="s">
        <v>1856</v>
      </c>
      <c r="N2782" s="1002" t="s">
        <v>1856</v>
      </c>
      <c r="O2782" s="214"/>
      <c r="P2782" s="74" t="s">
        <v>72</v>
      </c>
      <c r="Q2782" s="100">
        <f t="shared" si="1545"/>
        <v>0</v>
      </c>
      <c r="R2782" s="13" t="str">
        <f t="shared" si="1541"/>
        <v>Фото &gt;&gt;</v>
      </c>
      <c r="S2782" s="14" t="s">
        <v>3734</v>
      </c>
      <c r="AK2782">
        <v>0.34</v>
      </c>
      <c r="AL2782">
        <f t="shared" si="1538"/>
        <v>0</v>
      </c>
      <c r="AM2782">
        <f t="shared" si="1539"/>
        <v>0</v>
      </c>
      <c r="AN2782">
        <f t="shared" si="1540"/>
        <v>0</v>
      </c>
      <c r="AO2782" t="s">
        <v>3733</v>
      </c>
      <c r="AV2782" t="str">
        <f>IF(F2782&gt;0,(COUNT($AV$1:AV2781)+1),"")</f>
        <v/>
      </c>
    </row>
    <row r="2783" spans="1:48" ht="15" customHeight="1" x14ac:dyDescent="0.25">
      <c r="A2783" s="1"/>
      <c r="B2783" s="795">
        <v>18329</v>
      </c>
      <c r="C2783" s="796">
        <v>4680089420065</v>
      </c>
      <c r="D2783" s="898" t="s">
        <v>1052</v>
      </c>
      <c r="E2783" s="798">
        <v>12</v>
      </c>
      <c r="F2783" s="789"/>
      <c r="G2783" s="810">
        <v>235.6</v>
      </c>
      <c r="H2783" s="799">
        <v>247.9</v>
      </c>
      <c r="I2783" s="800">
        <v>264.2</v>
      </c>
      <c r="J2783" s="801" t="s">
        <v>5542</v>
      </c>
      <c r="K2783" s="802" t="s">
        <v>201</v>
      </c>
      <c r="L2783" s="803"/>
      <c r="M2783" s="804" t="s">
        <v>1856</v>
      </c>
      <c r="N2783" s="1006" t="s">
        <v>1856</v>
      </c>
      <c r="O2783" s="887"/>
      <c r="P2783" s="806" t="s">
        <v>72</v>
      </c>
      <c r="Q2783" s="100">
        <f t="shared" si="1545"/>
        <v>0</v>
      </c>
      <c r="R2783" s="13" t="str">
        <f t="shared" si="1541"/>
        <v>Фото &gt;&gt;</v>
      </c>
      <c r="S2783" s="14" t="s">
        <v>3741</v>
      </c>
      <c r="AK2783">
        <v>0.34</v>
      </c>
      <c r="AL2783">
        <f t="shared" si="1538"/>
        <v>0</v>
      </c>
      <c r="AM2783">
        <f t="shared" si="1539"/>
        <v>0</v>
      </c>
      <c r="AN2783">
        <f t="shared" si="1540"/>
        <v>0</v>
      </c>
      <c r="AO2783" t="s">
        <v>3740</v>
      </c>
      <c r="AV2783" t="str">
        <f>IF(F2783&gt;0,(COUNT($AV$1:AV2782)+1),"")</f>
        <v/>
      </c>
    </row>
    <row r="2784" spans="1:48" ht="15" customHeight="1" x14ac:dyDescent="0.25">
      <c r="A2784" s="1"/>
      <c r="B2784" s="30">
        <v>18331</v>
      </c>
      <c r="C2784" s="20">
        <v>4680089420126</v>
      </c>
      <c r="D2784" s="153" t="s">
        <v>1053</v>
      </c>
      <c r="E2784" s="67">
        <v>12</v>
      </c>
      <c r="F2784" s="222"/>
      <c r="G2784" s="107">
        <v>469.2</v>
      </c>
      <c r="H2784" s="21">
        <v>484.5</v>
      </c>
      <c r="I2784" s="22">
        <v>516.1</v>
      </c>
      <c r="J2784" s="112" t="s">
        <v>5542</v>
      </c>
      <c r="K2784" s="45" t="s">
        <v>201</v>
      </c>
      <c r="L2784" s="437"/>
      <c r="M2784" s="474" t="s">
        <v>1856</v>
      </c>
      <c r="N2784" s="1013" t="s">
        <v>1856</v>
      </c>
      <c r="O2784" s="212"/>
      <c r="P2784" s="66" t="s">
        <v>72</v>
      </c>
      <c r="Q2784" s="100">
        <f t="shared" si="1545"/>
        <v>0</v>
      </c>
      <c r="R2784" s="13" t="str">
        <f t="shared" si="1541"/>
        <v>Фото &gt;&gt;</v>
      </c>
      <c r="S2784" s="14" t="s">
        <v>3742</v>
      </c>
      <c r="AK2784">
        <v>0.34</v>
      </c>
      <c r="AL2784">
        <f t="shared" si="1538"/>
        <v>0</v>
      </c>
      <c r="AM2784">
        <f t="shared" si="1539"/>
        <v>0</v>
      </c>
      <c r="AN2784">
        <f t="shared" si="1540"/>
        <v>0</v>
      </c>
      <c r="AO2784" t="s">
        <v>3743</v>
      </c>
      <c r="AV2784" t="str">
        <f>IF(F2784&gt;0,(COUNT($AV$1:AV2783)+1),"")</f>
        <v/>
      </c>
    </row>
    <row r="2785" spans="1:48" ht="15" customHeight="1" x14ac:dyDescent="0.25">
      <c r="A2785" s="1"/>
      <c r="B2785" s="31">
        <v>18332</v>
      </c>
      <c r="C2785" s="16">
        <v>4680089420027</v>
      </c>
      <c r="D2785" s="154" t="s">
        <v>1054</v>
      </c>
      <c r="E2785" s="69">
        <v>12</v>
      </c>
      <c r="F2785" s="222"/>
      <c r="G2785" s="108">
        <v>261.10000000000002</v>
      </c>
      <c r="H2785" s="17">
        <v>275.39999999999998</v>
      </c>
      <c r="I2785" s="18">
        <v>292.7</v>
      </c>
      <c r="J2785" s="113" t="s">
        <v>5542</v>
      </c>
      <c r="K2785" s="44" t="s">
        <v>201</v>
      </c>
      <c r="L2785" s="442"/>
      <c r="M2785" s="480" t="s">
        <v>1856</v>
      </c>
      <c r="N2785" s="1015" t="s">
        <v>1856</v>
      </c>
      <c r="O2785" s="217"/>
      <c r="P2785" s="68" t="s">
        <v>72</v>
      </c>
      <c r="Q2785" s="100">
        <f t="shared" si="1545"/>
        <v>0</v>
      </c>
      <c r="R2785" s="13" t="str">
        <f t="shared" si="1541"/>
        <v>Фото &gt;&gt;</v>
      </c>
      <c r="S2785" s="14" t="s">
        <v>3738</v>
      </c>
      <c r="AK2785">
        <v>0.34</v>
      </c>
      <c r="AL2785">
        <f t="shared" si="1538"/>
        <v>0</v>
      </c>
      <c r="AM2785">
        <f t="shared" si="1539"/>
        <v>0</v>
      </c>
      <c r="AN2785">
        <f t="shared" si="1540"/>
        <v>0</v>
      </c>
      <c r="AO2785" t="s">
        <v>3739</v>
      </c>
      <c r="AV2785" t="str">
        <f>IF(F2785&gt;0,(COUNT($AV$1:AV2784)+1),"")</f>
        <v/>
      </c>
    </row>
    <row r="2786" spans="1:48" ht="15" customHeight="1" x14ac:dyDescent="0.25">
      <c r="A2786" s="1"/>
      <c r="B2786" s="30">
        <v>18333</v>
      </c>
      <c r="C2786" s="20">
        <v>4680089420102</v>
      </c>
      <c r="D2786" s="153" t="s">
        <v>1055</v>
      </c>
      <c r="E2786" s="67">
        <v>12</v>
      </c>
      <c r="F2786" s="222"/>
      <c r="G2786" s="107">
        <v>435.5</v>
      </c>
      <c r="H2786" s="21">
        <v>449.8</v>
      </c>
      <c r="I2786" s="22">
        <v>479.4</v>
      </c>
      <c r="J2786" s="112" t="s">
        <v>5542</v>
      </c>
      <c r="K2786" s="45" t="s">
        <v>201</v>
      </c>
      <c r="L2786" s="437"/>
      <c r="M2786" s="474" t="s">
        <v>1856</v>
      </c>
      <c r="N2786" s="1013" t="s">
        <v>1856</v>
      </c>
      <c r="O2786" s="212"/>
      <c r="P2786" s="66" t="s">
        <v>72</v>
      </c>
      <c r="Q2786" s="100">
        <f t="shared" si="1545"/>
        <v>0</v>
      </c>
      <c r="R2786" s="13" t="str">
        <f t="shared" si="1541"/>
        <v>Фото &gt;&gt;</v>
      </c>
      <c r="S2786" s="14" t="s">
        <v>3744</v>
      </c>
      <c r="AK2786">
        <v>0.34</v>
      </c>
      <c r="AL2786">
        <f t="shared" si="1538"/>
        <v>0</v>
      </c>
      <c r="AM2786">
        <f t="shared" si="1539"/>
        <v>0</v>
      </c>
      <c r="AN2786">
        <f t="shared" si="1540"/>
        <v>0</v>
      </c>
      <c r="AO2786" t="s">
        <v>3745</v>
      </c>
      <c r="AV2786" t="str">
        <f>IF(F2786&gt;0,(COUNT($AV$1:AV2785)+1),"")</f>
        <v/>
      </c>
    </row>
    <row r="2787" spans="1:48" ht="15" customHeight="1" x14ac:dyDescent="0.25">
      <c r="A2787" s="1"/>
      <c r="B2787" s="31">
        <v>18334</v>
      </c>
      <c r="C2787" s="16">
        <v>4680089420089</v>
      </c>
      <c r="D2787" s="154" t="s">
        <v>1056</v>
      </c>
      <c r="E2787" s="69">
        <v>12</v>
      </c>
      <c r="F2787" s="222"/>
      <c r="G2787" s="108">
        <v>268.3</v>
      </c>
      <c r="H2787" s="17">
        <v>282.5</v>
      </c>
      <c r="I2787" s="18">
        <v>300.89999999999998</v>
      </c>
      <c r="J2787" s="113" t="s">
        <v>5542</v>
      </c>
      <c r="K2787" s="44" t="s">
        <v>201</v>
      </c>
      <c r="L2787" s="442"/>
      <c r="M2787" s="480" t="s">
        <v>1856</v>
      </c>
      <c r="N2787" s="1015" t="s">
        <v>1856</v>
      </c>
      <c r="O2787" s="217"/>
      <c r="P2787" s="68" t="s">
        <v>72</v>
      </c>
      <c r="Q2787" s="100">
        <f t="shared" si="1545"/>
        <v>0</v>
      </c>
      <c r="R2787" s="13" t="str">
        <f t="shared" si="1541"/>
        <v>Фото &gt;&gt;</v>
      </c>
      <c r="S2787" s="14" t="s">
        <v>3746</v>
      </c>
      <c r="AK2787">
        <v>0.34</v>
      </c>
      <c r="AL2787">
        <f t="shared" si="1538"/>
        <v>0</v>
      </c>
      <c r="AM2787">
        <f t="shared" si="1539"/>
        <v>0</v>
      </c>
      <c r="AN2787">
        <f t="shared" si="1540"/>
        <v>0</v>
      </c>
      <c r="AO2787" t="s">
        <v>3747</v>
      </c>
      <c r="AV2787" t="str">
        <f>IF(F2787&gt;0,(COUNT($AV$1:AV2786)+1),"")</f>
        <v/>
      </c>
    </row>
    <row r="2788" spans="1:48" ht="15" customHeight="1" x14ac:dyDescent="0.25">
      <c r="A2788" s="1"/>
      <c r="B2788" s="25"/>
      <c r="C2788" s="26"/>
      <c r="D2788" s="27" t="s">
        <v>3417</v>
      </c>
      <c r="E2788" s="80"/>
      <c r="F2788" s="96"/>
      <c r="G2788" s="28"/>
      <c r="H2788" s="29"/>
      <c r="I2788" s="29"/>
      <c r="J2788" s="51"/>
      <c r="K2788" s="47"/>
      <c r="L2788" s="447"/>
      <c r="M2788" s="489" t="s">
        <v>104</v>
      </c>
      <c r="N2788" s="716"/>
      <c r="O2788" s="186"/>
      <c r="P2788" s="79"/>
      <c r="Q2788" s="104"/>
      <c r="R2788" s="13"/>
      <c r="S2788" s="14"/>
      <c r="AL2788">
        <f t="shared" si="1538"/>
        <v>0</v>
      </c>
      <c r="AM2788">
        <f t="shared" si="1539"/>
        <v>0</v>
      </c>
      <c r="AN2788">
        <f t="shared" si="1540"/>
        <v>0</v>
      </c>
      <c r="AO2788" t="s">
        <v>104</v>
      </c>
      <c r="AV2788" t="str">
        <f>IF(F2788&gt;0,(COUNT($AV$1:AV2787)+1),"")</f>
        <v/>
      </c>
    </row>
    <row r="2789" spans="1:48" ht="15" customHeight="1" x14ac:dyDescent="0.25">
      <c r="A2789" s="1"/>
      <c r="B2789" s="30">
        <v>18536</v>
      </c>
      <c r="C2789" s="20">
        <v>4680089420287</v>
      </c>
      <c r="D2789" s="264" t="s">
        <v>358</v>
      </c>
      <c r="E2789" s="67">
        <v>12</v>
      </c>
      <c r="F2789" s="222"/>
      <c r="G2789" s="107">
        <v>206</v>
      </c>
      <c r="H2789" s="21">
        <v>215</v>
      </c>
      <c r="I2789" s="22">
        <v>231</v>
      </c>
      <c r="J2789" s="112" t="s">
        <v>5542</v>
      </c>
      <c r="K2789" s="45" t="s">
        <v>68</v>
      </c>
      <c r="L2789" s="437"/>
      <c r="M2789" s="474" t="s">
        <v>1856</v>
      </c>
      <c r="N2789" s="1013" t="s">
        <v>1856</v>
      </c>
      <c r="O2789" s="325"/>
      <c r="P2789" s="66" t="s">
        <v>72</v>
      </c>
      <c r="Q2789" s="100">
        <f>IF($AO$2760=2,F2789*H2789,IF($AO$2760=1,F2789*G2789,F2789*I2789))</f>
        <v>0</v>
      </c>
      <c r="R2789" s="13" t="str">
        <f t="shared" si="1541"/>
        <v>Фото &gt;&gt;</v>
      </c>
      <c r="S2789" s="14" t="s">
        <v>3749</v>
      </c>
      <c r="AK2789">
        <v>0.21</v>
      </c>
      <c r="AL2789">
        <f t="shared" ref="AL2789" si="1549">F2789*G2789</f>
        <v>0</v>
      </c>
      <c r="AM2789">
        <f t="shared" ref="AM2789" si="1550">F2789*H2789</f>
        <v>0</v>
      </c>
      <c r="AN2789">
        <f t="shared" si="1540"/>
        <v>0</v>
      </c>
      <c r="AO2789" t="s">
        <v>3748</v>
      </c>
      <c r="AV2789" t="str">
        <f>IF(F2789&gt;0,(COUNT($AV$1:AV2788)+1),"")</f>
        <v/>
      </c>
    </row>
    <row r="2790" spans="1:48" ht="15" customHeight="1" x14ac:dyDescent="0.25">
      <c r="A2790" s="1"/>
      <c r="B2790" s="125"/>
      <c r="C2790" s="126"/>
      <c r="D2790" s="127"/>
      <c r="E2790" s="134"/>
      <c r="F2790" s="189"/>
      <c r="G2790" s="130"/>
      <c r="H2790" s="131"/>
      <c r="I2790" s="132"/>
      <c r="J2790" s="128"/>
      <c r="K2790" s="129"/>
      <c r="L2790" s="433"/>
      <c r="M2790" s="481" t="s">
        <v>104</v>
      </c>
      <c r="N2790" s="471"/>
      <c r="O2790" s="181"/>
      <c r="P2790" s="133"/>
      <c r="Q2790" s="135"/>
      <c r="R2790" s="13"/>
      <c r="S2790" s="14"/>
      <c r="AV2790" t="str">
        <f>IF(F2790&gt;0,(COUNT($AV$1:AV2789)+1),"")</f>
        <v/>
      </c>
    </row>
    <row r="2791" spans="1:48" ht="15" customHeight="1" thickBot="1" x14ac:dyDescent="0.3">
      <c r="A2791" s="1"/>
      <c r="B2791" s="136"/>
      <c r="C2791" s="137"/>
      <c r="D2791" s="138"/>
      <c r="E2791" s="145"/>
      <c r="F2791" s="190"/>
      <c r="G2791" s="141"/>
      <c r="H2791" s="142"/>
      <c r="I2791" s="143"/>
      <c r="J2791" s="139"/>
      <c r="K2791" s="140"/>
      <c r="L2791" s="434"/>
      <c r="M2791" s="477" t="s">
        <v>104</v>
      </c>
      <c r="N2791" s="468"/>
      <c r="O2791" s="182"/>
      <c r="P2791" s="144"/>
      <c r="Q2791" s="146"/>
      <c r="R2791" s="13"/>
      <c r="S2791" s="14"/>
      <c r="AV2791" t="str">
        <f>IF(F2791&gt;0,(COUNT($AV$1:AV2790)+1),"")</f>
        <v/>
      </c>
    </row>
    <row r="2792" spans="1:48" ht="24.75" customHeight="1" thickBot="1" x14ac:dyDescent="0.3">
      <c r="A2792" s="1"/>
      <c r="B2792" s="169"/>
      <c r="C2792" s="170"/>
      <c r="D2792" s="171" t="str">
        <f>CONCATENATE("Vegan Food","     |     Сумма заказа: ",AK2792," руб.")</f>
        <v>Vegan Food     |     Сумма заказа: 0 руб.</v>
      </c>
      <c r="E2792" s="176"/>
      <c r="F2792" s="177"/>
      <c r="G2792" s="180" t="str">
        <f>CONCATENATE("Ценовая колонка: ",AO2792,"   |   До следующей скидки: ",AJ2792," руб.")</f>
        <v>Ценовая колонка: 3   |   До следующей скидки: 5000 руб.</v>
      </c>
      <c r="H2792" s="174"/>
      <c r="I2792" s="174"/>
      <c r="J2792" s="172" t="s">
        <v>1057</v>
      </c>
      <c r="K2792" s="173"/>
      <c r="L2792" s="444"/>
      <c r="M2792" s="486" t="s">
        <v>104</v>
      </c>
      <c r="N2792" s="717"/>
      <c r="O2792" s="184"/>
      <c r="P2792" s="175"/>
      <c r="Q2792" s="178"/>
      <c r="R2792" s="179" t="s">
        <v>1558</v>
      </c>
      <c r="S2792" s="14"/>
      <c r="AJ2792">
        <f>ROUND(IF(AL2792&gt;20000,"0", IF(AND(AL2792&lt;20000,AM2792&gt;5000),20000-AL2792,5000-AM2792)),2)</f>
        <v>5000</v>
      </c>
      <c r="AK2792">
        <f>SUM(Q2794:Q2799)</f>
        <v>0</v>
      </c>
      <c r="AL2792">
        <f>SUM(AL2794:AL2799)</f>
        <v>0</v>
      </c>
      <c r="AM2792">
        <f>SUM(AM2794:AM2799)</f>
        <v>0</v>
      </c>
      <c r="AO2792">
        <f>IF(AM2792&gt;5000,IF(AL2792&gt;20000,1,2),3)</f>
        <v>3</v>
      </c>
      <c r="AV2792" t="str">
        <f>IF(F2792&gt;0,(COUNT($AV$1:AV2791)+1),"")</f>
        <v/>
      </c>
    </row>
    <row r="2793" spans="1:48" ht="15" customHeight="1" x14ac:dyDescent="0.25">
      <c r="A2793" s="1"/>
      <c r="B2793" s="296"/>
      <c r="C2793" s="38"/>
      <c r="D2793" s="39" t="s">
        <v>1462</v>
      </c>
      <c r="E2793" s="82"/>
      <c r="F2793" s="97"/>
      <c r="G2793" s="40" t="s">
        <v>15</v>
      </c>
      <c r="H2793" s="41" t="s">
        <v>16</v>
      </c>
      <c r="I2793" s="41" t="s">
        <v>221</v>
      </c>
      <c r="J2793" s="52"/>
      <c r="K2793" s="48"/>
      <c r="L2793" s="448"/>
      <c r="M2793" s="491" t="s">
        <v>104</v>
      </c>
      <c r="N2793" s="715"/>
      <c r="O2793" s="187"/>
      <c r="P2793" s="81"/>
      <c r="Q2793" s="105"/>
      <c r="R2793" s="13"/>
      <c r="S2793" s="14"/>
      <c r="AV2793" t="str">
        <f>IF(F2793&gt;0,(COUNT($AV$1:AV2792)+1),"")</f>
        <v/>
      </c>
    </row>
    <row r="2794" spans="1:48" ht="15" customHeight="1" x14ac:dyDescent="0.25">
      <c r="A2794" s="1"/>
      <c r="B2794" s="31">
        <v>20311</v>
      </c>
      <c r="C2794" s="16">
        <v>4627078720287</v>
      </c>
      <c r="D2794" s="154" t="s">
        <v>3234</v>
      </c>
      <c r="E2794" s="69">
        <v>16</v>
      </c>
      <c r="F2794" s="222"/>
      <c r="G2794" s="108">
        <v>700</v>
      </c>
      <c r="H2794" s="17">
        <v>735</v>
      </c>
      <c r="I2794" s="18">
        <v>780</v>
      </c>
      <c r="J2794" s="113" t="s">
        <v>1057</v>
      </c>
      <c r="K2794" s="44" t="s">
        <v>19</v>
      </c>
      <c r="L2794" s="442"/>
      <c r="M2794" s="480" t="s">
        <v>1856</v>
      </c>
      <c r="N2794" s="1015" t="s">
        <v>1856</v>
      </c>
      <c r="O2794" s="220"/>
      <c r="P2794" s="68" t="s">
        <v>72</v>
      </c>
      <c r="Q2794" s="100">
        <f t="shared" ref="Q2794:Q2799" si="1551">IF($AO$2792=2,F2794*H2794,IF($AO$2792=1,F2794*G2794,F2794*I2794))</f>
        <v>0</v>
      </c>
      <c r="R2794" s="13" t="str">
        <f t="shared" ref="R2794" si="1552">IF(AO2794&gt;0,HYPERLINK(AO2794,"Фото &gt;&gt;"),"")</f>
        <v>Фото &gt;&gt;</v>
      </c>
      <c r="S2794" s="14" t="s">
        <v>3753</v>
      </c>
      <c r="AK2794">
        <v>0.11</v>
      </c>
      <c r="AL2794">
        <f t="shared" ref="AL2794:AL2799" si="1553">F2794*G2794</f>
        <v>0</v>
      </c>
      <c r="AM2794">
        <f t="shared" ref="AM2794:AM2799" si="1554">F2794*H2794</f>
        <v>0</v>
      </c>
      <c r="AN2794">
        <f t="shared" ref="AN2794:AN2799" si="1555">AK2794*F2794+IF(E2794&gt;1.01,F2794/E2794*0.2,0)</f>
        <v>0</v>
      </c>
      <c r="AO2794" t="s">
        <v>3752</v>
      </c>
      <c r="AV2794" t="str">
        <f>IF(F2794&gt;0,(COUNT($AV$1:AV2793)+1),"")</f>
        <v/>
      </c>
    </row>
    <row r="2795" spans="1:48" ht="15" customHeight="1" x14ac:dyDescent="0.25">
      <c r="A2795" s="1"/>
      <c r="B2795" s="30">
        <v>17830</v>
      </c>
      <c r="C2795" s="20">
        <v>4627078720386</v>
      </c>
      <c r="D2795" s="153" t="s">
        <v>547</v>
      </c>
      <c r="E2795" s="67">
        <v>30</v>
      </c>
      <c r="F2795" s="222"/>
      <c r="G2795" s="107">
        <v>337</v>
      </c>
      <c r="H2795" s="21">
        <v>354</v>
      </c>
      <c r="I2795" s="22">
        <v>372</v>
      </c>
      <c r="J2795" s="112" t="s">
        <v>1057</v>
      </c>
      <c r="K2795" s="45" t="s">
        <v>78</v>
      </c>
      <c r="L2795" s="437"/>
      <c r="M2795" s="474" t="s">
        <v>1856</v>
      </c>
      <c r="N2795" s="1013" t="s">
        <v>1856</v>
      </c>
      <c r="O2795" s="325"/>
      <c r="P2795" s="66" t="s">
        <v>72</v>
      </c>
      <c r="Q2795" s="100">
        <f t="shared" si="1551"/>
        <v>0</v>
      </c>
      <c r="R2795" s="13" t="str">
        <f t="shared" ref="R2795:R2820" si="1556">IF(AO2795&gt;0,HYPERLINK(AO2795,"Фото &gt;&gt;"),"")</f>
        <v>Фото &gt;&gt;</v>
      </c>
      <c r="S2795" s="14" t="s">
        <v>3754</v>
      </c>
      <c r="AK2795">
        <v>0.12</v>
      </c>
      <c r="AL2795">
        <f t="shared" si="1553"/>
        <v>0</v>
      </c>
      <c r="AM2795">
        <f t="shared" si="1554"/>
        <v>0</v>
      </c>
      <c r="AN2795">
        <f t="shared" si="1555"/>
        <v>0</v>
      </c>
      <c r="AO2795" t="s">
        <v>5224</v>
      </c>
      <c r="AV2795" t="str">
        <f>IF(F2795&gt;0,(COUNT($AV$1:AV2794)+1),"")</f>
        <v/>
      </c>
    </row>
    <row r="2796" spans="1:48" ht="15" customHeight="1" x14ac:dyDescent="0.25">
      <c r="A2796" s="1"/>
      <c r="B2796" s="31">
        <v>17831</v>
      </c>
      <c r="C2796" s="16">
        <v>4627078720393</v>
      </c>
      <c r="D2796" s="154" t="s">
        <v>548</v>
      </c>
      <c r="E2796" s="69">
        <v>20</v>
      </c>
      <c r="F2796" s="222"/>
      <c r="G2796" s="108">
        <v>550</v>
      </c>
      <c r="H2796" s="17">
        <v>577</v>
      </c>
      <c r="I2796" s="18">
        <v>606</v>
      </c>
      <c r="J2796" s="113" t="s">
        <v>1057</v>
      </c>
      <c r="K2796" s="44" t="s">
        <v>78</v>
      </c>
      <c r="L2796" s="442"/>
      <c r="M2796" s="480" t="s">
        <v>1856</v>
      </c>
      <c r="N2796" s="1015" t="s">
        <v>1856</v>
      </c>
      <c r="O2796" s="220"/>
      <c r="P2796" s="68" t="s">
        <v>72</v>
      </c>
      <c r="Q2796" s="100">
        <f t="shared" si="1551"/>
        <v>0</v>
      </c>
      <c r="R2796" s="13" t="str">
        <f t="shared" si="1556"/>
        <v>Фото &gt;&gt;</v>
      </c>
      <c r="S2796" s="14" t="s">
        <v>3754</v>
      </c>
      <c r="AK2796">
        <v>0.22</v>
      </c>
      <c r="AL2796">
        <f t="shared" si="1553"/>
        <v>0</v>
      </c>
      <c r="AM2796">
        <f t="shared" si="1554"/>
        <v>0</v>
      </c>
      <c r="AN2796">
        <f t="shared" si="1555"/>
        <v>0</v>
      </c>
      <c r="AO2796" t="s">
        <v>5225</v>
      </c>
      <c r="AV2796" t="str">
        <f>IF(F2796&gt;0,(COUNT($AV$1:AV2795)+1),"")</f>
        <v/>
      </c>
    </row>
    <row r="2797" spans="1:48" ht="15" customHeight="1" x14ac:dyDescent="0.25">
      <c r="A2797" s="1"/>
      <c r="B2797" s="30">
        <v>20525</v>
      </c>
      <c r="C2797" s="20">
        <v>4627078723059</v>
      </c>
      <c r="D2797" s="225" t="s">
        <v>3979</v>
      </c>
      <c r="E2797" s="67">
        <v>16</v>
      </c>
      <c r="F2797" s="222"/>
      <c r="G2797" s="107">
        <v>199</v>
      </c>
      <c r="H2797" s="21">
        <v>209</v>
      </c>
      <c r="I2797" s="22">
        <v>230</v>
      </c>
      <c r="J2797" s="112" t="s">
        <v>1057</v>
      </c>
      <c r="K2797" s="45" t="s">
        <v>78</v>
      </c>
      <c r="L2797" s="437"/>
      <c r="M2797" s="474" t="s">
        <v>1856</v>
      </c>
      <c r="N2797" s="1013" t="s">
        <v>1856</v>
      </c>
      <c r="O2797" s="209"/>
      <c r="P2797" s="66" t="s">
        <v>72</v>
      </c>
      <c r="Q2797" s="100">
        <f t="shared" si="1551"/>
        <v>0</v>
      </c>
      <c r="R2797" s="13" t="str">
        <f t="shared" si="1556"/>
        <v>Фото &gt;&gt;</v>
      </c>
      <c r="S2797" s="14" t="s">
        <v>2176</v>
      </c>
      <c r="AK2797">
        <v>0.27</v>
      </c>
      <c r="AL2797">
        <f t="shared" ref="AL2797" si="1557">F2797*G2797</f>
        <v>0</v>
      </c>
      <c r="AM2797">
        <f t="shared" ref="AM2797" si="1558">F2797*H2797</f>
        <v>0</v>
      </c>
      <c r="AN2797">
        <f t="shared" ref="AN2797" si="1559">AK2797*F2797+IF(E2797&gt;1.01,F2797/E2797*0.2,0)</f>
        <v>0</v>
      </c>
      <c r="AO2797" t="s">
        <v>3980</v>
      </c>
      <c r="AV2797" t="str">
        <f>IF(F2797&gt;0,(COUNT($AV$1:AV2796)+1),"")</f>
        <v/>
      </c>
    </row>
    <row r="2798" spans="1:48" ht="15" customHeight="1" x14ac:dyDescent="0.25">
      <c r="A2798" s="1"/>
      <c r="B2798" s="31">
        <v>17742</v>
      </c>
      <c r="C2798" s="16">
        <v>4627078720416</v>
      </c>
      <c r="D2798" s="154" t="s">
        <v>1058</v>
      </c>
      <c r="E2798" s="69">
        <v>16</v>
      </c>
      <c r="F2798" s="222"/>
      <c r="G2798" s="108">
        <v>401</v>
      </c>
      <c r="H2798" s="17">
        <v>421</v>
      </c>
      <c r="I2798" s="18">
        <v>442</v>
      </c>
      <c r="J2798" s="113" t="s">
        <v>1057</v>
      </c>
      <c r="K2798" s="44" t="s">
        <v>19</v>
      </c>
      <c r="L2798" s="442"/>
      <c r="M2798" s="480" t="s">
        <v>1856</v>
      </c>
      <c r="N2798" s="1015" t="s">
        <v>1856</v>
      </c>
      <c r="O2798" s="220"/>
      <c r="P2798" s="68" t="s">
        <v>50</v>
      </c>
      <c r="Q2798" s="100">
        <f t="shared" si="1551"/>
        <v>0</v>
      </c>
      <c r="R2798" s="13" t="str">
        <f t="shared" si="1556"/>
        <v>Фото &gt;&gt;</v>
      </c>
      <c r="S2798" s="14" t="s">
        <v>1059</v>
      </c>
      <c r="AK2798">
        <v>0.4</v>
      </c>
      <c r="AL2798">
        <f t="shared" si="1553"/>
        <v>0</v>
      </c>
      <c r="AM2798">
        <f t="shared" si="1554"/>
        <v>0</v>
      </c>
      <c r="AN2798">
        <f t="shared" si="1555"/>
        <v>0</v>
      </c>
      <c r="AO2798" t="s">
        <v>2783</v>
      </c>
      <c r="AV2798" t="str">
        <f>IF(F2798&gt;0,(COUNT($AV$1:AV2797)+1),"")</f>
        <v/>
      </c>
    </row>
    <row r="2799" spans="1:48" ht="15" customHeight="1" x14ac:dyDescent="0.25">
      <c r="A2799" s="1"/>
      <c r="B2799" s="30">
        <v>17743</v>
      </c>
      <c r="C2799" s="20">
        <v>4627078723004</v>
      </c>
      <c r="D2799" s="153" t="s">
        <v>1060</v>
      </c>
      <c r="E2799" s="67">
        <v>8</v>
      </c>
      <c r="F2799" s="222"/>
      <c r="G2799" s="107">
        <v>775</v>
      </c>
      <c r="H2799" s="21">
        <v>813</v>
      </c>
      <c r="I2799" s="22">
        <v>872</v>
      </c>
      <c r="J2799" s="112" t="s">
        <v>1057</v>
      </c>
      <c r="K2799" s="45" t="s">
        <v>19</v>
      </c>
      <c r="L2799" s="437"/>
      <c r="M2799" s="474" t="s">
        <v>1856</v>
      </c>
      <c r="N2799" s="1013" t="s">
        <v>1856</v>
      </c>
      <c r="O2799" s="325"/>
      <c r="P2799" s="66" t="s">
        <v>50</v>
      </c>
      <c r="Q2799" s="100">
        <f t="shared" si="1551"/>
        <v>0</v>
      </c>
      <c r="R2799" s="13" t="str">
        <f t="shared" si="1556"/>
        <v>Фото &gt;&gt;</v>
      </c>
      <c r="S2799" s="14" t="s">
        <v>1059</v>
      </c>
      <c r="AK2799">
        <v>0.75</v>
      </c>
      <c r="AL2799">
        <f t="shared" si="1553"/>
        <v>0</v>
      </c>
      <c r="AM2799">
        <f t="shared" si="1554"/>
        <v>0</v>
      </c>
      <c r="AN2799">
        <f t="shared" si="1555"/>
        <v>0</v>
      </c>
      <c r="AO2799" t="s">
        <v>2784</v>
      </c>
      <c r="AV2799" t="str">
        <f>IF(F2799&gt;0,(COUNT($AV$1:AV2798)+1),"")</f>
        <v/>
      </c>
    </row>
    <row r="2800" spans="1:48" ht="15" customHeight="1" x14ac:dyDescent="0.25">
      <c r="A2800" s="1"/>
      <c r="B2800" s="125"/>
      <c r="C2800" s="126"/>
      <c r="D2800" s="127"/>
      <c r="E2800" s="134"/>
      <c r="F2800" s="189"/>
      <c r="G2800" s="130"/>
      <c r="H2800" s="131"/>
      <c r="I2800" s="132"/>
      <c r="J2800" s="128"/>
      <c r="K2800" s="129"/>
      <c r="L2800" s="433"/>
      <c r="M2800" s="481" t="s">
        <v>104</v>
      </c>
      <c r="N2800" s="471"/>
      <c r="O2800" s="181"/>
      <c r="P2800" s="133"/>
      <c r="Q2800" s="135"/>
      <c r="R2800" s="13"/>
      <c r="S2800" s="14"/>
      <c r="AV2800" t="str">
        <f>IF(F2800&gt;0,(COUNT($AV$1:AV2799)+1),"")</f>
        <v/>
      </c>
    </row>
    <row r="2801" spans="1:48" ht="15" customHeight="1" thickBot="1" x14ac:dyDescent="0.3">
      <c r="A2801" s="1"/>
      <c r="B2801" s="136"/>
      <c r="C2801" s="137"/>
      <c r="D2801" s="138"/>
      <c r="E2801" s="145"/>
      <c r="F2801" s="190"/>
      <c r="G2801" s="141"/>
      <c r="H2801" s="142"/>
      <c r="I2801" s="143"/>
      <c r="J2801" s="139"/>
      <c r="K2801" s="140"/>
      <c r="L2801" s="434"/>
      <c r="M2801" s="477" t="s">
        <v>104</v>
      </c>
      <c r="N2801" s="468"/>
      <c r="O2801" s="182"/>
      <c r="P2801" s="144"/>
      <c r="Q2801" s="146"/>
      <c r="R2801" s="13"/>
      <c r="S2801" s="14"/>
      <c r="AV2801" t="str">
        <f>IF(F2801&gt;0,(COUNT($AV$1:AV2800)+1),"")</f>
        <v/>
      </c>
    </row>
    <row r="2802" spans="1:48" ht="24.75" customHeight="1" thickBot="1" x14ac:dyDescent="0.3">
      <c r="A2802" s="1"/>
      <c r="B2802" s="597"/>
      <c r="C2802" s="598"/>
      <c r="D2802" s="599" t="str">
        <f>CONCATENATE("Сокровища сезама","     |     Сумма заказа: ",AK2802," руб.")</f>
        <v>Сокровища сезама     |     Сумма заказа: 0 руб.</v>
      </c>
      <c r="E2802" s="600"/>
      <c r="F2802" s="601"/>
      <c r="G2802" s="602" t="str">
        <f>CONCATENATE("Ценовая колонка: ",AO2802,"   |   До следующей скидки: ",AJ2802," руб.")</f>
        <v>Ценовая колонка: 3   |   До следующей скидки: 3000 руб.</v>
      </c>
      <c r="H2802" s="603"/>
      <c r="I2802" s="603"/>
      <c r="J2802" s="604" t="s">
        <v>3167</v>
      </c>
      <c r="K2802" s="605"/>
      <c r="L2802" s="606"/>
      <c r="M2802" s="607" t="s">
        <v>104</v>
      </c>
      <c r="N2802" s="1033"/>
      <c r="O2802" s="608"/>
      <c r="P2802" s="609"/>
      <c r="Q2802" s="610"/>
      <c r="R2802" s="611" t="s">
        <v>1558</v>
      </c>
      <c r="S2802" s="14"/>
      <c r="AJ2802">
        <f>ROUND(IF(AL2802&gt;10000,"0", IF(AND(AL2802&lt;10000,AM2802&gt;3000),10000-AL2802,3000-AM2802)),2)</f>
        <v>3000</v>
      </c>
      <c r="AK2802">
        <f>SUM(Q2808:Q2815)</f>
        <v>0</v>
      </c>
      <c r="AL2802">
        <f>SUM(AL2808:AL2815)</f>
        <v>0</v>
      </c>
      <c r="AM2802">
        <f>SUM(AM2808:AM2815)</f>
        <v>0</v>
      </c>
      <c r="AO2802">
        <f>IF(AM2802&gt;3000,IF(AL2802&gt;10000,1,2),3)</f>
        <v>3</v>
      </c>
      <c r="AV2802" t="str">
        <f>IF(F2802&gt;0,(COUNT($AV$1:AV2801)+1),"")</f>
        <v/>
      </c>
    </row>
    <row r="2803" spans="1:48" ht="15" customHeight="1" x14ac:dyDescent="0.25">
      <c r="A2803" s="1"/>
      <c r="B2803" s="158"/>
      <c r="C2803" s="159"/>
      <c r="D2803" s="263" t="s">
        <v>3999</v>
      </c>
      <c r="E2803" s="238"/>
      <c r="F2803" s="203"/>
      <c r="G2803" s="239"/>
      <c r="H2803" s="240"/>
      <c r="I2803" s="240"/>
      <c r="J2803" s="241"/>
      <c r="K2803" s="201"/>
      <c r="L2803" s="428"/>
      <c r="M2803" s="475"/>
      <c r="N2803" s="467"/>
      <c r="O2803" s="166"/>
      <c r="P2803" s="242"/>
      <c r="Q2803" s="202"/>
      <c r="R2803" s="13"/>
      <c r="S2803" s="14"/>
      <c r="AV2803" t="str">
        <f>IF(F2803&gt;0,(COUNT($AV$1:AV2802)+1),"")</f>
        <v/>
      </c>
    </row>
    <row r="2804" spans="1:48" ht="15" customHeight="1" x14ac:dyDescent="0.25">
      <c r="A2804" s="1"/>
      <c r="B2804" s="158"/>
      <c r="C2804" s="159"/>
      <c r="D2804" s="263" t="s">
        <v>4000</v>
      </c>
      <c r="E2804" s="238"/>
      <c r="F2804" s="203"/>
      <c r="G2804" s="239"/>
      <c r="H2804" s="240"/>
      <c r="I2804" s="240"/>
      <c r="J2804" s="241"/>
      <c r="K2804" s="201"/>
      <c r="L2804" s="428"/>
      <c r="M2804" s="475"/>
      <c r="N2804" s="467"/>
      <c r="O2804" s="166"/>
      <c r="P2804" s="242"/>
      <c r="Q2804" s="202"/>
      <c r="R2804" s="13"/>
      <c r="S2804" s="14"/>
      <c r="AV2804" t="str">
        <f>IF(F2804&gt;0,(COUNT($AV$1:AV2803)+1),"")</f>
        <v/>
      </c>
    </row>
    <row r="2805" spans="1:48" ht="15" customHeight="1" x14ac:dyDescent="0.25">
      <c r="A2805" s="1"/>
      <c r="B2805" s="158"/>
      <c r="C2805" s="159"/>
      <c r="D2805" s="263" t="s">
        <v>4001</v>
      </c>
      <c r="E2805" s="238"/>
      <c r="F2805" s="203"/>
      <c r="G2805" s="239"/>
      <c r="H2805" s="240"/>
      <c r="I2805" s="240"/>
      <c r="J2805" s="241"/>
      <c r="K2805" s="201"/>
      <c r="L2805" s="428"/>
      <c r="M2805" s="475"/>
      <c r="N2805" s="467"/>
      <c r="O2805" s="166"/>
      <c r="P2805" s="242"/>
      <c r="Q2805" s="202"/>
      <c r="R2805" s="13"/>
      <c r="S2805" s="14"/>
      <c r="AV2805" t="str">
        <f>IF(F2805&gt;0,(COUNT($AV$1:AV2804)+1),"")</f>
        <v/>
      </c>
    </row>
    <row r="2806" spans="1:48" ht="15" customHeight="1" x14ac:dyDescent="0.25">
      <c r="A2806" s="1"/>
      <c r="B2806" s="158"/>
      <c r="C2806" s="159"/>
      <c r="D2806" s="263" t="s">
        <v>4002</v>
      </c>
      <c r="E2806" s="238"/>
      <c r="F2806" s="203"/>
      <c r="G2806" s="239"/>
      <c r="H2806" s="240"/>
      <c r="I2806" s="240"/>
      <c r="J2806" s="241"/>
      <c r="K2806" s="201"/>
      <c r="L2806" s="428"/>
      <c r="M2806" s="475"/>
      <c r="N2806" s="467"/>
      <c r="O2806" s="166"/>
      <c r="P2806" s="242"/>
      <c r="Q2806" s="202"/>
      <c r="R2806" s="13"/>
      <c r="S2806" s="14"/>
      <c r="AV2806" t="str">
        <f>IF(F2806&gt;0,(COUNT($AV$1:AV2805)+1),"")</f>
        <v/>
      </c>
    </row>
    <row r="2807" spans="1:48" ht="15" customHeight="1" x14ac:dyDescent="0.25">
      <c r="A2807" s="1"/>
      <c r="B2807" s="612"/>
      <c r="C2807" s="613"/>
      <c r="D2807" s="9" t="s">
        <v>3998</v>
      </c>
      <c r="E2807" s="77"/>
      <c r="F2807" s="95"/>
      <c r="G2807" s="10" t="s">
        <v>1451</v>
      </c>
      <c r="H2807" s="11" t="s">
        <v>1461</v>
      </c>
      <c r="I2807" s="11" t="s">
        <v>221</v>
      </c>
      <c r="J2807" s="50"/>
      <c r="K2807" s="42"/>
      <c r="L2807" s="445"/>
      <c r="M2807" s="487" t="s">
        <v>104</v>
      </c>
      <c r="N2807" s="1017"/>
      <c r="O2807" s="185"/>
      <c r="P2807" s="76"/>
      <c r="Q2807" s="102"/>
      <c r="R2807" s="13"/>
      <c r="S2807" s="14"/>
      <c r="AV2807" t="str">
        <f>IF(F2807&gt;0,(COUNT($AV$1:AV2806)+1),"")</f>
        <v/>
      </c>
    </row>
    <row r="2808" spans="1:48" ht="15" customHeight="1" x14ac:dyDescent="0.25">
      <c r="A2808" s="1"/>
      <c r="B2808" s="30">
        <v>16611</v>
      </c>
      <c r="C2808" s="20">
        <v>4670009620828</v>
      </c>
      <c r="D2808" s="225" t="s">
        <v>1036</v>
      </c>
      <c r="E2808" s="67">
        <v>9</v>
      </c>
      <c r="F2808" s="222"/>
      <c r="G2808" s="107">
        <v>323.60000000000002</v>
      </c>
      <c r="H2808" s="21">
        <v>333.9</v>
      </c>
      <c r="I2808" s="22">
        <v>345.7</v>
      </c>
      <c r="J2808" s="112" t="s">
        <v>3167</v>
      </c>
      <c r="K2808" s="45" t="s">
        <v>201</v>
      </c>
      <c r="L2808" s="437"/>
      <c r="M2808" s="474" t="s">
        <v>1856</v>
      </c>
      <c r="N2808" s="1013" t="s">
        <v>1856</v>
      </c>
      <c r="O2808" s="209"/>
      <c r="P2808" s="66" t="s">
        <v>72</v>
      </c>
      <c r="Q2808" s="100">
        <f t="shared" ref="Q2808:Q2815" si="1560">IF($AO$2802=2,F2808*H2808,IF($AO$2802=1,F2808*G2808,F2808*I2808))</f>
        <v>0</v>
      </c>
      <c r="R2808" s="13" t="str">
        <f t="shared" ref="R2808:R2815" si="1561">IF(AO2808&gt;0,HYPERLINK(AO2808,"Фото &gt;&gt;"),"")</f>
        <v>Фото &gt;&gt;</v>
      </c>
      <c r="S2808" s="14" t="s">
        <v>1038</v>
      </c>
      <c r="AK2808">
        <v>0.56999999999999995</v>
      </c>
      <c r="AL2808">
        <f t="shared" ref="AL2808:AL2815" si="1562">F2808*G2808</f>
        <v>0</v>
      </c>
      <c r="AM2808">
        <f t="shared" ref="AM2808:AM2815" si="1563">F2808*H2808</f>
        <v>0</v>
      </c>
      <c r="AN2808">
        <f t="shared" ref="AN2808:AN2815" si="1564">AK2808*F2808+IF(E2808&gt;1.01,F2808/E2808*0.2,0)</f>
        <v>0</v>
      </c>
      <c r="AO2808" t="s">
        <v>5207</v>
      </c>
      <c r="AV2808" t="str">
        <f>IF(F2808&gt;0,(COUNT($AV$1:AV2807)+1),"")</f>
        <v/>
      </c>
    </row>
    <row r="2809" spans="1:48" ht="15" customHeight="1" x14ac:dyDescent="0.25">
      <c r="A2809" s="1"/>
      <c r="B2809" s="31">
        <v>20541</v>
      </c>
      <c r="C2809" s="16">
        <v>4670009622778</v>
      </c>
      <c r="D2809" s="226" t="s">
        <v>243</v>
      </c>
      <c r="E2809" s="69">
        <v>15</v>
      </c>
      <c r="F2809" s="222"/>
      <c r="G2809" s="108">
        <v>325.2</v>
      </c>
      <c r="H2809" s="17">
        <v>336.1</v>
      </c>
      <c r="I2809" s="18">
        <v>346.7</v>
      </c>
      <c r="J2809" s="113" t="s">
        <v>3167</v>
      </c>
      <c r="K2809" s="44" t="s">
        <v>19</v>
      </c>
      <c r="L2809" s="442"/>
      <c r="M2809" s="480" t="s">
        <v>1856</v>
      </c>
      <c r="N2809" s="1015" t="s">
        <v>1856</v>
      </c>
      <c r="O2809" s="210"/>
      <c r="P2809" s="68" t="s">
        <v>50</v>
      </c>
      <c r="Q2809" s="100">
        <f t="shared" si="1560"/>
        <v>0</v>
      </c>
      <c r="R2809" s="13" t="str">
        <f t="shared" si="1561"/>
        <v>Фото &gt;&gt;</v>
      </c>
      <c r="S2809" s="14" t="s">
        <v>3996</v>
      </c>
      <c r="AK2809">
        <v>0.4</v>
      </c>
      <c r="AL2809">
        <f t="shared" si="1562"/>
        <v>0</v>
      </c>
      <c r="AM2809">
        <f t="shared" si="1563"/>
        <v>0</v>
      </c>
      <c r="AN2809">
        <f t="shared" si="1564"/>
        <v>0</v>
      </c>
      <c r="AO2809" t="s">
        <v>3997</v>
      </c>
      <c r="AV2809" t="str">
        <f>IF(F2809&gt;0,(COUNT($AV$1:AV2808)+1),"")</f>
        <v/>
      </c>
    </row>
    <row r="2810" spans="1:48" ht="15" customHeight="1" x14ac:dyDescent="0.25">
      <c r="A2810" s="1"/>
      <c r="B2810" s="30">
        <v>18073</v>
      </c>
      <c r="C2810" s="20">
        <v>4670009621849</v>
      </c>
      <c r="D2810" s="225" t="s">
        <v>4340</v>
      </c>
      <c r="E2810" s="67">
        <v>16</v>
      </c>
      <c r="F2810" s="222"/>
      <c r="G2810" s="107">
        <v>185.4</v>
      </c>
      <c r="H2810" s="21">
        <v>191.7</v>
      </c>
      <c r="I2810" s="22">
        <v>198.1</v>
      </c>
      <c r="J2810" s="112" t="s">
        <v>3167</v>
      </c>
      <c r="K2810" s="45" t="s">
        <v>126</v>
      </c>
      <c r="L2810" s="437"/>
      <c r="M2810" s="474" t="s">
        <v>104</v>
      </c>
      <c r="N2810" s="1013" t="s">
        <v>1856</v>
      </c>
      <c r="O2810" s="209"/>
      <c r="P2810" s="66" t="s">
        <v>72</v>
      </c>
      <c r="Q2810" s="100">
        <f t="shared" si="1560"/>
        <v>0</v>
      </c>
      <c r="R2810" s="13" t="str">
        <f t="shared" si="1561"/>
        <v>Фото &gt;&gt;</v>
      </c>
      <c r="S2810" s="14" t="s">
        <v>4341</v>
      </c>
      <c r="AK2810">
        <v>0.33</v>
      </c>
      <c r="AL2810">
        <f t="shared" si="1562"/>
        <v>0</v>
      </c>
      <c r="AM2810">
        <f t="shared" si="1563"/>
        <v>0</v>
      </c>
      <c r="AN2810">
        <f t="shared" si="1564"/>
        <v>0</v>
      </c>
      <c r="AO2810" t="s">
        <v>4342</v>
      </c>
      <c r="AV2810" t="str">
        <f>IF(F2810&gt;0,(COUNT($AV$1:AV2809)+1),"")</f>
        <v/>
      </c>
    </row>
    <row r="2811" spans="1:48" ht="15" customHeight="1" x14ac:dyDescent="0.25">
      <c r="A2811" s="1"/>
      <c r="B2811" s="31">
        <v>16983</v>
      </c>
      <c r="C2811" s="16">
        <v>4670009622365</v>
      </c>
      <c r="D2811" s="226" t="s">
        <v>4294</v>
      </c>
      <c r="E2811" s="69">
        <v>16</v>
      </c>
      <c r="F2811" s="222"/>
      <c r="G2811" s="108">
        <v>222.7</v>
      </c>
      <c r="H2811" s="17">
        <v>230.2</v>
      </c>
      <c r="I2811" s="18">
        <v>238</v>
      </c>
      <c r="J2811" s="113" t="s">
        <v>3167</v>
      </c>
      <c r="K2811" s="44" t="s">
        <v>126</v>
      </c>
      <c r="L2811" s="442"/>
      <c r="M2811" s="480" t="s">
        <v>104</v>
      </c>
      <c r="N2811" s="1015" t="s">
        <v>1856</v>
      </c>
      <c r="O2811" s="210"/>
      <c r="P2811" s="68" t="s">
        <v>72</v>
      </c>
      <c r="Q2811" s="100">
        <f t="shared" si="1560"/>
        <v>0</v>
      </c>
      <c r="R2811" s="13" t="str">
        <f t="shared" si="1561"/>
        <v>Фото &gt;&gt;</v>
      </c>
      <c r="S2811" s="14" t="s">
        <v>1039</v>
      </c>
      <c r="AK2811">
        <v>0.33</v>
      </c>
      <c r="AL2811">
        <f t="shared" si="1562"/>
        <v>0</v>
      </c>
      <c r="AM2811">
        <f t="shared" si="1563"/>
        <v>0</v>
      </c>
      <c r="AN2811">
        <f t="shared" si="1564"/>
        <v>0</v>
      </c>
      <c r="AO2811" t="s">
        <v>5208</v>
      </c>
      <c r="AV2811" t="str">
        <f>IF(F2811&gt;0,(COUNT($AV$1:AV2810)+1),"")</f>
        <v/>
      </c>
    </row>
    <row r="2812" spans="1:48" ht="15" customHeight="1" x14ac:dyDescent="0.25">
      <c r="A2812" s="1"/>
      <c r="B2812" s="30">
        <v>16981</v>
      </c>
      <c r="C2812" s="20">
        <v>4670009622389</v>
      </c>
      <c r="D2812" s="225" t="s">
        <v>4295</v>
      </c>
      <c r="E2812" s="67">
        <v>16</v>
      </c>
      <c r="F2812" s="222"/>
      <c r="G2812" s="107">
        <v>237.1</v>
      </c>
      <c r="H2812" s="21">
        <v>245.1</v>
      </c>
      <c r="I2812" s="22">
        <v>253.2</v>
      </c>
      <c r="J2812" s="112" t="s">
        <v>3167</v>
      </c>
      <c r="K2812" s="45" t="s">
        <v>126</v>
      </c>
      <c r="L2812" s="437"/>
      <c r="M2812" s="474" t="s">
        <v>104</v>
      </c>
      <c r="N2812" s="1013" t="s">
        <v>1856</v>
      </c>
      <c r="O2812" s="209"/>
      <c r="P2812" s="66" t="s">
        <v>72</v>
      </c>
      <c r="Q2812" s="100">
        <f t="shared" si="1560"/>
        <v>0</v>
      </c>
      <c r="R2812" s="13" t="str">
        <f t="shared" si="1561"/>
        <v>Фото &gt;&gt;</v>
      </c>
      <c r="S2812" s="14" t="s">
        <v>1040</v>
      </c>
      <c r="AK2812">
        <v>0.33</v>
      </c>
      <c r="AL2812">
        <f t="shared" si="1562"/>
        <v>0</v>
      </c>
      <c r="AM2812">
        <f t="shared" si="1563"/>
        <v>0</v>
      </c>
      <c r="AN2812">
        <f t="shared" si="1564"/>
        <v>0</v>
      </c>
      <c r="AO2812" t="s">
        <v>5209</v>
      </c>
      <c r="AV2812" t="str">
        <f>IF(F2812&gt;0,(COUNT($AV$1:AV2811)+1),"")</f>
        <v/>
      </c>
    </row>
    <row r="2813" spans="1:48" ht="15" customHeight="1" x14ac:dyDescent="0.25">
      <c r="A2813" s="1"/>
      <c r="B2813" s="31">
        <v>18074</v>
      </c>
      <c r="C2813" s="16">
        <v>4670009621832</v>
      </c>
      <c r="D2813" s="226" t="s">
        <v>3995</v>
      </c>
      <c r="E2813" s="69">
        <v>16</v>
      </c>
      <c r="F2813" s="222"/>
      <c r="G2813" s="108">
        <v>185.4</v>
      </c>
      <c r="H2813" s="17">
        <v>191.7</v>
      </c>
      <c r="I2813" s="18">
        <v>204.4</v>
      </c>
      <c r="J2813" s="113" t="s">
        <v>3167</v>
      </c>
      <c r="K2813" s="44" t="s">
        <v>126</v>
      </c>
      <c r="L2813" s="442"/>
      <c r="M2813" s="480" t="s">
        <v>104</v>
      </c>
      <c r="N2813" s="1015" t="s">
        <v>1856</v>
      </c>
      <c r="O2813" s="210"/>
      <c r="P2813" s="68" t="s">
        <v>72</v>
      </c>
      <c r="Q2813" s="100">
        <f t="shared" si="1560"/>
        <v>0</v>
      </c>
      <c r="R2813" s="13" t="str">
        <f t="shared" si="1561"/>
        <v>Фото &gt;&gt;</v>
      </c>
      <c r="S2813" s="14" t="s">
        <v>3718</v>
      </c>
      <c r="AK2813">
        <v>0.5</v>
      </c>
      <c r="AL2813">
        <f t="shared" si="1562"/>
        <v>0</v>
      </c>
      <c r="AM2813">
        <f t="shared" si="1563"/>
        <v>0</v>
      </c>
      <c r="AN2813">
        <f t="shared" si="1564"/>
        <v>0</v>
      </c>
      <c r="AO2813" t="s">
        <v>5210</v>
      </c>
      <c r="AV2813" t="str">
        <f>IF(F2813&gt;0,(COUNT($AV$1:AV2812)+1),"")</f>
        <v/>
      </c>
    </row>
    <row r="2814" spans="1:48" ht="15" customHeight="1" x14ac:dyDescent="0.25">
      <c r="A2814" s="1"/>
      <c r="B2814" s="30">
        <v>16610</v>
      </c>
      <c r="C2814" s="20">
        <v>4670009621818</v>
      </c>
      <c r="D2814" s="225" t="s">
        <v>4451</v>
      </c>
      <c r="E2814" s="67">
        <v>16</v>
      </c>
      <c r="F2814" s="222"/>
      <c r="G2814" s="107">
        <v>237.1</v>
      </c>
      <c r="H2814" s="21">
        <v>245.1</v>
      </c>
      <c r="I2814" s="22">
        <v>253.2</v>
      </c>
      <c r="J2814" s="112" t="s">
        <v>3167</v>
      </c>
      <c r="K2814" s="45" t="s">
        <v>126</v>
      </c>
      <c r="L2814" s="437"/>
      <c r="M2814" s="474"/>
      <c r="N2814" s="1013"/>
      <c r="O2814" s="209"/>
      <c r="P2814" s="66" t="s">
        <v>72</v>
      </c>
      <c r="Q2814" s="100">
        <f t="shared" si="1560"/>
        <v>0</v>
      </c>
      <c r="R2814" s="13" t="str">
        <f t="shared" si="1561"/>
        <v>Фото &gt;&gt;</v>
      </c>
      <c r="S2814" s="14" t="s">
        <v>4450</v>
      </c>
      <c r="AK2814">
        <v>0.4</v>
      </c>
      <c r="AL2814">
        <f t="shared" si="1562"/>
        <v>0</v>
      </c>
      <c r="AM2814">
        <f t="shared" si="1563"/>
        <v>0</v>
      </c>
      <c r="AN2814">
        <f t="shared" si="1564"/>
        <v>0</v>
      </c>
      <c r="AO2814" t="s">
        <v>5211</v>
      </c>
      <c r="AU2814" t="s">
        <v>104</v>
      </c>
      <c r="AV2814" t="str">
        <f>IF(F2814&gt;0,(COUNT($AV$1:AV2813)+1),"")</f>
        <v/>
      </c>
    </row>
    <row r="2815" spans="1:48" ht="15" customHeight="1" x14ac:dyDescent="0.25">
      <c r="A2815" s="1"/>
      <c r="B2815" s="31">
        <v>16982</v>
      </c>
      <c r="C2815" s="16">
        <v>4670009622372</v>
      </c>
      <c r="D2815" s="226" t="s">
        <v>4296</v>
      </c>
      <c r="E2815" s="69">
        <v>16</v>
      </c>
      <c r="F2815" s="222"/>
      <c r="G2815" s="108">
        <v>230</v>
      </c>
      <c r="H2815" s="17">
        <v>237.8</v>
      </c>
      <c r="I2815" s="18">
        <v>246.1</v>
      </c>
      <c r="J2815" s="113" t="s">
        <v>3167</v>
      </c>
      <c r="K2815" s="44" t="s">
        <v>126</v>
      </c>
      <c r="L2815" s="442"/>
      <c r="M2815" s="480" t="s">
        <v>104</v>
      </c>
      <c r="N2815" s="1015" t="s">
        <v>1856</v>
      </c>
      <c r="O2815" s="210"/>
      <c r="P2815" s="68" t="s">
        <v>72</v>
      </c>
      <c r="Q2815" s="100">
        <f t="shared" si="1560"/>
        <v>0</v>
      </c>
      <c r="R2815" s="13" t="str">
        <f t="shared" si="1561"/>
        <v>Фото &gt;&gt;</v>
      </c>
      <c r="S2815" s="14" t="s">
        <v>1041</v>
      </c>
      <c r="AK2815">
        <v>0.33</v>
      </c>
      <c r="AL2815">
        <f t="shared" si="1562"/>
        <v>0</v>
      </c>
      <c r="AM2815">
        <f t="shared" si="1563"/>
        <v>0</v>
      </c>
      <c r="AN2815">
        <f t="shared" si="1564"/>
        <v>0</v>
      </c>
      <c r="AO2815" t="s">
        <v>5212</v>
      </c>
      <c r="AV2815" t="str">
        <f>IF(F2815&gt;0,(COUNT($AV$1:AV2814)+1),"")</f>
        <v/>
      </c>
    </row>
    <row r="2816" spans="1:48" ht="15" customHeight="1" x14ac:dyDescent="0.25">
      <c r="A2816" s="1"/>
      <c r="B2816" s="125"/>
      <c r="C2816" s="126"/>
      <c r="D2816" s="127"/>
      <c r="E2816" s="134"/>
      <c r="F2816" s="189"/>
      <c r="G2816" s="130"/>
      <c r="H2816" s="131"/>
      <c r="I2816" s="132"/>
      <c r="J2816" s="128"/>
      <c r="K2816" s="129"/>
      <c r="L2816" s="433"/>
      <c r="M2816" s="481" t="s">
        <v>104</v>
      </c>
      <c r="N2816" s="471"/>
      <c r="O2816" s="181"/>
      <c r="P2816" s="133"/>
      <c r="Q2816" s="135"/>
      <c r="R2816" s="13"/>
      <c r="S2816" s="14"/>
      <c r="AV2816" t="str">
        <f>IF(F2816&gt;0,(COUNT($AV$1:AV2815)+1),"")</f>
        <v/>
      </c>
    </row>
    <row r="2817" spans="1:48" ht="15" customHeight="1" thickBot="1" x14ac:dyDescent="0.3">
      <c r="A2817" s="1"/>
      <c r="B2817" s="136"/>
      <c r="C2817" s="137"/>
      <c r="D2817" s="138"/>
      <c r="E2817" s="145"/>
      <c r="F2817" s="190"/>
      <c r="G2817" s="141"/>
      <c r="H2817" s="142"/>
      <c r="I2817" s="143"/>
      <c r="J2817" s="139"/>
      <c r="K2817" s="140"/>
      <c r="L2817" s="434"/>
      <c r="M2817" s="477" t="s">
        <v>104</v>
      </c>
      <c r="N2817" s="468"/>
      <c r="O2817" s="182"/>
      <c r="P2817" s="144"/>
      <c r="Q2817" s="146"/>
      <c r="R2817" s="13"/>
      <c r="S2817" s="14"/>
      <c r="AV2817" t="str">
        <f>IF(F2817&gt;0,(COUNT($AV$1:AV2816)+1),"")</f>
        <v/>
      </c>
    </row>
    <row r="2818" spans="1:48" ht="24.75" customHeight="1" thickBot="1" x14ac:dyDescent="0.3">
      <c r="A2818" s="1"/>
      <c r="B2818" s="169"/>
      <c r="C2818" s="170"/>
      <c r="D2818" s="171" t="str">
        <f>CONCATENATE("Купецкий посад","     |     Сумма заказа: ",AK2818," руб.")</f>
        <v>Купецкий посад     |     Сумма заказа: 0 руб.</v>
      </c>
      <c r="E2818" s="176"/>
      <c r="F2818" s="177"/>
      <c r="G2818" s="180" t="str">
        <f>CONCATENATE("Ценовая колонка: ",AO2818,"   |   До следующей скидки: ",AJ2818," руб.")</f>
        <v>Ценовая колонка: 3   |   До следующей скидки: 5000 руб.</v>
      </c>
      <c r="H2818" s="174"/>
      <c r="I2818" s="174"/>
      <c r="J2818" s="172" t="s">
        <v>1061</v>
      </c>
      <c r="K2818" s="173"/>
      <c r="L2818" s="444"/>
      <c r="M2818" s="486" t="s">
        <v>104</v>
      </c>
      <c r="N2818" s="717"/>
      <c r="O2818" s="184"/>
      <c r="P2818" s="175"/>
      <c r="Q2818" s="178"/>
      <c r="R2818" s="179" t="s">
        <v>1558</v>
      </c>
      <c r="S2818" s="14"/>
      <c r="AJ2818">
        <f>ROUND(IF(AL2818&gt;15000,"0", IF(AND(AL2818&lt;15000,AM2818&gt;5000),15000-AL2818,5000-AM2818)),2)</f>
        <v>5000</v>
      </c>
      <c r="AK2818">
        <f>SUM(Q2820:Q2830)</f>
        <v>0</v>
      </c>
      <c r="AL2818">
        <f>SUM(AL2820:AL2830)</f>
        <v>0</v>
      </c>
      <c r="AM2818">
        <f>SUM(AM2820:AM2830)</f>
        <v>0</v>
      </c>
      <c r="AO2818">
        <f>IF(AM2818&gt;5000,IF(AL2818&gt;15000,1,2),3)</f>
        <v>3</v>
      </c>
      <c r="AV2818" t="str">
        <f>IF(F2818&gt;0,(COUNT($AV$1:AV2817)+1),"")</f>
        <v/>
      </c>
    </row>
    <row r="2819" spans="1:48" ht="15" customHeight="1" x14ac:dyDescent="0.25">
      <c r="A2819" s="1"/>
      <c r="B2819" s="296"/>
      <c r="C2819" s="38"/>
      <c r="D2819" s="39" t="s">
        <v>1465</v>
      </c>
      <c r="E2819" s="82"/>
      <c r="F2819" s="97"/>
      <c r="G2819" s="40" t="s">
        <v>170</v>
      </c>
      <c r="H2819" s="41" t="s">
        <v>16</v>
      </c>
      <c r="I2819" s="41" t="s">
        <v>221</v>
      </c>
      <c r="J2819" s="52"/>
      <c r="K2819" s="48"/>
      <c r="L2819" s="448"/>
      <c r="M2819" s="491" t="s">
        <v>104</v>
      </c>
      <c r="N2819" s="715"/>
      <c r="O2819" s="187"/>
      <c r="P2819" s="81"/>
      <c r="Q2819" s="105"/>
      <c r="R2819" s="13"/>
      <c r="S2819" s="14"/>
      <c r="AV2819" t="str">
        <f>IF(F2819&gt;0,(COUNT($AV$1:AV2818)+1),"")</f>
        <v/>
      </c>
    </row>
    <row r="2820" spans="1:48" ht="15" customHeight="1" x14ac:dyDescent="0.25">
      <c r="A2820" s="1"/>
      <c r="B2820" s="30">
        <v>14061</v>
      </c>
      <c r="C2820" s="20">
        <v>4640010290020</v>
      </c>
      <c r="D2820" s="153" t="s">
        <v>1464</v>
      </c>
      <c r="E2820" s="67">
        <v>12</v>
      </c>
      <c r="F2820" s="222"/>
      <c r="G2820" s="107">
        <v>210.1</v>
      </c>
      <c r="H2820" s="21">
        <v>220.3</v>
      </c>
      <c r="I2820" s="22">
        <v>242.8</v>
      </c>
      <c r="J2820" s="112" t="s">
        <v>1061</v>
      </c>
      <c r="K2820" s="45" t="s">
        <v>219</v>
      </c>
      <c r="L2820" s="437"/>
      <c r="M2820" s="474" t="s">
        <v>1856</v>
      </c>
      <c r="N2820" s="1013" t="s">
        <v>1856</v>
      </c>
      <c r="O2820" s="212"/>
      <c r="P2820" s="66" t="s">
        <v>50</v>
      </c>
      <c r="Q2820" s="100">
        <f t="shared" ref="Q2820:Q2830" si="1565">IF($AO$2818=2,F2820*H2820,IF($AO$2818=1,F2820*G2820,F2820*I2820))</f>
        <v>0</v>
      </c>
      <c r="R2820" s="13" t="str">
        <f t="shared" si="1556"/>
        <v>Фото &gt;&gt;</v>
      </c>
      <c r="S2820" s="14" t="s">
        <v>1062</v>
      </c>
      <c r="AK2820">
        <v>0.55000000000000004</v>
      </c>
      <c r="AL2820">
        <f t="shared" ref="AL2820:AL2830" si="1566">F2820*G2820</f>
        <v>0</v>
      </c>
      <c r="AM2820">
        <f t="shared" ref="AM2820:AM2830" si="1567">F2820*H2820</f>
        <v>0</v>
      </c>
      <c r="AN2820">
        <f t="shared" ref="AN2820:AN2830" si="1568">AK2820*F2820+IF(E2820&gt;1.01,F2820/E2820*0.2,0)</f>
        <v>0</v>
      </c>
      <c r="AO2820" t="s">
        <v>5226</v>
      </c>
      <c r="AV2820" t="str">
        <f>IF(F2820&gt;0,(COUNT($AV$1:AV2819)+1),"")</f>
        <v/>
      </c>
    </row>
    <row r="2821" spans="1:48" ht="15" customHeight="1" x14ac:dyDescent="0.25">
      <c r="A2821" s="1"/>
      <c r="B2821" s="31">
        <v>14318</v>
      </c>
      <c r="C2821" s="16">
        <v>4640010290471</v>
      </c>
      <c r="D2821" s="154" t="s">
        <v>2050</v>
      </c>
      <c r="E2821" s="86">
        <v>12</v>
      </c>
      <c r="F2821" s="222"/>
      <c r="G2821" s="108">
        <v>210.1</v>
      </c>
      <c r="H2821" s="17">
        <v>220.3</v>
      </c>
      <c r="I2821" s="18">
        <v>242.8</v>
      </c>
      <c r="J2821" s="113" t="s">
        <v>1061</v>
      </c>
      <c r="K2821" s="44" t="s">
        <v>219</v>
      </c>
      <c r="L2821" s="442"/>
      <c r="M2821" s="480" t="s">
        <v>1856</v>
      </c>
      <c r="N2821" s="1015" t="s">
        <v>1856</v>
      </c>
      <c r="O2821" s="217" t="s">
        <v>4226</v>
      </c>
      <c r="P2821" s="68" t="s">
        <v>50</v>
      </c>
      <c r="Q2821" s="100">
        <f t="shared" si="1565"/>
        <v>0</v>
      </c>
      <c r="R2821" s="13" t="str">
        <f t="shared" ref="R2821:R2828" si="1569">IF(AO2821&gt;0,HYPERLINK(AO2821,"Фото &gt;&gt;"),"")</f>
        <v>Фото &gt;&gt;</v>
      </c>
      <c r="S2821" s="14" t="s">
        <v>3761</v>
      </c>
      <c r="AK2821">
        <v>0.55000000000000004</v>
      </c>
      <c r="AL2821">
        <f t="shared" ref="AL2821:AL2828" si="1570">F2821*G2821</f>
        <v>0</v>
      </c>
      <c r="AM2821">
        <f t="shared" ref="AM2821:AM2828" si="1571">F2821*H2821</f>
        <v>0</v>
      </c>
      <c r="AN2821">
        <f t="shared" si="1568"/>
        <v>0</v>
      </c>
      <c r="AO2821" t="s">
        <v>5227</v>
      </c>
      <c r="AV2821" t="str">
        <f>IF(F2821&gt;0,(COUNT($AV$1:AV2820)+1),"")</f>
        <v/>
      </c>
    </row>
    <row r="2822" spans="1:48" ht="15" customHeight="1" x14ac:dyDescent="0.25">
      <c r="A2822" s="1"/>
      <c r="B2822" s="30">
        <v>14319</v>
      </c>
      <c r="C2822" s="20">
        <v>4640010290426</v>
      </c>
      <c r="D2822" s="153" t="s">
        <v>1063</v>
      </c>
      <c r="E2822" s="85">
        <v>12</v>
      </c>
      <c r="F2822" s="222"/>
      <c r="G2822" s="107">
        <v>210.1</v>
      </c>
      <c r="H2822" s="21">
        <v>220.3</v>
      </c>
      <c r="I2822" s="22">
        <v>242.8</v>
      </c>
      <c r="J2822" s="112" t="s">
        <v>1061</v>
      </c>
      <c r="K2822" s="45" t="s">
        <v>219</v>
      </c>
      <c r="L2822" s="437"/>
      <c r="M2822" s="474" t="s">
        <v>1856</v>
      </c>
      <c r="N2822" s="1013" t="s">
        <v>1856</v>
      </c>
      <c r="O2822" s="212" t="s">
        <v>4226</v>
      </c>
      <c r="P2822" s="66" t="s">
        <v>50</v>
      </c>
      <c r="Q2822" s="100">
        <f t="shared" si="1565"/>
        <v>0</v>
      </c>
      <c r="R2822" s="13" t="str">
        <f t="shared" si="1569"/>
        <v>Фото &gt;&gt;</v>
      </c>
      <c r="S2822" s="14" t="s">
        <v>3762</v>
      </c>
      <c r="AK2822">
        <v>0.55000000000000004</v>
      </c>
      <c r="AL2822">
        <f t="shared" si="1570"/>
        <v>0</v>
      </c>
      <c r="AM2822">
        <f t="shared" si="1571"/>
        <v>0</v>
      </c>
      <c r="AN2822">
        <f t="shared" si="1568"/>
        <v>0</v>
      </c>
      <c r="AO2822" t="s">
        <v>5228</v>
      </c>
      <c r="AV2822" t="str">
        <f>IF(F2822&gt;0,(COUNT($AV$1:AV2821)+1),"")</f>
        <v/>
      </c>
    </row>
    <row r="2823" spans="1:48" ht="15" customHeight="1" x14ac:dyDescent="0.25">
      <c r="A2823" s="1"/>
      <c r="B2823" s="31">
        <v>14197</v>
      </c>
      <c r="C2823" s="16">
        <v>4640010290433</v>
      </c>
      <c r="D2823" s="154" t="s">
        <v>1064</v>
      </c>
      <c r="E2823" s="86">
        <v>12</v>
      </c>
      <c r="F2823" s="222"/>
      <c r="G2823" s="108">
        <v>210.1</v>
      </c>
      <c r="H2823" s="17">
        <v>220.3</v>
      </c>
      <c r="I2823" s="18">
        <v>242.8</v>
      </c>
      <c r="J2823" s="113" t="s">
        <v>1061</v>
      </c>
      <c r="K2823" s="44" t="s">
        <v>219</v>
      </c>
      <c r="L2823" s="442"/>
      <c r="M2823" s="480" t="s">
        <v>1856</v>
      </c>
      <c r="N2823" s="1015" t="s">
        <v>1856</v>
      </c>
      <c r="O2823" s="217" t="s">
        <v>4226</v>
      </c>
      <c r="P2823" s="68" t="s">
        <v>50</v>
      </c>
      <c r="Q2823" s="100">
        <f t="shared" si="1565"/>
        <v>0</v>
      </c>
      <c r="R2823" s="13" t="str">
        <f t="shared" si="1569"/>
        <v>Фото &gt;&gt;</v>
      </c>
      <c r="S2823" s="14" t="s">
        <v>3756</v>
      </c>
      <c r="AK2823">
        <v>0.55000000000000004</v>
      </c>
      <c r="AL2823">
        <f t="shared" si="1570"/>
        <v>0</v>
      </c>
      <c r="AM2823">
        <f t="shared" si="1571"/>
        <v>0</v>
      </c>
      <c r="AN2823">
        <f t="shared" si="1568"/>
        <v>0</v>
      </c>
      <c r="AO2823" t="s">
        <v>5229</v>
      </c>
      <c r="AV2823" t="str">
        <f>IF(F2823&gt;0,(COUNT($AV$1:AV2822)+1),"")</f>
        <v/>
      </c>
    </row>
    <row r="2824" spans="1:48" ht="15" customHeight="1" x14ac:dyDescent="0.25">
      <c r="A2824" s="1"/>
      <c r="B2824" s="30">
        <v>14320</v>
      </c>
      <c r="C2824" s="20">
        <v>4640010290440</v>
      </c>
      <c r="D2824" s="153" t="s">
        <v>1065</v>
      </c>
      <c r="E2824" s="85">
        <v>12</v>
      </c>
      <c r="F2824" s="222"/>
      <c r="G2824" s="107">
        <v>210.1</v>
      </c>
      <c r="H2824" s="21">
        <v>220.3</v>
      </c>
      <c r="I2824" s="22">
        <v>242.8</v>
      </c>
      <c r="J2824" s="112" t="s">
        <v>1061</v>
      </c>
      <c r="K2824" s="45" t="s">
        <v>219</v>
      </c>
      <c r="L2824" s="437"/>
      <c r="M2824" s="474" t="s">
        <v>1856</v>
      </c>
      <c r="N2824" s="1013" t="s">
        <v>1856</v>
      </c>
      <c r="O2824" s="212" t="s">
        <v>4226</v>
      </c>
      <c r="P2824" s="66" t="s">
        <v>50</v>
      </c>
      <c r="Q2824" s="100">
        <f t="shared" si="1565"/>
        <v>0</v>
      </c>
      <c r="R2824" s="13" t="str">
        <f t="shared" si="1569"/>
        <v>Фото &gt;&gt;</v>
      </c>
      <c r="S2824" s="14" t="s">
        <v>3763</v>
      </c>
      <c r="AK2824">
        <v>0.55000000000000004</v>
      </c>
      <c r="AL2824">
        <f t="shared" si="1570"/>
        <v>0</v>
      </c>
      <c r="AM2824">
        <f t="shared" si="1571"/>
        <v>0</v>
      </c>
      <c r="AN2824">
        <f t="shared" si="1568"/>
        <v>0</v>
      </c>
      <c r="AO2824" t="s">
        <v>5230</v>
      </c>
      <c r="AV2824" t="str">
        <f>IF(F2824&gt;0,(COUNT($AV$1:AV2823)+1),"")</f>
        <v/>
      </c>
    </row>
    <row r="2825" spans="1:48" ht="15" customHeight="1" x14ac:dyDescent="0.25">
      <c r="A2825" s="1"/>
      <c r="B2825" s="31">
        <v>14321</v>
      </c>
      <c r="C2825" s="16">
        <v>4640010290457</v>
      </c>
      <c r="D2825" s="154" t="s">
        <v>3755</v>
      </c>
      <c r="E2825" s="86">
        <v>12</v>
      </c>
      <c r="F2825" s="222"/>
      <c r="G2825" s="108">
        <v>210.1</v>
      </c>
      <c r="H2825" s="17">
        <v>220.3</v>
      </c>
      <c r="I2825" s="18">
        <v>242.8</v>
      </c>
      <c r="J2825" s="113" t="s">
        <v>1061</v>
      </c>
      <c r="K2825" s="44" t="s">
        <v>219</v>
      </c>
      <c r="L2825" s="442"/>
      <c r="M2825" s="480" t="s">
        <v>1856</v>
      </c>
      <c r="N2825" s="1015" t="s">
        <v>1856</v>
      </c>
      <c r="O2825" s="217" t="s">
        <v>4226</v>
      </c>
      <c r="P2825" s="68" t="s">
        <v>50</v>
      </c>
      <c r="Q2825" s="100">
        <f t="shared" si="1565"/>
        <v>0</v>
      </c>
      <c r="R2825" s="13" t="str">
        <f t="shared" si="1569"/>
        <v>Фото &gt;&gt;</v>
      </c>
      <c r="S2825" s="14" t="s">
        <v>3757</v>
      </c>
      <c r="AK2825">
        <v>0.55000000000000004</v>
      </c>
      <c r="AL2825">
        <f t="shared" si="1570"/>
        <v>0</v>
      </c>
      <c r="AM2825">
        <f t="shared" si="1571"/>
        <v>0</v>
      </c>
      <c r="AN2825">
        <f t="shared" si="1568"/>
        <v>0</v>
      </c>
      <c r="AO2825" t="s">
        <v>5231</v>
      </c>
      <c r="AV2825" t="str">
        <f>IF(F2825&gt;0,(COUNT($AV$1:AV2824)+1),"")</f>
        <v/>
      </c>
    </row>
    <row r="2826" spans="1:48" ht="15" customHeight="1" x14ac:dyDescent="0.25">
      <c r="A2826" s="1"/>
      <c r="B2826" s="30">
        <v>14322</v>
      </c>
      <c r="C2826" s="20">
        <v>4640010290037</v>
      </c>
      <c r="D2826" s="153" t="s">
        <v>1066</v>
      </c>
      <c r="E2826" s="85">
        <v>12</v>
      </c>
      <c r="F2826" s="222"/>
      <c r="G2826" s="107">
        <v>210.1</v>
      </c>
      <c r="H2826" s="21">
        <v>220.3</v>
      </c>
      <c r="I2826" s="22">
        <v>242.8</v>
      </c>
      <c r="J2826" s="112" t="s">
        <v>1061</v>
      </c>
      <c r="K2826" s="45" t="s">
        <v>219</v>
      </c>
      <c r="L2826" s="437"/>
      <c r="M2826" s="474" t="s">
        <v>1856</v>
      </c>
      <c r="N2826" s="1013" t="s">
        <v>1856</v>
      </c>
      <c r="O2826" s="212" t="s">
        <v>4226</v>
      </c>
      <c r="P2826" s="66" t="s">
        <v>50</v>
      </c>
      <c r="Q2826" s="100">
        <f t="shared" si="1565"/>
        <v>0</v>
      </c>
      <c r="R2826" s="13" t="str">
        <f t="shared" si="1569"/>
        <v>Фото &gt;&gt;</v>
      </c>
      <c r="S2826" s="14" t="s">
        <v>3758</v>
      </c>
      <c r="AK2826">
        <v>0.55000000000000004</v>
      </c>
      <c r="AL2826">
        <f t="shared" si="1570"/>
        <v>0</v>
      </c>
      <c r="AM2826">
        <f t="shared" si="1571"/>
        <v>0</v>
      </c>
      <c r="AN2826">
        <f t="shared" si="1568"/>
        <v>0</v>
      </c>
      <c r="AO2826" t="s">
        <v>5231</v>
      </c>
      <c r="AV2826" t="str">
        <f>IF(F2826&gt;0,(COUNT($AV$1:AV2825)+1),"")</f>
        <v/>
      </c>
    </row>
    <row r="2827" spans="1:48" ht="15" customHeight="1" x14ac:dyDescent="0.25">
      <c r="A2827" s="1"/>
      <c r="B2827" s="31">
        <v>14199</v>
      </c>
      <c r="C2827" s="16">
        <v>4640010290488</v>
      </c>
      <c r="D2827" s="154" t="s">
        <v>1067</v>
      </c>
      <c r="E2827" s="86">
        <v>12</v>
      </c>
      <c r="F2827" s="222"/>
      <c r="G2827" s="108">
        <v>210.1</v>
      </c>
      <c r="H2827" s="17">
        <v>220.3</v>
      </c>
      <c r="I2827" s="18">
        <v>242.8</v>
      </c>
      <c r="J2827" s="113" t="s">
        <v>1061</v>
      </c>
      <c r="K2827" s="44" t="s">
        <v>219</v>
      </c>
      <c r="L2827" s="442"/>
      <c r="M2827" s="480" t="s">
        <v>1856</v>
      </c>
      <c r="N2827" s="1015" t="s">
        <v>1856</v>
      </c>
      <c r="O2827" s="217" t="s">
        <v>4226</v>
      </c>
      <c r="P2827" s="68" t="s">
        <v>50</v>
      </c>
      <c r="Q2827" s="100">
        <f t="shared" si="1565"/>
        <v>0</v>
      </c>
      <c r="R2827" s="13" t="str">
        <f t="shared" si="1569"/>
        <v>Фото &gt;&gt;</v>
      </c>
      <c r="S2827" s="14" t="s">
        <v>3759</v>
      </c>
      <c r="AK2827">
        <v>0.55000000000000004</v>
      </c>
      <c r="AL2827">
        <f t="shared" si="1570"/>
        <v>0</v>
      </c>
      <c r="AM2827">
        <f t="shared" si="1571"/>
        <v>0</v>
      </c>
      <c r="AN2827">
        <f t="shared" si="1568"/>
        <v>0</v>
      </c>
      <c r="AO2827" t="s">
        <v>5232</v>
      </c>
      <c r="AV2827" t="str">
        <f>IF(F2827&gt;0,(COUNT($AV$1:AV2826)+1),"")</f>
        <v/>
      </c>
    </row>
    <row r="2828" spans="1:48" ht="15" customHeight="1" x14ac:dyDescent="0.25">
      <c r="A2828" s="1"/>
      <c r="B2828" s="37">
        <v>14323</v>
      </c>
      <c r="C2828" s="23">
        <v>4640010290464</v>
      </c>
      <c r="D2828" s="156" t="s">
        <v>1068</v>
      </c>
      <c r="E2828" s="89">
        <v>12</v>
      </c>
      <c r="F2828" s="223"/>
      <c r="G2828" s="111">
        <v>210.1</v>
      </c>
      <c r="H2828" s="5">
        <v>220.3</v>
      </c>
      <c r="I2828" s="24">
        <v>242.8</v>
      </c>
      <c r="J2828" s="115" t="s">
        <v>1061</v>
      </c>
      <c r="K2828" s="46" t="s">
        <v>219</v>
      </c>
      <c r="L2828" s="440"/>
      <c r="M2828" s="482" t="s">
        <v>1856</v>
      </c>
      <c r="N2828" s="1002" t="s">
        <v>1856</v>
      </c>
      <c r="O2828" s="214" t="s">
        <v>4226</v>
      </c>
      <c r="P2828" s="74" t="s">
        <v>50</v>
      </c>
      <c r="Q2828" s="100">
        <f t="shared" si="1565"/>
        <v>0</v>
      </c>
      <c r="R2828" s="13" t="str">
        <f t="shared" si="1569"/>
        <v>Фото &gt;&gt;</v>
      </c>
      <c r="S2828" s="14" t="s">
        <v>3760</v>
      </c>
      <c r="AK2828">
        <v>0.55000000000000004</v>
      </c>
      <c r="AL2828">
        <f t="shared" si="1570"/>
        <v>0</v>
      </c>
      <c r="AM2828">
        <f t="shared" si="1571"/>
        <v>0</v>
      </c>
      <c r="AN2828">
        <f t="shared" si="1568"/>
        <v>0</v>
      </c>
      <c r="AO2828" t="s">
        <v>5233</v>
      </c>
      <c r="AV2828" t="str">
        <f>IF(F2828&gt;0,(COUNT($AV$1:AV2827)+1),"")</f>
        <v/>
      </c>
    </row>
    <row r="2829" spans="1:48" ht="15" customHeight="1" x14ac:dyDescent="0.25">
      <c r="A2829" s="1"/>
      <c r="B2829" s="795">
        <v>15533</v>
      </c>
      <c r="C2829" s="796">
        <v>4640010290549</v>
      </c>
      <c r="D2829" s="898" t="s">
        <v>1069</v>
      </c>
      <c r="E2829" s="809">
        <v>10</v>
      </c>
      <c r="F2829" s="789"/>
      <c r="G2829" s="810">
        <v>126.5</v>
      </c>
      <c r="H2829" s="799">
        <v>132.6</v>
      </c>
      <c r="I2829" s="800">
        <v>145.9</v>
      </c>
      <c r="J2829" s="801" t="s">
        <v>1061</v>
      </c>
      <c r="K2829" s="802" t="s">
        <v>1070</v>
      </c>
      <c r="L2829" s="803"/>
      <c r="M2829" s="804" t="s">
        <v>1856</v>
      </c>
      <c r="N2829" s="1006" t="s">
        <v>1856</v>
      </c>
      <c r="O2829" s="887" t="s">
        <v>2097</v>
      </c>
      <c r="P2829" s="806" t="s">
        <v>100</v>
      </c>
      <c r="Q2829" s="100">
        <f t="shared" si="1565"/>
        <v>0</v>
      </c>
      <c r="R2829" s="13" t="str">
        <f t="shared" ref="R2829:R2869" si="1572">IF(AO2829&gt;0,HYPERLINK(AO2829,"Фото &gt;&gt;"),"")</f>
        <v>Фото &gt;&gt;</v>
      </c>
      <c r="S2829" s="14" t="s">
        <v>1071</v>
      </c>
      <c r="AK2829">
        <v>0.18</v>
      </c>
      <c r="AL2829">
        <f t="shared" si="1566"/>
        <v>0</v>
      </c>
      <c r="AM2829">
        <f t="shared" si="1567"/>
        <v>0</v>
      </c>
      <c r="AN2829">
        <f t="shared" si="1568"/>
        <v>0</v>
      </c>
      <c r="AO2829" t="s">
        <v>5234</v>
      </c>
      <c r="AV2829" t="str">
        <f>IF(F2829&gt;0,(COUNT($AV$1:AV2828)+1),"")</f>
        <v/>
      </c>
    </row>
    <row r="2830" spans="1:48" ht="15" customHeight="1" x14ac:dyDescent="0.25">
      <c r="A2830" s="1"/>
      <c r="B2830" s="30">
        <v>15536</v>
      </c>
      <c r="C2830" s="20">
        <v>4640010290525</v>
      </c>
      <c r="D2830" s="153" t="s">
        <v>1072</v>
      </c>
      <c r="E2830" s="324">
        <v>10</v>
      </c>
      <c r="F2830" s="222"/>
      <c r="G2830" s="107">
        <v>126.5</v>
      </c>
      <c r="H2830" s="21">
        <v>132.6</v>
      </c>
      <c r="I2830" s="22">
        <v>145.9</v>
      </c>
      <c r="J2830" s="112" t="s">
        <v>1061</v>
      </c>
      <c r="K2830" s="45" t="s">
        <v>1070</v>
      </c>
      <c r="L2830" s="437"/>
      <c r="M2830" s="474" t="s">
        <v>1856</v>
      </c>
      <c r="N2830" s="1013" t="s">
        <v>1856</v>
      </c>
      <c r="O2830" s="212" t="s">
        <v>2097</v>
      </c>
      <c r="P2830" s="66" t="s">
        <v>100</v>
      </c>
      <c r="Q2830" s="100">
        <f t="shared" si="1565"/>
        <v>0</v>
      </c>
      <c r="R2830" s="13" t="str">
        <f t="shared" si="1572"/>
        <v>Фото &gt;&gt;</v>
      </c>
      <c r="S2830" s="14" t="s">
        <v>2915</v>
      </c>
      <c r="AK2830">
        <v>0.18</v>
      </c>
      <c r="AL2830">
        <f t="shared" si="1566"/>
        <v>0</v>
      </c>
      <c r="AM2830">
        <f t="shared" si="1567"/>
        <v>0</v>
      </c>
      <c r="AN2830">
        <f t="shared" si="1568"/>
        <v>0</v>
      </c>
      <c r="AO2830" t="s">
        <v>5235</v>
      </c>
      <c r="AV2830" t="str">
        <f>IF(F2830&gt;0,(COUNT($AV$1:AV2829)+1),"")</f>
        <v/>
      </c>
    </row>
    <row r="2831" spans="1:48" ht="15" customHeight="1" x14ac:dyDescent="0.25">
      <c r="A2831" s="1"/>
      <c r="B2831" s="125"/>
      <c r="C2831" s="126"/>
      <c r="D2831" s="127"/>
      <c r="E2831" s="134"/>
      <c r="F2831" s="189"/>
      <c r="G2831" s="130"/>
      <c r="H2831" s="131"/>
      <c r="I2831" s="132"/>
      <c r="J2831" s="128"/>
      <c r="K2831" s="129"/>
      <c r="L2831" s="433"/>
      <c r="M2831" s="481" t="s">
        <v>104</v>
      </c>
      <c r="N2831" s="471"/>
      <c r="O2831" s="181"/>
      <c r="P2831" s="133"/>
      <c r="Q2831" s="135"/>
      <c r="R2831" s="13"/>
      <c r="S2831" s="14"/>
      <c r="AV2831" t="str">
        <f>IF(F2831&gt;0,(COUNT($AV$1:AV2830)+1),"")</f>
        <v/>
      </c>
    </row>
    <row r="2832" spans="1:48" ht="15" customHeight="1" thickBot="1" x14ac:dyDescent="0.3">
      <c r="A2832" s="1"/>
      <c r="B2832" s="136"/>
      <c r="C2832" s="137"/>
      <c r="D2832" s="138"/>
      <c r="E2832" s="145"/>
      <c r="F2832" s="190"/>
      <c r="G2832" s="141"/>
      <c r="H2832" s="142"/>
      <c r="I2832" s="143"/>
      <c r="J2832" s="139"/>
      <c r="K2832" s="140"/>
      <c r="L2832" s="434"/>
      <c r="M2832" s="477" t="s">
        <v>104</v>
      </c>
      <c r="N2832" s="468"/>
      <c r="O2832" s="182"/>
      <c r="P2832" s="144"/>
      <c r="Q2832" s="146"/>
      <c r="R2832" s="13"/>
      <c r="S2832" s="14"/>
      <c r="AV2832" t="str">
        <f>IF(F2832&gt;0,(COUNT($AV$1:AV2831)+1),"")</f>
        <v/>
      </c>
    </row>
    <row r="2833" spans="1:48" ht="24.75" customHeight="1" thickBot="1" x14ac:dyDescent="0.3">
      <c r="A2833" s="1"/>
      <c r="B2833" s="169"/>
      <c r="C2833" s="170"/>
      <c r="D2833" s="171" t="str">
        <f>CONCATENATE("Holy Corn (Холи корн)","     |     Сумма заказа: ",AK2833," руб.")</f>
        <v>Holy Corn (Холи корн)     |     Сумма заказа: 0 руб.</v>
      </c>
      <c r="E2833" s="176"/>
      <c r="F2833" s="177"/>
      <c r="G2833" s="180" t="str">
        <f>CONCATENATE("Ценовая колонка: ",AO2833,"   |   До следующей скидки: ",AJ2833," руб.")</f>
        <v>Ценовая колонка: 3   |   До следующей скидки: 5000 руб.</v>
      </c>
      <c r="H2833" s="174"/>
      <c r="I2833" s="174"/>
      <c r="J2833" s="172" t="s">
        <v>1073</v>
      </c>
      <c r="K2833" s="173"/>
      <c r="L2833" s="444"/>
      <c r="M2833" s="486" t="s">
        <v>104</v>
      </c>
      <c r="N2833" s="717"/>
      <c r="O2833" s="184"/>
      <c r="P2833" s="175"/>
      <c r="Q2833" s="178"/>
      <c r="R2833" s="179" t="s">
        <v>1558</v>
      </c>
      <c r="S2833" s="14"/>
      <c r="AJ2833">
        <f>ROUND(IF(AL2833&gt;30000,"0", IF(AND(AL2833&lt;30000,AM2833&gt;5000),30000-AL2833,5000-AM2833)),2)</f>
        <v>5000</v>
      </c>
      <c r="AK2833">
        <f>SUM(Q2834:Q2862)</f>
        <v>0</v>
      </c>
      <c r="AL2833">
        <f>SUM(AL2834:AL2862)</f>
        <v>0</v>
      </c>
      <c r="AM2833">
        <f>SUM(AM2834:AM2862)</f>
        <v>0</v>
      </c>
      <c r="AO2833">
        <f>IF(AM2833&gt;5000,IF(AL2833&gt;30000,1,2),3)</f>
        <v>3</v>
      </c>
      <c r="AV2833" t="str">
        <f>IF(F2833&gt;0,(COUNT($AV$1:AV2832)+1),"")</f>
        <v/>
      </c>
    </row>
    <row r="2834" spans="1:48" ht="27.95" customHeight="1" x14ac:dyDescent="0.25">
      <c r="A2834" s="1"/>
      <c r="B2834" s="25"/>
      <c r="C2834" s="26"/>
      <c r="D2834" s="27" t="s">
        <v>442</v>
      </c>
      <c r="E2834" s="80"/>
      <c r="F2834" s="96"/>
      <c r="G2834" s="1237" t="s">
        <v>7584</v>
      </c>
      <c r="H2834" s="1116" t="s">
        <v>16</v>
      </c>
      <c r="I2834" s="29"/>
      <c r="J2834" s="51"/>
      <c r="K2834" s="47"/>
      <c r="L2834" s="447"/>
      <c r="M2834" s="489" t="s">
        <v>104</v>
      </c>
      <c r="N2834" s="716"/>
      <c r="O2834" s="186"/>
      <c r="P2834" s="79"/>
      <c r="Q2834" s="104"/>
      <c r="R2834" s="13"/>
      <c r="S2834" s="14"/>
      <c r="AV2834" t="str">
        <f>IF(F2834&gt;0,(COUNT($AV$1:AV2833)+1),"")</f>
        <v/>
      </c>
    </row>
    <row r="2835" spans="1:48" ht="15" customHeight="1" x14ac:dyDescent="0.25">
      <c r="A2835" s="1"/>
      <c r="B2835" s="30">
        <v>20702</v>
      </c>
      <c r="C2835" s="20">
        <v>4670032951463</v>
      </c>
      <c r="D2835" s="225" t="s">
        <v>5923</v>
      </c>
      <c r="E2835" s="67">
        <v>15</v>
      </c>
      <c r="F2835" s="222"/>
      <c r="G2835" s="107">
        <v>70</v>
      </c>
      <c r="H2835" s="21">
        <v>73.5</v>
      </c>
      <c r="I2835" s="22">
        <v>81</v>
      </c>
      <c r="J2835" s="112" t="s">
        <v>1074</v>
      </c>
      <c r="K2835" s="45" t="s">
        <v>442</v>
      </c>
      <c r="L2835" s="437"/>
      <c r="M2835" s="474"/>
      <c r="N2835" s="1013" t="s">
        <v>1856</v>
      </c>
      <c r="O2835" s="209"/>
      <c r="P2835" s="66" t="s">
        <v>72</v>
      </c>
      <c r="Q2835" s="100">
        <f>IF(AND($AO$2833=1,MOD(F2835,E2835)=0),F2835*G2835,IF($AO$2833&lt;=2,F2835*H2835,F2835*I2835))</f>
        <v>0</v>
      </c>
      <c r="R2835" s="13" t="str">
        <f t="shared" si="1572"/>
        <v>Фото &gt;&gt;</v>
      </c>
      <c r="S2835" s="14" t="s">
        <v>4363</v>
      </c>
      <c r="U2835" s="4"/>
      <c r="V2835" s="4"/>
      <c r="AK2835">
        <v>7.4999999999999997E-2</v>
      </c>
      <c r="AL2835">
        <f t="shared" ref="AL2835:AL2838" si="1573">F2835*G2835</f>
        <v>0</v>
      </c>
      <c r="AM2835">
        <f t="shared" ref="AM2835:AM2838" si="1574">F2835*H2835</f>
        <v>0</v>
      </c>
      <c r="AN2835">
        <f t="shared" ref="AN2835:AN2838" si="1575">AK2835*F2835+IF(E2835&gt;1.01,F2835/E2835*0.2,0)</f>
        <v>0</v>
      </c>
      <c r="AO2835" t="s">
        <v>4362</v>
      </c>
      <c r="AV2835" t="str">
        <f>IF(F2835&gt;0,(COUNT($AV$1:AV2834)+1),"")</f>
        <v/>
      </c>
    </row>
    <row r="2836" spans="1:48" ht="15" customHeight="1" x14ac:dyDescent="0.25">
      <c r="A2836" s="1"/>
      <c r="B2836" s="31">
        <v>21517</v>
      </c>
      <c r="C2836" s="16">
        <v>4670032951890</v>
      </c>
      <c r="D2836" s="422" t="s">
        <v>7097</v>
      </c>
      <c r="E2836" s="69">
        <v>15</v>
      </c>
      <c r="F2836" s="222"/>
      <c r="G2836" s="108">
        <v>70</v>
      </c>
      <c r="H2836" s="17">
        <v>73.5</v>
      </c>
      <c r="I2836" s="18">
        <v>81</v>
      </c>
      <c r="J2836" s="113" t="s">
        <v>1074</v>
      </c>
      <c r="K2836" s="44" t="s">
        <v>442</v>
      </c>
      <c r="L2836" s="442"/>
      <c r="M2836" s="480"/>
      <c r="N2836" s="1015" t="s">
        <v>1856</v>
      </c>
      <c r="O2836" s="210" t="s">
        <v>1637</v>
      </c>
      <c r="P2836" s="68" t="s">
        <v>72</v>
      </c>
      <c r="Q2836" s="100">
        <f>IF(AND($AO$2833=1,MOD(F2836,E2836)=0),F2836*G2836,IF($AO$2833&lt;=2,F2836*H2836,F2836*I2836))</f>
        <v>0</v>
      </c>
      <c r="R2836" s="94" t="str">
        <f t="shared" si="1572"/>
        <v>Фото &gt;&gt;</v>
      </c>
      <c r="S2836" s="14" t="s">
        <v>7095</v>
      </c>
      <c r="U2836" s="4"/>
      <c r="V2836" s="4"/>
      <c r="AK2836">
        <v>7.4999999999999997E-2</v>
      </c>
      <c r="AL2836">
        <f t="shared" ref="AL2836" si="1576">F2836*G2836</f>
        <v>0</v>
      </c>
      <c r="AM2836">
        <f t="shared" ref="AM2836" si="1577">F2836*H2836</f>
        <v>0</v>
      </c>
      <c r="AN2836">
        <f t="shared" ref="AN2836" si="1578">AK2836*F2836+IF(E2836&gt;1.01,F2836/E2836*0.2,0)</f>
        <v>0</v>
      </c>
      <c r="AO2836" t="s">
        <v>7096</v>
      </c>
      <c r="AV2836" t="str">
        <f>IF(F2836&gt;0,(COUNT($AV$1:AV2835)+1),"")</f>
        <v/>
      </c>
    </row>
    <row r="2837" spans="1:48" ht="15" customHeight="1" x14ac:dyDescent="0.25">
      <c r="A2837" s="1"/>
      <c r="B2837" s="30">
        <v>20704</v>
      </c>
      <c r="C2837" s="20">
        <v>4670032951456</v>
      </c>
      <c r="D2837" s="225" t="s">
        <v>5924</v>
      </c>
      <c r="E2837" s="67">
        <v>15</v>
      </c>
      <c r="F2837" s="222"/>
      <c r="G2837" s="107">
        <v>70</v>
      </c>
      <c r="H2837" s="21">
        <v>73.5</v>
      </c>
      <c r="I2837" s="22">
        <v>81</v>
      </c>
      <c r="J2837" s="112" t="s">
        <v>1074</v>
      </c>
      <c r="K2837" s="45" t="s">
        <v>442</v>
      </c>
      <c r="L2837" s="437"/>
      <c r="M2837" s="474"/>
      <c r="N2837" s="1013" t="s">
        <v>1856</v>
      </c>
      <c r="O2837" s="209"/>
      <c r="P2837" s="66" t="s">
        <v>72</v>
      </c>
      <c r="Q2837" s="100">
        <f>IF(AND($AO$2833=1,MOD(F2837,E2837)=0),F2837*G2837,IF($AO$2833&lt;=2,F2837*H2837,F2837*I2837))</f>
        <v>0</v>
      </c>
      <c r="R2837" s="13" t="str">
        <f t="shared" si="1572"/>
        <v>Фото &gt;&gt;</v>
      </c>
      <c r="S2837" s="14" t="s">
        <v>4365</v>
      </c>
      <c r="U2837" s="4"/>
      <c r="V2837" s="4"/>
      <c r="AK2837">
        <v>7.4999999999999997E-2</v>
      </c>
      <c r="AL2837">
        <f t="shared" si="1573"/>
        <v>0</v>
      </c>
      <c r="AM2837">
        <f t="shared" si="1574"/>
        <v>0</v>
      </c>
      <c r="AN2837">
        <f t="shared" si="1575"/>
        <v>0</v>
      </c>
      <c r="AO2837" t="s">
        <v>4364</v>
      </c>
      <c r="AV2837" t="str">
        <f>IF(F2837&gt;0,(COUNT($AV$1:AV2836)+1),"")</f>
        <v/>
      </c>
    </row>
    <row r="2838" spans="1:48" ht="15" customHeight="1" x14ac:dyDescent="0.25">
      <c r="A2838" s="1"/>
      <c r="B2838" s="25"/>
      <c r="C2838" s="26"/>
      <c r="D2838" s="27" t="s">
        <v>1466</v>
      </c>
      <c r="E2838" s="80"/>
      <c r="F2838" s="96"/>
      <c r="G2838" s="28"/>
      <c r="H2838" s="29"/>
      <c r="I2838" s="778"/>
      <c r="J2838" s="51"/>
      <c r="K2838" s="47"/>
      <c r="L2838" s="447"/>
      <c r="M2838" s="489" t="s">
        <v>104</v>
      </c>
      <c r="N2838" s="716"/>
      <c r="O2838" s="186"/>
      <c r="P2838" s="79"/>
      <c r="Q2838" s="79"/>
      <c r="R2838" s="13" t="str">
        <f t="shared" si="1572"/>
        <v/>
      </c>
      <c r="S2838" s="14"/>
      <c r="AL2838">
        <f t="shared" si="1573"/>
        <v>0</v>
      </c>
      <c r="AM2838">
        <f t="shared" si="1574"/>
        <v>0</v>
      </c>
      <c r="AN2838">
        <f t="shared" si="1575"/>
        <v>0</v>
      </c>
      <c r="AV2838" t="str">
        <f>IF(F2838&gt;0,(COUNT($AV$1:AV2837)+1),"")</f>
        <v/>
      </c>
    </row>
    <row r="2839" spans="1:48" ht="15" customHeight="1" x14ac:dyDescent="0.25">
      <c r="A2839" s="1"/>
      <c r="B2839" s="30">
        <v>20418</v>
      </c>
      <c r="C2839" s="20">
        <v>4670032951333</v>
      </c>
      <c r="D2839" s="225" t="s">
        <v>4063</v>
      </c>
      <c r="E2839" s="67">
        <v>20</v>
      </c>
      <c r="F2839" s="222"/>
      <c r="G2839" s="107">
        <v>76.7</v>
      </c>
      <c r="H2839" s="21">
        <v>79.7</v>
      </c>
      <c r="I2839" s="22">
        <v>84.6</v>
      </c>
      <c r="J2839" s="112" t="s">
        <v>1074</v>
      </c>
      <c r="K2839" s="45" t="s">
        <v>478</v>
      </c>
      <c r="L2839" s="437"/>
      <c r="M2839" s="474" t="s">
        <v>104</v>
      </c>
      <c r="N2839" s="1013" t="s">
        <v>1856</v>
      </c>
      <c r="O2839" s="209"/>
      <c r="P2839" s="66" t="s">
        <v>100</v>
      </c>
      <c r="Q2839" s="100">
        <f t="shared" ref="Q2839:Q2857" si="1579">IF(AND($AO$2833=1,MOD(F2839,E2839)=0),F2839*G2839,IF($AO$2833&lt;=2,F2839*H2839,F2839*I2839))</f>
        <v>0</v>
      </c>
      <c r="R2839" s="13" t="str">
        <f t="shared" ref="R2839:R2853" si="1580">IF(AO2839&gt;0,HYPERLINK(AO2839,"Фото &gt;&gt;"),"")</f>
        <v>Фото &gt;&gt;</v>
      </c>
      <c r="S2839" s="14" t="s">
        <v>3857</v>
      </c>
      <c r="U2839" s="4"/>
      <c r="V2839" s="4"/>
      <c r="AK2839">
        <v>0.06</v>
      </c>
      <c r="AL2839">
        <f t="shared" ref="AL2839:AL2851" si="1581">F2839*G2839</f>
        <v>0</v>
      </c>
      <c r="AM2839">
        <f t="shared" ref="AM2839:AM2851" si="1582">F2839*H2839</f>
        <v>0</v>
      </c>
      <c r="AN2839">
        <f t="shared" ref="AN2839:AN2851" si="1583">AK2839*F2839+IF(E2839&gt;1.01,F2839/E2839*0.2,0)</f>
        <v>0</v>
      </c>
      <c r="AO2839" t="s">
        <v>3858</v>
      </c>
      <c r="AV2839" t="str">
        <f>IF(F2839&gt;0,(COUNT($AV$1:AV2838)+1),"")</f>
        <v/>
      </c>
    </row>
    <row r="2840" spans="1:48" ht="15" customHeight="1" x14ac:dyDescent="0.25">
      <c r="A2840" s="1"/>
      <c r="B2840" s="31">
        <v>21056</v>
      </c>
      <c r="C2840" s="16">
        <v>4670032951630</v>
      </c>
      <c r="D2840" s="226" t="s">
        <v>7590</v>
      </c>
      <c r="E2840" s="69">
        <v>20</v>
      </c>
      <c r="F2840" s="222"/>
      <c r="G2840" s="108">
        <v>76.7</v>
      </c>
      <c r="H2840" s="17">
        <v>79.7</v>
      </c>
      <c r="I2840" s="18">
        <v>84.6</v>
      </c>
      <c r="J2840" s="113" t="s">
        <v>1074</v>
      </c>
      <c r="K2840" s="44" t="s">
        <v>478</v>
      </c>
      <c r="L2840" s="442"/>
      <c r="M2840" s="480" t="s">
        <v>1856</v>
      </c>
      <c r="N2840" s="1015" t="s">
        <v>1856</v>
      </c>
      <c r="O2840" s="210"/>
      <c r="P2840" s="68" t="s">
        <v>100</v>
      </c>
      <c r="Q2840" s="100">
        <f t="shared" si="1579"/>
        <v>0</v>
      </c>
      <c r="R2840" s="13" t="str">
        <f t="shared" si="1580"/>
        <v>Фото &gt;&gt;</v>
      </c>
      <c r="S2840" s="14" t="s">
        <v>5915</v>
      </c>
      <c r="U2840" s="4"/>
      <c r="V2840" s="4"/>
      <c r="AK2840">
        <v>0.04</v>
      </c>
      <c r="AL2840">
        <f t="shared" si="1581"/>
        <v>0</v>
      </c>
      <c r="AM2840">
        <f t="shared" si="1582"/>
        <v>0</v>
      </c>
      <c r="AN2840">
        <f t="shared" si="1583"/>
        <v>0</v>
      </c>
      <c r="AO2840" t="s">
        <v>5913</v>
      </c>
      <c r="AV2840" t="str">
        <f>IF(F2840&gt;0,(COUNT($AV$1:AV2839)+1),"")</f>
        <v/>
      </c>
    </row>
    <row r="2841" spans="1:48" ht="15" customHeight="1" x14ac:dyDescent="0.25">
      <c r="A2841" s="1"/>
      <c r="B2841" s="30">
        <v>18163</v>
      </c>
      <c r="C2841" s="20">
        <v>4670032950039</v>
      </c>
      <c r="D2841" s="225" t="s">
        <v>7591</v>
      </c>
      <c r="E2841" s="67">
        <v>10</v>
      </c>
      <c r="F2841" s="222"/>
      <c r="G2841" s="107">
        <v>153</v>
      </c>
      <c r="H2841" s="21">
        <v>160.69999999999999</v>
      </c>
      <c r="I2841" s="22">
        <v>177</v>
      </c>
      <c r="J2841" s="112" t="s">
        <v>1074</v>
      </c>
      <c r="K2841" s="45" t="s">
        <v>478</v>
      </c>
      <c r="L2841" s="437"/>
      <c r="M2841" s="474" t="s">
        <v>104</v>
      </c>
      <c r="N2841" s="1013" t="s">
        <v>1856</v>
      </c>
      <c r="O2841" s="209"/>
      <c r="P2841" s="66" t="s">
        <v>100</v>
      </c>
      <c r="Q2841" s="100">
        <f t="shared" si="1579"/>
        <v>0</v>
      </c>
      <c r="R2841" s="13" t="str">
        <f t="shared" si="1580"/>
        <v>Фото &gt;&gt;</v>
      </c>
      <c r="S2841" s="14" t="s">
        <v>2333</v>
      </c>
      <c r="U2841" s="4"/>
      <c r="V2841" s="4"/>
      <c r="AK2841">
        <v>0.13</v>
      </c>
      <c r="AL2841">
        <f t="shared" si="1581"/>
        <v>0</v>
      </c>
      <c r="AM2841">
        <f t="shared" si="1582"/>
        <v>0</v>
      </c>
      <c r="AN2841">
        <f t="shared" si="1583"/>
        <v>0</v>
      </c>
      <c r="AO2841" t="s">
        <v>2785</v>
      </c>
      <c r="AV2841" t="str">
        <f>IF(F2841&gt;0,(COUNT($AV$1:AV2840)+1),"")</f>
        <v/>
      </c>
    </row>
    <row r="2842" spans="1:48" ht="15" customHeight="1" x14ac:dyDescent="0.25">
      <c r="A2842" s="1"/>
      <c r="B2842" s="31">
        <v>21053</v>
      </c>
      <c r="C2842" s="16">
        <v>4670032950930</v>
      </c>
      <c r="D2842" s="226" t="s">
        <v>7592</v>
      </c>
      <c r="E2842" s="69">
        <v>20</v>
      </c>
      <c r="F2842" s="222"/>
      <c r="G2842" s="108">
        <v>80.2</v>
      </c>
      <c r="H2842" s="17">
        <v>83.4</v>
      </c>
      <c r="I2842" s="18">
        <v>88.6</v>
      </c>
      <c r="J2842" s="113" t="s">
        <v>1074</v>
      </c>
      <c r="K2842" s="44" t="s">
        <v>478</v>
      </c>
      <c r="L2842" s="442"/>
      <c r="M2842" s="480" t="s">
        <v>104</v>
      </c>
      <c r="N2842" s="1015" t="s">
        <v>1856</v>
      </c>
      <c r="O2842" s="210"/>
      <c r="P2842" s="68" t="s">
        <v>100</v>
      </c>
      <c r="Q2842" s="100">
        <f t="shared" si="1579"/>
        <v>0</v>
      </c>
      <c r="R2842" s="13" t="str">
        <f t="shared" si="1580"/>
        <v>Фото &gt;&gt;</v>
      </c>
      <c r="S2842" s="14" t="s">
        <v>5916</v>
      </c>
      <c r="U2842" s="4"/>
      <c r="V2842" s="4"/>
      <c r="AK2842">
        <v>0.05</v>
      </c>
      <c r="AL2842">
        <f t="shared" si="1581"/>
        <v>0</v>
      </c>
      <c r="AM2842">
        <f t="shared" si="1582"/>
        <v>0</v>
      </c>
      <c r="AN2842">
        <f t="shared" si="1583"/>
        <v>0</v>
      </c>
      <c r="AO2842" t="s">
        <v>5914</v>
      </c>
      <c r="AV2842" t="str">
        <f>IF(F2842&gt;0,(COUNT($AV$1:AV2841)+1),"")</f>
        <v/>
      </c>
    </row>
    <row r="2843" spans="1:48" ht="15" customHeight="1" x14ac:dyDescent="0.25">
      <c r="A2843" s="1"/>
      <c r="B2843" s="30">
        <v>20906</v>
      </c>
      <c r="C2843" s="20">
        <v>4670032951586</v>
      </c>
      <c r="D2843" s="225" t="s">
        <v>7593</v>
      </c>
      <c r="E2843" s="67">
        <v>20</v>
      </c>
      <c r="F2843" s="222"/>
      <c r="G2843" s="107">
        <v>88.4</v>
      </c>
      <c r="H2843" s="21">
        <v>91.9</v>
      </c>
      <c r="I2843" s="22">
        <v>97.5</v>
      </c>
      <c r="J2843" s="112" t="s">
        <v>1074</v>
      </c>
      <c r="K2843" s="45" t="s">
        <v>478</v>
      </c>
      <c r="L2843" s="437"/>
      <c r="M2843" s="474"/>
      <c r="N2843" s="1013"/>
      <c r="O2843" s="209"/>
      <c r="P2843" s="66" t="s">
        <v>100</v>
      </c>
      <c r="Q2843" s="100">
        <f t="shared" si="1579"/>
        <v>0</v>
      </c>
      <c r="R2843" s="13" t="str">
        <f t="shared" si="1580"/>
        <v>Фото &gt;&gt;</v>
      </c>
      <c r="S2843" s="14" t="s">
        <v>4708</v>
      </c>
      <c r="U2843" s="4"/>
      <c r="V2843" s="4"/>
      <c r="AK2843">
        <v>0.06</v>
      </c>
      <c r="AL2843">
        <f t="shared" si="1581"/>
        <v>0</v>
      </c>
      <c r="AM2843">
        <f t="shared" si="1582"/>
        <v>0</v>
      </c>
      <c r="AN2843">
        <f t="shared" si="1583"/>
        <v>0</v>
      </c>
      <c r="AO2843" t="s">
        <v>4709</v>
      </c>
      <c r="AV2843" t="str">
        <f>IF(F2843&gt;0,(COUNT($AV$1:AV2842)+1),"")</f>
        <v/>
      </c>
    </row>
    <row r="2844" spans="1:48" ht="15" customHeight="1" x14ac:dyDescent="0.25">
      <c r="A2844" s="1"/>
      <c r="B2844" s="31">
        <v>21529</v>
      </c>
      <c r="C2844" s="16">
        <v>4670032951593</v>
      </c>
      <c r="D2844" s="422" t="s">
        <v>7393</v>
      </c>
      <c r="E2844" s="69">
        <v>20</v>
      </c>
      <c r="F2844" s="222"/>
      <c r="G2844" s="108">
        <v>93.8</v>
      </c>
      <c r="H2844" s="17">
        <v>98.5</v>
      </c>
      <c r="I2844" s="18">
        <v>108</v>
      </c>
      <c r="J2844" s="113" t="s">
        <v>1074</v>
      </c>
      <c r="K2844" s="44" t="s">
        <v>478</v>
      </c>
      <c r="L2844" s="442"/>
      <c r="M2844" s="480"/>
      <c r="N2844" s="1015"/>
      <c r="O2844" s="210" t="s">
        <v>1637</v>
      </c>
      <c r="P2844" s="68" t="s">
        <v>100</v>
      </c>
      <c r="Q2844" s="100">
        <f t="shared" si="1579"/>
        <v>0</v>
      </c>
      <c r="R2844" s="94" t="str">
        <f t="shared" si="1580"/>
        <v>Фото &gt;&gt;</v>
      </c>
      <c r="S2844" s="14" t="s">
        <v>7232</v>
      </c>
      <c r="U2844" s="4"/>
      <c r="V2844" s="4"/>
      <c r="AK2844">
        <v>2.5000000000000001E-2</v>
      </c>
      <c r="AL2844">
        <f t="shared" si="1581"/>
        <v>0</v>
      </c>
      <c r="AM2844">
        <f t="shared" si="1582"/>
        <v>0</v>
      </c>
      <c r="AN2844">
        <f t="shared" si="1583"/>
        <v>0</v>
      </c>
      <c r="AO2844" t="s">
        <v>7233</v>
      </c>
      <c r="AV2844" t="str">
        <f>IF(F2844&gt;0,(COUNT($AV$1:AV2843)+1),"")</f>
        <v/>
      </c>
    </row>
    <row r="2845" spans="1:48" ht="15" customHeight="1" x14ac:dyDescent="0.25">
      <c r="A2845" s="1"/>
      <c r="B2845" s="30">
        <v>17765</v>
      </c>
      <c r="C2845" s="20">
        <v>4607963690604</v>
      </c>
      <c r="D2845" s="225" t="s">
        <v>7594</v>
      </c>
      <c r="E2845" s="67">
        <v>20</v>
      </c>
      <c r="F2845" s="222"/>
      <c r="G2845" s="107">
        <v>60.7</v>
      </c>
      <c r="H2845" s="21">
        <v>63.2</v>
      </c>
      <c r="I2845" s="22">
        <v>67</v>
      </c>
      <c r="J2845" s="112" t="s">
        <v>1074</v>
      </c>
      <c r="K2845" s="45" t="s">
        <v>478</v>
      </c>
      <c r="L2845" s="437"/>
      <c r="M2845" s="474" t="s">
        <v>1856</v>
      </c>
      <c r="N2845" s="1013" t="s">
        <v>1856</v>
      </c>
      <c r="O2845" s="209"/>
      <c r="P2845" s="66" t="s">
        <v>100</v>
      </c>
      <c r="Q2845" s="100">
        <f t="shared" si="1579"/>
        <v>0</v>
      </c>
      <c r="R2845" s="13" t="str">
        <f t="shared" si="1580"/>
        <v>Фото &gt;&gt;</v>
      </c>
      <c r="S2845" s="14" t="s">
        <v>1075</v>
      </c>
      <c r="U2845" s="4"/>
      <c r="V2845" s="4"/>
      <c r="AK2845">
        <v>0.03</v>
      </c>
      <c r="AL2845">
        <f t="shared" si="1581"/>
        <v>0</v>
      </c>
      <c r="AM2845">
        <f t="shared" si="1582"/>
        <v>0</v>
      </c>
      <c r="AN2845">
        <f t="shared" si="1583"/>
        <v>0</v>
      </c>
      <c r="AO2845" t="s">
        <v>2786</v>
      </c>
      <c r="AV2845" t="str">
        <f>IF(F2845&gt;0,(COUNT($AV$1:AV2844)+1),"")</f>
        <v/>
      </c>
    </row>
    <row r="2846" spans="1:48" ht="15" customHeight="1" x14ac:dyDescent="0.25">
      <c r="A2846" s="1"/>
      <c r="B2846" s="31">
        <v>17763</v>
      </c>
      <c r="C2846" s="16">
        <v>4670032950046</v>
      </c>
      <c r="D2846" s="226" t="s">
        <v>7595</v>
      </c>
      <c r="E2846" s="69">
        <v>10</v>
      </c>
      <c r="F2846" s="222"/>
      <c r="G2846" s="108">
        <v>124.9</v>
      </c>
      <c r="H2846" s="17">
        <v>131</v>
      </c>
      <c r="I2846" s="18">
        <v>138</v>
      </c>
      <c r="J2846" s="113" t="s">
        <v>1074</v>
      </c>
      <c r="K2846" s="44" t="s">
        <v>478</v>
      </c>
      <c r="L2846" s="442"/>
      <c r="M2846" s="480" t="s">
        <v>1856</v>
      </c>
      <c r="N2846" s="1015" t="s">
        <v>1856</v>
      </c>
      <c r="O2846" s="210"/>
      <c r="P2846" s="68" t="s">
        <v>100</v>
      </c>
      <c r="Q2846" s="100">
        <f t="shared" si="1579"/>
        <v>0</v>
      </c>
      <c r="R2846" s="13" t="str">
        <f t="shared" si="1580"/>
        <v>Фото &gt;&gt;</v>
      </c>
      <c r="S2846" s="14" t="s">
        <v>1075</v>
      </c>
      <c r="U2846" s="4"/>
      <c r="V2846" s="4"/>
      <c r="AK2846">
        <v>7.0000000000000007E-2</v>
      </c>
      <c r="AL2846">
        <f t="shared" si="1581"/>
        <v>0</v>
      </c>
      <c r="AM2846">
        <f t="shared" si="1582"/>
        <v>0</v>
      </c>
      <c r="AN2846">
        <f t="shared" si="1583"/>
        <v>0</v>
      </c>
      <c r="AO2846" t="s">
        <v>2787</v>
      </c>
      <c r="AV2846" t="str">
        <f>IF(F2846&gt;0,(COUNT($AV$1:AV2845)+1),"")</f>
        <v/>
      </c>
    </row>
    <row r="2847" spans="1:48" ht="15" customHeight="1" x14ac:dyDescent="0.25">
      <c r="A2847" s="1"/>
      <c r="B2847" s="30">
        <v>17766</v>
      </c>
      <c r="C2847" s="20">
        <v>4607963690628</v>
      </c>
      <c r="D2847" s="225" t="s">
        <v>7596</v>
      </c>
      <c r="E2847" s="67">
        <v>20</v>
      </c>
      <c r="F2847" s="222"/>
      <c r="G2847" s="107">
        <v>60.7</v>
      </c>
      <c r="H2847" s="21">
        <v>63.2</v>
      </c>
      <c r="I2847" s="22">
        <v>67</v>
      </c>
      <c r="J2847" s="112" t="s">
        <v>1074</v>
      </c>
      <c r="K2847" s="45" t="s">
        <v>478</v>
      </c>
      <c r="L2847" s="437"/>
      <c r="M2847" s="474" t="s">
        <v>104</v>
      </c>
      <c r="N2847" s="1013" t="s">
        <v>1856</v>
      </c>
      <c r="O2847" s="209"/>
      <c r="P2847" s="66" t="s">
        <v>100</v>
      </c>
      <c r="Q2847" s="100">
        <f t="shared" si="1579"/>
        <v>0</v>
      </c>
      <c r="R2847" s="13" t="str">
        <f t="shared" si="1580"/>
        <v>Фото &gt;&gt;</v>
      </c>
      <c r="S2847" s="14" t="s">
        <v>1076</v>
      </c>
      <c r="U2847" s="4"/>
      <c r="V2847" s="4"/>
      <c r="AK2847">
        <v>0.04</v>
      </c>
      <c r="AL2847">
        <f t="shared" si="1581"/>
        <v>0</v>
      </c>
      <c r="AM2847">
        <f t="shared" si="1582"/>
        <v>0</v>
      </c>
      <c r="AN2847">
        <f t="shared" si="1583"/>
        <v>0</v>
      </c>
      <c r="AO2847" t="s">
        <v>2788</v>
      </c>
      <c r="AV2847" t="str">
        <f>IF(F2847&gt;0,(COUNT($AV$1:AV2846)+1),"")</f>
        <v/>
      </c>
    </row>
    <row r="2848" spans="1:48" ht="15" customHeight="1" x14ac:dyDescent="0.25">
      <c r="A2848" s="1"/>
      <c r="B2848" s="31">
        <v>17764</v>
      </c>
      <c r="C2848" s="16">
        <v>4670032950053</v>
      </c>
      <c r="D2848" s="226" t="s">
        <v>7597</v>
      </c>
      <c r="E2848" s="69">
        <v>10</v>
      </c>
      <c r="F2848" s="222"/>
      <c r="G2848" s="108">
        <v>124.9</v>
      </c>
      <c r="H2848" s="17">
        <v>131</v>
      </c>
      <c r="I2848" s="18">
        <v>138</v>
      </c>
      <c r="J2848" s="113" t="s">
        <v>1074</v>
      </c>
      <c r="K2848" s="44" t="s">
        <v>478</v>
      </c>
      <c r="L2848" s="442"/>
      <c r="M2848" s="480" t="s">
        <v>104</v>
      </c>
      <c r="N2848" s="1015" t="s">
        <v>1856</v>
      </c>
      <c r="O2848" s="210"/>
      <c r="P2848" s="68" t="s">
        <v>100</v>
      </c>
      <c r="Q2848" s="100">
        <f t="shared" si="1579"/>
        <v>0</v>
      </c>
      <c r="R2848" s="13" t="str">
        <f t="shared" si="1580"/>
        <v>Фото &gt;&gt;</v>
      </c>
      <c r="S2848" s="14" t="s">
        <v>1076</v>
      </c>
      <c r="U2848" s="4"/>
      <c r="V2848" s="4"/>
      <c r="AK2848">
        <v>0.09</v>
      </c>
      <c r="AL2848">
        <f t="shared" si="1581"/>
        <v>0</v>
      </c>
      <c r="AM2848">
        <f t="shared" si="1582"/>
        <v>0</v>
      </c>
      <c r="AN2848">
        <f t="shared" si="1583"/>
        <v>0</v>
      </c>
      <c r="AO2848" t="s">
        <v>2789</v>
      </c>
      <c r="AV2848" t="str">
        <f>IF(F2848&gt;0,(COUNT($AV$1:AV2847)+1),"")</f>
        <v/>
      </c>
    </row>
    <row r="2849" spans="1:48" ht="15" customHeight="1" x14ac:dyDescent="0.25">
      <c r="A2849" s="1"/>
      <c r="B2849" s="30">
        <v>17762</v>
      </c>
      <c r="C2849" s="20">
        <v>4607963690949</v>
      </c>
      <c r="D2849" s="225" t="s">
        <v>1812</v>
      </c>
      <c r="E2849" s="67">
        <v>20</v>
      </c>
      <c r="F2849" s="222"/>
      <c r="G2849" s="107">
        <v>60.7</v>
      </c>
      <c r="H2849" s="21">
        <v>63.2</v>
      </c>
      <c r="I2849" s="22">
        <v>67</v>
      </c>
      <c r="J2849" s="112" t="s">
        <v>1074</v>
      </c>
      <c r="K2849" s="45" t="s">
        <v>478</v>
      </c>
      <c r="L2849" s="437"/>
      <c r="M2849" s="474" t="s">
        <v>104</v>
      </c>
      <c r="N2849" s="1013"/>
      <c r="O2849" s="209"/>
      <c r="P2849" s="66" t="s">
        <v>100</v>
      </c>
      <c r="Q2849" s="100">
        <f t="shared" si="1579"/>
        <v>0</v>
      </c>
      <c r="R2849" s="13" t="str">
        <f t="shared" si="1580"/>
        <v>Фото &gt;&gt;</v>
      </c>
      <c r="S2849" s="14" t="s">
        <v>1077</v>
      </c>
      <c r="U2849" s="4"/>
      <c r="V2849" s="4"/>
      <c r="AK2849">
        <v>0.04</v>
      </c>
      <c r="AL2849">
        <f t="shared" si="1581"/>
        <v>0</v>
      </c>
      <c r="AM2849">
        <f t="shared" si="1582"/>
        <v>0</v>
      </c>
      <c r="AN2849">
        <f t="shared" si="1583"/>
        <v>0</v>
      </c>
      <c r="AO2849" t="s">
        <v>2790</v>
      </c>
      <c r="AV2849" t="str">
        <f>IF(F2849&gt;0,(COUNT($AV$1:AV2848)+1),"")</f>
        <v/>
      </c>
    </row>
    <row r="2850" spans="1:48" ht="15" customHeight="1" x14ac:dyDescent="0.25">
      <c r="A2850" s="1"/>
      <c r="B2850" s="31">
        <v>21042</v>
      </c>
      <c r="C2850" s="16">
        <v>4670032951548</v>
      </c>
      <c r="D2850" s="226" t="s">
        <v>6387</v>
      </c>
      <c r="E2850" s="69">
        <v>10</v>
      </c>
      <c r="F2850" s="222"/>
      <c r="G2850" s="108">
        <v>124.9</v>
      </c>
      <c r="H2850" s="17">
        <v>131</v>
      </c>
      <c r="I2850" s="18">
        <v>138</v>
      </c>
      <c r="J2850" s="113" t="s">
        <v>1074</v>
      </c>
      <c r="K2850" s="44" t="s">
        <v>478</v>
      </c>
      <c r="L2850" s="442"/>
      <c r="M2850" s="480"/>
      <c r="N2850" s="1015"/>
      <c r="O2850" s="210"/>
      <c r="P2850" s="68" t="s">
        <v>100</v>
      </c>
      <c r="Q2850" s="100">
        <f t="shared" si="1579"/>
        <v>0</v>
      </c>
      <c r="R2850" s="13" t="str">
        <f t="shared" si="1580"/>
        <v>Фото &gt;&gt;</v>
      </c>
      <c r="S2850" s="14" t="s">
        <v>1077</v>
      </c>
      <c r="U2850" s="4"/>
      <c r="V2850" s="4"/>
      <c r="AK2850">
        <v>7.0000000000000007E-2</v>
      </c>
      <c r="AL2850">
        <f t="shared" si="1581"/>
        <v>0</v>
      </c>
      <c r="AM2850">
        <f t="shared" si="1582"/>
        <v>0</v>
      </c>
      <c r="AN2850">
        <f t="shared" si="1583"/>
        <v>0</v>
      </c>
      <c r="AO2850" t="s">
        <v>5850</v>
      </c>
      <c r="AV2850" t="str">
        <f>IF(F2850&gt;0,(COUNT($AV$1:AV2849)+1),"")</f>
        <v/>
      </c>
    </row>
    <row r="2851" spans="1:48" ht="15" customHeight="1" x14ac:dyDescent="0.25">
      <c r="A2851" s="1"/>
      <c r="B2851" s="30">
        <v>21530</v>
      </c>
      <c r="C2851" s="20">
        <v>4670032951609</v>
      </c>
      <c r="D2851" s="421" t="s">
        <v>7391</v>
      </c>
      <c r="E2851" s="67">
        <v>20</v>
      </c>
      <c r="F2851" s="222"/>
      <c r="G2851" s="107">
        <v>88.5</v>
      </c>
      <c r="H2851" s="21">
        <v>93</v>
      </c>
      <c r="I2851" s="22">
        <v>102</v>
      </c>
      <c r="J2851" s="112" t="s">
        <v>1074</v>
      </c>
      <c r="K2851" s="45" t="s">
        <v>478</v>
      </c>
      <c r="L2851" s="437"/>
      <c r="M2851" s="474" t="s">
        <v>1856</v>
      </c>
      <c r="N2851" s="1013" t="s">
        <v>1856</v>
      </c>
      <c r="O2851" s="209" t="s">
        <v>1637</v>
      </c>
      <c r="P2851" s="66" t="s">
        <v>100</v>
      </c>
      <c r="Q2851" s="100">
        <f t="shared" si="1579"/>
        <v>0</v>
      </c>
      <c r="R2851" s="94" t="str">
        <f t="shared" si="1580"/>
        <v>Фото &gt;&gt;</v>
      </c>
      <c r="S2851" s="14" t="s">
        <v>7231</v>
      </c>
      <c r="U2851" s="4"/>
      <c r="V2851" s="4"/>
      <c r="AK2851">
        <v>5.5E-2</v>
      </c>
      <c r="AL2851">
        <f t="shared" si="1581"/>
        <v>0</v>
      </c>
      <c r="AM2851">
        <f t="shared" si="1582"/>
        <v>0</v>
      </c>
      <c r="AN2851">
        <f t="shared" si="1583"/>
        <v>0</v>
      </c>
      <c r="AO2851" t="s">
        <v>7230</v>
      </c>
      <c r="AV2851" t="str">
        <f>IF(F2851&gt;0,(COUNT($AV$1:AV2850)+1),"")</f>
        <v/>
      </c>
    </row>
    <row r="2852" spans="1:48" ht="15" customHeight="1" x14ac:dyDescent="0.25">
      <c r="A2852" s="1"/>
      <c r="B2852" s="31">
        <v>21002</v>
      </c>
      <c r="C2852" s="16">
        <v>4670032951623</v>
      </c>
      <c r="D2852" s="226" t="s">
        <v>6386</v>
      </c>
      <c r="E2852" s="69">
        <v>20</v>
      </c>
      <c r="F2852" s="222"/>
      <c r="G2852" s="108">
        <v>76.7</v>
      </c>
      <c r="H2852" s="17">
        <v>79.7</v>
      </c>
      <c r="I2852" s="18">
        <v>84.6</v>
      </c>
      <c r="J2852" s="113" t="s">
        <v>1074</v>
      </c>
      <c r="K2852" s="44" t="s">
        <v>478</v>
      </c>
      <c r="L2852" s="442"/>
      <c r="M2852" s="480" t="s">
        <v>104</v>
      </c>
      <c r="N2852" s="1015" t="s">
        <v>1856</v>
      </c>
      <c r="O2852" s="210"/>
      <c r="P2852" s="68" t="s">
        <v>100</v>
      </c>
      <c r="Q2852" s="100">
        <f t="shared" si="1579"/>
        <v>0</v>
      </c>
      <c r="R2852" s="13" t="str">
        <f t="shared" si="1580"/>
        <v>Фото &gt;&gt;</v>
      </c>
      <c r="S2852" s="14" t="s">
        <v>5862</v>
      </c>
      <c r="U2852" s="4"/>
      <c r="V2852" s="4"/>
      <c r="AK2852">
        <v>0.05</v>
      </c>
      <c r="AL2852">
        <f t="shared" ref="AL2852:AL2854" si="1584">F2852*G2852</f>
        <v>0</v>
      </c>
      <c r="AM2852">
        <f t="shared" ref="AM2852:AM2854" si="1585">F2852*H2852</f>
        <v>0</v>
      </c>
      <c r="AN2852">
        <f t="shared" ref="AN2852:AN2854" si="1586">AK2852*F2852+IF(E2852&gt;1.01,F2852/E2852*0.2,0)</f>
        <v>0</v>
      </c>
      <c r="AO2852" t="s">
        <v>5861</v>
      </c>
      <c r="AV2852" t="str">
        <f>IF(F2852&gt;0,(COUNT($AV$1:AV2851)+1),"")</f>
        <v/>
      </c>
    </row>
    <row r="2853" spans="1:48" ht="15" customHeight="1" x14ac:dyDescent="0.25">
      <c r="A2853" s="1"/>
      <c r="B2853" s="30">
        <v>21540</v>
      </c>
      <c r="C2853" s="20"/>
      <c r="D2853" s="421" t="s">
        <v>7392</v>
      </c>
      <c r="E2853" s="67">
        <v>20</v>
      </c>
      <c r="F2853" s="222"/>
      <c r="G2853" s="107">
        <v>88.5</v>
      </c>
      <c r="H2853" s="21">
        <v>93</v>
      </c>
      <c r="I2853" s="22">
        <v>102</v>
      </c>
      <c r="J2853" s="112" t="s">
        <v>1074</v>
      </c>
      <c r="K2853" s="45" t="s">
        <v>478</v>
      </c>
      <c r="L2853" s="437"/>
      <c r="M2853" s="474" t="s">
        <v>1856</v>
      </c>
      <c r="N2853" s="1013" t="s">
        <v>1856</v>
      </c>
      <c r="O2853" s="209" t="s">
        <v>1637</v>
      </c>
      <c r="P2853" s="66" t="s">
        <v>100</v>
      </c>
      <c r="Q2853" s="100">
        <f t="shared" si="1579"/>
        <v>0</v>
      </c>
      <c r="R2853" s="94" t="str">
        <f t="shared" si="1580"/>
        <v>Фото &gt;&gt;</v>
      </c>
      <c r="S2853" s="14" t="s">
        <v>7309</v>
      </c>
      <c r="U2853" s="4"/>
      <c r="V2853" s="4"/>
      <c r="AK2853">
        <v>0.04</v>
      </c>
      <c r="AL2853">
        <f t="shared" si="1584"/>
        <v>0</v>
      </c>
      <c r="AM2853">
        <f t="shared" si="1585"/>
        <v>0</v>
      </c>
      <c r="AN2853">
        <f t="shared" si="1586"/>
        <v>0</v>
      </c>
      <c r="AO2853" t="s">
        <v>7308</v>
      </c>
      <c r="AV2853" t="str">
        <f>IF(F2853&gt;0,(COUNT($AV$1:AV2852)+1),"")</f>
        <v/>
      </c>
    </row>
    <row r="2854" spans="1:48" ht="15" customHeight="1" x14ac:dyDescent="0.25">
      <c r="A2854" s="1"/>
      <c r="B2854" s="31">
        <v>18755</v>
      </c>
      <c r="C2854" s="16">
        <v>4670032950572</v>
      </c>
      <c r="D2854" s="226" t="s">
        <v>1821</v>
      </c>
      <c r="E2854" s="69">
        <v>20</v>
      </c>
      <c r="F2854" s="222"/>
      <c r="G2854" s="108">
        <v>72.2</v>
      </c>
      <c r="H2854" s="17">
        <v>75.099999999999994</v>
      </c>
      <c r="I2854" s="18">
        <v>79.7</v>
      </c>
      <c r="J2854" s="113" t="s">
        <v>1074</v>
      </c>
      <c r="K2854" s="44" t="s">
        <v>478</v>
      </c>
      <c r="L2854" s="442"/>
      <c r="M2854" s="480" t="s">
        <v>1856</v>
      </c>
      <c r="N2854" s="1015" t="s">
        <v>1856</v>
      </c>
      <c r="O2854" s="210"/>
      <c r="P2854" s="68" t="s">
        <v>72</v>
      </c>
      <c r="Q2854" s="100">
        <f t="shared" si="1579"/>
        <v>0</v>
      </c>
      <c r="R2854" s="13" t="str">
        <f t="shared" si="1572"/>
        <v>Фото &gt;&gt;</v>
      </c>
      <c r="S2854" s="14" t="s">
        <v>2336</v>
      </c>
      <c r="U2854" s="4"/>
      <c r="V2854" s="4"/>
      <c r="AK2854">
        <v>0.08</v>
      </c>
      <c r="AL2854">
        <f t="shared" si="1584"/>
        <v>0</v>
      </c>
      <c r="AM2854">
        <f t="shared" si="1585"/>
        <v>0</v>
      </c>
      <c r="AN2854">
        <f t="shared" si="1586"/>
        <v>0</v>
      </c>
      <c r="AO2854" t="s">
        <v>2791</v>
      </c>
      <c r="AV2854" t="str">
        <f>IF(F2854&gt;0,(COUNT($AV$1:AV2853)+1),"")</f>
        <v/>
      </c>
    </row>
    <row r="2855" spans="1:48" ht="15" customHeight="1" x14ac:dyDescent="0.25">
      <c r="A2855" s="1"/>
      <c r="B2855" s="30">
        <v>18756</v>
      </c>
      <c r="C2855" s="20">
        <v>4670032950619</v>
      </c>
      <c r="D2855" s="225" t="s">
        <v>1822</v>
      </c>
      <c r="E2855" s="67">
        <v>20</v>
      </c>
      <c r="F2855" s="222"/>
      <c r="G2855" s="107">
        <v>72.2</v>
      </c>
      <c r="H2855" s="21">
        <v>75.099999999999994</v>
      </c>
      <c r="I2855" s="22">
        <v>79.7</v>
      </c>
      <c r="J2855" s="112" t="s">
        <v>1074</v>
      </c>
      <c r="K2855" s="45" t="s">
        <v>478</v>
      </c>
      <c r="L2855" s="437"/>
      <c r="M2855" s="474" t="s">
        <v>1856</v>
      </c>
      <c r="N2855" s="1013"/>
      <c r="O2855" s="209"/>
      <c r="P2855" s="66" t="s">
        <v>72</v>
      </c>
      <c r="Q2855" s="100">
        <f t="shared" si="1579"/>
        <v>0</v>
      </c>
      <c r="R2855" s="13" t="str">
        <f t="shared" si="1572"/>
        <v>Фото &gt;&gt;</v>
      </c>
      <c r="S2855" s="14" t="s">
        <v>2334</v>
      </c>
      <c r="U2855" s="4"/>
      <c r="V2855" s="4"/>
      <c r="AK2855">
        <v>0.08</v>
      </c>
      <c r="AL2855">
        <f t="shared" ref="AL2855" si="1587">F2855*G2855</f>
        <v>0</v>
      </c>
      <c r="AM2855">
        <f t="shared" ref="AM2855" si="1588">F2855*H2855</f>
        <v>0</v>
      </c>
      <c r="AN2855">
        <f t="shared" ref="AN2855" si="1589">AK2855*F2855+IF(E2855&gt;1.01,F2855/E2855*0.2,0)</f>
        <v>0</v>
      </c>
      <c r="AO2855" t="s">
        <v>3764</v>
      </c>
      <c r="AV2855" t="str">
        <f>IF(F2855&gt;0,(COUNT($AV$1:AV2854)+1),"")</f>
        <v/>
      </c>
    </row>
    <row r="2856" spans="1:48" ht="15" customHeight="1" x14ac:dyDescent="0.25">
      <c r="A2856" s="1"/>
      <c r="B2856" s="31">
        <v>19063</v>
      </c>
      <c r="C2856" s="16">
        <v>4670032950756</v>
      </c>
      <c r="D2856" s="226" t="s">
        <v>1767</v>
      </c>
      <c r="E2856" s="69">
        <v>20</v>
      </c>
      <c r="F2856" s="222"/>
      <c r="G2856" s="108">
        <v>72.2</v>
      </c>
      <c r="H2856" s="17">
        <v>75.099999999999994</v>
      </c>
      <c r="I2856" s="18">
        <v>79.7</v>
      </c>
      <c r="J2856" s="113" t="s">
        <v>1074</v>
      </c>
      <c r="K2856" s="44" t="s">
        <v>478</v>
      </c>
      <c r="L2856" s="442"/>
      <c r="M2856" s="480" t="s">
        <v>1856</v>
      </c>
      <c r="N2856" s="1015" t="s">
        <v>1856</v>
      </c>
      <c r="O2856" s="210"/>
      <c r="P2856" s="68" t="s">
        <v>72</v>
      </c>
      <c r="Q2856" s="100">
        <f t="shared" si="1579"/>
        <v>0</v>
      </c>
      <c r="R2856" s="13" t="str">
        <f t="shared" ref="R2856:R2862" si="1590">IF(AO2856&gt;0,HYPERLINK(AO2856,"Фото &gt;&gt;"),"")</f>
        <v>Фото &gt;&gt;</v>
      </c>
      <c r="S2856" s="14" t="s">
        <v>2335</v>
      </c>
      <c r="U2856" s="4"/>
      <c r="V2856" s="4"/>
      <c r="AK2856">
        <v>0.08</v>
      </c>
      <c r="AL2856">
        <f t="shared" ref="AL2856:AL2861" si="1591">F2856*G2856</f>
        <v>0</v>
      </c>
      <c r="AM2856">
        <f t="shared" ref="AM2856:AM2861" si="1592">F2856*H2856</f>
        <v>0</v>
      </c>
      <c r="AN2856">
        <f t="shared" ref="AN2856:AN2861" si="1593">AK2856*F2856+IF(E2856&gt;1.01,F2856/E2856*0.2,0)</f>
        <v>0</v>
      </c>
      <c r="AO2856" t="s">
        <v>2792</v>
      </c>
      <c r="AV2856" t="str">
        <f>IF(F2856&gt;0,(COUNT($AV$1:AV2855)+1),"")</f>
        <v/>
      </c>
    </row>
    <row r="2857" spans="1:48" ht="15" customHeight="1" x14ac:dyDescent="0.25">
      <c r="A2857" s="1"/>
      <c r="B2857" s="30">
        <v>21115</v>
      </c>
      <c r="C2857" s="20">
        <v>4670032951654</v>
      </c>
      <c r="D2857" s="225" t="s">
        <v>7307</v>
      </c>
      <c r="E2857" s="67">
        <v>20</v>
      </c>
      <c r="F2857" s="222"/>
      <c r="G2857" s="107">
        <v>53.9</v>
      </c>
      <c r="H2857" s="21">
        <v>56</v>
      </c>
      <c r="I2857" s="22">
        <v>59.5</v>
      </c>
      <c r="J2857" s="112" t="s">
        <v>1074</v>
      </c>
      <c r="K2857" s="45" t="s">
        <v>478</v>
      </c>
      <c r="L2857" s="437"/>
      <c r="M2857" s="474"/>
      <c r="N2857" s="1013" t="s">
        <v>1856</v>
      </c>
      <c r="O2857" s="209"/>
      <c r="P2857" s="66" t="s">
        <v>195</v>
      </c>
      <c r="Q2857" s="100">
        <f t="shared" si="1579"/>
        <v>0</v>
      </c>
      <c r="R2857" s="13" t="str">
        <f t="shared" si="1590"/>
        <v>Фото &gt;&gt;</v>
      </c>
      <c r="S2857" s="14" t="s">
        <v>6062</v>
      </c>
      <c r="U2857" s="4"/>
      <c r="V2857" s="4"/>
      <c r="AK2857">
        <v>0.06</v>
      </c>
      <c r="AL2857">
        <f t="shared" si="1591"/>
        <v>0</v>
      </c>
      <c r="AM2857">
        <f t="shared" si="1592"/>
        <v>0</v>
      </c>
      <c r="AN2857">
        <f t="shared" si="1593"/>
        <v>0</v>
      </c>
      <c r="AO2857" t="s">
        <v>6063</v>
      </c>
      <c r="AV2857" t="str">
        <f>IF(F2857&gt;0,(COUNT($AV$1:AV2856)+1),"")</f>
        <v/>
      </c>
    </row>
    <row r="2858" spans="1:48" ht="15" customHeight="1" x14ac:dyDescent="0.25">
      <c r="A2858" s="1"/>
      <c r="B2858" s="25"/>
      <c r="C2858" s="26"/>
      <c r="D2858" s="27" t="s">
        <v>7030</v>
      </c>
      <c r="E2858" s="80"/>
      <c r="F2858" s="96"/>
      <c r="G2858" s="28"/>
      <c r="H2858" s="29"/>
      <c r="I2858" s="778"/>
      <c r="J2858" s="51"/>
      <c r="K2858" s="47"/>
      <c r="L2858" s="447"/>
      <c r="M2858" s="489"/>
      <c r="N2858" s="716"/>
      <c r="O2858" s="186"/>
      <c r="P2858" s="79"/>
      <c r="Q2858" s="79"/>
      <c r="R2858" s="13"/>
      <c r="S2858" s="14"/>
      <c r="U2858" s="4"/>
      <c r="V2858" s="4"/>
      <c r="AL2858">
        <f t="shared" si="1591"/>
        <v>0</v>
      </c>
      <c r="AM2858">
        <f t="shared" si="1592"/>
        <v>0</v>
      </c>
      <c r="AN2858">
        <f t="shared" si="1593"/>
        <v>0</v>
      </c>
      <c r="AV2858" t="str">
        <f>IF(F2858&gt;0,(COUNT($AV$1:AV2857)+1),"")</f>
        <v/>
      </c>
    </row>
    <row r="2859" spans="1:48" ht="15" customHeight="1" x14ac:dyDescent="0.25">
      <c r="A2859" s="1"/>
      <c r="B2859" s="30">
        <v>21532</v>
      </c>
      <c r="C2859" s="20">
        <v>4670032951869</v>
      </c>
      <c r="D2859" s="421" t="s">
        <v>7237</v>
      </c>
      <c r="E2859" s="67">
        <v>20</v>
      </c>
      <c r="F2859" s="222"/>
      <c r="G2859" s="107">
        <v>58.3</v>
      </c>
      <c r="H2859" s="21">
        <v>60.7</v>
      </c>
      <c r="I2859" s="780">
        <v>64.400000000000006</v>
      </c>
      <c r="J2859" s="112" t="s">
        <v>1074</v>
      </c>
      <c r="K2859" s="45" t="s">
        <v>478</v>
      </c>
      <c r="L2859" s="437"/>
      <c r="M2859" s="474" t="s">
        <v>1856</v>
      </c>
      <c r="N2859" s="1013" t="s">
        <v>1856</v>
      </c>
      <c r="O2859" s="209" t="s">
        <v>1637</v>
      </c>
      <c r="P2859" s="66" t="s">
        <v>53</v>
      </c>
      <c r="Q2859" s="100">
        <f>IF(AND($AO$2833=1,MOD(F2859,E2859)=0),F2859*G2859,IF($AO$2833&lt;=2,F2859*H2859,F2859*I2859))</f>
        <v>0</v>
      </c>
      <c r="R2859" s="94" t="str">
        <f t="shared" si="1590"/>
        <v>Фото &gt;&gt;</v>
      </c>
      <c r="S2859" s="14" t="s">
        <v>7234</v>
      </c>
      <c r="U2859" s="4"/>
      <c r="V2859" s="4"/>
      <c r="AK2859">
        <v>0.04</v>
      </c>
      <c r="AL2859">
        <f t="shared" si="1591"/>
        <v>0</v>
      </c>
      <c r="AM2859">
        <f t="shared" si="1592"/>
        <v>0</v>
      </c>
      <c r="AN2859">
        <f t="shared" si="1593"/>
        <v>0</v>
      </c>
      <c r="AO2859" t="s">
        <v>7238</v>
      </c>
      <c r="AV2859" t="str">
        <f>IF(F2859&gt;0,(COUNT($AV$1:AV2858)+1),"")</f>
        <v/>
      </c>
    </row>
    <row r="2860" spans="1:48" ht="15" customHeight="1" x14ac:dyDescent="0.25">
      <c r="A2860" s="1"/>
      <c r="B2860" s="31">
        <v>21531</v>
      </c>
      <c r="C2860" s="16">
        <v>4670032951906</v>
      </c>
      <c r="D2860" s="422" t="s">
        <v>7236</v>
      </c>
      <c r="E2860" s="69">
        <v>20</v>
      </c>
      <c r="F2860" s="222"/>
      <c r="G2860" s="108">
        <v>58.3</v>
      </c>
      <c r="H2860" s="17">
        <v>60.7</v>
      </c>
      <c r="I2860" s="779">
        <v>64.400000000000006</v>
      </c>
      <c r="J2860" s="113" t="s">
        <v>1074</v>
      </c>
      <c r="K2860" s="44" t="s">
        <v>478</v>
      </c>
      <c r="L2860" s="442"/>
      <c r="M2860" s="480" t="s">
        <v>1856</v>
      </c>
      <c r="N2860" s="1015"/>
      <c r="O2860" s="210" t="s">
        <v>1637</v>
      </c>
      <c r="P2860" s="68" t="s">
        <v>53</v>
      </c>
      <c r="Q2860" s="100">
        <f>IF(AND($AO$2833=1,MOD(F2860,E2860)=0),F2860*G2860,IF($AO$2833&lt;=2,F2860*H2860,F2860*I2860))</f>
        <v>0</v>
      </c>
      <c r="R2860" s="94" t="str">
        <f t="shared" si="1590"/>
        <v>Фото &gt;&gt;</v>
      </c>
      <c r="S2860" s="14" t="s">
        <v>7235</v>
      </c>
      <c r="U2860" s="4"/>
      <c r="V2860" s="4"/>
      <c r="AK2860">
        <v>0.04</v>
      </c>
      <c r="AL2860">
        <f t="shared" si="1591"/>
        <v>0</v>
      </c>
      <c r="AM2860">
        <f t="shared" si="1592"/>
        <v>0</v>
      </c>
      <c r="AN2860">
        <f t="shared" si="1593"/>
        <v>0</v>
      </c>
      <c r="AO2860" t="s">
        <v>7239</v>
      </c>
      <c r="AV2860" t="str">
        <f>IF(F2860&gt;0,(COUNT($AV$1:AV2859)+1),"")</f>
        <v/>
      </c>
    </row>
    <row r="2861" spans="1:48" ht="15" customHeight="1" x14ac:dyDescent="0.25">
      <c r="A2861" s="1"/>
      <c r="B2861" s="30">
        <v>21499</v>
      </c>
      <c r="C2861" s="20">
        <v>4670032951432</v>
      </c>
      <c r="D2861" s="421" t="s">
        <v>7032</v>
      </c>
      <c r="E2861" s="67">
        <v>20</v>
      </c>
      <c r="F2861" s="222"/>
      <c r="G2861" s="107">
        <v>73.3</v>
      </c>
      <c r="H2861" s="21">
        <v>76.3</v>
      </c>
      <c r="I2861" s="780">
        <v>81</v>
      </c>
      <c r="J2861" s="112" t="s">
        <v>1074</v>
      </c>
      <c r="K2861" s="45" t="s">
        <v>478</v>
      </c>
      <c r="L2861" s="437"/>
      <c r="M2861" s="474" t="s">
        <v>1856</v>
      </c>
      <c r="N2861" s="1013"/>
      <c r="O2861" s="209" t="s">
        <v>1637</v>
      </c>
      <c r="P2861" s="66" t="s">
        <v>53</v>
      </c>
      <c r="Q2861" s="100">
        <f>IF(AND($AO$2833=1,MOD(F2861,E2861)=0),F2861*G2861,IF($AO$2833&lt;=2,F2861*H2861,F2861*I2861))</f>
        <v>0</v>
      </c>
      <c r="R2861" s="94" t="str">
        <f t="shared" si="1590"/>
        <v>Фото &gt;&gt;</v>
      </c>
      <c r="S2861" s="14" t="s">
        <v>6980</v>
      </c>
      <c r="U2861" s="4"/>
      <c r="V2861" s="4"/>
      <c r="AK2861">
        <v>0.08</v>
      </c>
      <c r="AL2861">
        <f t="shared" si="1591"/>
        <v>0</v>
      </c>
      <c r="AM2861">
        <f t="shared" si="1592"/>
        <v>0</v>
      </c>
      <c r="AN2861">
        <f t="shared" si="1593"/>
        <v>0</v>
      </c>
      <c r="AO2861" t="s">
        <v>6981</v>
      </c>
      <c r="AV2861" t="str">
        <f>IF(F2861&gt;0,(COUNT($AV$1:AV2860)+1),"")</f>
        <v/>
      </c>
    </row>
    <row r="2862" spans="1:48" ht="15" customHeight="1" x14ac:dyDescent="0.25">
      <c r="A2862" s="1"/>
      <c r="B2862" s="31">
        <v>21508</v>
      </c>
      <c r="C2862" s="16">
        <v>4670032951449</v>
      </c>
      <c r="D2862" s="422" t="s">
        <v>7031</v>
      </c>
      <c r="E2862" s="69">
        <v>20</v>
      </c>
      <c r="F2862" s="222"/>
      <c r="G2862" s="108">
        <v>73.3</v>
      </c>
      <c r="H2862" s="17">
        <v>76.3</v>
      </c>
      <c r="I2862" s="779">
        <v>81</v>
      </c>
      <c r="J2862" s="113" t="s">
        <v>1074</v>
      </c>
      <c r="K2862" s="44" t="s">
        <v>478</v>
      </c>
      <c r="L2862" s="442"/>
      <c r="M2862" s="480" t="s">
        <v>1856</v>
      </c>
      <c r="N2862" s="1015"/>
      <c r="O2862" s="210" t="s">
        <v>1637</v>
      </c>
      <c r="P2862" s="68" t="s">
        <v>53</v>
      </c>
      <c r="Q2862" s="100">
        <f>IF(AND($AO$2833=1,MOD(F2862,E2862)=0),F2862*G2862,IF($AO$2833&lt;=2,F2862*H2862,F2862*I2862))</f>
        <v>0</v>
      </c>
      <c r="R2862" s="94" t="str">
        <f t="shared" si="1590"/>
        <v>Фото &gt;&gt;</v>
      </c>
      <c r="S2862" s="14" t="s">
        <v>7033</v>
      </c>
      <c r="U2862" s="4"/>
      <c r="V2862" s="4"/>
      <c r="AK2862">
        <v>0.08</v>
      </c>
      <c r="AL2862">
        <f t="shared" ref="AL2862" si="1594">F2862*G2862</f>
        <v>0</v>
      </c>
      <c r="AM2862">
        <f t="shared" ref="AM2862" si="1595">F2862*H2862</f>
        <v>0</v>
      </c>
      <c r="AN2862">
        <f t="shared" ref="AN2862" si="1596">AK2862*F2862+IF(E2862&gt;1.01,F2862/E2862*0.2,0)</f>
        <v>0</v>
      </c>
      <c r="AO2862" t="s">
        <v>7034</v>
      </c>
      <c r="AV2862" t="str">
        <f>IF(F2862&gt;0,(COUNT($AV$1:AV2861)+1),"")</f>
        <v/>
      </c>
    </row>
    <row r="2863" spans="1:48" ht="15" customHeight="1" x14ac:dyDescent="0.25">
      <c r="A2863" s="1"/>
      <c r="B2863" s="125"/>
      <c r="C2863" s="126"/>
      <c r="D2863" s="127"/>
      <c r="E2863" s="134"/>
      <c r="F2863" s="189"/>
      <c r="G2863" s="130"/>
      <c r="H2863" s="131"/>
      <c r="I2863" s="132"/>
      <c r="J2863" s="128"/>
      <c r="K2863" s="129"/>
      <c r="L2863" s="433"/>
      <c r="M2863" s="481" t="s">
        <v>104</v>
      </c>
      <c r="N2863" s="471"/>
      <c r="O2863" s="181"/>
      <c r="P2863" s="133"/>
      <c r="Q2863" s="135"/>
      <c r="R2863" s="13"/>
      <c r="S2863" s="14"/>
      <c r="AV2863" t="str">
        <f>IF(F2863&gt;0,(COUNT($AV$1:AV2862)+1),"")</f>
        <v/>
      </c>
    </row>
    <row r="2864" spans="1:48" ht="15" customHeight="1" thickBot="1" x14ac:dyDescent="0.3">
      <c r="A2864" s="1"/>
      <c r="B2864" s="136"/>
      <c r="C2864" s="137"/>
      <c r="D2864" s="138"/>
      <c r="E2864" s="145"/>
      <c r="F2864" s="190"/>
      <c r="G2864" s="141"/>
      <c r="H2864" s="142"/>
      <c r="I2864" s="143"/>
      <c r="J2864" s="139"/>
      <c r="K2864" s="140"/>
      <c r="L2864" s="434"/>
      <c r="M2864" s="477" t="s">
        <v>104</v>
      </c>
      <c r="N2864" s="468"/>
      <c r="O2864" s="182"/>
      <c r="P2864" s="144"/>
      <c r="Q2864" s="146"/>
      <c r="R2864" s="13"/>
      <c r="S2864" s="14"/>
      <c r="AV2864" t="str">
        <f>IF(F2864&gt;0,(COUNT($AV$1:AV2863)+1),"")</f>
        <v/>
      </c>
    </row>
    <row r="2865" spans="1:48" ht="24.75" customHeight="1" thickBot="1" x14ac:dyDescent="0.3">
      <c r="A2865" s="1"/>
      <c r="B2865" s="169"/>
      <c r="C2865" s="170"/>
      <c r="D2865" s="171" t="str">
        <f>CONCATENATE("Соймик","     |     Сумма заказа: ",AK2865," руб.")</f>
        <v>Соймик     |     Сумма заказа: 0 руб.</v>
      </c>
      <c r="E2865" s="176"/>
      <c r="F2865" s="177"/>
      <c r="G2865" s="180" t="str">
        <f>CONCATENATE("Ценовая колонка: ",AO2865,"   |   До следующей скидки: ",AJ2865," руб.")</f>
        <v>Ценовая колонка: 3   |   До следующей скидки: 5000 руб.</v>
      </c>
      <c r="H2865" s="174"/>
      <c r="I2865" s="174"/>
      <c r="J2865" s="172" t="s">
        <v>1079</v>
      </c>
      <c r="K2865" s="173"/>
      <c r="L2865" s="444"/>
      <c r="M2865" s="486" t="s">
        <v>104</v>
      </c>
      <c r="N2865" s="717"/>
      <c r="O2865" s="184"/>
      <c r="P2865" s="175"/>
      <c r="Q2865" s="178"/>
      <c r="R2865" s="179" t="s">
        <v>1558</v>
      </c>
      <c r="S2865" s="14"/>
      <c r="AJ2865">
        <f>ROUND(IF(AL2865&gt;20000,"0", IF(AND(AL2865&lt;20000,AM2865&gt;5000),20000-AL2865,5000-AM2865)),2)</f>
        <v>5000</v>
      </c>
      <c r="AK2865">
        <f>SUM(Q2867:Q2869)</f>
        <v>0</v>
      </c>
      <c r="AL2865">
        <f>SUM(AL2867:AL2869)</f>
        <v>0</v>
      </c>
      <c r="AM2865">
        <f>SUM(AM2867:AM2869)</f>
        <v>0</v>
      </c>
      <c r="AO2865">
        <f>IF(AM2865&gt;5000,IF(AL2865&gt;20000,1,2),3)</f>
        <v>3</v>
      </c>
      <c r="AV2865" t="str">
        <f>IF(F2865&gt;0,(COUNT($AV$1:AV2864)+1),"")</f>
        <v/>
      </c>
    </row>
    <row r="2866" spans="1:48" ht="15" customHeight="1" x14ac:dyDescent="0.25">
      <c r="A2866" s="1"/>
      <c r="B2866" s="296"/>
      <c r="C2866" s="38"/>
      <c r="D2866" s="39" t="s">
        <v>1080</v>
      </c>
      <c r="E2866" s="82"/>
      <c r="F2866" s="97"/>
      <c r="G2866" s="40" t="s">
        <v>15</v>
      </c>
      <c r="H2866" s="41" t="s">
        <v>16</v>
      </c>
      <c r="I2866" s="41" t="s">
        <v>221</v>
      </c>
      <c r="J2866" s="52"/>
      <c r="K2866" s="48"/>
      <c r="L2866" s="448"/>
      <c r="M2866" s="491" t="s">
        <v>104</v>
      </c>
      <c r="N2866" s="715"/>
      <c r="O2866" s="187"/>
      <c r="P2866" s="81"/>
      <c r="Q2866" s="105"/>
      <c r="R2866" s="13"/>
      <c r="S2866" s="14"/>
      <c r="AV2866" t="str">
        <f>IF(F2866&gt;0,(COUNT($AV$1:AV2865)+1),"")</f>
        <v/>
      </c>
    </row>
    <row r="2867" spans="1:48" ht="15" customHeight="1" x14ac:dyDescent="0.25">
      <c r="A2867" s="1"/>
      <c r="B2867" s="30">
        <v>20151</v>
      </c>
      <c r="C2867" s="20">
        <v>4608123920517</v>
      </c>
      <c r="D2867" s="225" t="s">
        <v>1078</v>
      </c>
      <c r="E2867" s="67">
        <v>25</v>
      </c>
      <c r="F2867" s="222"/>
      <c r="G2867" s="107">
        <v>139</v>
      </c>
      <c r="H2867" s="21">
        <v>146</v>
      </c>
      <c r="I2867" s="22">
        <v>155</v>
      </c>
      <c r="J2867" s="112" t="s">
        <v>1079</v>
      </c>
      <c r="K2867" s="45" t="s">
        <v>1080</v>
      </c>
      <c r="L2867" s="437"/>
      <c r="M2867" s="474" t="s">
        <v>1856</v>
      </c>
      <c r="N2867" s="1013" t="s">
        <v>1856</v>
      </c>
      <c r="O2867" s="216"/>
      <c r="P2867" s="66" t="s">
        <v>72</v>
      </c>
      <c r="Q2867" s="100">
        <f>IF($AO$2865=2,F2867*H2867,IF($AO$2865=1,F2867*G2867,F2867*I2867))</f>
        <v>0</v>
      </c>
      <c r="R2867" s="13" t="str">
        <f t="shared" si="1572"/>
        <v>Фото &gt;&gt;</v>
      </c>
      <c r="S2867" s="14" t="s">
        <v>1081</v>
      </c>
      <c r="AK2867">
        <v>0.22</v>
      </c>
      <c r="AL2867">
        <f t="shared" ref="AL2867:AL2869" si="1597">F2867*G2867</f>
        <v>0</v>
      </c>
      <c r="AM2867">
        <f t="shared" ref="AM2867:AM2869" si="1598">F2867*H2867</f>
        <v>0</v>
      </c>
      <c r="AN2867">
        <f t="shared" ref="AN2867:AN2869" si="1599">AK2867*F2867+IF(E2867&gt;1.01,F2867/E2867*0.2,0)</f>
        <v>0</v>
      </c>
      <c r="AO2867" t="s">
        <v>5236</v>
      </c>
      <c r="AV2867" t="str">
        <f>IF(F2867&gt;0,(COUNT($AV$1:AV2866)+1),"")</f>
        <v/>
      </c>
    </row>
    <row r="2868" spans="1:48" ht="15" customHeight="1" x14ac:dyDescent="0.25">
      <c r="A2868" s="1"/>
      <c r="B2868" s="31">
        <v>20867</v>
      </c>
      <c r="C2868" s="16">
        <v>4608123920524</v>
      </c>
      <c r="D2868" s="226" t="s">
        <v>4616</v>
      </c>
      <c r="E2868" s="69">
        <v>20</v>
      </c>
      <c r="F2868" s="222"/>
      <c r="G2868" s="108">
        <v>139</v>
      </c>
      <c r="H2868" s="17">
        <v>146</v>
      </c>
      <c r="I2868" s="18">
        <v>155</v>
      </c>
      <c r="J2868" s="113" t="s">
        <v>1079</v>
      </c>
      <c r="K2868" s="44" t="s">
        <v>1080</v>
      </c>
      <c r="L2868" s="442"/>
      <c r="M2868" s="480" t="s">
        <v>1856</v>
      </c>
      <c r="N2868" s="1015" t="s">
        <v>1856</v>
      </c>
      <c r="O2868" s="210"/>
      <c r="P2868" s="68" t="s">
        <v>72</v>
      </c>
      <c r="Q2868" s="100">
        <f>IF($AO$2865=2,F2868*H2868,IF($AO$2865=1,F2868*G2868,F2868*I2868))</f>
        <v>0</v>
      </c>
      <c r="R2868" s="13" t="str">
        <f t="shared" si="1572"/>
        <v>Фото &gt;&gt;</v>
      </c>
      <c r="S2868" s="14" t="s">
        <v>1081</v>
      </c>
      <c r="AK2868">
        <v>0.2</v>
      </c>
      <c r="AL2868">
        <f t="shared" si="1597"/>
        <v>0</v>
      </c>
      <c r="AM2868">
        <f t="shared" si="1598"/>
        <v>0</v>
      </c>
      <c r="AN2868">
        <f t="shared" si="1599"/>
        <v>0</v>
      </c>
      <c r="AO2868" t="s">
        <v>5237</v>
      </c>
      <c r="AV2868" t="str">
        <f>IF(F2868&gt;0,(COUNT($AV$1:AV2867)+1),"")</f>
        <v/>
      </c>
    </row>
    <row r="2869" spans="1:48" ht="15" customHeight="1" x14ac:dyDescent="0.25">
      <c r="A2869" s="1"/>
      <c r="B2869" s="30">
        <v>20153</v>
      </c>
      <c r="C2869" s="20">
        <v>4608123920548</v>
      </c>
      <c r="D2869" s="225" t="s">
        <v>1082</v>
      </c>
      <c r="E2869" s="67">
        <v>25</v>
      </c>
      <c r="F2869" s="222"/>
      <c r="G2869" s="107">
        <v>139</v>
      </c>
      <c r="H2869" s="21">
        <v>146</v>
      </c>
      <c r="I2869" s="22">
        <v>155</v>
      </c>
      <c r="J2869" s="112" t="s">
        <v>1079</v>
      </c>
      <c r="K2869" s="45" t="s">
        <v>1080</v>
      </c>
      <c r="L2869" s="437"/>
      <c r="M2869" s="474" t="s">
        <v>1856</v>
      </c>
      <c r="N2869" s="1013" t="s">
        <v>1856</v>
      </c>
      <c r="O2869" s="216"/>
      <c r="P2869" s="66" t="s">
        <v>72</v>
      </c>
      <c r="Q2869" s="100">
        <f>IF($AO$2865=2,F2869*H2869,IF($AO$2865=1,F2869*G2869,F2869*I2869))</f>
        <v>0</v>
      </c>
      <c r="R2869" s="13" t="str">
        <f t="shared" si="1572"/>
        <v>Фото &gt;&gt;</v>
      </c>
      <c r="S2869" s="14" t="s">
        <v>1081</v>
      </c>
      <c r="AK2869">
        <v>0.22</v>
      </c>
      <c r="AL2869">
        <f t="shared" si="1597"/>
        <v>0</v>
      </c>
      <c r="AM2869">
        <f t="shared" si="1598"/>
        <v>0</v>
      </c>
      <c r="AN2869">
        <f t="shared" si="1599"/>
        <v>0</v>
      </c>
      <c r="AO2869" t="s">
        <v>5238</v>
      </c>
      <c r="AV2869" t="str">
        <f>IF(F2869&gt;0,(COUNT($AV$1:AV2868)+1),"")</f>
        <v/>
      </c>
    </row>
    <row r="2870" spans="1:48" ht="15" customHeight="1" x14ac:dyDescent="0.25">
      <c r="A2870" s="1"/>
      <c r="B2870" s="125"/>
      <c r="C2870" s="126"/>
      <c r="D2870" s="127"/>
      <c r="E2870" s="134"/>
      <c r="F2870" s="189"/>
      <c r="G2870" s="130"/>
      <c r="H2870" s="131"/>
      <c r="I2870" s="132"/>
      <c r="J2870" s="128"/>
      <c r="K2870" s="129"/>
      <c r="L2870" s="433"/>
      <c r="M2870" s="481" t="s">
        <v>104</v>
      </c>
      <c r="N2870" s="471"/>
      <c r="O2870" s="181"/>
      <c r="P2870" s="133"/>
      <c r="Q2870" s="135"/>
      <c r="R2870" s="13"/>
      <c r="S2870" s="14"/>
      <c r="AV2870" t="str">
        <f>IF(F2870&gt;0,(COUNT($AV$1:AV2869)+1),"")</f>
        <v/>
      </c>
    </row>
    <row r="2871" spans="1:48" ht="15" customHeight="1" thickBot="1" x14ac:dyDescent="0.3">
      <c r="A2871" s="1"/>
      <c r="B2871" s="136"/>
      <c r="C2871" s="137"/>
      <c r="D2871" s="138"/>
      <c r="E2871" s="145"/>
      <c r="F2871" s="190"/>
      <c r="G2871" s="141"/>
      <c r="H2871" s="142"/>
      <c r="I2871" s="143"/>
      <c r="J2871" s="139"/>
      <c r="K2871" s="140"/>
      <c r="L2871" s="434"/>
      <c r="M2871" s="477" t="s">
        <v>104</v>
      </c>
      <c r="N2871" s="468"/>
      <c r="O2871" s="182"/>
      <c r="P2871" s="144"/>
      <c r="Q2871" s="146"/>
      <c r="R2871" s="13"/>
      <c r="S2871" s="14"/>
      <c r="AV2871" t="str">
        <f>IF(F2871&gt;0,(COUNT($AV$1:AV2870)+1),"")</f>
        <v/>
      </c>
    </row>
    <row r="2872" spans="1:48" ht="24.75" customHeight="1" thickBot="1" x14ac:dyDescent="0.3">
      <c r="A2872" s="1"/>
      <c r="B2872" s="169"/>
      <c r="C2872" s="170"/>
      <c r="D2872" s="171" t="str">
        <f>CONCATENATE("Здоровей","     |     Сумма заказа: ",AK2872," руб.")</f>
        <v>Здоровей     |     Сумма заказа: 0 руб.</v>
      </c>
      <c r="E2872" s="176"/>
      <c r="F2872" s="177"/>
      <c r="G2872" s="180" t="str">
        <f>CONCATENATE("Ценовая колонка: ",AO2872,"   |   До следующей скидки: ",AJ2872," руб.")</f>
        <v>Ценовая колонка: 3   |   До следующей скидки: 5000 руб.</v>
      </c>
      <c r="H2872" s="174"/>
      <c r="I2872" s="174"/>
      <c r="J2872" s="172" t="s">
        <v>1085</v>
      </c>
      <c r="K2872" s="173"/>
      <c r="L2872" s="444"/>
      <c r="M2872" s="486" t="s">
        <v>104</v>
      </c>
      <c r="N2872" s="717"/>
      <c r="O2872" s="184"/>
      <c r="P2872" s="175"/>
      <c r="Q2872" s="178"/>
      <c r="R2872" s="179" t="s">
        <v>1558</v>
      </c>
      <c r="S2872" s="14"/>
      <c r="AJ2872">
        <f>ROUND(IF(AL2872&gt;20000,"0", IF(AND(AL2872&lt;20000,AM2872&gt;5000),20000-AL2872,5000-AM2872)),2)</f>
        <v>5000</v>
      </c>
      <c r="AK2872">
        <f>SUM(Q2876:Q2889)</f>
        <v>0</v>
      </c>
      <c r="AL2872">
        <f>SUM(AL2876:AL2889)</f>
        <v>0</v>
      </c>
      <c r="AM2872">
        <f>SUM(AM2876:AM2889)</f>
        <v>0</v>
      </c>
      <c r="AO2872">
        <f>IF(AM2872&gt;5000,IF(AL2872&gt;20000,1,2),3)</f>
        <v>3</v>
      </c>
      <c r="AV2872" t="str">
        <f>IF(F2872&gt;0,(COUNT($AV$1:AV2871)+1),"")</f>
        <v/>
      </c>
    </row>
    <row r="2873" spans="1:48" ht="15" customHeight="1" x14ac:dyDescent="0.25">
      <c r="A2873" s="1"/>
      <c r="B2873" s="296"/>
      <c r="C2873" s="38"/>
      <c r="D2873" s="39" t="s">
        <v>1468</v>
      </c>
      <c r="E2873" s="82"/>
      <c r="F2873" s="97"/>
      <c r="G2873" s="40" t="s">
        <v>15</v>
      </c>
      <c r="H2873" s="41" t="s">
        <v>16</v>
      </c>
      <c r="I2873" s="41" t="s">
        <v>221</v>
      </c>
      <c r="J2873" s="52"/>
      <c r="K2873" s="48"/>
      <c r="L2873" s="448"/>
      <c r="M2873" s="491" t="s">
        <v>104</v>
      </c>
      <c r="N2873" s="715"/>
      <c r="O2873" s="187"/>
      <c r="P2873" s="81"/>
      <c r="Q2873" s="105"/>
      <c r="R2873" s="13"/>
      <c r="S2873" s="14"/>
      <c r="AV2873" t="str">
        <f>IF(F2873&gt;0,(COUNT($AV$1:AV2872)+1),"")</f>
        <v/>
      </c>
    </row>
    <row r="2874" spans="1:48" ht="15" customHeight="1" x14ac:dyDescent="0.25">
      <c r="A2874" s="1"/>
      <c r="B2874" s="30">
        <v>20775</v>
      </c>
      <c r="C2874" s="20">
        <v>4607074913234</v>
      </c>
      <c r="D2874" s="225" t="s">
        <v>5768</v>
      </c>
      <c r="E2874" s="67">
        <v>12</v>
      </c>
      <c r="F2874" s="222"/>
      <c r="G2874" s="107">
        <v>96</v>
      </c>
      <c r="H2874" s="21">
        <v>99.1</v>
      </c>
      <c r="I2874" s="22">
        <v>104.2</v>
      </c>
      <c r="J2874" s="112" t="s">
        <v>1085</v>
      </c>
      <c r="K2874" s="45" t="s">
        <v>478</v>
      </c>
      <c r="L2874" s="437" t="s">
        <v>3258</v>
      </c>
      <c r="M2874" s="474" t="s">
        <v>1856</v>
      </c>
      <c r="N2874" s="1013"/>
      <c r="O2874" s="209"/>
      <c r="P2874" s="66" t="s">
        <v>53</v>
      </c>
      <c r="Q2874" s="100">
        <f t="shared" ref="Q2874:Q2889" si="1600">IF($AO$2872=2,F2874*H2874,IF($AO$2872=1,F2874*G2874,F2874*I2874))</f>
        <v>0</v>
      </c>
      <c r="R2874" s="13" t="str">
        <f t="shared" ref="R2874:R2878" si="1601">IF(AO2874&gt;0,HYPERLINK(AO2874,"Фото &gt;&gt;"),"")</f>
        <v>Фото &gt;&gt;</v>
      </c>
      <c r="S2874" s="14" t="s">
        <v>4492</v>
      </c>
      <c r="AK2874">
        <v>0.09</v>
      </c>
      <c r="AL2874">
        <f t="shared" ref="AL2874" si="1602">F2874*G2874</f>
        <v>0</v>
      </c>
      <c r="AM2874">
        <f t="shared" ref="AM2874" si="1603">F2874*H2874</f>
        <v>0</v>
      </c>
      <c r="AN2874">
        <f t="shared" ref="AN2874" si="1604">AK2874*F2874+IF(E2874&gt;1.01,F2874/E2874*0.2,0)</f>
        <v>0</v>
      </c>
      <c r="AO2874" t="s">
        <v>4494</v>
      </c>
      <c r="AV2874" t="str">
        <f>IF(F2874&gt;0,(COUNT($AV$1:AV2873)+1),"")</f>
        <v/>
      </c>
    </row>
    <row r="2875" spans="1:48" ht="15" customHeight="1" x14ac:dyDescent="0.25">
      <c r="A2875" s="1"/>
      <c r="B2875" s="31">
        <v>20774</v>
      </c>
      <c r="C2875" s="16">
        <v>4607074913227</v>
      </c>
      <c r="D2875" s="226" t="s">
        <v>5769</v>
      </c>
      <c r="E2875" s="69">
        <v>12</v>
      </c>
      <c r="F2875" s="222"/>
      <c r="G2875" s="108">
        <v>96</v>
      </c>
      <c r="H2875" s="17">
        <v>99.1</v>
      </c>
      <c r="I2875" s="18">
        <v>104.2</v>
      </c>
      <c r="J2875" s="113" t="s">
        <v>1085</v>
      </c>
      <c r="K2875" s="44" t="s">
        <v>478</v>
      </c>
      <c r="L2875" s="442" t="s">
        <v>3258</v>
      </c>
      <c r="M2875" s="480"/>
      <c r="N2875" s="1015"/>
      <c r="O2875" s="210"/>
      <c r="P2875" s="68" t="s">
        <v>53</v>
      </c>
      <c r="Q2875" s="100">
        <f t="shared" si="1600"/>
        <v>0</v>
      </c>
      <c r="R2875" s="13" t="str">
        <f t="shared" si="1601"/>
        <v>Фото &gt;&gt;</v>
      </c>
      <c r="S2875" s="14" t="s">
        <v>4493</v>
      </c>
      <c r="U2875" s="4"/>
      <c r="V2875" s="4"/>
      <c r="AK2875">
        <v>0.09</v>
      </c>
      <c r="AL2875">
        <f t="shared" ref="AL2875" si="1605">F2875*G2875</f>
        <v>0</v>
      </c>
      <c r="AM2875">
        <f t="shared" ref="AM2875" si="1606">F2875*H2875</f>
        <v>0</v>
      </c>
      <c r="AN2875">
        <f t="shared" ref="AN2875" si="1607">AK2875*F2875+IF(E2875&gt;1.01,F2875/E2875*0.2,0)</f>
        <v>0</v>
      </c>
      <c r="AO2875" t="s">
        <v>4495</v>
      </c>
      <c r="AV2875" t="str">
        <f>IF(F2875&gt;0,(COUNT($AV$1:AV2874)+1),"")</f>
        <v/>
      </c>
    </row>
    <row r="2876" spans="1:48" ht="15" customHeight="1" x14ac:dyDescent="0.25">
      <c r="A2876" s="1"/>
      <c r="B2876" s="30">
        <v>20040</v>
      </c>
      <c r="C2876" s="20">
        <v>4607074912305</v>
      </c>
      <c r="D2876" s="225" t="s">
        <v>3214</v>
      </c>
      <c r="E2876" s="67">
        <v>8</v>
      </c>
      <c r="F2876" s="222"/>
      <c r="G2876" s="107">
        <v>164.4</v>
      </c>
      <c r="H2876" s="21">
        <v>170.1</v>
      </c>
      <c r="I2876" s="22">
        <v>179</v>
      </c>
      <c r="J2876" s="112" t="s">
        <v>1085</v>
      </c>
      <c r="K2876" s="45" t="s">
        <v>105</v>
      </c>
      <c r="L2876" s="437"/>
      <c r="M2876" s="474" t="s">
        <v>1856</v>
      </c>
      <c r="N2876" s="1013" t="s">
        <v>1856</v>
      </c>
      <c r="O2876" s="209"/>
      <c r="P2876" s="66" t="s">
        <v>50</v>
      </c>
      <c r="Q2876" s="100">
        <f t="shared" si="1600"/>
        <v>0</v>
      </c>
      <c r="R2876" s="13" t="str">
        <f t="shared" si="1601"/>
        <v>Фото &gt;&gt;</v>
      </c>
      <c r="S2876" s="14" t="s">
        <v>2198</v>
      </c>
      <c r="AK2876">
        <v>0.31</v>
      </c>
      <c r="AL2876">
        <f t="shared" ref="AL2876" si="1608">F2876*G2876</f>
        <v>0</v>
      </c>
      <c r="AM2876">
        <f t="shared" ref="AM2876" si="1609">F2876*H2876</f>
        <v>0</v>
      </c>
      <c r="AN2876">
        <f t="shared" ref="AN2876:AN2889" si="1610">AK2876*F2876+IF(E2876&gt;1.01,F2876/E2876*0.2,0)</f>
        <v>0</v>
      </c>
      <c r="AO2876" t="s">
        <v>2793</v>
      </c>
      <c r="AV2876" t="str">
        <f>IF(F2876&gt;0,(COUNT($AV$1:AV2875)+1),"")</f>
        <v/>
      </c>
    </row>
    <row r="2877" spans="1:48" ht="15" customHeight="1" x14ac:dyDescent="0.25">
      <c r="A2877" s="1"/>
      <c r="B2877" s="31">
        <v>20038</v>
      </c>
      <c r="C2877" s="16">
        <v>4607074912282</v>
      </c>
      <c r="D2877" s="226" t="s">
        <v>3215</v>
      </c>
      <c r="E2877" s="69">
        <v>5</v>
      </c>
      <c r="F2877" s="222"/>
      <c r="G2877" s="108">
        <v>164.4</v>
      </c>
      <c r="H2877" s="17">
        <v>170.1</v>
      </c>
      <c r="I2877" s="18">
        <v>179</v>
      </c>
      <c r="J2877" s="113" t="s">
        <v>1085</v>
      </c>
      <c r="K2877" s="44" t="s">
        <v>105</v>
      </c>
      <c r="L2877" s="442"/>
      <c r="M2877" s="480" t="s">
        <v>1856</v>
      </c>
      <c r="N2877" s="1015" t="s">
        <v>1856</v>
      </c>
      <c r="O2877" s="210"/>
      <c r="P2877" s="68" t="s">
        <v>50</v>
      </c>
      <c r="Q2877" s="100">
        <f t="shared" si="1600"/>
        <v>0</v>
      </c>
      <c r="R2877" s="13" t="str">
        <f t="shared" si="1601"/>
        <v>Фото &gt;&gt;</v>
      </c>
      <c r="S2877" s="14" t="s">
        <v>2197</v>
      </c>
      <c r="U2877" s="4"/>
      <c r="V2877" s="4"/>
      <c r="AK2877">
        <v>0.33</v>
      </c>
      <c r="AL2877">
        <f t="shared" ref="AL2877:AL2878" si="1611">F2877*G2877</f>
        <v>0</v>
      </c>
      <c r="AM2877">
        <f t="shared" ref="AM2877:AM2878" si="1612">F2877*H2877</f>
        <v>0</v>
      </c>
      <c r="AN2877">
        <f t="shared" si="1610"/>
        <v>0</v>
      </c>
      <c r="AO2877" t="s">
        <v>2794</v>
      </c>
      <c r="AV2877" t="str">
        <f>IF(F2877&gt;0,(COUNT($AV$1:AV2876)+1),"")</f>
        <v/>
      </c>
    </row>
    <row r="2878" spans="1:48" ht="15" customHeight="1" x14ac:dyDescent="0.25">
      <c r="A2878" s="1"/>
      <c r="B2878" s="30">
        <v>20039</v>
      </c>
      <c r="C2878" s="20">
        <v>4607074912299</v>
      </c>
      <c r="D2878" s="225" t="s">
        <v>3216</v>
      </c>
      <c r="E2878" s="67">
        <v>5</v>
      </c>
      <c r="F2878" s="222"/>
      <c r="G2878" s="107">
        <v>164.4</v>
      </c>
      <c r="H2878" s="21">
        <v>170.1</v>
      </c>
      <c r="I2878" s="22">
        <v>178.7</v>
      </c>
      <c r="J2878" s="112" t="s">
        <v>1085</v>
      </c>
      <c r="K2878" s="45" t="s">
        <v>105</v>
      </c>
      <c r="L2878" s="437"/>
      <c r="M2878" s="474" t="s">
        <v>1856</v>
      </c>
      <c r="N2878" s="1013" t="s">
        <v>1856</v>
      </c>
      <c r="O2878" s="209"/>
      <c r="P2878" s="66" t="s">
        <v>50</v>
      </c>
      <c r="Q2878" s="100">
        <f t="shared" si="1600"/>
        <v>0</v>
      </c>
      <c r="R2878" s="13" t="str">
        <f t="shared" si="1601"/>
        <v>Фото &gt;&gt;</v>
      </c>
      <c r="S2878" s="14" t="s">
        <v>2197</v>
      </c>
      <c r="AK2878">
        <v>0.33</v>
      </c>
      <c r="AL2878">
        <f t="shared" si="1611"/>
        <v>0</v>
      </c>
      <c r="AM2878">
        <f t="shared" si="1612"/>
        <v>0</v>
      </c>
      <c r="AN2878">
        <f t="shared" si="1610"/>
        <v>0</v>
      </c>
      <c r="AO2878" t="s">
        <v>2795</v>
      </c>
      <c r="AV2878" t="str">
        <f>IF(F2878&gt;0,(COUNT($AV$1:AV2877)+1),"")</f>
        <v/>
      </c>
    </row>
    <row r="2879" spans="1:48" ht="15" customHeight="1" x14ac:dyDescent="0.25">
      <c r="A2879" s="1"/>
      <c r="B2879" s="31">
        <v>18040</v>
      </c>
      <c r="C2879" s="16">
        <v>4607074910080</v>
      </c>
      <c r="D2879" s="226" t="s">
        <v>4003</v>
      </c>
      <c r="E2879" s="69">
        <v>24</v>
      </c>
      <c r="F2879" s="222"/>
      <c r="G2879" s="108">
        <v>110.2</v>
      </c>
      <c r="H2879" s="17">
        <v>113.6</v>
      </c>
      <c r="I2879" s="18">
        <v>119.8</v>
      </c>
      <c r="J2879" s="113" t="s">
        <v>1085</v>
      </c>
      <c r="K2879" s="44" t="s">
        <v>128</v>
      </c>
      <c r="L2879" s="442"/>
      <c r="M2879" s="480" t="s">
        <v>1856</v>
      </c>
      <c r="N2879" s="1015" t="s">
        <v>1856</v>
      </c>
      <c r="O2879" s="210"/>
      <c r="P2879" s="68" t="s">
        <v>72</v>
      </c>
      <c r="Q2879" s="100">
        <f t="shared" si="1600"/>
        <v>0</v>
      </c>
      <c r="R2879" s="13" t="str">
        <f t="shared" ref="R2879:R2906" si="1613">IF(AO2879&gt;0,HYPERLINK(AO2879,"Фото &gt;&gt;"),"")</f>
        <v>Фото &gt;&gt;</v>
      </c>
      <c r="S2879" s="14" t="s">
        <v>3765</v>
      </c>
      <c r="U2879" s="4"/>
      <c r="V2879" s="4"/>
      <c r="AK2879">
        <v>0.11</v>
      </c>
      <c r="AL2879">
        <f t="shared" ref="AL2879:AL2889" si="1614">F2879*G2879</f>
        <v>0</v>
      </c>
      <c r="AM2879">
        <f t="shared" ref="AM2879:AM2889" si="1615">F2879*H2879</f>
        <v>0</v>
      </c>
      <c r="AN2879">
        <f t="shared" si="1610"/>
        <v>0</v>
      </c>
      <c r="AO2879" t="s">
        <v>5239</v>
      </c>
      <c r="AV2879" t="str">
        <f>IF(F2879&gt;0,(COUNT($AV$1:AV2878)+1),"")</f>
        <v/>
      </c>
    </row>
    <row r="2880" spans="1:48" ht="15" customHeight="1" x14ac:dyDescent="0.25">
      <c r="A2880" s="1"/>
      <c r="B2880" s="30">
        <v>17304</v>
      </c>
      <c r="C2880" s="20">
        <v>4607074910035</v>
      </c>
      <c r="D2880" s="225" t="s">
        <v>5717</v>
      </c>
      <c r="E2880" s="67">
        <v>24</v>
      </c>
      <c r="F2880" s="222"/>
      <c r="G2880" s="107">
        <v>92</v>
      </c>
      <c r="H2880" s="21">
        <v>95.2</v>
      </c>
      <c r="I2880" s="22">
        <v>99.5</v>
      </c>
      <c r="J2880" s="112" t="s">
        <v>1085</v>
      </c>
      <c r="K2880" s="45" t="s">
        <v>128</v>
      </c>
      <c r="L2880" s="437"/>
      <c r="M2880" s="474" t="s">
        <v>1856</v>
      </c>
      <c r="N2880" s="1013" t="s">
        <v>1856</v>
      </c>
      <c r="O2880" s="209"/>
      <c r="P2880" s="66" t="s">
        <v>72</v>
      </c>
      <c r="Q2880" s="100">
        <f t="shared" si="1600"/>
        <v>0</v>
      </c>
      <c r="R2880" s="13" t="str">
        <f t="shared" si="1613"/>
        <v>Фото &gt;&gt;</v>
      </c>
      <c r="S2880" s="14" t="s">
        <v>1086</v>
      </c>
      <c r="AK2880">
        <v>0.11</v>
      </c>
      <c r="AL2880">
        <f t="shared" si="1614"/>
        <v>0</v>
      </c>
      <c r="AM2880">
        <f t="shared" si="1615"/>
        <v>0</v>
      </c>
      <c r="AN2880">
        <f t="shared" si="1610"/>
        <v>0</v>
      </c>
      <c r="AO2880" t="s">
        <v>5240</v>
      </c>
      <c r="AV2880" t="str">
        <f>IF(F2880&gt;0,(COUNT($AV$1:AV2879)+1),"")</f>
        <v/>
      </c>
    </row>
    <row r="2881" spans="1:48" ht="15" customHeight="1" x14ac:dyDescent="0.25">
      <c r="A2881" s="1"/>
      <c r="B2881" s="32">
        <v>17302</v>
      </c>
      <c r="C2881" s="33">
        <v>4607074910028</v>
      </c>
      <c r="D2881" s="227" t="s">
        <v>2093</v>
      </c>
      <c r="E2881" s="71">
        <v>24</v>
      </c>
      <c r="F2881" s="223"/>
      <c r="G2881" s="109">
        <v>92</v>
      </c>
      <c r="H2881" s="34">
        <v>95.2</v>
      </c>
      <c r="I2881" s="35">
        <v>99.5</v>
      </c>
      <c r="J2881" s="114" t="s">
        <v>1085</v>
      </c>
      <c r="K2881" s="57" t="s">
        <v>128</v>
      </c>
      <c r="L2881" s="438"/>
      <c r="M2881" s="484" t="s">
        <v>1856</v>
      </c>
      <c r="N2881" s="1008" t="s">
        <v>1856</v>
      </c>
      <c r="O2881" s="219"/>
      <c r="P2881" s="70" t="s">
        <v>72</v>
      </c>
      <c r="Q2881" s="100">
        <f t="shared" si="1600"/>
        <v>0</v>
      </c>
      <c r="R2881" s="13" t="str">
        <f t="shared" ref="R2881" si="1616">IF(AO2881&gt;0,HYPERLINK(AO2881,"Фото &gt;&gt;"),"")</f>
        <v>Фото &gt;&gt;</v>
      </c>
      <c r="S2881" s="14" t="s">
        <v>1087</v>
      </c>
      <c r="U2881" s="4"/>
      <c r="V2881" s="4"/>
      <c r="AK2881">
        <v>0.11</v>
      </c>
      <c r="AL2881">
        <f t="shared" ref="AL2881" si="1617">F2881*G2881</f>
        <v>0</v>
      </c>
      <c r="AM2881">
        <f t="shared" ref="AM2881" si="1618">F2881*H2881</f>
        <v>0</v>
      </c>
      <c r="AN2881">
        <f t="shared" si="1610"/>
        <v>0</v>
      </c>
      <c r="AO2881" t="s">
        <v>5241</v>
      </c>
      <c r="AV2881" t="str">
        <f>IF(F2881&gt;0,(COUNT($AV$1:AV2880)+1),"")</f>
        <v/>
      </c>
    </row>
    <row r="2882" spans="1:48" ht="15" customHeight="1" x14ac:dyDescent="0.25">
      <c r="A2882" s="1"/>
      <c r="B2882" s="669">
        <v>17457</v>
      </c>
      <c r="C2882" s="670">
        <v>4607074910912</v>
      </c>
      <c r="D2882" s="671" t="s">
        <v>1813</v>
      </c>
      <c r="E2882" s="672">
        <v>38</v>
      </c>
      <c r="F2882" s="673"/>
      <c r="G2882" s="674">
        <v>88</v>
      </c>
      <c r="H2882" s="675">
        <v>91</v>
      </c>
      <c r="I2882" s="676">
        <v>96.3</v>
      </c>
      <c r="J2882" s="899" t="s">
        <v>1085</v>
      </c>
      <c r="K2882" s="678" t="s">
        <v>128</v>
      </c>
      <c r="L2882" s="679"/>
      <c r="M2882" s="680" t="s">
        <v>1856</v>
      </c>
      <c r="N2882" s="1027" t="s">
        <v>1856</v>
      </c>
      <c r="O2882" s="681"/>
      <c r="P2882" s="682" t="s">
        <v>72</v>
      </c>
      <c r="Q2882" s="100">
        <f t="shared" si="1600"/>
        <v>0</v>
      </c>
      <c r="R2882" s="13" t="str">
        <f t="shared" si="1613"/>
        <v>Фото &gt;&gt;</v>
      </c>
      <c r="S2882" s="14" t="s">
        <v>1086</v>
      </c>
      <c r="AK2882">
        <v>0.11</v>
      </c>
      <c r="AL2882">
        <f t="shared" si="1614"/>
        <v>0</v>
      </c>
      <c r="AM2882">
        <f t="shared" si="1615"/>
        <v>0</v>
      </c>
      <c r="AN2882">
        <f t="shared" si="1610"/>
        <v>0</v>
      </c>
      <c r="AO2882" t="s">
        <v>5242</v>
      </c>
      <c r="AV2882" t="str">
        <f>IF(F2882&gt;0,(COUNT($AV$1:AV2881)+1),"")</f>
        <v/>
      </c>
    </row>
    <row r="2883" spans="1:48" ht="15" customHeight="1" x14ac:dyDescent="0.25">
      <c r="A2883" s="1"/>
      <c r="B2883" s="31">
        <v>17456</v>
      </c>
      <c r="C2883" s="16">
        <v>4607074910905</v>
      </c>
      <c r="D2883" s="226" t="s">
        <v>1814</v>
      </c>
      <c r="E2883" s="69">
        <v>38</v>
      </c>
      <c r="F2883" s="222"/>
      <c r="G2883" s="108">
        <v>92</v>
      </c>
      <c r="H2883" s="17">
        <v>95.2</v>
      </c>
      <c r="I2883" s="18">
        <v>99.5</v>
      </c>
      <c r="J2883" s="113" t="s">
        <v>1085</v>
      </c>
      <c r="K2883" s="44" t="s">
        <v>128</v>
      </c>
      <c r="L2883" s="442"/>
      <c r="M2883" s="480" t="s">
        <v>1856</v>
      </c>
      <c r="N2883" s="1015" t="s">
        <v>1856</v>
      </c>
      <c r="O2883" s="210"/>
      <c r="P2883" s="68" t="s">
        <v>72</v>
      </c>
      <c r="Q2883" s="100">
        <f t="shared" si="1600"/>
        <v>0</v>
      </c>
      <c r="R2883" s="13" t="str">
        <f t="shared" si="1613"/>
        <v>Фото &gt;&gt;</v>
      </c>
      <c r="S2883" s="14" t="s">
        <v>1087</v>
      </c>
      <c r="U2883" s="4"/>
      <c r="V2883" s="4"/>
      <c r="AK2883">
        <v>0.11</v>
      </c>
      <c r="AL2883">
        <f t="shared" si="1614"/>
        <v>0</v>
      </c>
      <c r="AM2883">
        <f t="shared" si="1615"/>
        <v>0</v>
      </c>
      <c r="AN2883">
        <f t="shared" si="1610"/>
        <v>0</v>
      </c>
      <c r="AO2883" t="s">
        <v>5243</v>
      </c>
      <c r="AV2883" t="str">
        <f>IF(F2883&gt;0,(COUNT($AV$1:AV2882)+1),"")</f>
        <v/>
      </c>
    </row>
    <row r="2884" spans="1:48" ht="15" customHeight="1" x14ac:dyDescent="0.25">
      <c r="A2884" s="1"/>
      <c r="B2884" s="30">
        <v>17455</v>
      </c>
      <c r="C2884" s="20">
        <v>4607074910929</v>
      </c>
      <c r="D2884" s="225" t="s">
        <v>1815</v>
      </c>
      <c r="E2884" s="67">
        <v>38</v>
      </c>
      <c r="F2884" s="222"/>
      <c r="G2884" s="107">
        <v>88</v>
      </c>
      <c r="H2884" s="21">
        <v>91</v>
      </c>
      <c r="I2884" s="22">
        <v>96.3</v>
      </c>
      <c r="J2884" s="112" t="s">
        <v>1085</v>
      </c>
      <c r="K2884" s="45" t="s">
        <v>128</v>
      </c>
      <c r="L2884" s="437"/>
      <c r="M2884" s="474" t="s">
        <v>1856</v>
      </c>
      <c r="N2884" s="1013" t="s">
        <v>1856</v>
      </c>
      <c r="O2884" s="209"/>
      <c r="P2884" s="66" t="s">
        <v>72</v>
      </c>
      <c r="Q2884" s="100">
        <f t="shared" si="1600"/>
        <v>0</v>
      </c>
      <c r="R2884" s="13" t="str">
        <f t="shared" si="1613"/>
        <v>Фото &gt;&gt;</v>
      </c>
      <c r="S2884" s="14" t="s">
        <v>1088</v>
      </c>
      <c r="AK2884">
        <v>0.11</v>
      </c>
      <c r="AL2884">
        <f t="shared" si="1614"/>
        <v>0</v>
      </c>
      <c r="AM2884">
        <f t="shared" si="1615"/>
        <v>0</v>
      </c>
      <c r="AN2884">
        <f t="shared" si="1610"/>
        <v>0</v>
      </c>
      <c r="AO2884" t="s">
        <v>5244</v>
      </c>
      <c r="AV2884" t="str">
        <f>IF(F2884&gt;0,(COUNT($AV$1:AV2883)+1),"")</f>
        <v/>
      </c>
    </row>
    <row r="2885" spans="1:48" ht="15" customHeight="1" x14ac:dyDescent="0.25">
      <c r="A2885" s="1"/>
      <c r="B2885" s="31">
        <v>17300</v>
      </c>
      <c r="C2885" s="16">
        <v>4607074911520</v>
      </c>
      <c r="D2885" s="226" t="s">
        <v>1816</v>
      </c>
      <c r="E2885" s="69">
        <v>28</v>
      </c>
      <c r="F2885" s="222"/>
      <c r="G2885" s="108">
        <v>66.5</v>
      </c>
      <c r="H2885" s="17">
        <v>67.599999999999994</v>
      </c>
      <c r="I2885" s="18">
        <v>71</v>
      </c>
      <c r="J2885" s="113" t="s">
        <v>1085</v>
      </c>
      <c r="K2885" s="44" t="s">
        <v>128</v>
      </c>
      <c r="L2885" s="442"/>
      <c r="M2885" s="480" t="s">
        <v>1856</v>
      </c>
      <c r="N2885" s="1015" t="s">
        <v>1856</v>
      </c>
      <c r="O2885" s="210"/>
      <c r="P2885" s="68" t="s">
        <v>72</v>
      </c>
      <c r="Q2885" s="100">
        <f t="shared" si="1600"/>
        <v>0</v>
      </c>
      <c r="R2885" s="13" t="str">
        <f t="shared" si="1613"/>
        <v>Фото &gt;&gt;</v>
      </c>
      <c r="S2885" s="14" t="s">
        <v>1089</v>
      </c>
      <c r="U2885" s="4"/>
      <c r="V2885" s="4"/>
      <c r="AK2885">
        <v>0.04</v>
      </c>
      <c r="AL2885">
        <f t="shared" si="1614"/>
        <v>0</v>
      </c>
      <c r="AM2885">
        <f t="shared" si="1615"/>
        <v>0</v>
      </c>
      <c r="AN2885">
        <f t="shared" si="1610"/>
        <v>0</v>
      </c>
      <c r="AO2885" t="s">
        <v>5245</v>
      </c>
      <c r="AV2885" t="str">
        <f>IF(F2885&gt;0,(COUNT($AV$1:AV2884)+1),"")</f>
        <v/>
      </c>
    </row>
    <row r="2886" spans="1:48" ht="15" customHeight="1" x14ac:dyDescent="0.25">
      <c r="A2886" s="1"/>
      <c r="B2886" s="30">
        <v>17816</v>
      </c>
      <c r="C2886" s="20">
        <v>4607074911537</v>
      </c>
      <c r="D2886" s="225" t="s">
        <v>1090</v>
      </c>
      <c r="E2886" s="67">
        <v>28</v>
      </c>
      <c r="F2886" s="222"/>
      <c r="G2886" s="107">
        <v>83.8</v>
      </c>
      <c r="H2886" s="21">
        <v>86.5</v>
      </c>
      <c r="I2886" s="22">
        <v>91</v>
      </c>
      <c r="J2886" s="112" t="s">
        <v>1085</v>
      </c>
      <c r="K2886" s="45" t="s">
        <v>128</v>
      </c>
      <c r="L2886" s="437"/>
      <c r="M2886" s="474" t="s">
        <v>1856</v>
      </c>
      <c r="N2886" s="1013" t="s">
        <v>1856</v>
      </c>
      <c r="O2886" s="209"/>
      <c r="P2886" s="66" t="s">
        <v>72</v>
      </c>
      <c r="Q2886" s="100">
        <f t="shared" si="1600"/>
        <v>0</v>
      </c>
      <c r="R2886" s="13" t="str">
        <f t="shared" si="1613"/>
        <v>Фото &gt;&gt;</v>
      </c>
      <c r="S2886" s="14" t="s">
        <v>3765</v>
      </c>
      <c r="AK2886">
        <v>0.04</v>
      </c>
      <c r="AL2886">
        <f t="shared" si="1614"/>
        <v>0</v>
      </c>
      <c r="AM2886">
        <f t="shared" si="1615"/>
        <v>0</v>
      </c>
      <c r="AN2886">
        <f t="shared" si="1610"/>
        <v>0</v>
      </c>
      <c r="AO2886" t="s">
        <v>5246</v>
      </c>
      <c r="AV2886" t="str">
        <f>IF(F2886&gt;0,(COUNT($AV$1:AV2885)+1),"")</f>
        <v/>
      </c>
    </row>
    <row r="2887" spans="1:48" ht="15" customHeight="1" x14ac:dyDescent="0.25">
      <c r="A2887" s="1"/>
      <c r="B2887" s="31">
        <v>17299</v>
      </c>
      <c r="C2887" s="16">
        <v>4607074911506</v>
      </c>
      <c r="D2887" s="226" t="s">
        <v>1091</v>
      </c>
      <c r="E2887" s="69">
        <v>28</v>
      </c>
      <c r="F2887" s="222"/>
      <c r="G2887" s="108">
        <v>65.5</v>
      </c>
      <c r="H2887" s="17">
        <v>67.599999999999994</v>
      </c>
      <c r="I2887" s="18">
        <v>71</v>
      </c>
      <c r="J2887" s="113" t="s">
        <v>1085</v>
      </c>
      <c r="K2887" s="44" t="s">
        <v>128</v>
      </c>
      <c r="L2887" s="442"/>
      <c r="M2887" s="480" t="s">
        <v>1856</v>
      </c>
      <c r="N2887" s="1015" t="s">
        <v>1856</v>
      </c>
      <c r="O2887" s="210"/>
      <c r="P2887" s="68" t="s">
        <v>72</v>
      </c>
      <c r="Q2887" s="100">
        <f t="shared" si="1600"/>
        <v>0</v>
      </c>
      <c r="R2887" s="13" t="str">
        <f t="shared" si="1613"/>
        <v>Фото &gt;&gt;</v>
      </c>
      <c r="S2887" s="14" t="s">
        <v>1087</v>
      </c>
      <c r="U2887" s="4"/>
      <c r="V2887" s="4"/>
      <c r="AK2887">
        <v>0.04</v>
      </c>
      <c r="AL2887">
        <f t="shared" si="1614"/>
        <v>0</v>
      </c>
      <c r="AM2887">
        <f t="shared" si="1615"/>
        <v>0</v>
      </c>
      <c r="AN2887">
        <f t="shared" si="1610"/>
        <v>0</v>
      </c>
      <c r="AO2887" t="s">
        <v>5247</v>
      </c>
      <c r="AV2887" t="str">
        <f>IF(F2887&gt;0,(COUNT($AV$1:AV2886)+1),"")</f>
        <v/>
      </c>
    </row>
    <row r="2888" spans="1:48" ht="15" customHeight="1" x14ac:dyDescent="0.25">
      <c r="A2888" s="1"/>
      <c r="B2888" s="30">
        <v>19113</v>
      </c>
      <c r="C2888" s="20">
        <v>4607074911551</v>
      </c>
      <c r="D2888" s="225" t="s">
        <v>1903</v>
      </c>
      <c r="E2888" s="67">
        <v>28</v>
      </c>
      <c r="F2888" s="222"/>
      <c r="G2888" s="107">
        <v>65.5</v>
      </c>
      <c r="H2888" s="21">
        <v>67.599999999999994</v>
      </c>
      <c r="I2888" s="22">
        <v>71</v>
      </c>
      <c r="J2888" s="112" t="s">
        <v>1085</v>
      </c>
      <c r="K2888" s="45" t="s">
        <v>128</v>
      </c>
      <c r="L2888" s="437"/>
      <c r="M2888" s="474" t="s">
        <v>1856</v>
      </c>
      <c r="N2888" s="1013" t="s">
        <v>1856</v>
      </c>
      <c r="O2888" s="209"/>
      <c r="P2888" s="66" t="s">
        <v>72</v>
      </c>
      <c r="Q2888" s="100">
        <f t="shared" si="1600"/>
        <v>0</v>
      </c>
      <c r="R2888" s="13" t="str">
        <f t="shared" si="1613"/>
        <v>Фото &gt;&gt;</v>
      </c>
      <c r="S2888" s="14" t="s">
        <v>3766</v>
      </c>
      <c r="AK2888">
        <v>0.04</v>
      </c>
      <c r="AL2888">
        <f t="shared" si="1614"/>
        <v>0</v>
      </c>
      <c r="AM2888">
        <f t="shared" si="1615"/>
        <v>0</v>
      </c>
      <c r="AN2888">
        <f t="shared" si="1610"/>
        <v>0</v>
      </c>
      <c r="AO2888" t="s">
        <v>5248</v>
      </c>
      <c r="AV2888" t="str">
        <f>IF(F2888&gt;0,(COUNT($AV$1:AV2887)+1),"")</f>
        <v/>
      </c>
    </row>
    <row r="2889" spans="1:48" ht="15" customHeight="1" x14ac:dyDescent="0.25">
      <c r="A2889" s="1"/>
      <c r="B2889" s="31">
        <v>17301</v>
      </c>
      <c r="C2889" s="16">
        <v>4607074911513</v>
      </c>
      <c r="D2889" s="226" t="s">
        <v>1092</v>
      </c>
      <c r="E2889" s="69">
        <v>28</v>
      </c>
      <c r="F2889" s="222"/>
      <c r="G2889" s="108">
        <v>65.5</v>
      </c>
      <c r="H2889" s="17">
        <v>67.599999999999994</v>
      </c>
      <c r="I2889" s="18">
        <v>71</v>
      </c>
      <c r="J2889" s="113" t="s">
        <v>1085</v>
      </c>
      <c r="K2889" s="44" t="s">
        <v>128</v>
      </c>
      <c r="L2889" s="442"/>
      <c r="M2889" s="480" t="s">
        <v>1856</v>
      </c>
      <c r="N2889" s="1015" t="s">
        <v>1856</v>
      </c>
      <c r="O2889" s="210"/>
      <c r="P2889" s="68" t="s">
        <v>72</v>
      </c>
      <c r="Q2889" s="100">
        <f t="shared" si="1600"/>
        <v>0</v>
      </c>
      <c r="R2889" s="13" t="str">
        <f t="shared" si="1613"/>
        <v>Фото &gt;&gt;</v>
      </c>
      <c r="S2889" s="14" t="s">
        <v>1088</v>
      </c>
      <c r="U2889" s="4"/>
      <c r="V2889" s="4"/>
      <c r="AK2889">
        <v>0.04</v>
      </c>
      <c r="AL2889">
        <f t="shared" si="1614"/>
        <v>0</v>
      </c>
      <c r="AM2889">
        <f t="shared" si="1615"/>
        <v>0</v>
      </c>
      <c r="AN2889">
        <f t="shared" si="1610"/>
        <v>0</v>
      </c>
      <c r="AO2889" t="s">
        <v>5249</v>
      </c>
      <c r="AV2889" t="str">
        <f>IF(F2889&gt;0,(COUNT($AV$1:AV2888)+1),"")</f>
        <v/>
      </c>
    </row>
    <row r="2890" spans="1:48" ht="15" customHeight="1" x14ac:dyDescent="0.25">
      <c r="A2890" s="1"/>
      <c r="B2890" s="125"/>
      <c r="C2890" s="126"/>
      <c r="D2890" s="127"/>
      <c r="E2890" s="134"/>
      <c r="F2890" s="189"/>
      <c r="G2890" s="130"/>
      <c r="H2890" s="131"/>
      <c r="I2890" s="132"/>
      <c r="J2890" s="128"/>
      <c r="K2890" s="129"/>
      <c r="L2890" s="433"/>
      <c r="M2890" s="481" t="s">
        <v>104</v>
      </c>
      <c r="N2890" s="471"/>
      <c r="O2890" s="181"/>
      <c r="P2890" s="133"/>
      <c r="Q2890" s="135"/>
      <c r="R2890" s="13"/>
      <c r="S2890" s="14"/>
      <c r="AV2890" t="str">
        <f>IF(F2890&gt;0,(COUNT($AV$1:AV2889)+1),"")</f>
        <v/>
      </c>
    </row>
    <row r="2891" spans="1:48" ht="15" customHeight="1" thickBot="1" x14ac:dyDescent="0.3">
      <c r="A2891" s="1"/>
      <c r="B2891" s="136"/>
      <c r="C2891" s="137"/>
      <c r="D2891" s="138"/>
      <c r="E2891" s="145"/>
      <c r="F2891" s="190"/>
      <c r="G2891" s="141"/>
      <c r="H2891" s="142"/>
      <c r="I2891" s="143"/>
      <c r="J2891" s="139"/>
      <c r="K2891" s="140"/>
      <c r="L2891" s="434"/>
      <c r="M2891" s="477" t="s">
        <v>104</v>
      </c>
      <c r="N2891" s="468"/>
      <c r="O2891" s="182"/>
      <c r="P2891" s="144"/>
      <c r="Q2891" s="146"/>
      <c r="R2891" s="13"/>
      <c r="S2891" s="14"/>
      <c r="AV2891" t="str">
        <f>IF(F2891&gt;0,(COUNT($AV$1:AV2890)+1),"")</f>
        <v/>
      </c>
    </row>
    <row r="2892" spans="1:48" ht="24.75" customHeight="1" thickBot="1" x14ac:dyDescent="0.3">
      <c r="A2892" s="1"/>
      <c r="B2892" s="169"/>
      <c r="C2892" s="170"/>
      <c r="D2892" s="171" t="str">
        <f>CONCATENATE("Эко-про","     |     Сумма заказа: ",AK2892," руб.")</f>
        <v>Эко-про     |     Сумма заказа: 0 руб.</v>
      </c>
      <c r="E2892" s="176"/>
      <c r="F2892" s="177"/>
      <c r="G2892" s="180" t="str">
        <f>CONCATENATE("Ценовая колонка: ",AO2892,"   |   До следующей скидки: ",AJ2892," руб.")</f>
        <v>Ценовая колонка: 3   |   До следующей скидки: 5000 руб.</v>
      </c>
      <c r="H2892" s="174"/>
      <c r="I2892" s="174"/>
      <c r="J2892" s="172" t="s">
        <v>1094</v>
      </c>
      <c r="K2892" s="173"/>
      <c r="L2892" s="444"/>
      <c r="M2892" s="486" t="s">
        <v>104</v>
      </c>
      <c r="N2892" s="717"/>
      <c r="O2892" s="184"/>
      <c r="P2892" s="175"/>
      <c r="Q2892" s="178"/>
      <c r="R2892" s="179" t="s">
        <v>1558</v>
      </c>
      <c r="S2892" s="14"/>
      <c r="AJ2892">
        <f>ROUND(IF(AL2892&gt;10000,"0", IF(AND(AL2892&lt;10000,AM2892&gt;5000),10000-AL2892,5000-AM2892)),2)</f>
        <v>5000</v>
      </c>
      <c r="AK2892">
        <f>SUM(Q2894:Q2896)</f>
        <v>0</v>
      </c>
      <c r="AL2892">
        <f>SUM(AL2894:AL2896)</f>
        <v>0</v>
      </c>
      <c r="AM2892">
        <f>SUM(AM2894:AM2896)</f>
        <v>0</v>
      </c>
      <c r="AO2892">
        <f>IF(AM2892&gt;5000,IF(AL2892&gt;10000,1,2),3)</f>
        <v>3</v>
      </c>
      <c r="AV2892" t="str">
        <f>IF(F2892&gt;0,(COUNT($AV$1:AV2891)+1),"")</f>
        <v/>
      </c>
    </row>
    <row r="2893" spans="1:48" ht="15" customHeight="1" x14ac:dyDescent="0.25">
      <c r="A2893" s="1"/>
      <c r="B2893" s="296"/>
      <c r="C2893" s="38"/>
      <c r="D2893" s="39" t="s">
        <v>1467</v>
      </c>
      <c r="E2893" s="82"/>
      <c r="F2893" s="97"/>
      <c r="G2893" s="40" t="s">
        <v>1451</v>
      </c>
      <c r="H2893" s="41" t="s">
        <v>16</v>
      </c>
      <c r="I2893" s="41" t="s">
        <v>221</v>
      </c>
      <c r="J2893" s="52"/>
      <c r="K2893" s="48"/>
      <c r="L2893" s="448"/>
      <c r="M2893" s="491" t="s">
        <v>104</v>
      </c>
      <c r="N2893" s="715"/>
      <c r="O2893" s="187"/>
      <c r="P2893" s="81"/>
      <c r="Q2893" s="105"/>
      <c r="R2893" s="13"/>
      <c r="S2893" s="14"/>
      <c r="AV2893" t="str">
        <f>IF(F2893&gt;0,(COUNT($AV$1:AV2892)+1),"")</f>
        <v/>
      </c>
    </row>
    <row r="2894" spans="1:48" ht="15" customHeight="1" x14ac:dyDescent="0.25">
      <c r="A2894" s="1"/>
      <c r="B2894" s="30">
        <v>13348</v>
      </c>
      <c r="C2894" s="20">
        <v>4603720900009</v>
      </c>
      <c r="D2894" s="153" t="s">
        <v>1093</v>
      </c>
      <c r="E2894" s="67">
        <v>24</v>
      </c>
      <c r="F2894" s="222"/>
      <c r="G2894" s="107">
        <v>1226</v>
      </c>
      <c r="H2894" s="21">
        <v>1288</v>
      </c>
      <c r="I2894" s="22">
        <v>1355</v>
      </c>
      <c r="J2894" s="112" t="s">
        <v>1094</v>
      </c>
      <c r="K2894" s="45" t="s">
        <v>19</v>
      </c>
      <c r="L2894" s="437"/>
      <c r="M2894" s="474" t="s">
        <v>1856</v>
      </c>
      <c r="N2894" s="1013" t="s">
        <v>1856</v>
      </c>
      <c r="O2894" s="212"/>
      <c r="P2894" s="66" t="s">
        <v>72</v>
      </c>
      <c r="Q2894" s="100">
        <f>IF($AO$2892=2,F2894*H2894,IF($AO$2892=1,F2894*G2894,F2894*I2894))</f>
        <v>0</v>
      </c>
      <c r="R2894" s="13" t="str">
        <f t="shared" si="1613"/>
        <v>Фото &gt;&gt;</v>
      </c>
      <c r="S2894" s="14" t="s">
        <v>1095</v>
      </c>
      <c r="AK2894">
        <v>0.5</v>
      </c>
      <c r="AL2894">
        <f>F2894*G2894</f>
        <v>0</v>
      </c>
      <c r="AM2894">
        <f>F2894*H2894</f>
        <v>0</v>
      </c>
      <c r="AN2894">
        <f>AK2894*F2894+IF(E2894&gt;1.01,F2894/E2894*0.2,0)</f>
        <v>0</v>
      </c>
      <c r="AO2894" t="s">
        <v>5250</v>
      </c>
      <c r="AV2894" t="str">
        <f>IF(F2894&gt;0,(COUNT($AV$1:AV2893)+1),"")</f>
        <v/>
      </c>
    </row>
    <row r="2895" spans="1:48" ht="15" customHeight="1" x14ac:dyDescent="0.25">
      <c r="A2895" s="1"/>
      <c r="B2895" s="31">
        <v>13352</v>
      </c>
      <c r="C2895" s="16">
        <v>4603720900597</v>
      </c>
      <c r="D2895" s="154" t="s">
        <v>1096</v>
      </c>
      <c r="E2895" s="69">
        <v>30</v>
      </c>
      <c r="F2895" s="222"/>
      <c r="G2895" s="108">
        <v>165</v>
      </c>
      <c r="H2895" s="17">
        <v>173</v>
      </c>
      <c r="I2895" s="18">
        <v>182</v>
      </c>
      <c r="J2895" s="113" t="s">
        <v>1094</v>
      </c>
      <c r="K2895" s="44" t="s">
        <v>397</v>
      </c>
      <c r="L2895" s="442"/>
      <c r="M2895" s="480" t="s">
        <v>1856</v>
      </c>
      <c r="N2895" s="1015" t="s">
        <v>1856</v>
      </c>
      <c r="O2895" s="217"/>
      <c r="P2895" s="68" t="s">
        <v>40</v>
      </c>
      <c r="Q2895" s="100">
        <f>IF($AO$2892=2,F2895*H2895,IF($AO$2892=1,F2895*G2895,F2895*I2895))</f>
        <v>0</v>
      </c>
      <c r="R2895" s="13" t="str">
        <f>IF(AO2895&gt;0,HYPERLINK(AO2895,"Фото &gt;&gt;"),"")</f>
        <v>Фото &gt;&gt;</v>
      </c>
      <c r="S2895" s="14" t="s">
        <v>1084</v>
      </c>
      <c r="AK2895">
        <v>0.23</v>
      </c>
      <c r="AL2895">
        <f>F2895*G2895</f>
        <v>0</v>
      </c>
      <c r="AM2895">
        <f>F2895*H2895</f>
        <v>0</v>
      </c>
      <c r="AN2895">
        <f>AK2895*F2895+IF(E2895&gt;1.01,F2895/E2895*0.2,0)</f>
        <v>0</v>
      </c>
      <c r="AO2895" t="s">
        <v>5251</v>
      </c>
      <c r="AV2895" t="str">
        <f>IF(F2895&gt;0,(COUNT($AV$1:AV2894)+1),"")</f>
        <v/>
      </c>
    </row>
    <row r="2896" spans="1:48" ht="15" customHeight="1" x14ac:dyDescent="0.25">
      <c r="A2896" s="1"/>
      <c r="B2896" s="30">
        <v>13351</v>
      </c>
      <c r="C2896" s="20">
        <v>4603720900641</v>
      </c>
      <c r="D2896" s="153" t="s">
        <v>1097</v>
      </c>
      <c r="E2896" s="67">
        <v>30</v>
      </c>
      <c r="F2896" s="222"/>
      <c r="G2896" s="107">
        <v>165</v>
      </c>
      <c r="H2896" s="21">
        <v>173</v>
      </c>
      <c r="I2896" s="22">
        <v>182</v>
      </c>
      <c r="J2896" s="112" t="s">
        <v>1094</v>
      </c>
      <c r="K2896" s="45" t="s">
        <v>397</v>
      </c>
      <c r="L2896" s="437"/>
      <c r="M2896" s="474" t="s">
        <v>1856</v>
      </c>
      <c r="N2896" s="1013" t="s">
        <v>1856</v>
      </c>
      <c r="O2896" s="212"/>
      <c r="P2896" s="66" t="s">
        <v>40</v>
      </c>
      <c r="Q2896" s="100">
        <f>IF($AO$2892=2,F2896*H2896,IF($AO$2892=1,F2896*G2896,F2896*I2896))</f>
        <v>0</v>
      </c>
      <c r="R2896" s="13" t="str">
        <f t="shared" si="1613"/>
        <v>Фото &gt;&gt;</v>
      </c>
      <c r="S2896" s="14" t="s">
        <v>1098</v>
      </c>
      <c r="AK2896">
        <v>0.23</v>
      </c>
      <c r="AL2896">
        <f>F2896*G2896</f>
        <v>0</v>
      </c>
      <c r="AM2896">
        <f>F2896*H2896</f>
        <v>0</v>
      </c>
      <c r="AN2896">
        <f>AK2896*F2896+IF(E2896&gt;1.01,F2896/E2896*0.2,0)</f>
        <v>0</v>
      </c>
      <c r="AO2896" t="s">
        <v>5252</v>
      </c>
      <c r="AV2896" t="str">
        <f>IF(F2896&gt;0,(COUNT($AV$1:AV2895)+1),"")</f>
        <v/>
      </c>
    </row>
    <row r="2897" spans="1:48" ht="15" customHeight="1" x14ac:dyDescent="0.25">
      <c r="A2897" s="1"/>
      <c r="B2897" s="125"/>
      <c r="C2897" s="126"/>
      <c r="D2897" s="127"/>
      <c r="E2897" s="134"/>
      <c r="F2897" s="189"/>
      <c r="G2897" s="130"/>
      <c r="H2897" s="131"/>
      <c r="I2897" s="132"/>
      <c r="J2897" s="128"/>
      <c r="K2897" s="129"/>
      <c r="L2897" s="433"/>
      <c r="M2897" s="481" t="s">
        <v>104</v>
      </c>
      <c r="N2897" s="471"/>
      <c r="O2897" s="181"/>
      <c r="P2897" s="133"/>
      <c r="Q2897" s="135"/>
      <c r="R2897" s="13"/>
      <c r="S2897" s="14"/>
      <c r="AV2897" t="str">
        <f>IF(F2897&gt;0,(COUNT($AV$1:AV2896)+1),"")</f>
        <v/>
      </c>
    </row>
    <row r="2898" spans="1:48" ht="15" customHeight="1" thickBot="1" x14ac:dyDescent="0.3">
      <c r="A2898" s="1"/>
      <c r="B2898" s="136"/>
      <c r="C2898" s="137"/>
      <c r="D2898" s="138"/>
      <c r="E2898" s="145"/>
      <c r="F2898" s="190"/>
      <c r="G2898" s="141"/>
      <c r="H2898" s="142"/>
      <c r="I2898" s="143"/>
      <c r="J2898" s="139"/>
      <c r="K2898" s="140"/>
      <c r="L2898" s="434"/>
      <c r="M2898" s="477" t="s">
        <v>104</v>
      </c>
      <c r="N2898" s="468"/>
      <c r="O2898" s="182"/>
      <c r="P2898" s="144"/>
      <c r="Q2898" s="146"/>
      <c r="R2898" s="13"/>
      <c r="S2898" s="14"/>
      <c r="AV2898" t="str">
        <f>IF(F2898&gt;0,(COUNT($AV$1:AV2897)+1),"")</f>
        <v/>
      </c>
    </row>
    <row r="2899" spans="1:48" ht="24.75" customHeight="1" thickBot="1" x14ac:dyDescent="0.3">
      <c r="A2899" s="1"/>
      <c r="B2899" s="169"/>
      <c r="C2899" s="170"/>
      <c r="D2899" s="171" t="str">
        <f>CONCATENATE("Я Стевия","     |     Сумма заказа: ",AK2899," руб.")</f>
        <v>Я Стевия     |     Сумма заказа: 0 руб.</v>
      </c>
      <c r="E2899" s="176"/>
      <c r="F2899" s="177"/>
      <c r="G2899" s="180" t="str">
        <f>CONCATENATE("Ценовая колонка: ",AO2899,"   |   До следующей скидки: ",AJ2899," руб.")</f>
        <v>Ценовая колонка: 3   |   До следующей скидки: 5000 руб.</v>
      </c>
      <c r="H2899" s="174"/>
      <c r="I2899" s="174"/>
      <c r="J2899" s="172" t="s">
        <v>5544</v>
      </c>
      <c r="K2899" s="173"/>
      <c r="L2899" s="444"/>
      <c r="M2899" s="486" t="s">
        <v>104</v>
      </c>
      <c r="N2899" s="717"/>
      <c r="O2899" s="184"/>
      <c r="P2899" s="175"/>
      <c r="Q2899" s="178"/>
      <c r="R2899" s="179" t="s">
        <v>1558</v>
      </c>
      <c r="S2899" s="14"/>
      <c r="AJ2899">
        <f>ROUND(IF(AL2899&gt;10000,"0", IF(AND(AL2899&lt;10000,AM2899&gt;5000),10000-AL2899,5000-AM2899)),2)</f>
        <v>5000</v>
      </c>
      <c r="AK2899">
        <f>SUM(Q2901:Q2906)</f>
        <v>0</v>
      </c>
      <c r="AL2899">
        <f>SUM(AL2901:AL2906)</f>
        <v>0</v>
      </c>
      <c r="AM2899">
        <f>SUM(AM2901:AM2906)</f>
        <v>0</v>
      </c>
      <c r="AO2899">
        <f>IF(AM2899&gt;5000,IF(AL2899&gt;10000,1,2),3)</f>
        <v>3</v>
      </c>
      <c r="AV2899" t="str">
        <f>IF(F2899&gt;0,(COUNT($AV$1:AV2898)+1),"")</f>
        <v/>
      </c>
    </row>
    <row r="2900" spans="1:48" ht="15" customHeight="1" x14ac:dyDescent="0.25">
      <c r="A2900" s="1"/>
      <c r="B2900" s="296"/>
      <c r="C2900" s="38"/>
      <c r="D2900" s="39" t="s">
        <v>1469</v>
      </c>
      <c r="E2900" s="82"/>
      <c r="F2900" s="97"/>
      <c r="G2900" s="40" t="s">
        <v>1451</v>
      </c>
      <c r="H2900" s="41" t="s">
        <v>16</v>
      </c>
      <c r="I2900" s="41" t="s">
        <v>221</v>
      </c>
      <c r="J2900" s="52"/>
      <c r="K2900" s="48"/>
      <c r="L2900" s="448"/>
      <c r="M2900" s="491" t="s">
        <v>104</v>
      </c>
      <c r="N2900" s="715"/>
      <c r="O2900" s="187"/>
      <c r="P2900" s="81"/>
      <c r="Q2900" s="105"/>
      <c r="R2900" s="13"/>
      <c r="S2900" s="14"/>
      <c r="AV2900" t="str">
        <f>IF(F2900&gt;0,(COUNT($AV$1:AV2899)+1),"")</f>
        <v/>
      </c>
    </row>
    <row r="2901" spans="1:48" ht="15" customHeight="1" x14ac:dyDescent="0.25">
      <c r="A2901" s="1"/>
      <c r="B2901" s="31">
        <v>18234</v>
      </c>
      <c r="C2901" s="16">
        <v>4630015180990</v>
      </c>
      <c r="D2901" s="226" t="s">
        <v>4329</v>
      </c>
      <c r="E2901" s="69">
        <v>15</v>
      </c>
      <c r="F2901" s="222"/>
      <c r="G2901" s="108">
        <v>157.19999999999999</v>
      </c>
      <c r="H2901" s="17">
        <v>163.4</v>
      </c>
      <c r="I2901" s="18">
        <v>169.6</v>
      </c>
      <c r="J2901" s="113" t="s">
        <v>5544</v>
      </c>
      <c r="K2901" s="44" t="s">
        <v>5519</v>
      </c>
      <c r="L2901" s="442"/>
      <c r="M2901" s="480" t="s">
        <v>1856</v>
      </c>
      <c r="N2901" s="1015" t="s">
        <v>1856</v>
      </c>
      <c r="O2901" s="210"/>
      <c r="P2901" s="68" t="s">
        <v>50</v>
      </c>
      <c r="Q2901" s="100">
        <f t="shared" ref="Q2901:Q2906" si="1619">IF($AO$2899=2,F2901*H2901,IF($AO$2899=1,F2901*G2901,F2901*I2901))</f>
        <v>0</v>
      </c>
      <c r="R2901" s="13" t="str">
        <f t="shared" si="1613"/>
        <v>Фото &gt;&gt;</v>
      </c>
      <c r="S2901" s="14" t="s">
        <v>4330</v>
      </c>
      <c r="AF2901" t="s">
        <v>104</v>
      </c>
      <c r="AK2901">
        <v>0.08</v>
      </c>
      <c r="AL2901">
        <f t="shared" ref="AL2901" si="1620">F2901*G2901</f>
        <v>0</v>
      </c>
      <c r="AM2901">
        <f t="shared" ref="AM2901" si="1621">F2901*H2901</f>
        <v>0</v>
      </c>
      <c r="AN2901">
        <f t="shared" ref="AN2901" si="1622">AK2901*F2901+IF(E2901&gt;1.01,F2901/E2901*0.2,0)</f>
        <v>0</v>
      </c>
      <c r="AO2901" t="s">
        <v>5253</v>
      </c>
      <c r="AV2901" t="str">
        <f>IF(F2901&gt;0,(COUNT($AV$1:AV2900)+1),"")</f>
        <v/>
      </c>
    </row>
    <row r="2902" spans="1:48" ht="15" customHeight="1" x14ac:dyDescent="0.25">
      <c r="A2902" s="1"/>
      <c r="B2902" s="30">
        <v>14910</v>
      </c>
      <c r="C2902" s="20">
        <v>4607017472859</v>
      </c>
      <c r="D2902" s="153" t="s">
        <v>1099</v>
      </c>
      <c r="E2902" s="67">
        <v>15</v>
      </c>
      <c r="F2902" s="222"/>
      <c r="G2902" s="107">
        <v>298.39999999999998</v>
      </c>
      <c r="H2902" s="21">
        <v>309.60000000000002</v>
      </c>
      <c r="I2902" s="22">
        <v>322.2</v>
      </c>
      <c r="J2902" s="112" t="s">
        <v>5544</v>
      </c>
      <c r="K2902" s="45" t="s">
        <v>5519</v>
      </c>
      <c r="L2902" s="437"/>
      <c r="M2902" s="474" t="s">
        <v>1856</v>
      </c>
      <c r="N2902" s="1013" t="s">
        <v>1856</v>
      </c>
      <c r="O2902" s="212"/>
      <c r="P2902" s="66" t="s">
        <v>50</v>
      </c>
      <c r="Q2902" s="100">
        <f t="shared" si="1619"/>
        <v>0</v>
      </c>
      <c r="R2902" s="13" t="str">
        <f t="shared" si="1613"/>
        <v>Фото &gt;&gt;</v>
      </c>
      <c r="S2902" s="14" t="s">
        <v>1100</v>
      </c>
      <c r="AK2902">
        <v>0.28000000000000003</v>
      </c>
      <c r="AL2902">
        <f t="shared" ref="AL2902:AL2903" si="1623">F2902*G2902</f>
        <v>0</v>
      </c>
      <c r="AM2902">
        <f t="shared" ref="AM2902:AM2903" si="1624">F2902*H2902</f>
        <v>0</v>
      </c>
      <c r="AN2902">
        <f t="shared" ref="AN2902:AN2903" si="1625">AK2902*F2902+IF(E2902&gt;1.01,F2902/E2902*0.2,0)</f>
        <v>0</v>
      </c>
      <c r="AO2902" t="s">
        <v>5254</v>
      </c>
      <c r="AV2902" t="str">
        <f>IF(F2902&gt;0,(COUNT($AV$1:AV2901)+1),"")</f>
        <v/>
      </c>
    </row>
    <row r="2903" spans="1:48" ht="15" customHeight="1" x14ac:dyDescent="0.25">
      <c r="A2903" s="1"/>
      <c r="B2903" s="31">
        <v>14909</v>
      </c>
      <c r="C2903" s="16">
        <v>4630015180044</v>
      </c>
      <c r="D2903" s="154" t="s">
        <v>1101</v>
      </c>
      <c r="E2903" s="69">
        <v>20</v>
      </c>
      <c r="F2903" s="222"/>
      <c r="G2903" s="108">
        <v>119.3</v>
      </c>
      <c r="H2903" s="17">
        <v>124.2</v>
      </c>
      <c r="I2903" s="18">
        <v>129.4</v>
      </c>
      <c r="J2903" s="113" t="s">
        <v>5544</v>
      </c>
      <c r="K2903" s="44" t="s">
        <v>5519</v>
      </c>
      <c r="L2903" s="442"/>
      <c r="M2903" s="480" t="s">
        <v>1856</v>
      </c>
      <c r="N2903" s="1015" t="s">
        <v>1856</v>
      </c>
      <c r="O2903" s="217"/>
      <c r="P2903" s="68" t="s">
        <v>50</v>
      </c>
      <c r="Q2903" s="100">
        <f t="shared" si="1619"/>
        <v>0</v>
      </c>
      <c r="R2903" s="13" t="str">
        <f t="shared" si="1613"/>
        <v>Фото &gt;&gt;</v>
      </c>
      <c r="S2903" s="14" t="s">
        <v>1102</v>
      </c>
      <c r="AK2903">
        <v>7.0000000000000007E-2</v>
      </c>
      <c r="AL2903">
        <f t="shared" si="1623"/>
        <v>0</v>
      </c>
      <c r="AM2903">
        <f t="shared" si="1624"/>
        <v>0</v>
      </c>
      <c r="AN2903">
        <f t="shared" si="1625"/>
        <v>0</v>
      </c>
      <c r="AO2903" t="s">
        <v>5255</v>
      </c>
      <c r="AV2903" t="str">
        <f>IF(F2903&gt;0,(COUNT($AV$1:AV2902)+1),"")</f>
        <v/>
      </c>
    </row>
    <row r="2904" spans="1:48" ht="15" customHeight="1" x14ac:dyDescent="0.25">
      <c r="A2904" s="1"/>
      <c r="B2904" s="30">
        <v>18943</v>
      </c>
      <c r="C2904" s="20">
        <v>4630015181027</v>
      </c>
      <c r="D2904" s="153" t="s">
        <v>1104</v>
      </c>
      <c r="E2904" s="67">
        <v>48</v>
      </c>
      <c r="F2904" s="222"/>
      <c r="G2904" s="107">
        <v>162.5</v>
      </c>
      <c r="H2904" s="21">
        <v>168.7</v>
      </c>
      <c r="I2904" s="22">
        <v>175</v>
      </c>
      <c r="J2904" s="112" t="s">
        <v>5544</v>
      </c>
      <c r="K2904" s="45" t="s">
        <v>5519</v>
      </c>
      <c r="L2904" s="437"/>
      <c r="M2904" s="474" t="s">
        <v>1856</v>
      </c>
      <c r="N2904" s="1013" t="s">
        <v>1856</v>
      </c>
      <c r="O2904" s="212"/>
      <c r="P2904" s="66" t="s">
        <v>50</v>
      </c>
      <c r="Q2904" s="100">
        <f t="shared" si="1619"/>
        <v>0</v>
      </c>
      <c r="R2904" s="13" t="str">
        <f t="shared" si="1613"/>
        <v>Фото &gt;&gt;</v>
      </c>
      <c r="S2904" s="14" t="s">
        <v>1103</v>
      </c>
      <c r="AK2904">
        <v>0.22</v>
      </c>
      <c r="AL2904">
        <f t="shared" ref="AL2904:AL2906" si="1626">F2904*G2904</f>
        <v>0</v>
      </c>
      <c r="AM2904">
        <f t="shared" ref="AM2904:AM2906" si="1627">F2904*H2904</f>
        <v>0</v>
      </c>
      <c r="AN2904">
        <f t="shared" ref="AN2904:AN2906" si="1628">AK2904*F2904+IF(E2904&gt;1.01,F2904/E2904*0.2,0)</f>
        <v>0</v>
      </c>
      <c r="AO2904" t="s">
        <v>5256</v>
      </c>
      <c r="AV2904" t="str">
        <f>IF(F2904&gt;0,(COUNT($AV$1:AV2903)+1),"")</f>
        <v/>
      </c>
    </row>
    <row r="2905" spans="1:48" ht="15" customHeight="1" x14ac:dyDescent="0.25">
      <c r="A2905" s="1"/>
      <c r="B2905" s="31">
        <v>19573</v>
      </c>
      <c r="C2905" s="16">
        <v>4630015180631</v>
      </c>
      <c r="D2905" s="154" t="s">
        <v>1105</v>
      </c>
      <c r="E2905" s="69">
        <v>50</v>
      </c>
      <c r="F2905" s="222"/>
      <c r="G2905" s="108">
        <v>291</v>
      </c>
      <c r="H2905" s="17">
        <v>302</v>
      </c>
      <c r="I2905" s="18">
        <v>314</v>
      </c>
      <c r="J2905" s="113" t="s">
        <v>5544</v>
      </c>
      <c r="K2905" s="44" t="s">
        <v>5519</v>
      </c>
      <c r="L2905" s="442"/>
      <c r="M2905" s="480" t="s">
        <v>1856</v>
      </c>
      <c r="N2905" s="1015" t="s">
        <v>1856</v>
      </c>
      <c r="O2905" s="217"/>
      <c r="P2905" s="68" t="s">
        <v>50</v>
      </c>
      <c r="Q2905" s="100">
        <f t="shared" si="1619"/>
        <v>0</v>
      </c>
      <c r="R2905" s="13" t="str">
        <f t="shared" si="1613"/>
        <v>Фото &gt;&gt;</v>
      </c>
      <c r="S2905" s="14" t="s">
        <v>1103</v>
      </c>
      <c r="AK2905">
        <v>0.42</v>
      </c>
      <c r="AL2905">
        <f t="shared" si="1626"/>
        <v>0</v>
      </c>
      <c r="AM2905">
        <f t="shared" si="1627"/>
        <v>0</v>
      </c>
      <c r="AN2905">
        <f t="shared" si="1628"/>
        <v>0</v>
      </c>
      <c r="AO2905" t="s">
        <v>5257</v>
      </c>
      <c r="AV2905" t="str">
        <f>IF(F2905&gt;0,(COUNT($AV$1:AV2904)+1),"")</f>
        <v/>
      </c>
    </row>
    <row r="2906" spans="1:48" ht="15" customHeight="1" x14ac:dyDescent="0.25">
      <c r="A2906" s="1"/>
      <c r="B2906" s="30">
        <v>16503</v>
      </c>
      <c r="C2906" s="20">
        <v>4630015180280</v>
      </c>
      <c r="D2906" s="153" t="s">
        <v>6974</v>
      </c>
      <c r="E2906" s="67">
        <v>36</v>
      </c>
      <c r="F2906" s="222"/>
      <c r="G2906" s="107">
        <v>338.6</v>
      </c>
      <c r="H2906" s="21">
        <v>352</v>
      </c>
      <c r="I2906" s="22">
        <v>365.6</v>
      </c>
      <c r="J2906" s="112" t="s">
        <v>5544</v>
      </c>
      <c r="K2906" s="45" t="s">
        <v>5519</v>
      </c>
      <c r="L2906" s="437"/>
      <c r="M2906" s="474" t="s">
        <v>1856</v>
      </c>
      <c r="N2906" s="1013" t="s">
        <v>1856</v>
      </c>
      <c r="O2906" s="212"/>
      <c r="P2906" s="66" t="s">
        <v>50</v>
      </c>
      <c r="Q2906" s="100">
        <f t="shared" si="1619"/>
        <v>0</v>
      </c>
      <c r="R2906" s="13" t="str">
        <f t="shared" si="1613"/>
        <v>Фото &gt;&gt;</v>
      </c>
      <c r="S2906" s="14" t="s">
        <v>6975</v>
      </c>
      <c r="AK2906">
        <v>7.0000000000000007E-2</v>
      </c>
      <c r="AL2906">
        <f t="shared" si="1626"/>
        <v>0</v>
      </c>
      <c r="AM2906">
        <f t="shared" si="1627"/>
        <v>0</v>
      </c>
      <c r="AN2906">
        <f t="shared" si="1628"/>
        <v>0</v>
      </c>
      <c r="AO2906" t="s">
        <v>6976</v>
      </c>
      <c r="AV2906" t="str">
        <f>IF(F2906&gt;0,(COUNT($AV$1:AV2905)+1),"")</f>
        <v/>
      </c>
    </row>
    <row r="2907" spans="1:48" ht="15" customHeight="1" x14ac:dyDescent="0.25">
      <c r="A2907" s="1"/>
      <c r="B2907" s="125"/>
      <c r="C2907" s="126"/>
      <c r="D2907" s="127"/>
      <c r="E2907" s="134"/>
      <c r="F2907" s="189"/>
      <c r="G2907" s="130"/>
      <c r="H2907" s="131"/>
      <c r="I2907" s="132"/>
      <c r="J2907" s="128"/>
      <c r="K2907" s="129"/>
      <c r="L2907" s="433"/>
      <c r="M2907" s="481" t="s">
        <v>104</v>
      </c>
      <c r="N2907" s="471"/>
      <c r="O2907" s="181"/>
      <c r="P2907" s="133"/>
      <c r="Q2907" s="135"/>
      <c r="R2907" s="13"/>
      <c r="S2907" s="14"/>
      <c r="AV2907" t="str">
        <f>IF(F2907&gt;0,(COUNT($AV$1:AV2906)+1),"")</f>
        <v/>
      </c>
    </row>
    <row r="2908" spans="1:48" ht="15" customHeight="1" thickBot="1" x14ac:dyDescent="0.3">
      <c r="A2908" s="1"/>
      <c r="B2908" s="136"/>
      <c r="C2908" s="137"/>
      <c r="D2908" s="138"/>
      <c r="E2908" s="145"/>
      <c r="F2908" s="190"/>
      <c r="G2908" s="141"/>
      <c r="H2908" s="142"/>
      <c r="I2908" s="143"/>
      <c r="J2908" s="139"/>
      <c r="K2908" s="140"/>
      <c r="L2908" s="434"/>
      <c r="M2908" s="477" t="s">
        <v>104</v>
      </c>
      <c r="N2908" s="468"/>
      <c r="O2908" s="182"/>
      <c r="P2908" s="144"/>
      <c r="Q2908" s="146"/>
      <c r="R2908" s="13"/>
      <c r="S2908" s="14"/>
      <c r="AV2908" t="str">
        <f>IF(F2908&gt;0,(COUNT($AV$1:AV2907)+1),"")</f>
        <v/>
      </c>
    </row>
    <row r="2909" spans="1:48" ht="24.75" customHeight="1" thickBot="1" x14ac:dyDescent="0.3">
      <c r="A2909" s="1"/>
      <c r="B2909" s="169"/>
      <c r="C2909" s="170"/>
      <c r="D2909" s="171" t="str">
        <f>CONCATENATE("Русский лес","     |     Сумма заказа: ",AK2909," руб.")</f>
        <v>Русский лес     |     Сумма заказа: 0 руб.</v>
      </c>
      <c r="E2909" s="176"/>
      <c r="F2909" s="177"/>
      <c r="G2909" s="180" t="str">
        <f>CONCATENATE("Ценовая колонка: ",AO2909,"   |   До следующей скидки: ",AJ2909," руб.")</f>
        <v>Ценовая колонка: 3   |   До следующей скидки: 5000 руб.</v>
      </c>
      <c r="H2909" s="174"/>
      <c r="I2909" s="174"/>
      <c r="J2909" s="172" t="s">
        <v>1106</v>
      </c>
      <c r="K2909" s="173"/>
      <c r="L2909" s="444"/>
      <c r="M2909" s="486" t="s">
        <v>104</v>
      </c>
      <c r="N2909" s="717"/>
      <c r="O2909" s="184"/>
      <c r="P2909" s="175"/>
      <c r="Q2909" s="178"/>
      <c r="R2909" s="179" t="s">
        <v>1558</v>
      </c>
      <c r="S2909" s="14"/>
      <c r="AJ2909">
        <f>ROUND(IF(AL2909&gt;20000,"0", IF(AND(AL2909&lt;20000,AM2909&gt;5000),20000-AL2909,5000-AM2909)),2)</f>
        <v>5000</v>
      </c>
      <c r="AK2909">
        <f>SUM(Q2911:Q2934)</f>
        <v>0</v>
      </c>
      <c r="AL2909">
        <f>SUM(AL2911:AL2934)</f>
        <v>0</v>
      </c>
      <c r="AM2909">
        <f>SUM(AM2911:AM2934)</f>
        <v>0</v>
      </c>
      <c r="AO2909">
        <f>IF(AM2909&gt;5000,IF(AL2909&gt;20000,1,2),3)</f>
        <v>3</v>
      </c>
      <c r="AV2909" t="str">
        <f>IF(F2909&gt;0,(COUNT($AV$1:AV2908)+1),"")</f>
        <v/>
      </c>
    </row>
    <row r="2910" spans="1:48" ht="15" customHeight="1" x14ac:dyDescent="0.25">
      <c r="A2910" s="1"/>
      <c r="B2910" s="296"/>
      <c r="C2910" s="38"/>
      <c r="D2910" s="39" t="s">
        <v>1470</v>
      </c>
      <c r="E2910" s="82"/>
      <c r="F2910" s="97"/>
      <c r="G2910" s="40" t="s">
        <v>15</v>
      </c>
      <c r="H2910" s="41" t="s">
        <v>16</v>
      </c>
      <c r="I2910" s="41" t="s">
        <v>221</v>
      </c>
      <c r="J2910" s="52"/>
      <c r="K2910" s="48"/>
      <c r="L2910" s="448"/>
      <c r="M2910" s="491" t="s">
        <v>104</v>
      </c>
      <c r="N2910" s="715"/>
      <c r="O2910" s="187"/>
      <c r="P2910" s="81"/>
      <c r="Q2910" s="105"/>
      <c r="R2910" s="13"/>
      <c r="S2910" s="14"/>
      <c r="AV2910" t="str">
        <f>IF(F2910&gt;0,(COUNT($AV$1:AV2909)+1),"")</f>
        <v/>
      </c>
    </row>
    <row r="2911" spans="1:48" ht="15" customHeight="1" x14ac:dyDescent="0.25">
      <c r="A2911" s="1"/>
      <c r="B2911" s="30">
        <v>15948</v>
      </c>
      <c r="C2911" s="20">
        <v>4620016880418</v>
      </c>
      <c r="D2911" s="153" t="s">
        <v>7051</v>
      </c>
      <c r="E2911" s="67">
        <v>24</v>
      </c>
      <c r="F2911" s="222"/>
      <c r="G2911" s="107">
        <v>268.5</v>
      </c>
      <c r="H2911" s="22">
        <v>278</v>
      </c>
      <c r="I2911" s="22">
        <v>287</v>
      </c>
      <c r="J2911" s="112" t="s">
        <v>1106</v>
      </c>
      <c r="K2911" s="45" t="s">
        <v>204</v>
      </c>
      <c r="L2911" s="437"/>
      <c r="M2911" s="474" t="s">
        <v>1856</v>
      </c>
      <c r="N2911" s="1013" t="s">
        <v>1856</v>
      </c>
      <c r="O2911" s="212"/>
      <c r="P2911" s="66" t="s">
        <v>50</v>
      </c>
      <c r="Q2911" s="100">
        <f t="shared" ref="Q2911:Q2927" si="1629">IF($AO$2909=2,F2911*H2911,IF($AO$2909=1,F2911*G2911,F2911*I2911))</f>
        <v>0</v>
      </c>
      <c r="R2911" s="13" t="str">
        <f t="shared" ref="R2911:R2926" si="1630">IF(AO2911&gt;0,HYPERLINK(AO2911,"Фото &gt;&gt;"),"")</f>
        <v>Фото &gt;&gt;</v>
      </c>
      <c r="S2911" s="14" t="s">
        <v>1107</v>
      </c>
      <c r="AK2911">
        <v>0.4</v>
      </c>
      <c r="AL2911">
        <f t="shared" ref="AL2911:AL2920" si="1631">F2911*G2911</f>
        <v>0</v>
      </c>
      <c r="AM2911">
        <f t="shared" ref="AM2911:AM2920" si="1632">F2911*H2911</f>
        <v>0</v>
      </c>
      <c r="AN2911">
        <f t="shared" ref="AN2911:AN2926" si="1633">AK2911*F2911+IF(E2911&gt;1.01,F2911/E2911*0.2,0)</f>
        <v>0</v>
      </c>
      <c r="AO2911" t="s">
        <v>7059</v>
      </c>
      <c r="AV2911" t="str">
        <f>IF(F2911&gt;0,(COUNT($AV$1:AV2910)+1),"")</f>
        <v/>
      </c>
    </row>
    <row r="2912" spans="1:48" ht="15" customHeight="1" x14ac:dyDescent="0.25">
      <c r="A2912" s="1"/>
      <c r="B2912" s="31">
        <v>16701</v>
      </c>
      <c r="C2912" s="16">
        <v>4620016880470</v>
      </c>
      <c r="D2912" s="226" t="s">
        <v>7052</v>
      </c>
      <c r="E2912" s="69">
        <v>24</v>
      </c>
      <c r="F2912" s="222"/>
      <c r="G2912" s="108">
        <v>330</v>
      </c>
      <c r="H2912" s="18">
        <v>341</v>
      </c>
      <c r="I2912" s="18">
        <v>355</v>
      </c>
      <c r="J2912" s="113" t="s">
        <v>1106</v>
      </c>
      <c r="K2912" s="44" t="s">
        <v>204</v>
      </c>
      <c r="L2912" s="442"/>
      <c r="M2912" s="480" t="s">
        <v>1856</v>
      </c>
      <c r="N2912" s="1015" t="s">
        <v>1856</v>
      </c>
      <c r="O2912" s="210"/>
      <c r="P2912" s="68" t="s">
        <v>50</v>
      </c>
      <c r="Q2912" s="100">
        <f t="shared" si="1629"/>
        <v>0</v>
      </c>
      <c r="R2912" s="13" t="str">
        <f t="shared" si="1630"/>
        <v>Фото &gt;&gt;</v>
      </c>
      <c r="S2912" s="14" t="s">
        <v>1108</v>
      </c>
      <c r="AK2912">
        <v>0.4</v>
      </c>
      <c r="AL2912">
        <f t="shared" si="1631"/>
        <v>0</v>
      </c>
      <c r="AM2912">
        <f t="shared" si="1632"/>
        <v>0</v>
      </c>
      <c r="AN2912">
        <f t="shared" si="1633"/>
        <v>0</v>
      </c>
      <c r="AO2912" t="s">
        <v>7060</v>
      </c>
      <c r="AV2912" t="str">
        <f>IF(F2912&gt;0,(COUNT($AV$1:AV2911)+1),"")</f>
        <v/>
      </c>
    </row>
    <row r="2913" spans="1:48" ht="15" customHeight="1" x14ac:dyDescent="0.25">
      <c r="A2913" s="1"/>
      <c r="B2913" s="30">
        <v>16702</v>
      </c>
      <c r="C2913" s="20">
        <v>4620016880487</v>
      </c>
      <c r="D2913" s="153" t="s">
        <v>7053</v>
      </c>
      <c r="E2913" s="67">
        <v>24</v>
      </c>
      <c r="F2913" s="222"/>
      <c r="G2913" s="107">
        <v>268.5</v>
      </c>
      <c r="H2913" s="22">
        <v>278</v>
      </c>
      <c r="I2913" s="22">
        <v>287</v>
      </c>
      <c r="J2913" s="112" t="s">
        <v>1106</v>
      </c>
      <c r="K2913" s="45" t="s">
        <v>204</v>
      </c>
      <c r="L2913" s="437"/>
      <c r="M2913" s="474" t="s">
        <v>1856</v>
      </c>
      <c r="N2913" s="1013" t="s">
        <v>1856</v>
      </c>
      <c r="O2913" s="212"/>
      <c r="P2913" s="66" t="s">
        <v>50</v>
      </c>
      <c r="Q2913" s="100">
        <f t="shared" si="1629"/>
        <v>0</v>
      </c>
      <c r="R2913" s="13" t="str">
        <f t="shared" si="1630"/>
        <v>Фото &gt;&gt;</v>
      </c>
      <c r="S2913" s="14" t="s">
        <v>1109</v>
      </c>
      <c r="AK2913">
        <v>0.4</v>
      </c>
      <c r="AL2913">
        <f t="shared" si="1631"/>
        <v>0</v>
      </c>
      <c r="AM2913">
        <f t="shared" si="1632"/>
        <v>0</v>
      </c>
      <c r="AN2913">
        <f t="shared" si="1633"/>
        <v>0</v>
      </c>
      <c r="AO2913" t="s">
        <v>7061</v>
      </c>
      <c r="AV2913" t="str">
        <f>IF(F2913&gt;0,(COUNT($AV$1:AV2912)+1),"")</f>
        <v/>
      </c>
    </row>
    <row r="2914" spans="1:48" ht="15" customHeight="1" x14ac:dyDescent="0.25">
      <c r="A2914" s="1"/>
      <c r="B2914" s="31">
        <v>15946</v>
      </c>
      <c r="C2914" s="16">
        <v>4620016880401</v>
      </c>
      <c r="D2914" s="226" t="s">
        <v>7054</v>
      </c>
      <c r="E2914" s="69">
        <v>24</v>
      </c>
      <c r="F2914" s="222"/>
      <c r="G2914" s="108">
        <v>313.5</v>
      </c>
      <c r="H2914" s="18">
        <v>324</v>
      </c>
      <c r="I2914" s="18">
        <v>335</v>
      </c>
      <c r="J2914" s="113" t="s">
        <v>1106</v>
      </c>
      <c r="K2914" s="44" t="s">
        <v>204</v>
      </c>
      <c r="L2914" s="442"/>
      <c r="M2914" s="480" t="s">
        <v>1856</v>
      </c>
      <c r="N2914" s="1015" t="s">
        <v>1856</v>
      </c>
      <c r="O2914" s="210"/>
      <c r="P2914" s="68" t="s">
        <v>50</v>
      </c>
      <c r="Q2914" s="100">
        <f t="shared" si="1629"/>
        <v>0</v>
      </c>
      <c r="R2914" s="13" t="str">
        <f t="shared" si="1630"/>
        <v>Фото &gt;&gt;</v>
      </c>
      <c r="S2914" s="14" t="s">
        <v>1110</v>
      </c>
      <c r="AK2914">
        <v>0.4</v>
      </c>
      <c r="AL2914">
        <f t="shared" si="1631"/>
        <v>0</v>
      </c>
      <c r="AM2914">
        <f t="shared" si="1632"/>
        <v>0</v>
      </c>
      <c r="AN2914">
        <f t="shared" si="1633"/>
        <v>0</v>
      </c>
      <c r="AO2914" t="s">
        <v>7062</v>
      </c>
      <c r="AV2914" t="str">
        <f>IF(F2914&gt;0,(COUNT($AV$1:AV2913)+1),"")</f>
        <v/>
      </c>
    </row>
    <row r="2915" spans="1:48" ht="15" customHeight="1" x14ac:dyDescent="0.25">
      <c r="A2915" s="1"/>
      <c r="B2915" s="30">
        <v>15949</v>
      </c>
      <c r="C2915" s="20">
        <v>4620016880432</v>
      </c>
      <c r="D2915" s="153" t="s">
        <v>7055</v>
      </c>
      <c r="E2915" s="67">
        <v>24</v>
      </c>
      <c r="F2915" s="222"/>
      <c r="G2915" s="107">
        <v>268.5</v>
      </c>
      <c r="H2915" s="22">
        <v>278</v>
      </c>
      <c r="I2915" s="22">
        <v>287</v>
      </c>
      <c r="J2915" s="112" t="s">
        <v>1106</v>
      </c>
      <c r="K2915" s="45" t="s">
        <v>204</v>
      </c>
      <c r="L2915" s="437"/>
      <c r="M2915" s="474" t="s">
        <v>1856</v>
      </c>
      <c r="N2915" s="1013" t="s">
        <v>1856</v>
      </c>
      <c r="O2915" s="212"/>
      <c r="P2915" s="66" t="s">
        <v>50</v>
      </c>
      <c r="Q2915" s="100">
        <f t="shared" si="1629"/>
        <v>0</v>
      </c>
      <c r="R2915" s="13" t="str">
        <f t="shared" si="1630"/>
        <v>Фото &gt;&gt;</v>
      </c>
      <c r="S2915" s="14" t="s">
        <v>1111</v>
      </c>
      <c r="AK2915">
        <v>0.4</v>
      </c>
      <c r="AL2915">
        <f t="shared" si="1631"/>
        <v>0</v>
      </c>
      <c r="AM2915">
        <f t="shared" si="1632"/>
        <v>0</v>
      </c>
      <c r="AN2915">
        <f t="shared" si="1633"/>
        <v>0</v>
      </c>
      <c r="AO2915" t="s">
        <v>7063</v>
      </c>
      <c r="AV2915" t="str">
        <f>IF(F2915&gt;0,(COUNT($AV$1:AV2914)+1),"")</f>
        <v/>
      </c>
    </row>
    <row r="2916" spans="1:48" ht="15" customHeight="1" x14ac:dyDescent="0.25">
      <c r="A2916" s="1"/>
      <c r="B2916" s="31">
        <v>16550</v>
      </c>
      <c r="C2916" s="16">
        <v>4620016880494</v>
      </c>
      <c r="D2916" s="226" t="s">
        <v>7056</v>
      </c>
      <c r="E2916" s="69">
        <v>24</v>
      </c>
      <c r="F2916" s="222"/>
      <c r="G2916" s="108">
        <v>330</v>
      </c>
      <c r="H2916" s="18">
        <v>341</v>
      </c>
      <c r="I2916" s="18">
        <v>352</v>
      </c>
      <c r="J2916" s="113" t="s">
        <v>1106</v>
      </c>
      <c r="K2916" s="44" t="s">
        <v>204</v>
      </c>
      <c r="L2916" s="442"/>
      <c r="M2916" s="480" t="s">
        <v>1856</v>
      </c>
      <c r="N2916" s="1015" t="s">
        <v>1856</v>
      </c>
      <c r="O2916" s="210"/>
      <c r="P2916" s="68" t="s">
        <v>50</v>
      </c>
      <c r="Q2916" s="100">
        <f t="shared" si="1629"/>
        <v>0</v>
      </c>
      <c r="R2916" s="13" t="str">
        <f t="shared" si="1630"/>
        <v>Фото &gt;&gt;</v>
      </c>
      <c r="S2916" s="14" t="s">
        <v>1112</v>
      </c>
      <c r="AK2916">
        <v>0.4</v>
      </c>
      <c r="AL2916">
        <f t="shared" si="1631"/>
        <v>0</v>
      </c>
      <c r="AM2916">
        <f t="shared" si="1632"/>
        <v>0</v>
      </c>
      <c r="AN2916">
        <f t="shared" si="1633"/>
        <v>0</v>
      </c>
      <c r="AO2916" t="s">
        <v>7066</v>
      </c>
      <c r="AV2916" t="str">
        <f>IF(F2916&gt;0,(COUNT($AV$1:AV2915)+1),"")</f>
        <v/>
      </c>
    </row>
    <row r="2917" spans="1:48" ht="15" customHeight="1" x14ac:dyDescent="0.25">
      <c r="A2917" s="1"/>
      <c r="B2917" s="30">
        <v>15947</v>
      </c>
      <c r="C2917" s="20">
        <v>4620016880449</v>
      </c>
      <c r="D2917" s="153" t="s">
        <v>7057</v>
      </c>
      <c r="E2917" s="67">
        <v>24</v>
      </c>
      <c r="F2917" s="222"/>
      <c r="G2917" s="107">
        <v>268.5</v>
      </c>
      <c r="H2917" s="22">
        <v>278</v>
      </c>
      <c r="I2917" s="22">
        <v>287</v>
      </c>
      <c r="J2917" s="112" t="s">
        <v>1106</v>
      </c>
      <c r="K2917" s="45" t="s">
        <v>204</v>
      </c>
      <c r="L2917" s="437"/>
      <c r="M2917" s="474" t="s">
        <v>1856</v>
      </c>
      <c r="N2917" s="1013" t="s">
        <v>1856</v>
      </c>
      <c r="O2917" s="212"/>
      <c r="P2917" s="66" t="s">
        <v>50</v>
      </c>
      <c r="Q2917" s="100">
        <f t="shared" si="1629"/>
        <v>0</v>
      </c>
      <c r="R2917" s="13" t="str">
        <f t="shared" si="1630"/>
        <v>Фото &gt;&gt;</v>
      </c>
      <c r="S2917" s="14" t="s">
        <v>1113</v>
      </c>
      <c r="AK2917">
        <v>0.4</v>
      </c>
      <c r="AL2917">
        <f t="shared" si="1631"/>
        <v>0</v>
      </c>
      <c r="AM2917">
        <f t="shared" si="1632"/>
        <v>0</v>
      </c>
      <c r="AN2917">
        <f t="shared" si="1633"/>
        <v>0</v>
      </c>
      <c r="AO2917" t="s">
        <v>7064</v>
      </c>
      <c r="AV2917" t="str">
        <f>IF(F2917&gt;0,(COUNT($AV$1:AV2916)+1),"")</f>
        <v/>
      </c>
    </row>
    <row r="2918" spans="1:48" ht="15" customHeight="1" x14ac:dyDescent="0.25">
      <c r="A2918" s="1"/>
      <c r="B2918" s="32">
        <v>16703</v>
      </c>
      <c r="C2918" s="33">
        <v>4620016880500</v>
      </c>
      <c r="D2918" s="227" t="s">
        <v>7058</v>
      </c>
      <c r="E2918" s="71">
        <v>24</v>
      </c>
      <c r="F2918" s="223"/>
      <c r="G2918" s="109">
        <v>313.5</v>
      </c>
      <c r="H2918" s="35">
        <v>324</v>
      </c>
      <c r="I2918" s="35">
        <v>335</v>
      </c>
      <c r="J2918" s="114" t="s">
        <v>1106</v>
      </c>
      <c r="K2918" s="57" t="s">
        <v>204</v>
      </c>
      <c r="L2918" s="438"/>
      <c r="M2918" s="484" t="s">
        <v>1856</v>
      </c>
      <c r="N2918" s="1008" t="s">
        <v>1856</v>
      </c>
      <c r="O2918" s="219"/>
      <c r="P2918" s="70" t="s">
        <v>50</v>
      </c>
      <c r="Q2918" s="100">
        <f t="shared" si="1629"/>
        <v>0</v>
      </c>
      <c r="R2918" s="13" t="str">
        <f t="shared" si="1630"/>
        <v>Фото &gt;&gt;</v>
      </c>
      <c r="S2918" s="14" t="s">
        <v>1114</v>
      </c>
      <c r="AK2918">
        <v>0.4</v>
      </c>
      <c r="AL2918">
        <f t="shared" si="1631"/>
        <v>0</v>
      </c>
      <c r="AM2918">
        <f t="shared" si="1632"/>
        <v>0</v>
      </c>
      <c r="AN2918">
        <f t="shared" si="1633"/>
        <v>0</v>
      </c>
      <c r="AO2918" t="s">
        <v>7065</v>
      </c>
      <c r="AV2918" t="str">
        <f>IF(F2918&gt;0,(COUNT($AV$1:AV2917)+1),"")</f>
        <v/>
      </c>
    </row>
    <row r="2919" spans="1:48" ht="15" customHeight="1" x14ac:dyDescent="0.25">
      <c r="A2919" s="1"/>
      <c r="B2919" s="795">
        <v>15305</v>
      </c>
      <c r="C2919" s="796">
        <v>4620016880555</v>
      </c>
      <c r="D2919" s="797" t="s">
        <v>4366</v>
      </c>
      <c r="E2919" s="895">
        <v>24</v>
      </c>
      <c r="F2919" s="789"/>
      <c r="G2919" s="810">
        <v>72</v>
      </c>
      <c r="H2919" s="800">
        <v>74.3</v>
      </c>
      <c r="I2919" s="800">
        <v>77</v>
      </c>
      <c r="J2919" s="801" t="s">
        <v>1106</v>
      </c>
      <c r="K2919" s="802" t="s">
        <v>204</v>
      </c>
      <c r="L2919" s="803"/>
      <c r="M2919" s="804" t="s">
        <v>1856</v>
      </c>
      <c r="N2919" s="1006" t="s">
        <v>1856</v>
      </c>
      <c r="O2919" s="887" t="s">
        <v>4357</v>
      </c>
      <c r="P2919" s="806" t="s">
        <v>50</v>
      </c>
      <c r="Q2919" s="100">
        <f t="shared" si="1629"/>
        <v>0</v>
      </c>
      <c r="R2919" s="13" t="str">
        <f t="shared" si="1630"/>
        <v>Фото &gt;&gt;</v>
      </c>
      <c r="S2919" s="14" t="s">
        <v>4089</v>
      </c>
      <c r="AK2919">
        <v>0.09</v>
      </c>
      <c r="AL2919">
        <f t="shared" si="1631"/>
        <v>0</v>
      </c>
      <c r="AM2919">
        <f t="shared" si="1632"/>
        <v>0</v>
      </c>
      <c r="AN2919">
        <f t="shared" si="1633"/>
        <v>0</v>
      </c>
      <c r="AO2919" t="s">
        <v>5258</v>
      </c>
      <c r="AV2919" t="str">
        <f>IF(F2919&gt;0,(COUNT($AV$1:AV2918)+1),"")</f>
        <v/>
      </c>
    </row>
    <row r="2920" spans="1:48" ht="15" customHeight="1" x14ac:dyDescent="0.25">
      <c r="A2920" s="1"/>
      <c r="B2920" s="30">
        <v>15306</v>
      </c>
      <c r="C2920" s="20">
        <v>4620016880579</v>
      </c>
      <c r="D2920" s="225" t="s">
        <v>4367</v>
      </c>
      <c r="E2920" s="85">
        <v>24</v>
      </c>
      <c r="F2920" s="222"/>
      <c r="G2920" s="107">
        <v>80</v>
      </c>
      <c r="H2920" s="22">
        <v>82.5</v>
      </c>
      <c r="I2920" s="22">
        <v>85</v>
      </c>
      <c r="J2920" s="112" t="s">
        <v>1106</v>
      </c>
      <c r="K2920" s="45" t="s">
        <v>204</v>
      </c>
      <c r="L2920" s="437"/>
      <c r="M2920" s="474" t="s">
        <v>1856</v>
      </c>
      <c r="N2920" s="1013" t="s">
        <v>1856</v>
      </c>
      <c r="O2920" s="212" t="s">
        <v>4357</v>
      </c>
      <c r="P2920" s="66" t="s">
        <v>50</v>
      </c>
      <c r="Q2920" s="100">
        <f t="shared" si="1629"/>
        <v>0</v>
      </c>
      <c r="R2920" s="13" t="str">
        <f t="shared" si="1630"/>
        <v>Фото &gt;&gt;</v>
      </c>
      <c r="S2920" s="14" t="s">
        <v>1115</v>
      </c>
      <c r="AK2920">
        <v>0.09</v>
      </c>
      <c r="AL2920">
        <f t="shared" si="1631"/>
        <v>0</v>
      </c>
      <c r="AM2920">
        <f t="shared" si="1632"/>
        <v>0</v>
      </c>
      <c r="AN2920">
        <f t="shared" si="1633"/>
        <v>0</v>
      </c>
      <c r="AO2920" t="s">
        <v>5259</v>
      </c>
      <c r="AV2920" t="str">
        <f>IF(F2920&gt;0,(COUNT($AV$1:AV2919)+1),"")</f>
        <v/>
      </c>
    </row>
    <row r="2921" spans="1:48" ht="15" customHeight="1" x14ac:dyDescent="0.25">
      <c r="A2921" s="1"/>
      <c r="B2921" s="31">
        <v>15298</v>
      </c>
      <c r="C2921" s="16">
        <v>4620016880562</v>
      </c>
      <c r="D2921" s="226" t="s">
        <v>4324</v>
      </c>
      <c r="E2921" s="86">
        <v>24</v>
      </c>
      <c r="F2921" s="222"/>
      <c r="G2921" s="108">
        <v>72</v>
      </c>
      <c r="H2921" s="18">
        <v>74.3</v>
      </c>
      <c r="I2921" s="18">
        <v>77</v>
      </c>
      <c r="J2921" s="113" t="s">
        <v>1106</v>
      </c>
      <c r="K2921" s="44" t="s">
        <v>204</v>
      </c>
      <c r="L2921" s="442"/>
      <c r="M2921" s="480" t="s">
        <v>1856</v>
      </c>
      <c r="N2921" s="1015" t="s">
        <v>1856</v>
      </c>
      <c r="O2921" s="217" t="s">
        <v>4357</v>
      </c>
      <c r="P2921" s="68" t="s">
        <v>50</v>
      </c>
      <c r="Q2921" s="100">
        <f t="shared" si="1629"/>
        <v>0</v>
      </c>
      <c r="R2921" s="13" t="str">
        <f t="shared" si="1630"/>
        <v>Фото &gt;&gt;</v>
      </c>
      <c r="S2921" s="14" t="s">
        <v>4090</v>
      </c>
      <c r="AK2921">
        <v>0.09</v>
      </c>
      <c r="AL2921">
        <f t="shared" ref="AL2921:AL2926" si="1634">F2921*G2921</f>
        <v>0</v>
      </c>
      <c r="AM2921">
        <f t="shared" ref="AM2921:AM2926" si="1635">F2921*H2921</f>
        <v>0</v>
      </c>
      <c r="AN2921">
        <f t="shared" si="1633"/>
        <v>0</v>
      </c>
      <c r="AO2921" t="s">
        <v>5260</v>
      </c>
      <c r="AV2921" t="str">
        <f>IF(F2921&gt;0,(COUNT($AV$1:AV2920)+1),"")</f>
        <v/>
      </c>
    </row>
    <row r="2922" spans="1:48" ht="15" customHeight="1" x14ac:dyDescent="0.25">
      <c r="A2922" s="1"/>
      <c r="B2922" s="30">
        <v>15308</v>
      </c>
      <c r="C2922" s="20">
        <v>4620016880548</v>
      </c>
      <c r="D2922" s="225" t="s">
        <v>4325</v>
      </c>
      <c r="E2922" s="85">
        <v>24</v>
      </c>
      <c r="F2922" s="222"/>
      <c r="G2922" s="107">
        <v>80</v>
      </c>
      <c r="H2922" s="22">
        <v>82.5</v>
      </c>
      <c r="I2922" s="22">
        <v>85</v>
      </c>
      <c r="J2922" s="112" t="s">
        <v>1106</v>
      </c>
      <c r="K2922" s="45" t="s">
        <v>204</v>
      </c>
      <c r="L2922" s="437"/>
      <c r="M2922" s="474" t="s">
        <v>1856</v>
      </c>
      <c r="N2922" s="1013" t="s">
        <v>1856</v>
      </c>
      <c r="O2922" s="212" t="s">
        <v>4357</v>
      </c>
      <c r="P2922" s="66" t="s">
        <v>50</v>
      </c>
      <c r="Q2922" s="100">
        <f t="shared" si="1629"/>
        <v>0</v>
      </c>
      <c r="R2922" s="13" t="str">
        <f t="shared" si="1630"/>
        <v>Фото &gt;&gt;</v>
      </c>
      <c r="S2922" s="14" t="s">
        <v>1116</v>
      </c>
      <c r="AK2922">
        <v>0.09</v>
      </c>
      <c r="AL2922">
        <f t="shared" si="1634"/>
        <v>0</v>
      </c>
      <c r="AM2922">
        <f t="shared" si="1635"/>
        <v>0</v>
      </c>
      <c r="AN2922">
        <f t="shared" si="1633"/>
        <v>0</v>
      </c>
      <c r="AO2922" t="s">
        <v>5261</v>
      </c>
      <c r="AV2922" t="str">
        <f>IF(F2922&gt;0,(COUNT($AV$1:AV2921)+1),"")</f>
        <v/>
      </c>
    </row>
    <row r="2923" spans="1:48" ht="15" customHeight="1" x14ac:dyDescent="0.25">
      <c r="A2923" s="1"/>
      <c r="B2923" s="31">
        <v>16364</v>
      </c>
      <c r="C2923" s="16">
        <v>4620016880531</v>
      </c>
      <c r="D2923" s="226" t="s">
        <v>4429</v>
      </c>
      <c r="E2923" s="86">
        <v>24</v>
      </c>
      <c r="F2923" s="222"/>
      <c r="G2923" s="108">
        <v>72</v>
      </c>
      <c r="H2923" s="18">
        <v>74.3</v>
      </c>
      <c r="I2923" s="18">
        <v>77</v>
      </c>
      <c r="J2923" s="113" t="s">
        <v>1106</v>
      </c>
      <c r="K2923" s="44" t="s">
        <v>204</v>
      </c>
      <c r="L2923" s="442"/>
      <c r="M2923" s="480" t="s">
        <v>1856</v>
      </c>
      <c r="N2923" s="1015" t="s">
        <v>1856</v>
      </c>
      <c r="O2923" s="217" t="s">
        <v>4357</v>
      </c>
      <c r="P2923" s="68" t="s">
        <v>50</v>
      </c>
      <c r="Q2923" s="100">
        <f t="shared" si="1629"/>
        <v>0</v>
      </c>
      <c r="R2923" s="13" t="str">
        <f t="shared" si="1630"/>
        <v>Фото &gt;&gt;</v>
      </c>
      <c r="S2923" s="14" t="s">
        <v>1117</v>
      </c>
      <c r="AK2923">
        <v>0.09</v>
      </c>
      <c r="AL2923">
        <f t="shared" si="1634"/>
        <v>0</v>
      </c>
      <c r="AM2923">
        <f t="shared" si="1635"/>
        <v>0</v>
      </c>
      <c r="AN2923">
        <f t="shared" si="1633"/>
        <v>0</v>
      </c>
      <c r="AO2923" t="s">
        <v>5262</v>
      </c>
      <c r="AV2923" t="str">
        <f>IF(F2923&gt;0,(COUNT($AV$1:AV2922)+1),"")</f>
        <v/>
      </c>
    </row>
    <row r="2924" spans="1:48" ht="15" customHeight="1" x14ac:dyDescent="0.25">
      <c r="A2924" s="1"/>
      <c r="B2924" s="30">
        <v>15307</v>
      </c>
      <c r="C2924" s="20">
        <v>4620016880586</v>
      </c>
      <c r="D2924" s="225" t="s">
        <v>4326</v>
      </c>
      <c r="E2924" s="85">
        <v>24</v>
      </c>
      <c r="F2924" s="222"/>
      <c r="G2924" s="107">
        <v>80</v>
      </c>
      <c r="H2924" s="22">
        <v>82.5</v>
      </c>
      <c r="I2924" s="22">
        <v>85</v>
      </c>
      <c r="J2924" s="112" t="s">
        <v>1106</v>
      </c>
      <c r="K2924" s="45" t="s">
        <v>204</v>
      </c>
      <c r="L2924" s="437"/>
      <c r="M2924" s="474" t="s">
        <v>1856</v>
      </c>
      <c r="N2924" s="1013" t="s">
        <v>1856</v>
      </c>
      <c r="O2924" s="212" t="s">
        <v>4357</v>
      </c>
      <c r="P2924" s="66" t="s">
        <v>50</v>
      </c>
      <c r="Q2924" s="100">
        <f t="shared" si="1629"/>
        <v>0</v>
      </c>
      <c r="R2924" s="13" t="str">
        <f t="shared" si="1630"/>
        <v>Фото &gt;&gt;</v>
      </c>
      <c r="S2924" s="14" t="s">
        <v>4091</v>
      </c>
      <c r="AK2924">
        <v>0.09</v>
      </c>
      <c r="AL2924">
        <f t="shared" si="1634"/>
        <v>0</v>
      </c>
      <c r="AM2924">
        <f t="shared" si="1635"/>
        <v>0</v>
      </c>
      <c r="AN2924">
        <f t="shared" si="1633"/>
        <v>0</v>
      </c>
      <c r="AO2924" t="s">
        <v>5263</v>
      </c>
      <c r="AV2924" t="str">
        <f>IF(F2924&gt;0,(COUNT($AV$1:AV2923)+1),"")</f>
        <v/>
      </c>
    </row>
    <row r="2925" spans="1:48" ht="15" customHeight="1" x14ac:dyDescent="0.25">
      <c r="A2925" s="1"/>
      <c r="B2925" s="31">
        <v>16365</v>
      </c>
      <c r="C2925" s="16">
        <v>4620016880524</v>
      </c>
      <c r="D2925" s="226" t="s">
        <v>4430</v>
      </c>
      <c r="E2925" s="86">
        <v>24</v>
      </c>
      <c r="F2925" s="222"/>
      <c r="G2925" s="108">
        <v>80</v>
      </c>
      <c r="H2925" s="18">
        <v>82.5</v>
      </c>
      <c r="I2925" s="18">
        <v>85</v>
      </c>
      <c r="J2925" s="113" t="s">
        <v>1106</v>
      </c>
      <c r="K2925" s="44" t="s">
        <v>204</v>
      </c>
      <c r="L2925" s="442"/>
      <c r="M2925" s="480" t="s">
        <v>1856</v>
      </c>
      <c r="N2925" s="1015" t="s">
        <v>1856</v>
      </c>
      <c r="O2925" s="217" t="s">
        <v>4357</v>
      </c>
      <c r="P2925" s="68" t="s">
        <v>50</v>
      </c>
      <c r="Q2925" s="100">
        <f t="shared" si="1629"/>
        <v>0</v>
      </c>
      <c r="R2925" s="13" t="str">
        <f t="shared" si="1630"/>
        <v>Фото &gt;&gt;</v>
      </c>
      <c r="S2925" s="14" t="s">
        <v>1118</v>
      </c>
      <c r="AK2925">
        <v>0.09</v>
      </c>
      <c r="AL2925">
        <f t="shared" si="1634"/>
        <v>0</v>
      </c>
      <c r="AM2925">
        <f t="shared" si="1635"/>
        <v>0</v>
      </c>
      <c r="AN2925">
        <f t="shared" si="1633"/>
        <v>0</v>
      </c>
      <c r="AO2925" t="s">
        <v>5264</v>
      </c>
      <c r="AV2925" t="str">
        <f>IF(F2925&gt;0,(COUNT($AV$1:AV2924)+1),"")</f>
        <v/>
      </c>
    </row>
    <row r="2926" spans="1:48" ht="15" customHeight="1" x14ac:dyDescent="0.25">
      <c r="A2926" s="1"/>
      <c r="B2926" s="30">
        <v>16366</v>
      </c>
      <c r="C2926" s="20">
        <v>4620016880517</v>
      </c>
      <c r="D2926" s="225" t="s">
        <v>4431</v>
      </c>
      <c r="E2926" s="85">
        <v>24</v>
      </c>
      <c r="F2926" s="222"/>
      <c r="G2926" s="107">
        <v>72</v>
      </c>
      <c r="H2926" s="22">
        <v>74.3</v>
      </c>
      <c r="I2926" s="22">
        <v>77</v>
      </c>
      <c r="J2926" s="112" t="s">
        <v>1106</v>
      </c>
      <c r="K2926" s="45" t="s">
        <v>204</v>
      </c>
      <c r="L2926" s="437"/>
      <c r="M2926" s="474" t="s">
        <v>1856</v>
      </c>
      <c r="N2926" s="1013" t="s">
        <v>1856</v>
      </c>
      <c r="O2926" s="212" t="s">
        <v>4357</v>
      </c>
      <c r="P2926" s="66" t="s">
        <v>50</v>
      </c>
      <c r="Q2926" s="100">
        <f t="shared" si="1629"/>
        <v>0</v>
      </c>
      <c r="R2926" s="13" t="str">
        <f t="shared" si="1630"/>
        <v>Фото &gt;&gt;</v>
      </c>
      <c r="S2926" s="14" t="s">
        <v>4092</v>
      </c>
      <c r="AK2926">
        <v>0.09</v>
      </c>
      <c r="AL2926">
        <f t="shared" si="1634"/>
        <v>0</v>
      </c>
      <c r="AM2926">
        <f t="shared" si="1635"/>
        <v>0</v>
      </c>
      <c r="AN2926">
        <f t="shared" si="1633"/>
        <v>0</v>
      </c>
      <c r="AO2926" t="s">
        <v>5265</v>
      </c>
      <c r="AV2926" t="str">
        <f>IF(F2926&gt;0,(COUNT($AV$1:AV2925)+1),"")</f>
        <v/>
      </c>
    </row>
    <row r="2927" spans="1:48" ht="15" customHeight="1" x14ac:dyDescent="0.25">
      <c r="A2927" s="1"/>
      <c r="B2927" s="32">
        <v>15304</v>
      </c>
      <c r="C2927" s="33">
        <v>4620016880593</v>
      </c>
      <c r="D2927" s="227" t="s">
        <v>4415</v>
      </c>
      <c r="E2927" s="87">
        <v>24</v>
      </c>
      <c r="F2927" s="223"/>
      <c r="G2927" s="109">
        <v>80</v>
      </c>
      <c r="H2927" s="35">
        <v>82.5</v>
      </c>
      <c r="I2927" s="35">
        <v>85</v>
      </c>
      <c r="J2927" s="114" t="s">
        <v>1106</v>
      </c>
      <c r="K2927" s="57" t="s">
        <v>204</v>
      </c>
      <c r="L2927" s="438"/>
      <c r="M2927" s="484" t="s">
        <v>1856</v>
      </c>
      <c r="N2927" s="1008" t="s">
        <v>1856</v>
      </c>
      <c r="O2927" s="218" t="s">
        <v>4357</v>
      </c>
      <c r="P2927" s="70" t="s">
        <v>50</v>
      </c>
      <c r="Q2927" s="101">
        <f t="shared" si="1629"/>
        <v>0</v>
      </c>
      <c r="R2927" s="13" t="str">
        <f t="shared" ref="R2927:R2934" si="1636">IF(AO2927&gt;0,HYPERLINK(AO2927,"Фото &gt;&gt;"),"")</f>
        <v>Фото &gt;&gt;</v>
      </c>
      <c r="S2927" s="14" t="s">
        <v>1114</v>
      </c>
      <c r="AK2927">
        <v>0.09</v>
      </c>
      <c r="AL2927">
        <f t="shared" ref="AL2927:AL2934" si="1637">F2927*G2927</f>
        <v>0</v>
      </c>
      <c r="AM2927">
        <f t="shared" ref="AM2927:AM2934" si="1638">F2927*H2927</f>
        <v>0</v>
      </c>
      <c r="AN2927">
        <f t="shared" ref="AN2927:AN2934" si="1639">AK2927*F2927+IF(E2927&gt;1.01,F2927/E2927*0.2,0)</f>
        <v>0</v>
      </c>
      <c r="AO2927" t="s">
        <v>5266</v>
      </c>
      <c r="AV2927" t="str">
        <f>IF(F2927&gt;0,(COUNT($AV$1:AV2926)+1),"")</f>
        <v/>
      </c>
    </row>
    <row r="2928" spans="1:48" ht="15" customHeight="1" x14ac:dyDescent="0.25">
      <c r="A2928" s="1"/>
      <c r="B2928" s="957"/>
      <c r="C2928" s="958"/>
      <c r="D2928" s="959" t="s">
        <v>7071</v>
      </c>
      <c r="E2928" s="960"/>
      <c r="F2928" s="961"/>
      <c r="G2928" s="962"/>
      <c r="H2928" s="963"/>
      <c r="I2928" s="963"/>
      <c r="J2928" s="964"/>
      <c r="K2928" s="965"/>
      <c r="L2928" s="966"/>
      <c r="M2928" s="967" t="s">
        <v>104</v>
      </c>
      <c r="N2928" s="1035"/>
      <c r="O2928" s="968"/>
      <c r="P2928" s="969"/>
      <c r="Q2928" s="970"/>
      <c r="R2928" s="13"/>
      <c r="S2928" s="14"/>
      <c r="AV2928" t="str">
        <f>IF(F2928&gt;0,(COUNT($AV$1:AV2927)+1),"")</f>
        <v/>
      </c>
    </row>
    <row r="2929" spans="1:48" ht="15" customHeight="1" x14ac:dyDescent="0.25">
      <c r="A2929" s="1"/>
      <c r="B2929" s="767">
        <v>19667</v>
      </c>
      <c r="C2929" s="768">
        <v>4620016882726</v>
      </c>
      <c r="D2929" s="950" t="s">
        <v>3180</v>
      </c>
      <c r="E2929" s="769">
        <v>24</v>
      </c>
      <c r="F2929" s="954"/>
      <c r="G2929" s="770">
        <v>195</v>
      </c>
      <c r="H2929" s="771">
        <v>201.5</v>
      </c>
      <c r="I2929" s="771">
        <v>210</v>
      </c>
      <c r="J2929" s="772" t="s">
        <v>1106</v>
      </c>
      <c r="K2929" s="773" t="s">
        <v>204</v>
      </c>
      <c r="L2929" s="774"/>
      <c r="M2929" s="775"/>
      <c r="N2929" s="1016" t="s">
        <v>1856</v>
      </c>
      <c r="O2929" s="955"/>
      <c r="P2929" s="956" t="s">
        <v>50</v>
      </c>
      <c r="Q2929" s="103">
        <f t="shared" ref="Q2929:Q2934" si="1640">IF($AO$2909=2,F2929*H2929,IF($AO$2909=1,F2929*G2929,F2929*I2929))</f>
        <v>0</v>
      </c>
      <c r="R2929" s="13" t="str">
        <f t="shared" si="1636"/>
        <v>Фото &gt;&gt;</v>
      </c>
      <c r="S2929" s="14" t="s">
        <v>1926</v>
      </c>
      <c r="AK2929">
        <v>0.4</v>
      </c>
      <c r="AL2929">
        <f t="shared" si="1637"/>
        <v>0</v>
      </c>
      <c r="AM2929">
        <f t="shared" si="1638"/>
        <v>0</v>
      </c>
      <c r="AN2929">
        <f t="shared" si="1639"/>
        <v>0</v>
      </c>
      <c r="AO2929" t="s">
        <v>7067</v>
      </c>
      <c r="AV2929" t="str">
        <f>IF(F2929&gt;0,(COUNT($AV$1:AV2928)+1),"")</f>
        <v/>
      </c>
    </row>
    <row r="2930" spans="1:48" ht="15" customHeight="1" x14ac:dyDescent="0.25">
      <c r="A2930" s="1"/>
      <c r="B2930" s="30">
        <v>19666</v>
      </c>
      <c r="C2930" s="20">
        <v>4620016882702</v>
      </c>
      <c r="D2930" s="225" t="s">
        <v>3181</v>
      </c>
      <c r="E2930" s="67">
        <v>24</v>
      </c>
      <c r="F2930" s="222"/>
      <c r="G2930" s="107">
        <v>195</v>
      </c>
      <c r="H2930" s="22">
        <v>201.5</v>
      </c>
      <c r="I2930" s="22">
        <v>210</v>
      </c>
      <c r="J2930" s="112" t="s">
        <v>1106</v>
      </c>
      <c r="K2930" s="45" t="s">
        <v>204</v>
      </c>
      <c r="L2930" s="437"/>
      <c r="M2930" s="474"/>
      <c r="N2930" s="1013" t="s">
        <v>1856</v>
      </c>
      <c r="O2930" s="212"/>
      <c r="P2930" s="66" t="s">
        <v>50</v>
      </c>
      <c r="Q2930" s="100">
        <f t="shared" si="1640"/>
        <v>0</v>
      </c>
      <c r="R2930" s="13" t="str">
        <f t="shared" si="1636"/>
        <v>Фото &gt;&gt;</v>
      </c>
      <c r="S2930" s="14" t="s">
        <v>1928</v>
      </c>
      <c r="AK2930">
        <v>0.4</v>
      </c>
      <c r="AL2930">
        <f t="shared" si="1637"/>
        <v>0</v>
      </c>
      <c r="AM2930">
        <f t="shared" si="1638"/>
        <v>0</v>
      </c>
      <c r="AN2930">
        <f t="shared" si="1639"/>
        <v>0</v>
      </c>
      <c r="AO2930" t="s">
        <v>7068</v>
      </c>
      <c r="AV2930" t="str">
        <f>IF(F2930&gt;0,(COUNT($AV$1:AV2929)+1),"")</f>
        <v/>
      </c>
    </row>
    <row r="2931" spans="1:48" ht="15" customHeight="1" x14ac:dyDescent="0.25">
      <c r="A2931" s="1"/>
      <c r="B2931" s="31">
        <v>19664</v>
      </c>
      <c r="C2931" s="16">
        <v>4620016882689</v>
      </c>
      <c r="D2931" s="226" t="s">
        <v>3182</v>
      </c>
      <c r="E2931" s="69">
        <v>24</v>
      </c>
      <c r="F2931" s="222"/>
      <c r="G2931" s="108">
        <v>210</v>
      </c>
      <c r="H2931" s="18">
        <v>217</v>
      </c>
      <c r="I2931" s="18">
        <v>230</v>
      </c>
      <c r="J2931" s="113" t="s">
        <v>1106</v>
      </c>
      <c r="K2931" s="44" t="s">
        <v>204</v>
      </c>
      <c r="L2931" s="442"/>
      <c r="M2931" s="480"/>
      <c r="N2931" s="1015" t="s">
        <v>1856</v>
      </c>
      <c r="O2931" s="217"/>
      <c r="P2931" s="68" t="s">
        <v>50</v>
      </c>
      <c r="Q2931" s="100">
        <f t="shared" si="1640"/>
        <v>0</v>
      </c>
      <c r="R2931" s="13" t="str">
        <f t="shared" si="1636"/>
        <v>Фото &gt;&gt;</v>
      </c>
      <c r="S2931" s="14" t="s">
        <v>1927</v>
      </c>
      <c r="AK2931">
        <v>0.4</v>
      </c>
      <c r="AL2931">
        <f t="shared" si="1637"/>
        <v>0</v>
      </c>
      <c r="AM2931">
        <f t="shared" si="1638"/>
        <v>0</v>
      </c>
      <c r="AN2931">
        <f t="shared" si="1639"/>
        <v>0</v>
      </c>
      <c r="AO2931" t="s">
        <v>7069</v>
      </c>
      <c r="AV2931" t="str">
        <f>IF(F2931&gt;0,(COUNT($AV$1:AV2930)+1),"")</f>
        <v/>
      </c>
    </row>
    <row r="2932" spans="1:48" ht="15" customHeight="1" x14ac:dyDescent="0.25">
      <c r="A2932" s="1"/>
      <c r="B2932" s="37">
        <v>19665</v>
      </c>
      <c r="C2932" s="23">
        <v>4620016882757</v>
      </c>
      <c r="D2932" s="237" t="s">
        <v>3183</v>
      </c>
      <c r="E2932" s="75">
        <v>24</v>
      </c>
      <c r="F2932" s="223"/>
      <c r="G2932" s="111">
        <v>210</v>
      </c>
      <c r="H2932" s="24">
        <v>217</v>
      </c>
      <c r="I2932" s="24">
        <v>230</v>
      </c>
      <c r="J2932" s="115" t="s">
        <v>1106</v>
      </c>
      <c r="K2932" s="46" t="s">
        <v>204</v>
      </c>
      <c r="L2932" s="440"/>
      <c r="M2932" s="482"/>
      <c r="N2932" s="1002" t="s">
        <v>1856</v>
      </c>
      <c r="O2932" s="214"/>
      <c r="P2932" s="74" t="s">
        <v>50</v>
      </c>
      <c r="Q2932" s="100">
        <f t="shared" si="1640"/>
        <v>0</v>
      </c>
      <c r="R2932" s="13" t="str">
        <f t="shared" si="1636"/>
        <v>Фото &gt;&gt;</v>
      </c>
      <c r="S2932" s="14" t="s">
        <v>1929</v>
      </c>
      <c r="AK2932">
        <v>0.4</v>
      </c>
      <c r="AL2932">
        <f t="shared" si="1637"/>
        <v>0</v>
      </c>
      <c r="AM2932">
        <f t="shared" si="1638"/>
        <v>0</v>
      </c>
      <c r="AN2932">
        <f t="shared" si="1639"/>
        <v>0</v>
      </c>
      <c r="AO2932" t="s">
        <v>7070</v>
      </c>
      <c r="AV2932" t="str">
        <f>IF(F2932&gt;0,(COUNT($AV$1:AV2931)+1),"")</f>
        <v/>
      </c>
    </row>
    <row r="2933" spans="1:48" ht="15" customHeight="1" x14ac:dyDescent="0.25">
      <c r="A2933" s="1"/>
      <c r="B2933" s="795">
        <v>19668</v>
      </c>
      <c r="C2933" s="796">
        <v>4620016881491</v>
      </c>
      <c r="D2933" s="797" t="s">
        <v>1922</v>
      </c>
      <c r="E2933" s="798">
        <v>12</v>
      </c>
      <c r="F2933" s="789"/>
      <c r="G2933" s="810">
        <v>555</v>
      </c>
      <c r="H2933" s="800">
        <v>573.5</v>
      </c>
      <c r="I2933" s="800">
        <v>592</v>
      </c>
      <c r="J2933" s="801" t="s">
        <v>1106</v>
      </c>
      <c r="K2933" s="802" t="s">
        <v>204</v>
      </c>
      <c r="L2933" s="803"/>
      <c r="M2933" s="804"/>
      <c r="N2933" s="1006" t="s">
        <v>1856</v>
      </c>
      <c r="O2933" s="953"/>
      <c r="P2933" s="806" t="s">
        <v>50</v>
      </c>
      <c r="Q2933" s="100">
        <f t="shared" si="1640"/>
        <v>0</v>
      </c>
      <c r="R2933" s="13" t="str">
        <f t="shared" si="1636"/>
        <v>Фото &gt;&gt;</v>
      </c>
      <c r="S2933" s="14" t="s">
        <v>1925</v>
      </c>
      <c r="AK2933">
        <v>0.7</v>
      </c>
      <c r="AL2933">
        <f t="shared" si="1637"/>
        <v>0</v>
      </c>
      <c r="AM2933">
        <f t="shared" si="1638"/>
        <v>0</v>
      </c>
      <c r="AN2933">
        <f t="shared" si="1639"/>
        <v>0</v>
      </c>
      <c r="AO2933" t="s">
        <v>2796</v>
      </c>
      <c r="AV2933" t="str">
        <f>IF(F2933&gt;0,(COUNT($AV$1:AV2932)+1),"")</f>
        <v/>
      </c>
    </row>
    <row r="2934" spans="1:48" ht="15" customHeight="1" x14ac:dyDescent="0.25">
      <c r="A2934" s="1"/>
      <c r="B2934" s="30">
        <v>19669</v>
      </c>
      <c r="C2934" s="20">
        <v>4620016882351</v>
      </c>
      <c r="D2934" s="225" t="s">
        <v>1923</v>
      </c>
      <c r="E2934" s="67">
        <v>12</v>
      </c>
      <c r="F2934" s="222"/>
      <c r="G2934" s="107">
        <v>220.3</v>
      </c>
      <c r="H2934" s="22">
        <v>228</v>
      </c>
      <c r="I2934" s="22">
        <v>243.8</v>
      </c>
      <c r="J2934" s="112" t="s">
        <v>1106</v>
      </c>
      <c r="K2934" s="45" t="s">
        <v>219</v>
      </c>
      <c r="L2934" s="437"/>
      <c r="M2934" s="474"/>
      <c r="N2934" s="1013" t="s">
        <v>1856</v>
      </c>
      <c r="O2934" s="209"/>
      <c r="P2934" s="66" t="s">
        <v>50</v>
      </c>
      <c r="Q2934" s="100">
        <f t="shared" si="1640"/>
        <v>0</v>
      </c>
      <c r="R2934" s="13" t="str">
        <f t="shared" si="1636"/>
        <v>Фото &gt;&gt;</v>
      </c>
      <c r="S2934" s="14" t="s">
        <v>1924</v>
      </c>
      <c r="AK2934">
        <v>0.7</v>
      </c>
      <c r="AL2934">
        <f t="shared" si="1637"/>
        <v>0</v>
      </c>
      <c r="AM2934">
        <f t="shared" si="1638"/>
        <v>0</v>
      </c>
      <c r="AN2934">
        <f t="shared" si="1639"/>
        <v>0</v>
      </c>
      <c r="AO2934" t="s">
        <v>2797</v>
      </c>
      <c r="AV2934" t="str">
        <f>IF(F2934&gt;0,(COUNT($AV$1:AV2933)+1),"")</f>
        <v/>
      </c>
    </row>
    <row r="2935" spans="1:48" ht="15" customHeight="1" x14ac:dyDescent="0.25">
      <c r="A2935" s="1"/>
      <c r="B2935" s="125"/>
      <c r="C2935" s="126"/>
      <c r="D2935" s="127"/>
      <c r="E2935" s="134"/>
      <c r="F2935" s="189"/>
      <c r="G2935" s="130"/>
      <c r="H2935" s="131"/>
      <c r="I2935" s="132"/>
      <c r="J2935" s="128"/>
      <c r="K2935" s="129"/>
      <c r="L2935" s="433"/>
      <c r="M2935" s="481" t="s">
        <v>104</v>
      </c>
      <c r="N2935" s="471"/>
      <c r="O2935" s="181"/>
      <c r="P2935" s="133"/>
      <c r="Q2935" s="135"/>
      <c r="R2935" s="13"/>
      <c r="S2935" s="14"/>
      <c r="AV2935" t="str">
        <f>IF(F2935&gt;0,(COUNT($AV$1:AV2934)+1),"")</f>
        <v/>
      </c>
    </row>
    <row r="2936" spans="1:48" ht="15" customHeight="1" thickBot="1" x14ac:dyDescent="0.3">
      <c r="A2936" s="1"/>
      <c r="B2936" s="136"/>
      <c r="C2936" s="137"/>
      <c r="D2936" s="138"/>
      <c r="E2936" s="145"/>
      <c r="F2936" s="190"/>
      <c r="G2936" s="141"/>
      <c r="H2936" s="142"/>
      <c r="I2936" s="143"/>
      <c r="J2936" s="139"/>
      <c r="K2936" s="140"/>
      <c r="L2936" s="434"/>
      <c r="M2936" s="477" t="s">
        <v>104</v>
      </c>
      <c r="N2936" s="468"/>
      <c r="O2936" s="182"/>
      <c r="P2936" s="144"/>
      <c r="Q2936" s="146"/>
      <c r="R2936" s="13"/>
      <c r="S2936" s="14"/>
      <c r="AV2936" t="str">
        <f>IF(F2936&gt;0,(COUNT($AV$1:AV2935)+1),"")</f>
        <v/>
      </c>
    </row>
    <row r="2937" spans="1:48" ht="24.75" customHeight="1" thickBot="1" x14ac:dyDescent="0.3">
      <c r="A2937" s="1"/>
      <c r="B2937" s="169"/>
      <c r="C2937" s="170"/>
      <c r="D2937" s="171" t="str">
        <f>CONCATENATE("Домашний погребок","     |     Сумма заказа: ",AK2937," руб.")</f>
        <v>Домашний погребок     |     Сумма заказа: 0 руб.</v>
      </c>
      <c r="E2937" s="176"/>
      <c r="F2937" s="177"/>
      <c r="G2937" s="180" t="str">
        <f>CONCATENATE("Ценовая колонка: ",AO2937,"   |   До следующей скидки: ",AJ2937," руб.")</f>
        <v>Ценовая колонка: 3   |   До следующей скидки: 3000 руб.</v>
      </c>
      <c r="H2937" s="174"/>
      <c r="I2937" s="174"/>
      <c r="J2937" s="172" t="s">
        <v>1119</v>
      </c>
      <c r="K2937" s="173"/>
      <c r="L2937" s="444"/>
      <c r="M2937" s="486" t="s">
        <v>104</v>
      </c>
      <c r="N2937" s="717"/>
      <c r="O2937" s="184"/>
      <c r="P2937" s="175"/>
      <c r="Q2937" s="178"/>
      <c r="R2937" s="179" t="s">
        <v>1558</v>
      </c>
      <c r="S2937" s="14"/>
      <c r="AJ2937">
        <f>ROUND(IF(AL2937&gt;10000,"0", IF(AND(AL2937&lt;10000,AM2937&gt;3000),10000-AL2937,3000-AM2937)),2)</f>
        <v>3000</v>
      </c>
      <c r="AK2937">
        <f>SUM(Q2939:Q2942)</f>
        <v>0</v>
      </c>
      <c r="AL2937">
        <f>SUM(AL2939:AL2942)</f>
        <v>0</v>
      </c>
      <c r="AM2937">
        <f>SUM(AM2939:AM2942)</f>
        <v>0</v>
      </c>
      <c r="AO2937">
        <f>IF(AM2937&gt;3000,IF(AL2937&gt;10000,1,2),3)</f>
        <v>3</v>
      </c>
      <c r="AV2937" t="str">
        <f>IF(F2937&gt;0,(COUNT($AV$1:AV2936)+1),"")</f>
        <v/>
      </c>
    </row>
    <row r="2938" spans="1:48" ht="15" customHeight="1" x14ac:dyDescent="0.25">
      <c r="A2938" s="1"/>
      <c r="B2938" s="296"/>
      <c r="C2938" s="38"/>
      <c r="D2938" s="39" t="s">
        <v>1471</v>
      </c>
      <c r="E2938" s="82"/>
      <c r="F2938" s="97"/>
      <c r="G2938" s="40" t="s">
        <v>1451</v>
      </c>
      <c r="H2938" s="41" t="s">
        <v>1461</v>
      </c>
      <c r="I2938" s="41" t="s">
        <v>221</v>
      </c>
      <c r="J2938" s="52"/>
      <c r="K2938" s="48"/>
      <c r="L2938" s="448"/>
      <c r="M2938" s="491" t="s">
        <v>104</v>
      </c>
      <c r="N2938" s="715"/>
      <c r="O2938" s="187"/>
      <c r="P2938" s="81"/>
      <c r="Q2938" s="105"/>
      <c r="R2938" s="13"/>
      <c r="S2938" s="14"/>
      <c r="AV2938" t="str">
        <f>IF(F2938&gt;0,(COUNT($AV$1:AV2937)+1),"")</f>
        <v/>
      </c>
    </row>
    <row r="2939" spans="1:48" ht="15" customHeight="1" x14ac:dyDescent="0.25">
      <c r="A2939" s="1"/>
      <c r="B2939" s="30">
        <v>17907</v>
      </c>
      <c r="C2939" s="20">
        <v>4650099350812</v>
      </c>
      <c r="D2939" s="225" t="s">
        <v>1463</v>
      </c>
      <c r="E2939" s="67">
        <v>6</v>
      </c>
      <c r="F2939" s="222"/>
      <c r="G2939" s="107">
        <v>181.5</v>
      </c>
      <c r="H2939" s="22">
        <v>195.8</v>
      </c>
      <c r="I2939" s="22">
        <v>209</v>
      </c>
      <c r="J2939" s="112" t="s">
        <v>1119</v>
      </c>
      <c r="K2939" s="45" t="s">
        <v>219</v>
      </c>
      <c r="L2939" s="437"/>
      <c r="M2939" s="474" t="s">
        <v>1856</v>
      </c>
      <c r="N2939" s="1013" t="s">
        <v>1856</v>
      </c>
      <c r="O2939" s="216"/>
      <c r="P2939" s="66" t="s">
        <v>50</v>
      </c>
      <c r="Q2939" s="100">
        <f>IF($AO$2937=2,F2939*H2939,IF($AO$2937=1,F2939*G2939,F2939*I2939))</f>
        <v>0</v>
      </c>
      <c r="R2939" s="13" t="str">
        <f t="shared" ref="R2939:R2956" si="1641">IF(AO2939&gt;0,HYPERLINK(AO2939,"Фото &gt;&gt;"),"")</f>
        <v>Фото &gt;&gt;</v>
      </c>
      <c r="S2939" s="14" t="s">
        <v>1663</v>
      </c>
      <c r="AK2939">
        <v>0.37</v>
      </c>
      <c r="AL2939">
        <f>F2939*G2939</f>
        <v>0</v>
      </c>
      <c r="AM2939">
        <f>F2939*H2939</f>
        <v>0</v>
      </c>
      <c r="AN2939">
        <f>AK2939*F2939+IF(E2939&gt;1.01,F2939/E2939*0.2,0)</f>
        <v>0</v>
      </c>
      <c r="AO2939" t="s">
        <v>5493</v>
      </c>
      <c r="AV2939" t="str">
        <f>IF(F2939&gt;0,(COUNT($AV$1:AV2938)+1),"")</f>
        <v/>
      </c>
    </row>
    <row r="2940" spans="1:48" ht="15" customHeight="1" x14ac:dyDescent="0.25">
      <c r="A2940" s="1"/>
      <c r="B2940" s="31">
        <v>18461</v>
      </c>
      <c r="C2940" s="16">
        <v>4650099350836</v>
      </c>
      <c r="D2940" s="226" t="s">
        <v>1860</v>
      </c>
      <c r="E2940" s="69">
        <v>6</v>
      </c>
      <c r="F2940" s="222"/>
      <c r="G2940" s="108">
        <v>326.7</v>
      </c>
      <c r="H2940" s="18">
        <v>365.2</v>
      </c>
      <c r="I2940" s="18">
        <v>401.5</v>
      </c>
      <c r="J2940" s="113" t="s">
        <v>1119</v>
      </c>
      <c r="K2940" s="44" t="s">
        <v>219</v>
      </c>
      <c r="L2940" s="442"/>
      <c r="M2940" s="480" t="s">
        <v>1856</v>
      </c>
      <c r="N2940" s="1015" t="s">
        <v>1856</v>
      </c>
      <c r="O2940" s="220"/>
      <c r="P2940" s="68" t="s">
        <v>50</v>
      </c>
      <c r="Q2940" s="100">
        <f>IF($AO$2937=2,F2940*H2940,IF($AO$2937=1,F2940*G2940,F2940*I2940))</f>
        <v>0</v>
      </c>
      <c r="R2940" s="13" t="str">
        <f t="shared" ref="R2940" si="1642">IF(AO2940&gt;0,HYPERLINK(AO2940,"Фото &gt;&gt;"),"")</f>
        <v>Фото &gt;&gt;</v>
      </c>
      <c r="S2940" s="14" t="s">
        <v>1663</v>
      </c>
      <c r="AK2940">
        <v>0.7</v>
      </c>
      <c r="AL2940">
        <f>F2940*G2940</f>
        <v>0</v>
      </c>
      <c r="AM2940">
        <f>F2940*H2940</f>
        <v>0</v>
      </c>
      <c r="AN2940">
        <f>AK2940*F2940+IF(E2940&gt;1.01,F2940/E2940*0.2,0)</f>
        <v>0</v>
      </c>
      <c r="AO2940" t="s">
        <v>5494</v>
      </c>
      <c r="AV2940" t="str">
        <f>IF(F2940&gt;0,(COUNT($AV$1:AV2939)+1),"")</f>
        <v/>
      </c>
    </row>
    <row r="2941" spans="1:48" ht="15" customHeight="1" x14ac:dyDescent="0.25">
      <c r="A2941" s="1"/>
      <c r="B2941" s="30">
        <v>18855</v>
      </c>
      <c r="C2941" s="20">
        <v>4650099350874</v>
      </c>
      <c r="D2941" s="225" t="s">
        <v>2092</v>
      </c>
      <c r="E2941" s="67">
        <v>6</v>
      </c>
      <c r="F2941" s="222"/>
      <c r="G2941" s="107">
        <v>629.20000000000005</v>
      </c>
      <c r="H2941" s="22">
        <v>679.8</v>
      </c>
      <c r="I2941" s="22">
        <v>748</v>
      </c>
      <c r="J2941" s="112" t="s">
        <v>1119</v>
      </c>
      <c r="K2941" s="45" t="s">
        <v>219</v>
      </c>
      <c r="L2941" s="437"/>
      <c r="M2941" s="474" t="s">
        <v>1856</v>
      </c>
      <c r="N2941" s="1013" t="s">
        <v>1856</v>
      </c>
      <c r="O2941" s="216"/>
      <c r="P2941" s="66" t="s">
        <v>50</v>
      </c>
      <c r="Q2941" s="100">
        <f>IF($AO$2937=2,F2941*H2941,IF($AO$2937=1,F2941*G2941,F2941*I2941))</f>
        <v>0</v>
      </c>
      <c r="R2941" s="13" t="str">
        <f t="shared" si="1641"/>
        <v>Фото &gt;&gt;</v>
      </c>
      <c r="S2941" s="14" t="s">
        <v>1663</v>
      </c>
      <c r="AK2941">
        <v>1.1499999999999999</v>
      </c>
      <c r="AL2941">
        <f>F2941*G2941</f>
        <v>0</v>
      </c>
      <c r="AM2941">
        <f>F2941*H2941</f>
        <v>0</v>
      </c>
      <c r="AN2941">
        <f>AK2941*F2941+IF(E2941&gt;1.01,F2941/E2941*0.2,0)</f>
        <v>0</v>
      </c>
      <c r="AO2941" t="s">
        <v>5495</v>
      </c>
      <c r="AV2941" t="str">
        <f>IF(F2941&gt;0,(COUNT($AV$1:AV2940)+1),"")</f>
        <v/>
      </c>
    </row>
    <row r="2942" spans="1:48" ht="15" customHeight="1" x14ac:dyDescent="0.25">
      <c r="A2942" s="1"/>
      <c r="B2942" s="31">
        <v>18856</v>
      </c>
      <c r="C2942" s="16">
        <v>4650099350829</v>
      </c>
      <c r="D2942" s="226" t="s">
        <v>1861</v>
      </c>
      <c r="E2942" s="69">
        <v>1</v>
      </c>
      <c r="F2942" s="222"/>
      <c r="G2942" s="108">
        <v>2981</v>
      </c>
      <c r="H2942" s="18">
        <v>3256</v>
      </c>
      <c r="I2942" s="18">
        <v>3581</v>
      </c>
      <c r="J2942" s="113" t="s">
        <v>1119</v>
      </c>
      <c r="K2942" s="44" t="s">
        <v>219</v>
      </c>
      <c r="L2942" s="442"/>
      <c r="M2942" s="480" t="s">
        <v>1856</v>
      </c>
      <c r="N2942" s="1015" t="s">
        <v>1856</v>
      </c>
      <c r="O2942" s="220"/>
      <c r="P2942" s="68" t="s">
        <v>50</v>
      </c>
      <c r="Q2942" s="100">
        <f>IF($AO$2937=2,F2942*H2942,IF($AO$2937=1,F2942*G2942,F2942*I2942))</f>
        <v>0</v>
      </c>
      <c r="R2942" s="13" t="str">
        <f t="shared" si="1641"/>
        <v>Фото &gt;&gt;</v>
      </c>
      <c r="S2942" s="14" t="s">
        <v>1663</v>
      </c>
      <c r="AK2942">
        <v>5.15</v>
      </c>
      <c r="AL2942">
        <f>F2942*G2942</f>
        <v>0</v>
      </c>
      <c r="AM2942">
        <f>F2942*H2942</f>
        <v>0</v>
      </c>
      <c r="AN2942">
        <f>AK2942*F2942+IF(E2942&gt;1.01,F2942/E2942*0.2,0)</f>
        <v>0</v>
      </c>
      <c r="AO2942" t="s">
        <v>5496</v>
      </c>
      <c r="AV2942" t="str">
        <f>IF(F2942&gt;0,(COUNT($AV$1:AV2941)+1),"")</f>
        <v/>
      </c>
    </row>
    <row r="2943" spans="1:48" ht="15" customHeight="1" x14ac:dyDescent="0.25">
      <c r="A2943" s="1"/>
      <c r="B2943" s="125"/>
      <c r="C2943" s="126"/>
      <c r="D2943" s="127"/>
      <c r="E2943" s="134"/>
      <c r="F2943" s="189"/>
      <c r="G2943" s="130"/>
      <c r="H2943" s="131"/>
      <c r="I2943" s="132"/>
      <c r="J2943" s="128"/>
      <c r="K2943" s="129"/>
      <c r="L2943" s="433"/>
      <c r="M2943" s="481" t="s">
        <v>104</v>
      </c>
      <c r="N2943" s="471"/>
      <c r="O2943" s="181"/>
      <c r="P2943" s="133"/>
      <c r="Q2943" s="135"/>
      <c r="R2943" s="13"/>
      <c r="S2943" s="14"/>
      <c r="AV2943" t="str">
        <f>IF(F2943&gt;0,(COUNT($AV$1:AV2942)+1),"")</f>
        <v/>
      </c>
    </row>
    <row r="2944" spans="1:48" ht="15" customHeight="1" thickBot="1" x14ac:dyDescent="0.3">
      <c r="A2944" s="1"/>
      <c r="B2944" s="136"/>
      <c r="C2944" s="137"/>
      <c r="D2944" s="138"/>
      <c r="E2944" s="145"/>
      <c r="F2944" s="190"/>
      <c r="G2944" s="141"/>
      <c r="H2944" s="142"/>
      <c r="I2944" s="143"/>
      <c r="J2944" s="139"/>
      <c r="K2944" s="140"/>
      <c r="L2944" s="434"/>
      <c r="M2944" s="477" t="s">
        <v>104</v>
      </c>
      <c r="N2944" s="468"/>
      <c r="O2944" s="182"/>
      <c r="P2944" s="144"/>
      <c r="Q2944" s="146"/>
      <c r="R2944" s="13"/>
      <c r="S2944" s="14"/>
      <c r="AV2944" t="str">
        <f>IF(F2944&gt;0,(COUNT($AV$1:AV2943)+1),"")</f>
        <v/>
      </c>
    </row>
    <row r="2945" spans="1:48" ht="24.75" customHeight="1" thickBot="1" x14ac:dyDescent="0.3">
      <c r="A2945" s="1"/>
      <c r="B2945" s="169"/>
      <c r="C2945" s="170"/>
      <c r="D2945" s="171" t="str">
        <f>CONCATENATE("Смоква (Эко пастила)","     |     Сумма заказа: ",AK2945," руб.")</f>
        <v>Смоква (Эко пастила)     |     Сумма заказа: 0 руб.</v>
      </c>
      <c r="E2945" s="176"/>
      <c r="F2945" s="177"/>
      <c r="G2945" s="180" t="str">
        <f>CONCATENATE("Ценовая колонка: ",AO2945,"   |   До следующей скидки: ",AJ2945," руб.")</f>
        <v>Ценовая колонка: 3   |   До следующей скидки: 5000 руб.</v>
      </c>
      <c r="H2945" s="174"/>
      <c r="I2945" s="174"/>
      <c r="J2945" s="172" t="s">
        <v>2192</v>
      </c>
      <c r="K2945" s="173"/>
      <c r="L2945" s="444"/>
      <c r="M2945" s="486" t="s">
        <v>104</v>
      </c>
      <c r="N2945" s="717"/>
      <c r="O2945" s="184"/>
      <c r="P2945" s="175"/>
      <c r="Q2945" s="178"/>
      <c r="R2945" s="179" t="s">
        <v>1558</v>
      </c>
      <c r="S2945" s="14"/>
      <c r="AJ2945">
        <f>ROUND(IF(AL2945&gt;10000,"0", IF(AND(AL2945&lt;10000,AM2945&gt;5000),10000-AL2945,5000-AM2945)),2)</f>
        <v>5000</v>
      </c>
      <c r="AK2945">
        <f>SUM(Q2947:AI2956)</f>
        <v>0</v>
      </c>
      <c r="AL2945">
        <f>SUM(AL2947:AL2956)</f>
        <v>0</v>
      </c>
      <c r="AM2945">
        <f>SUM(AM2947:AM2956)</f>
        <v>0</v>
      </c>
      <c r="AO2945">
        <f>IF(AM2945&gt;5000,IF(AL2945&gt;10000,1,2),3)</f>
        <v>3</v>
      </c>
      <c r="AV2945" t="str">
        <f>IF(F2945&gt;0,(COUNT($AV$1:AV2944)+1),"")</f>
        <v/>
      </c>
    </row>
    <row r="2946" spans="1:48" ht="15" customHeight="1" x14ac:dyDescent="0.25">
      <c r="A2946" s="1"/>
      <c r="B2946" s="296"/>
      <c r="C2946" s="38"/>
      <c r="D2946" s="39" t="s">
        <v>1472</v>
      </c>
      <c r="E2946" s="82"/>
      <c r="F2946" s="97"/>
      <c r="G2946" s="40" t="s">
        <v>1451</v>
      </c>
      <c r="H2946" s="41" t="s">
        <v>16</v>
      </c>
      <c r="I2946" s="41" t="s">
        <v>221</v>
      </c>
      <c r="J2946" s="52"/>
      <c r="K2946" s="48"/>
      <c r="L2946" s="448"/>
      <c r="M2946" s="491" t="s">
        <v>104</v>
      </c>
      <c r="N2946" s="715"/>
      <c r="O2946" s="187"/>
      <c r="P2946" s="81"/>
      <c r="Q2946" s="105"/>
      <c r="R2946" s="13"/>
      <c r="S2946" s="14"/>
      <c r="AV2946" t="str">
        <f>IF(F2946&gt;0,(COUNT($AV$1:AV2945)+1),"")</f>
        <v/>
      </c>
    </row>
    <row r="2947" spans="1:48" ht="15" customHeight="1" x14ac:dyDescent="0.25">
      <c r="A2947" s="1"/>
      <c r="B2947" s="31">
        <v>15585</v>
      </c>
      <c r="C2947" s="16">
        <v>4603738216147</v>
      </c>
      <c r="D2947" s="154" t="s">
        <v>1673</v>
      </c>
      <c r="E2947" s="86">
        <v>30</v>
      </c>
      <c r="F2947" s="222"/>
      <c r="G2947" s="108">
        <v>50</v>
      </c>
      <c r="H2947" s="18">
        <v>52.5</v>
      </c>
      <c r="I2947" s="18">
        <v>56.1</v>
      </c>
      <c r="J2947" s="113" t="s">
        <v>2192</v>
      </c>
      <c r="K2947" s="44" t="s">
        <v>428</v>
      </c>
      <c r="L2947" s="442"/>
      <c r="M2947" s="480" t="s">
        <v>1856</v>
      </c>
      <c r="N2947" s="1015" t="s">
        <v>1856</v>
      </c>
      <c r="O2947" s="217" t="s">
        <v>1565</v>
      </c>
      <c r="P2947" s="68" t="s">
        <v>72</v>
      </c>
      <c r="Q2947" s="100">
        <f t="shared" ref="Q2947:Q2956" si="1643">IF($AO$2945=2,F2947*H2947,IF($AO$2945=1,F2947*G2947,F2947*I2947))</f>
        <v>0</v>
      </c>
      <c r="R2947" s="13" t="str">
        <f t="shared" si="1641"/>
        <v>Фото &gt;&gt;</v>
      </c>
      <c r="S2947" s="14" t="s">
        <v>1120</v>
      </c>
      <c r="AK2947">
        <v>0.14000000000000001</v>
      </c>
      <c r="AL2947">
        <f t="shared" ref="AL2947:AL2956" si="1644">F2947*G2947</f>
        <v>0</v>
      </c>
      <c r="AM2947">
        <f t="shared" ref="AM2947:AM2956" si="1645">F2947*H2947</f>
        <v>0</v>
      </c>
      <c r="AN2947">
        <f t="shared" ref="AN2947:AN2956" si="1646">AK2947*F2947+IF(E2947&gt;1.01,F2947/E2947*0.2,0)</f>
        <v>0</v>
      </c>
      <c r="AO2947" t="s">
        <v>5267</v>
      </c>
      <c r="AV2947" t="str">
        <f>IF(F2947&gt;0,(COUNT($AV$1:AV2946)+1),"")</f>
        <v/>
      </c>
    </row>
    <row r="2948" spans="1:48" ht="15" customHeight="1" x14ac:dyDescent="0.25">
      <c r="A2948" s="1"/>
      <c r="B2948" s="30">
        <v>15582</v>
      </c>
      <c r="C2948" s="20">
        <v>4603738216130</v>
      </c>
      <c r="D2948" s="153" t="s">
        <v>1672</v>
      </c>
      <c r="E2948" s="85">
        <v>30</v>
      </c>
      <c r="F2948" s="222"/>
      <c r="G2948" s="107">
        <v>50</v>
      </c>
      <c r="H2948" s="22">
        <v>52.5</v>
      </c>
      <c r="I2948" s="22">
        <v>56.1</v>
      </c>
      <c r="J2948" s="112" t="s">
        <v>2192</v>
      </c>
      <c r="K2948" s="45" t="s">
        <v>428</v>
      </c>
      <c r="L2948" s="437"/>
      <c r="M2948" s="474" t="s">
        <v>1856</v>
      </c>
      <c r="N2948" s="1013" t="s">
        <v>1856</v>
      </c>
      <c r="O2948" s="212" t="s">
        <v>1565</v>
      </c>
      <c r="P2948" s="66" t="s">
        <v>72</v>
      </c>
      <c r="Q2948" s="100">
        <f t="shared" si="1643"/>
        <v>0</v>
      </c>
      <c r="R2948" s="13" t="str">
        <f t="shared" si="1641"/>
        <v>Фото &gt;&gt;</v>
      </c>
      <c r="S2948" s="14" t="s">
        <v>1121</v>
      </c>
      <c r="AK2948">
        <v>0.14000000000000001</v>
      </c>
      <c r="AL2948">
        <f t="shared" si="1644"/>
        <v>0</v>
      </c>
      <c r="AM2948">
        <f t="shared" si="1645"/>
        <v>0</v>
      </c>
      <c r="AN2948">
        <f t="shared" si="1646"/>
        <v>0</v>
      </c>
      <c r="AO2948" t="s">
        <v>5497</v>
      </c>
      <c r="AV2948" t="str">
        <f>IF(F2948&gt;0,(COUNT($AV$1:AV2947)+1),"")</f>
        <v/>
      </c>
    </row>
    <row r="2949" spans="1:48" ht="15" customHeight="1" x14ac:dyDescent="0.25">
      <c r="A2949" s="1"/>
      <c r="B2949" s="31">
        <v>15586</v>
      </c>
      <c r="C2949" s="16">
        <v>4603738216161</v>
      </c>
      <c r="D2949" s="154" t="s">
        <v>1664</v>
      </c>
      <c r="E2949" s="86">
        <v>30</v>
      </c>
      <c r="F2949" s="222"/>
      <c r="G2949" s="108">
        <v>50</v>
      </c>
      <c r="H2949" s="18">
        <v>52.5</v>
      </c>
      <c r="I2949" s="18">
        <v>56.1</v>
      </c>
      <c r="J2949" s="113" t="s">
        <v>2192</v>
      </c>
      <c r="K2949" s="44" t="s">
        <v>428</v>
      </c>
      <c r="L2949" s="442"/>
      <c r="M2949" s="480" t="s">
        <v>1856</v>
      </c>
      <c r="N2949" s="1015" t="s">
        <v>1856</v>
      </c>
      <c r="O2949" s="217" t="s">
        <v>1565</v>
      </c>
      <c r="P2949" s="68" t="s">
        <v>72</v>
      </c>
      <c r="Q2949" s="100">
        <f t="shared" si="1643"/>
        <v>0</v>
      </c>
      <c r="R2949" s="13" t="str">
        <f t="shared" si="1641"/>
        <v>Фото &gt;&gt;</v>
      </c>
      <c r="S2949" s="14" t="s">
        <v>1122</v>
      </c>
      <c r="AK2949">
        <v>0.14000000000000001</v>
      </c>
      <c r="AL2949">
        <f t="shared" si="1644"/>
        <v>0</v>
      </c>
      <c r="AM2949">
        <f t="shared" si="1645"/>
        <v>0</v>
      </c>
      <c r="AN2949">
        <f t="shared" si="1646"/>
        <v>0</v>
      </c>
      <c r="AO2949" t="s">
        <v>5498</v>
      </c>
      <c r="AV2949" t="str">
        <f>IF(F2949&gt;0,(COUNT($AV$1:AV2948)+1),"")</f>
        <v/>
      </c>
    </row>
    <row r="2950" spans="1:48" ht="15" customHeight="1" x14ac:dyDescent="0.25">
      <c r="A2950" s="1"/>
      <c r="B2950" s="30">
        <v>15587</v>
      </c>
      <c r="C2950" s="20">
        <v>4603738216185</v>
      </c>
      <c r="D2950" s="153" t="s">
        <v>1665</v>
      </c>
      <c r="E2950" s="85">
        <v>30</v>
      </c>
      <c r="F2950" s="222"/>
      <c r="G2950" s="107">
        <v>50</v>
      </c>
      <c r="H2950" s="22">
        <v>52.5</v>
      </c>
      <c r="I2950" s="22">
        <v>56.1</v>
      </c>
      <c r="J2950" s="112" t="s">
        <v>2192</v>
      </c>
      <c r="K2950" s="45" t="s">
        <v>428</v>
      </c>
      <c r="L2950" s="437"/>
      <c r="M2950" s="474" t="s">
        <v>1856</v>
      </c>
      <c r="N2950" s="1013" t="s">
        <v>1856</v>
      </c>
      <c r="O2950" s="212" t="s">
        <v>1565</v>
      </c>
      <c r="P2950" s="66" t="s">
        <v>72</v>
      </c>
      <c r="Q2950" s="100">
        <f t="shared" si="1643"/>
        <v>0</v>
      </c>
      <c r="R2950" s="13" t="str">
        <f t="shared" si="1641"/>
        <v>Фото &gt;&gt;</v>
      </c>
      <c r="S2950" s="14" t="s">
        <v>1123</v>
      </c>
      <c r="AK2950">
        <v>0.14000000000000001</v>
      </c>
      <c r="AL2950">
        <f t="shared" si="1644"/>
        <v>0</v>
      </c>
      <c r="AM2950">
        <f t="shared" si="1645"/>
        <v>0</v>
      </c>
      <c r="AN2950">
        <f t="shared" si="1646"/>
        <v>0</v>
      </c>
      <c r="AO2950" t="s">
        <v>5499</v>
      </c>
      <c r="AV2950" t="str">
        <f>IF(F2950&gt;0,(COUNT($AV$1:AV2949)+1),"")</f>
        <v/>
      </c>
    </row>
    <row r="2951" spans="1:48" ht="15" customHeight="1" x14ac:dyDescent="0.25">
      <c r="A2951" s="1"/>
      <c r="B2951" s="31">
        <v>15589</v>
      </c>
      <c r="C2951" s="16">
        <v>4603738216208</v>
      </c>
      <c r="D2951" s="154" t="s">
        <v>1666</v>
      </c>
      <c r="E2951" s="86">
        <v>30</v>
      </c>
      <c r="F2951" s="222"/>
      <c r="G2951" s="108">
        <v>50</v>
      </c>
      <c r="H2951" s="18">
        <v>52.5</v>
      </c>
      <c r="I2951" s="18">
        <v>56.1</v>
      </c>
      <c r="J2951" s="113" t="s">
        <v>2192</v>
      </c>
      <c r="K2951" s="44" t="s">
        <v>428</v>
      </c>
      <c r="L2951" s="442"/>
      <c r="M2951" s="480" t="s">
        <v>1856</v>
      </c>
      <c r="N2951" s="1015" t="s">
        <v>1856</v>
      </c>
      <c r="O2951" s="217" t="s">
        <v>1565</v>
      </c>
      <c r="P2951" s="68" t="s">
        <v>72</v>
      </c>
      <c r="Q2951" s="100">
        <f t="shared" si="1643"/>
        <v>0</v>
      </c>
      <c r="R2951" s="13" t="str">
        <f t="shared" si="1641"/>
        <v>Фото &gt;&gt;</v>
      </c>
      <c r="S2951" s="14" t="s">
        <v>1124</v>
      </c>
      <c r="AK2951">
        <v>0.14000000000000001</v>
      </c>
      <c r="AL2951">
        <f t="shared" si="1644"/>
        <v>0</v>
      </c>
      <c r="AM2951">
        <f t="shared" si="1645"/>
        <v>0</v>
      </c>
      <c r="AN2951">
        <f t="shared" si="1646"/>
        <v>0</v>
      </c>
      <c r="AO2951" t="s">
        <v>5268</v>
      </c>
      <c r="AV2951" t="str">
        <f>IF(F2951&gt;0,(COUNT($AV$1:AV2950)+1),"")</f>
        <v/>
      </c>
    </row>
    <row r="2952" spans="1:48" ht="15" customHeight="1" x14ac:dyDescent="0.25">
      <c r="A2952" s="1"/>
      <c r="B2952" s="30">
        <v>15591</v>
      </c>
      <c r="C2952" s="20">
        <v>4603738216222</v>
      </c>
      <c r="D2952" s="153" t="s">
        <v>1667</v>
      </c>
      <c r="E2952" s="85">
        <v>30</v>
      </c>
      <c r="F2952" s="222"/>
      <c r="G2952" s="107">
        <v>50</v>
      </c>
      <c r="H2952" s="22">
        <v>52.5</v>
      </c>
      <c r="I2952" s="22">
        <v>56.1</v>
      </c>
      <c r="J2952" s="112" t="s">
        <v>2192</v>
      </c>
      <c r="K2952" s="45" t="s">
        <v>428</v>
      </c>
      <c r="L2952" s="437"/>
      <c r="M2952" s="474" t="s">
        <v>1856</v>
      </c>
      <c r="N2952" s="1013" t="s">
        <v>1856</v>
      </c>
      <c r="O2952" s="212" t="s">
        <v>1565</v>
      </c>
      <c r="P2952" s="66" t="s">
        <v>72</v>
      </c>
      <c r="Q2952" s="100">
        <f t="shared" si="1643"/>
        <v>0</v>
      </c>
      <c r="R2952" s="13" t="str">
        <f t="shared" si="1641"/>
        <v>Фото &gt;&gt;</v>
      </c>
      <c r="S2952" s="14" t="s">
        <v>1125</v>
      </c>
      <c r="AK2952">
        <v>0.14000000000000001</v>
      </c>
      <c r="AL2952">
        <f t="shared" si="1644"/>
        <v>0</v>
      </c>
      <c r="AM2952">
        <f t="shared" si="1645"/>
        <v>0</v>
      </c>
      <c r="AN2952">
        <f t="shared" si="1646"/>
        <v>0</v>
      </c>
      <c r="AO2952" t="s">
        <v>5269</v>
      </c>
      <c r="AV2952" t="str">
        <f>IF(F2952&gt;0,(COUNT($AV$1:AV2951)+1),"")</f>
        <v/>
      </c>
    </row>
    <row r="2953" spans="1:48" ht="15" customHeight="1" x14ac:dyDescent="0.25">
      <c r="A2953" s="1"/>
      <c r="B2953" s="31">
        <v>15590</v>
      </c>
      <c r="C2953" s="16">
        <v>4603738216178</v>
      </c>
      <c r="D2953" s="154" t="s">
        <v>1668</v>
      </c>
      <c r="E2953" s="86">
        <v>30</v>
      </c>
      <c r="F2953" s="222"/>
      <c r="G2953" s="108">
        <v>50</v>
      </c>
      <c r="H2953" s="18">
        <v>52.5</v>
      </c>
      <c r="I2953" s="18">
        <v>56.1</v>
      </c>
      <c r="J2953" s="113" t="s">
        <v>2192</v>
      </c>
      <c r="K2953" s="44" t="s">
        <v>428</v>
      </c>
      <c r="L2953" s="442"/>
      <c r="M2953" s="480" t="s">
        <v>1856</v>
      </c>
      <c r="N2953" s="1015" t="s">
        <v>1856</v>
      </c>
      <c r="O2953" s="217" t="s">
        <v>1565</v>
      </c>
      <c r="P2953" s="68" t="s">
        <v>72</v>
      </c>
      <c r="Q2953" s="100">
        <f t="shared" si="1643"/>
        <v>0</v>
      </c>
      <c r="R2953" s="13" t="str">
        <f t="shared" si="1641"/>
        <v>Фото &gt;&gt;</v>
      </c>
      <c r="S2953" s="14" t="s">
        <v>1126</v>
      </c>
      <c r="AK2953">
        <v>0.14000000000000001</v>
      </c>
      <c r="AL2953">
        <f t="shared" si="1644"/>
        <v>0</v>
      </c>
      <c r="AM2953">
        <f t="shared" si="1645"/>
        <v>0</v>
      </c>
      <c r="AN2953">
        <f t="shared" si="1646"/>
        <v>0</v>
      </c>
      <c r="AO2953" t="s">
        <v>5500</v>
      </c>
      <c r="AV2953" t="str">
        <f>IF(F2953&gt;0,(COUNT($AV$1:AV2952)+1),"")</f>
        <v/>
      </c>
    </row>
    <row r="2954" spans="1:48" ht="15" customHeight="1" x14ac:dyDescent="0.25">
      <c r="A2954" s="1"/>
      <c r="B2954" s="30">
        <v>15592</v>
      </c>
      <c r="C2954" s="20">
        <v>4603738216215</v>
      </c>
      <c r="D2954" s="153" t="s">
        <v>1669</v>
      </c>
      <c r="E2954" s="85">
        <v>30</v>
      </c>
      <c r="F2954" s="222"/>
      <c r="G2954" s="107">
        <v>50</v>
      </c>
      <c r="H2954" s="22">
        <v>52.5</v>
      </c>
      <c r="I2954" s="22">
        <v>56.1</v>
      </c>
      <c r="J2954" s="112" t="s">
        <v>2192</v>
      </c>
      <c r="K2954" s="45" t="s">
        <v>428</v>
      </c>
      <c r="L2954" s="437"/>
      <c r="M2954" s="474" t="s">
        <v>1856</v>
      </c>
      <c r="N2954" s="1013" t="s">
        <v>1856</v>
      </c>
      <c r="O2954" s="212" t="s">
        <v>1565</v>
      </c>
      <c r="P2954" s="66" t="s">
        <v>72</v>
      </c>
      <c r="Q2954" s="100">
        <f t="shared" si="1643"/>
        <v>0</v>
      </c>
      <c r="R2954" s="13" t="str">
        <f t="shared" si="1641"/>
        <v>Фото &gt;&gt;</v>
      </c>
      <c r="S2954" s="14" t="s">
        <v>1011</v>
      </c>
      <c r="AK2954">
        <v>0.14000000000000001</v>
      </c>
      <c r="AL2954">
        <f t="shared" si="1644"/>
        <v>0</v>
      </c>
      <c r="AM2954">
        <f t="shared" si="1645"/>
        <v>0</v>
      </c>
      <c r="AN2954">
        <f t="shared" si="1646"/>
        <v>0</v>
      </c>
      <c r="AO2954" t="s">
        <v>5270</v>
      </c>
      <c r="AV2954" t="str">
        <f>IF(F2954&gt;0,(COUNT($AV$1:AV2953)+1),"")</f>
        <v/>
      </c>
    </row>
    <row r="2955" spans="1:48" ht="15" customHeight="1" x14ac:dyDescent="0.25">
      <c r="A2955" s="1"/>
      <c r="B2955" s="31">
        <v>15583</v>
      </c>
      <c r="C2955" s="16">
        <v>4603738216154</v>
      </c>
      <c r="D2955" s="154" t="s">
        <v>1670</v>
      </c>
      <c r="E2955" s="86">
        <v>30</v>
      </c>
      <c r="F2955" s="222"/>
      <c r="G2955" s="108">
        <v>50</v>
      </c>
      <c r="H2955" s="18">
        <v>52.5</v>
      </c>
      <c r="I2955" s="18">
        <v>56.1</v>
      </c>
      <c r="J2955" s="113" t="s">
        <v>2192</v>
      </c>
      <c r="K2955" s="44" t="s">
        <v>428</v>
      </c>
      <c r="L2955" s="442"/>
      <c r="M2955" s="480" t="s">
        <v>1856</v>
      </c>
      <c r="N2955" s="1015" t="s">
        <v>1856</v>
      </c>
      <c r="O2955" s="217" t="s">
        <v>1565</v>
      </c>
      <c r="P2955" s="68" t="s">
        <v>72</v>
      </c>
      <c r="Q2955" s="100">
        <f t="shared" si="1643"/>
        <v>0</v>
      </c>
      <c r="R2955" s="13" t="str">
        <f t="shared" si="1641"/>
        <v>Фото &gt;&gt;</v>
      </c>
      <c r="S2955" s="14" t="s">
        <v>1127</v>
      </c>
      <c r="AK2955">
        <v>0.14000000000000001</v>
      </c>
      <c r="AL2955">
        <f t="shared" si="1644"/>
        <v>0</v>
      </c>
      <c r="AM2955">
        <f t="shared" si="1645"/>
        <v>0</v>
      </c>
      <c r="AN2955">
        <f t="shared" si="1646"/>
        <v>0</v>
      </c>
      <c r="AO2955" t="s">
        <v>5501</v>
      </c>
      <c r="AV2955" t="str">
        <f>IF(F2955&gt;0,(COUNT($AV$1:AV2954)+1),"")</f>
        <v/>
      </c>
    </row>
    <row r="2956" spans="1:48" ht="15" customHeight="1" x14ac:dyDescent="0.25">
      <c r="A2956" s="1"/>
      <c r="B2956" s="30">
        <v>15588</v>
      </c>
      <c r="C2956" s="20">
        <v>4603738216192</v>
      </c>
      <c r="D2956" s="153" t="s">
        <v>1671</v>
      </c>
      <c r="E2956" s="85">
        <v>30</v>
      </c>
      <c r="F2956" s="222"/>
      <c r="G2956" s="107">
        <v>50</v>
      </c>
      <c r="H2956" s="22">
        <v>52.5</v>
      </c>
      <c r="I2956" s="22">
        <v>56.1</v>
      </c>
      <c r="J2956" s="112" t="s">
        <v>2192</v>
      </c>
      <c r="K2956" s="45" t="s">
        <v>428</v>
      </c>
      <c r="L2956" s="437"/>
      <c r="M2956" s="474" t="s">
        <v>1856</v>
      </c>
      <c r="N2956" s="1013" t="s">
        <v>1856</v>
      </c>
      <c r="O2956" s="212" t="s">
        <v>1565</v>
      </c>
      <c r="P2956" s="66" t="s">
        <v>72</v>
      </c>
      <c r="Q2956" s="100">
        <f t="shared" si="1643"/>
        <v>0</v>
      </c>
      <c r="R2956" s="13" t="str">
        <f t="shared" si="1641"/>
        <v>Фото &gt;&gt;</v>
      </c>
      <c r="S2956" s="14" t="s">
        <v>1128</v>
      </c>
      <c r="AK2956">
        <v>0.14000000000000001</v>
      </c>
      <c r="AL2956">
        <f t="shared" si="1644"/>
        <v>0</v>
      </c>
      <c r="AM2956">
        <f t="shared" si="1645"/>
        <v>0</v>
      </c>
      <c r="AN2956">
        <f t="shared" si="1646"/>
        <v>0</v>
      </c>
      <c r="AO2956" t="s">
        <v>5502</v>
      </c>
      <c r="AV2956" t="str">
        <f>IF(F2956&gt;0,(COUNT($AV$1:AV2955)+1),"")</f>
        <v/>
      </c>
    </row>
    <row r="2957" spans="1:48" ht="15" customHeight="1" x14ac:dyDescent="0.25">
      <c r="A2957" s="1"/>
      <c r="B2957" s="125"/>
      <c r="C2957" s="126"/>
      <c r="D2957" s="127"/>
      <c r="E2957" s="134"/>
      <c r="F2957" s="189"/>
      <c r="G2957" s="130"/>
      <c r="H2957" s="131"/>
      <c r="I2957" s="132"/>
      <c r="J2957" s="128"/>
      <c r="K2957" s="129"/>
      <c r="L2957" s="433"/>
      <c r="M2957" s="481" t="s">
        <v>104</v>
      </c>
      <c r="N2957" s="471"/>
      <c r="O2957" s="181"/>
      <c r="P2957" s="133"/>
      <c r="Q2957" s="135"/>
      <c r="R2957" s="13"/>
      <c r="S2957" s="14"/>
      <c r="AV2957" t="str">
        <f>IF(F2957&gt;0,(COUNT($AV$1:AV2956)+1),"")</f>
        <v/>
      </c>
    </row>
    <row r="2958" spans="1:48" ht="15" customHeight="1" thickBot="1" x14ac:dyDescent="0.3">
      <c r="A2958" s="1"/>
      <c r="B2958" s="136"/>
      <c r="C2958" s="137"/>
      <c r="D2958" s="138"/>
      <c r="E2958" s="145"/>
      <c r="F2958" s="190"/>
      <c r="G2958" s="141"/>
      <c r="H2958" s="142"/>
      <c r="I2958" s="143"/>
      <c r="J2958" s="139"/>
      <c r="K2958" s="140"/>
      <c r="L2958" s="434"/>
      <c r="M2958" s="477" t="s">
        <v>104</v>
      </c>
      <c r="N2958" s="468"/>
      <c r="O2958" s="182"/>
      <c r="P2958" s="144"/>
      <c r="Q2958" s="146"/>
      <c r="R2958" s="13"/>
      <c r="S2958" s="14"/>
      <c r="AV2958" t="str">
        <f>IF(F2958&gt;0,(COUNT($AV$1:AV2957)+1),"")</f>
        <v/>
      </c>
    </row>
    <row r="2959" spans="1:48" ht="24.75" customHeight="1" thickBot="1" x14ac:dyDescent="0.3">
      <c r="A2959" s="1"/>
      <c r="B2959" s="169"/>
      <c r="C2959" s="170"/>
      <c r="D2959" s="171" t="str">
        <f>CONCATENATE("Изомальто (Yummy)","     |     Сумма заказа: ",AK2959," руб.")</f>
        <v>Изомальто (Yummy)     |     Сумма заказа: 0 руб.</v>
      </c>
      <c r="E2959" s="176"/>
      <c r="F2959" s="177"/>
      <c r="G2959" s="180" t="str">
        <f>CONCATENATE("Ценовая колонка: ",AO2959,"   |   До следующей скидки: ",AJ2959," руб.")</f>
        <v>Ценовая колонка: 3   |   До следующей скидки: 5000 руб.</v>
      </c>
      <c r="H2959" s="174"/>
      <c r="I2959" s="174"/>
      <c r="J2959" s="172" t="s">
        <v>1403</v>
      </c>
      <c r="K2959" s="173"/>
      <c r="L2959" s="444"/>
      <c r="M2959" s="486" t="s">
        <v>104</v>
      </c>
      <c r="N2959" s="717"/>
      <c r="O2959" s="184"/>
      <c r="P2959" s="175"/>
      <c r="Q2959" s="178"/>
      <c r="R2959" s="179" t="s">
        <v>1558</v>
      </c>
      <c r="S2959" s="14"/>
      <c r="AJ2959">
        <f>ROUND(IF(AL2959&gt;15000,"0", IF(AND(AL2959&lt;15000,AM2959&gt;5000),15000-AL2959,5000-AM2959)),2)</f>
        <v>5000</v>
      </c>
      <c r="AK2959">
        <f>SUM(Q2961:Q2979)</f>
        <v>0</v>
      </c>
      <c r="AL2959">
        <f>SUM(AL2961:AL2979)</f>
        <v>0</v>
      </c>
      <c r="AM2959">
        <f>SUM(AM2961:AM2979)</f>
        <v>0</v>
      </c>
      <c r="AO2959">
        <f>IF(AM2959&gt;5000,IF(AL2959&gt;15000,1,2),3)</f>
        <v>3</v>
      </c>
      <c r="AV2959" t="str">
        <f>IF(F2959&gt;0,(COUNT($AV$1:AV2958)+1),"")</f>
        <v/>
      </c>
    </row>
    <row r="2960" spans="1:48" ht="15" customHeight="1" x14ac:dyDescent="0.25">
      <c r="A2960" s="1"/>
      <c r="B2960" s="296"/>
      <c r="C2960" s="38"/>
      <c r="D2960" s="39" t="s">
        <v>1446</v>
      </c>
      <c r="E2960" s="82"/>
      <c r="F2960" s="97"/>
      <c r="G2960" s="40" t="s">
        <v>170</v>
      </c>
      <c r="H2960" s="41" t="s">
        <v>16</v>
      </c>
      <c r="I2960" s="41" t="s">
        <v>221</v>
      </c>
      <c r="J2960" s="52"/>
      <c r="K2960" s="48"/>
      <c r="L2960" s="448"/>
      <c r="M2960" s="491" t="s">
        <v>104</v>
      </c>
      <c r="N2960" s="715"/>
      <c r="O2960" s="187"/>
      <c r="P2960" s="81"/>
      <c r="Q2960" s="105"/>
      <c r="R2960" s="13"/>
      <c r="S2960" s="14"/>
      <c r="AV2960" t="str">
        <f>IF(F2960&gt;0,(COUNT($AV$1:AV2959)+1),"")</f>
        <v/>
      </c>
    </row>
    <row r="2961" spans="1:48" ht="15" customHeight="1" x14ac:dyDescent="0.25">
      <c r="A2961" s="1"/>
      <c r="B2961" s="30">
        <v>20756</v>
      </c>
      <c r="C2961" s="20">
        <v>4603805919124</v>
      </c>
      <c r="D2961" s="225" t="s">
        <v>7722</v>
      </c>
      <c r="E2961" s="67">
        <v>24</v>
      </c>
      <c r="F2961" s="222"/>
      <c r="G2961" s="107">
        <v>156</v>
      </c>
      <c r="H2961" s="22">
        <v>164</v>
      </c>
      <c r="I2961" s="22">
        <v>173</v>
      </c>
      <c r="J2961" s="112" t="s">
        <v>1403</v>
      </c>
      <c r="K2961" s="45" t="s">
        <v>204</v>
      </c>
      <c r="L2961" s="437" t="s">
        <v>3258</v>
      </c>
      <c r="M2961" s="474" t="s">
        <v>1856</v>
      </c>
      <c r="N2961" s="1013" t="s">
        <v>1856</v>
      </c>
      <c r="O2961" s="209"/>
      <c r="P2961" s="66" t="s">
        <v>50</v>
      </c>
      <c r="Q2961" s="100">
        <f t="shared" ref="Q2961:Q2979" si="1647">IF($AO$2959=2,F2961*H2961,IF($AO$2959=1,F2961*G2961,F2961*I2961))</f>
        <v>0</v>
      </c>
      <c r="R2961" s="13" t="str">
        <f t="shared" ref="R2961:R2972" si="1648">IF(AO2961&gt;0,HYPERLINK(AO2961,"Фото &gt;&gt;"),"")</f>
        <v>Фото &gt;&gt;</v>
      </c>
      <c r="S2961" s="14" t="s">
        <v>4472</v>
      </c>
      <c r="AK2961">
        <v>0.4</v>
      </c>
      <c r="AL2961">
        <f t="shared" ref="AL2961:AL2972" si="1649">F2961*G2961</f>
        <v>0</v>
      </c>
      <c r="AM2961">
        <f t="shared" ref="AM2961:AM2972" si="1650">F2961*H2961</f>
        <v>0</v>
      </c>
      <c r="AN2961">
        <f t="shared" ref="AN2961:AN2972" si="1651">AK2961*F2961+IF(E2961&gt;1.01,F2961/E2961*0.2,0)</f>
        <v>0</v>
      </c>
      <c r="AO2961" t="s">
        <v>4481</v>
      </c>
      <c r="AV2961" t="str">
        <f>IF(F2961&gt;0,(COUNT($AV$1:AV2960)+1),"")</f>
        <v/>
      </c>
    </row>
    <row r="2962" spans="1:48" ht="15" customHeight="1" x14ac:dyDescent="0.25">
      <c r="A2962" s="1"/>
      <c r="B2962" s="31">
        <v>20755</v>
      </c>
      <c r="C2962" s="16">
        <v>4603805919193</v>
      </c>
      <c r="D2962" s="226" t="s">
        <v>7723</v>
      </c>
      <c r="E2962" s="69">
        <v>24</v>
      </c>
      <c r="F2962" s="222"/>
      <c r="G2962" s="108">
        <v>156</v>
      </c>
      <c r="H2962" s="18">
        <v>164</v>
      </c>
      <c r="I2962" s="18">
        <v>173</v>
      </c>
      <c r="J2962" s="113" t="s">
        <v>1403</v>
      </c>
      <c r="K2962" s="44" t="s">
        <v>204</v>
      </c>
      <c r="L2962" s="442" t="s">
        <v>3258</v>
      </c>
      <c r="M2962" s="480" t="s">
        <v>1856</v>
      </c>
      <c r="N2962" s="1015" t="s">
        <v>1856</v>
      </c>
      <c r="O2962" s="210"/>
      <c r="P2962" s="68" t="s">
        <v>50</v>
      </c>
      <c r="Q2962" s="100">
        <f t="shared" si="1647"/>
        <v>0</v>
      </c>
      <c r="R2962" s="13" t="str">
        <f t="shared" si="1648"/>
        <v>Фото &gt;&gt;</v>
      </c>
      <c r="S2962" s="14" t="s">
        <v>4470</v>
      </c>
      <c r="AK2962">
        <v>0.4</v>
      </c>
      <c r="AL2962">
        <f t="shared" si="1649"/>
        <v>0</v>
      </c>
      <c r="AM2962">
        <f t="shared" si="1650"/>
        <v>0</v>
      </c>
      <c r="AN2962">
        <f t="shared" si="1651"/>
        <v>0</v>
      </c>
      <c r="AO2962" t="s">
        <v>4482</v>
      </c>
      <c r="AV2962" t="str">
        <f>IF(F2962&gt;0,(COUNT($AV$1:AV2961)+1),"")</f>
        <v/>
      </c>
    </row>
    <row r="2963" spans="1:48" ht="15" customHeight="1" x14ac:dyDescent="0.25">
      <c r="A2963" s="1"/>
      <c r="B2963" s="30">
        <v>20757</v>
      </c>
      <c r="C2963" s="20">
        <v>4603805919155</v>
      </c>
      <c r="D2963" s="225" t="s">
        <v>7724</v>
      </c>
      <c r="E2963" s="67">
        <v>24</v>
      </c>
      <c r="F2963" s="222"/>
      <c r="G2963" s="107">
        <v>156</v>
      </c>
      <c r="H2963" s="22">
        <v>164</v>
      </c>
      <c r="I2963" s="22">
        <v>173</v>
      </c>
      <c r="J2963" s="112" t="s">
        <v>1403</v>
      </c>
      <c r="K2963" s="45" t="s">
        <v>204</v>
      </c>
      <c r="L2963" s="437" t="s">
        <v>3258</v>
      </c>
      <c r="M2963" s="474" t="s">
        <v>1856</v>
      </c>
      <c r="N2963" s="1013" t="s">
        <v>1856</v>
      </c>
      <c r="O2963" s="209"/>
      <c r="P2963" s="66" t="s">
        <v>50</v>
      </c>
      <c r="Q2963" s="100">
        <f t="shared" si="1647"/>
        <v>0</v>
      </c>
      <c r="R2963" s="13" t="str">
        <f t="shared" si="1648"/>
        <v>Фото &gt;&gt;</v>
      </c>
      <c r="S2963" s="14" t="s">
        <v>4471</v>
      </c>
      <c r="AK2963">
        <v>0.4</v>
      </c>
      <c r="AL2963">
        <f t="shared" si="1649"/>
        <v>0</v>
      </c>
      <c r="AM2963">
        <f t="shared" si="1650"/>
        <v>0</v>
      </c>
      <c r="AN2963">
        <f t="shared" si="1651"/>
        <v>0</v>
      </c>
      <c r="AO2963" t="s">
        <v>4483</v>
      </c>
      <c r="AV2963" t="str">
        <f>IF(F2963&gt;0,(COUNT($AV$1:AV2962)+1),"")</f>
        <v/>
      </c>
    </row>
    <row r="2964" spans="1:48" ht="15" customHeight="1" x14ac:dyDescent="0.25">
      <c r="A2964" s="1"/>
      <c r="B2964" s="31">
        <v>20758</v>
      </c>
      <c r="C2964" s="16">
        <v>4603805919148</v>
      </c>
      <c r="D2964" s="226" t="s">
        <v>7725</v>
      </c>
      <c r="E2964" s="69">
        <v>24</v>
      </c>
      <c r="F2964" s="222"/>
      <c r="G2964" s="108">
        <v>156</v>
      </c>
      <c r="H2964" s="18">
        <v>164</v>
      </c>
      <c r="I2964" s="18">
        <v>173</v>
      </c>
      <c r="J2964" s="113" t="s">
        <v>1403</v>
      </c>
      <c r="K2964" s="44" t="s">
        <v>204</v>
      </c>
      <c r="L2964" s="442" t="s">
        <v>3258</v>
      </c>
      <c r="M2964" s="480" t="s">
        <v>1856</v>
      </c>
      <c r="N2964" s="1015" t="s">
        <v>1856</v>
      </c>
      <c r="O2964" s="210"/>
      <c r="P2964" s="68" t="s">
        <v>50</v>
      </c>
      <c r="Q2964" s="100">
        <f t="shared" si="1647"/>
        <v>0</v>
      </c>
      <c r="R2964" s="13" t="str">
        <f t="shared" si="1648"/>
        <v>Фото &gt;&gt;</v>
      </c>
      <c r="S2964" s="14" t="s">
        <v>4473</v>
      </c>
      <c r="AK2964">
        <v>0.4</v>
      </c>
      <c r="AL2964">
        <f t="shared" si="1649"/>
        <v>0</v>
      </c>
      <c r="AM2964">
        <f t="shared" si="1650"/>
        <v>0</v>
      </c>
      <c r="AN2964">
        <f t="shared" si="1651"/>
        <v>0</v>
      </c>
      <c r="AO2964" t="s">
        <v>4484</v>
      </c>
      <c r="AV2964" t="str">
        <f>IF(F2964&gt;0,(COUNT($AV$1:AV2963)+1),"")</f>
        <v/>
      </c>
    </row>
    <row r="2965" spans="1:48" ht="15" customHeight="1" x14ac:dyDescent="0.25">
      <c r="A2965" s="1"/>
      <c r="B2965" s="30">
        <v>20766</v>
      </c>
      <c r="C2965" s="20">
        <v>4603805919230</v>
      </c>
      <c r="D2965" s="225" t="s">
        <v>7726</v>
      </c>
      <c r="E2965" s="67">
        <v>24</v>
      </c>
      <c r="F2965" s="222"/>
      <c r="G2965" s="107">
        <v>156</v>
      </c>
      <c r="H2965" s="22">
        <v>164</v>
      </c>
      <c r="I2965" s="22">
        <v>173</v>
      </c>
      <c r="J2965" s="112" t="s">
        <v>1403</v>
      </c>
      <c r="K2965" s="45" t="s">
        <v>204</v>
      </c>
      <c r="L2965" s="437" t="s">
        <v>3258</v>
      </c>
      <c r="M2965" s="474" t="s">
        <v>1856</v>
      </c>
      <c r="N2965" s="1013" t="s">
        <v>1856</v>
      </c>
      <c r="O2965" s="209"/>
      <c r="P2965" s="66" t="s">
        <v>50</v>
      </c>
      <c r="Q2965" s="100">
        <f t="shared" si="1647"/>
        <v>0</v>
      </c>
      <c r="R2965" s="13" t="str">
        <f t="shared" si="1648"/>
        <v>Фото &gt;&gt;</v>
      </c>
      <c r="S2965" s="14" t="s">
        <v>4474</v>
      </c>
      <c r="AK2965">
        <v>0.4</v>
      </c>
      <c r="AL2965">
        <f t="shared" si="1649"/>
        <v>0</v>
      </c>
      <c r="AM2965">
        <f t="shared" si="1650"/>
        <v>0</v>
      </c>
      <c r="AN2965">
        <f t="shared" si="1651"/>
        <v>0</v>
      </c>
      <c r="AO2965" t="s">
        <v>4485</v>
      </c>
      <c r="AV2965" t="str">
        <f>IF(F2965&gt;0,(COUNT($AV$1:AV2964)+1),"")</f>
        <v/>
      </c>
    </row>
    <row r="2966" spans="1:48" ht="15" customHeight="1" x14ac:dyDescent="0.25">
      <c r="A2966" s="1"/>
      <c r="B2966" s="31">
        <v>20761</v>
      </c>
      <c r="C2966" s="16">
        <v>4603805919131</v>
      </c>
      <c r="D2966" s="226" t="s">
        <v>7727</v>
      </c>
      <c r="E2966" s="69">
        <v>24</v>
      </c>
      <c r="F2966" s="222"/>
      <c r="G2966" s="108">
        <v>156</v>
      </c>
      <c r="H2966" s="18">
        <v>164</v>
      </c>
      <c r="I2966" s="18">
        <v>173</v>
      </c>
      <c r="J2966" s="113" t="s">
        <v>1403</v>
      </c>
      <c r="K2966" s="44" t="s">
        <v>204</v>
      </c>
      <c r="L2966" s="442" t="s">
        <v>3258</v>
      </c>
      <c r="M2966" s="480" t="s">
        <v>1856</v>
      </c>
      <c r="N2966" s="1015" t="s">
        <v>1856</v>
      </c>
      <c r="O2966" s="210"/>
      <c r="P2966" s="68" t="s">
        <v>50</v>
      </c>
      <c r="Q2966" s="100">
        <f t="shared" si="1647"/>
        <v>0</v>
      </c>
      <c r="R2966" s="13" t="str">
        <f t="shared" si="1648"/>
        <v>Фото &gt;&gt;</v>
      </c>
      <c r="S2966" s="14" t="s">
        <v>4475</v>
      </c>
      <c r="AK2966">
        <v>0.4</v>
      </c>
      <c r="AL2966">
        <f t="shared" si="1649"/>
        <v>0</v>
      </c>
      <c r="AM2966">
        <f t="shared" si="1650"/>
        <v>0</v>
      </c>
      <c r="AN2966">
        <f t="shared" si="1651"/>
        <v>0</v>
      </c>
      <c r="AO2966" t="s">
        <v>4486</v>
      </c>
      <c r="AV2966" t="str">
        <f>IF(F2966&gt;0,(COUNT($AV$1:AV2965)+1),"")</f>
        <v/>
      </c>
    </row>
    <row r="2967" spans="1:48" ht="15" customHeight="1" x14ac:dyDescent="0.25">
      <c r="A2967" s="1"/>
      <c r="B2967" s="30">
        <v>20762</v>
      </c>
      <c r="C2967" s="20">
        <v>4603805919209</v>
      </c>
      <c r="D2967" s="225" t="s">
        <v>7728</v>
      </c>
      <c r="E2967" s="67">
        <v>24</v>
      </c>
      <c r="F2967" s="222"/>
      <c r="G2967" s="107">
        <v>156</v>
      </c>
      <c r="H2967" s="22">
        <v>164</v>
      </c>
      <c r="I2967" s="22">
        <v>173</v>
      </c>
      <c r="J2967" s="112" t="s">
        <v>1403</v>
      </c>
      <c r="K2967" s="45" t="s">
        <v>204</v>
      </c>
      <c r="L2967" s="437" t="s">
        <v>3258</v>
      </c>
      <c r="M2967" s="474" t="s">
        <v>1856</v>
      </c>
      <c r="N2967" s="1013" t="s">
        <v>1856</v>
      </c>
      <c r="O2967" s="209"/>
      <c r="P2967" s="66" t="s">
        <v>50</v>
      </c>
      <c r="Q2967" s="100">
        <f t="shared" si="1647"/>
        <v>0</v>
      </c>
      <c r="R2967" s="13" t="str">
        <f t="shared" si="1648"/>
        <v>Фото &gt;&gt;</v>
      </c>
      <c r="S2967" s="14" t="s">
        <v>4476</v>
      </c>
      <c r="AK2967">
        <v>0.4</v>
      </c>
      <c r="AL2967">
        <f t="shared" si="1649"/>
        <v>0</v>
      </c>
      <c r="AM2967">
        <f t="shared" si="1650"/>
        <v>0</v>
      </c>
      <c r="AN2967">
        <f t="shared" si="1651"/>
        <v>0</v>
      </c>
      <c r="AO2967" t="s">
        <v>4487</v>
      </c>
      <c r="AV2967" t="str">
        <f>IF(F2967&gt;0,(COUNT($AV$1:AV2966)+1),"")</f>
        <v/>
      </c>
    </row>
    <row r="2968" spans="1:48" ht="15" customHeight="1" x14ac:dyDescent="0.25">
      <c r="A2968" s="1"/>
      <c r="B2968" s="31">
        <v>20759</v>
      </c>
      <c r="C2968" s="16">
        <v>4603805919216</v>
      </c>
      <c r="D2968" s="226" t="s">
        <v>7729</v>
      </c>
      <c r="E2968" s="69">
        <v>24</v>
      </c>
      <c r="F2968" s="222"/>
      <c r="G2968" s="108">
        <v>156</v>
      </c>
      <c r="H2968" s="18">
        <v>164</v>
      </c>
      <c r="I2968" s="18">
        <v>173</v>
      </c>
      <c r="J2968" s="113" t="s">
        <v>1403</v>
      </c>
      <c r="K2968" s="44" t="s">
        <v>204</v>
      </c>
      <c r="L2968" s="442" t="s">
        <v>3258</v>
      </c>
      <c r="M2968" s="480" t="s">
        <v>1856</v>
      </c>
      <c r="N2968" s="1015" t="s">
        <v>1856</v>
      </c>
      <c r="O2968" s="210"/>
      <c r="P2968" s="68" t="s">
        <v>50</v>
      </c>
      <c r="Q2968" s="100">
        <f t="shared" si="1647"/>
        <v>0</v>
      </c>
      <c r="R2968" s="13" t="str">
        <f t="shared" si="1648"/>
        <v>Фото &gt;&gt;</v>
      </c>
      <c r="S2968" s="14" t="s">
        <v>4667</v>
      </c>
      <c r="AK2968">
        <v>0.4</v>
      </c>
      <c r="AL2968">
        <f t="shared" ref="AL2968" si="1652">F2968*G2968</f>
        <v>0</v>
      </c>
      <c r="AM2968">
        <f t="shared" ref="AM2968" si="1653">F2968*H2968</f>
        <v>0</v>
      </c>
      <c r="AN2968">
        <f t="shared" ref="AN2968" si="1654">AK2968*F2968+IF(E2968&gt;1.01,F2968/E2968*0.2,0)</f>
        <v>0</v>
      </c>
      <c r="AO2968" t="s">
        <v>4668</v>
      </c>
      <c r="AV2968" t="str">
        <f>IF(F2968&gt;0,(COUNT($AV$1:AV2967)+1),"")</f>
        <v/>
      </c>
    </row>
    <row r="2969" spans="1:48" ht="15" customHeight="1" x14ac:dyDescent="0.25">
      <c r="A2969" s="1"/>
      <c r="B2969" s="30">
        <v>20763</v>
      </c>
      <c r="C2969" s="20">
        <v>4603805919162</v>
      </c>
      <c r="D2969" s="225" t="s">
        <v>7730</v>
      </c>
      <c r="E2969" s="67">
        <v>24</v>
      </c>
      <c r="F2969" s="222"/>
      <c r="G2969" s="107">
        <v>156</v>
      </c>
      <c r="H2969" s="22">
        <v>164</v>
      </c>
      <c r="I2969" s="22">
        <v>173</v>
      </c>
      <c r="J2969" s="112" t="s">
        <v>1403</v>
      </c>
      <c r="K2969" s="45" t="s">
        <v>204</v>
      </c>
      <c r="L2969" s="437" t="s">
        <v>3258</v>
      </c>
      <c r="M2969" s="474" t="s">
        <v>1856</v>
      </c>
      <c r="N2969" s="1013" t="s">
        <v>1856</v>
      </c>
      <c r="O2969" s="209"/>
      <c r="P2969" s="66" t="s">
        <v>50</v>
      </c>
      <c r="Q2969" s="100">
        <f t="shared" si="1647"/>
        <v>0</v>
      </c>
      <c r="R2969" s="13" t="str">
        <f t="shared" si="1648"/>
        <v>Фото &gt;&gt;</v>
      </c>
      <c r="S2969" s="14" t="s">
        <v>4477</v>
      </c>
      <c r="AK2969">
        <v>0.4</v>
      </c>
      <c r="AL2969">
        <f t="shared" si="1649"/>
        <v>0</v>
      </c>
      <c r="AM2969">
        <f t="shared" si="1650"/>
        <v>0</v>
      </c>
      <c r="AN2969">
        <f t="shared" si="1651"/>
        <v>0</v>
      </c>
      <c r="AO2969" t="s">
        <v>4488</v>
      </c>
      <c r="AV2969" t="str">
        <f>IF(F2969&gt;0,(COUNT($AV$1:AV2968)+1),"")</f>
        <v/>
      </c>
    </row>
    <row r="2970" spans="1:48" ht="15" customHeight="1" x14ac:dyDescent="0.25">
      <c r="A2970" s="1"/>
      <c r="B2970" s="31">
        <v>20767</v>
      </c>
      <c r="C2970" s="16">
        <v>4603805919223</v>
      </c>
      <c r="D2970" s="226" t="s">
        <v>7731</v>
      </c>
      <c r="E2970" s="69">
        <v>24</v>
      </c>
      <c r="F2970" s="222"/>
      <c r="G2970" s="108">
        <v>156</v>
      </c>
      <c r="H2970" s="18">
        <v>164</v>
      </c>
      <c r="I2970" s="18">
        <v>173</v>
      </c>
      <c r="J2970" s="113" t="s">
        <v>1403</v>
      </c>
      <c r="K2970" s="44" t="s">
        <v>204</v>
      </c>
      <c r="L2970" s="442" t="s">
        <v>3258</v>
      </c>
      <c r="M2970" s="480" t="s">
        <v>1856</v>
      </c>
      <c r="N2970" s="1015" t="s">
        <v>1856</v>
      </c>
      <c r="O2970" s="210"/>
      <c r="P2970" s="68" t="s">
        <v>50</v>
      </c>
      <c r="Q2970" s="100">
        <f t="shared" si="1647"/>
        <v>0</v>
      </c>
      <c r="R2970" s="13" t="str">
        <f t="shared" si="1648"/>
        <v>Фото &gt;&gt;</v>
      </c>
      <c r="S2970" s="14" t="s">
        <v>4478</v>
      </c>
      <c r="AK2970">
        <v>0.4</v>
      </c>
      <c r="AL2970">
        <f t="shared" si="1649"/>
        <v>0</v>
      </c>
      <c r="AM2970">
        <f t="shared" si="1650"/>
        <v>0</v>
      </c>
      <c r="AN2970">
        <f t="shared" si="1651"/>
        <v>0</v>
      </c>
      <c r="AO2970" t="s">
        <v>4489</v>
      </c>
      <c r="AV2970" t="str">
        <f>IF(F2970&gt;0,(COUNT($AV$1:AV2969)+1),"")</f>
        <v/>
      </c>
    </row>
    <row r="2971" spans="1:48" ht="15" customHeight="1" x14ac:dyDescent="0.25">
      <c r="A2971" s="1"/>
      <c r="B2971" s="30">
        <v>20764</v>
      </c>
      <c r="C2971" s="20">
        <v>4603805919186</v>
      </c>
      <c r="D2971" s="225" t="s">
        <v>7732</v>
      </c>
      <c r="E2971" s="67">
        <v>24</v>
      </c>
      <c r="F2971" s="222"/>
      <c r="G2971" s="107">
        <v>156</v>
      </c>
      <c r="H2971" s="22">
        <v>164</v>
      </c>
      <c r="I2971" s="22">
        <v>173</v>
      </c>
      <c r="J2971" s="112" t="s">
        <v>1403</v>
      </c>
      <c r="K2971" s="45" t="s">
        <v>204</v>
      </c>
      <c r="L2971" s="437" t="s">
        <v>3258</v>
      </c>
      <c r="M2971" s="474" t="s">
        <v>1856</v>
      </c>
      <c r="N2971" s="1013" t="s">
        <v>1856</v>
      </c>
      <c r="O2971" s="209"/>
      <c r="P2971" s="66" t="s">
        <v>50</v>
      </c>
      <c r="Q2971" s="100">
        <f t="shared" si="1647"/>
        <v>0</v>
      </c>
      <c r="R2971" s="13" t="str">
        <f t="shared" si="1648"/>
        <v>Фото &gt;&gt;</v>
      </c>
      <c r="S2971" s="14" t="s">
        <v>4479</v>
      </c>
      <c r="AK2971">
        <v>0.4</v>
      </c>
      <c r="AL2971">
        <f t="shared" si="1649"/>
        <v>0</v>
      </c>
      <c r="AM2971">
        <f t="shared" si="1650"/>
        <v>0</v>
      </c>
      <c r="AN2971">
        <f t="shared" si="1651"/>
        <v>0</v>
      </c>
      <c r="AO2971" t="s">
        <v>4490</v>
      </c>
      <c r="AV2971" t="str">
        <f>IF(F2971&gt;0,(COUNT($AV$1:AV2970)+1),"")</f>
        <v/>
      </c>
    </row>
    <row r="2972" spans="1:48" ht="15" customHeight="1" x14ac:dyDescent="0.25">
      <c r="A2972" s="1"/>
      <c r="B2972" s="32">
        <v>20765</v>
      </c>
      <c r="C2972" s="33">
        <v>4603805919179</v>
      </c>
      <c r="D2972" s="227" t="s">
        <v>7733</v>
      </c>
      <c r="E2972" s="71">
        <v>24</v>
      </c>
      <c r="F2972" s="223"/>
      <c r="G2972" s="109">
        <v>156</v>
      </c>
      <c r="H2972" s="35">
        <v>164</v>
      </c>
      <c r="I2972" s="35">
        <v>173</v>
      </c>
      <c r="J2972" s="114" t="s">
        <v>1403</v>
      </c>
      <c r="K2972" s="57" t="s">
        <v>204</v>
      </c>
      <c r="L2972" s="438" t="s">
        <v>3258</v>
      </c>
      <c r="M2972" s="484" t="s">
        <v>1856</v>
      </c>
      <c r="N2972" s="1008" t="s">
        <v>1856</v>
      </c>
      <c r="O2972" s="219"/>
      <c r="P2972" s="70" t="s">
        <v>50</v>
      </c>
      <c r="Q2972" s="100">
        <f t="shared" si="1647"/>
        <v>0</v>
      </c>
      <c r="R2972" s="13" t="str">
        <f t="shared" si="1648"/>
        <v>Фото &gt;&gt;</v>
      </c>
      <c r="S2972" s="14" t="s">
        <v>4480</v>
      </c>
      <c r="AK2972">
        <v>0.4</v>
      </c>
      <c r="AL2972">
        <f t="shared" si="1649"/>
        <v>0</v>
      </c>
      <c r="AM2972">
        <f t="shared" si="1650"/>
        <v>0</v>
      </c>
      <c r="AN2972">
        <f t="shared" si="1651"/>
        <v>0</v>
      </c>
      <c r="AO2972" t="s">
        <v>4491</v>
      </c>
      <c r="AV2972" t="str">
        <f>IF(F2972&gt;0,(COUNT($AV$1:AV2971)+1),"")</f>
        <v/>
      </c>
    </row>
    <row r="2973" spans="1:48" ht="15" customHeight="1" x14ac:dyDescent="0.25">
      <c r="A2973" s="1"/>
      <c r="B2973" s="785">
        <v>16018</v>
      </c>
      <c r="C2973" s="786">
        <v>4631111135044</v>
      </c>
      <c r="D2973" s="787" t="s">
        <v>7734</v>
      </c>
      <c r="E2973" s="788">
        <v>15</v>
      </c>
      <c r="F2973" s="789"/>
      <c r="G2973" s="811">
        <v>240</v>
      </c>
      <c r="H2973" s="791">
        <v>252</v>
      </c>
      <c r="I2973" s="791">
        <v>265</v>
      </c>
      <c r="J2973" s="792" t="s">
        <v>1403</v>
      </c>
      <c r="K2973" s="793" t="s">
        <v>204</v>
      </c>
      <c r="L2973" s="781" t="s">
        <v>3258</v>
      </c>
      <c r="M2973" s="782" t="s">
        <v>1856</v>
      </c>
      <c r="N2973" s="1009" t="s">
        <v>1856</v>
      </c>
      <c r="O2973" s="794"/>
      <c r="P2973" s="784" t="s">
        <v>50</v>
      </c>
      <c r="Q2973" s="100">
        <f t="shared" si="1647"/>
        <v>0</v>
      </c>
      <c r="R2973" s="13" t="str">
        <f t="shared" ref="R2973" si="1655">IF(AO2973&gt;0,HYPERLINK(AO2973,"Фото &gt;&gt;"),"")</f>
        <v>Фото &gt;&gt;</v>
      </c>
      <c r="S2973" s="14" t="s">
        <v>1404</v>
      </c>
      <c r="AK2973">
        <v>0.55000000000000004</v>
      </c>
      <c r="AL2973">
        <f t="shared" ref="AL2973" si="1656">F2973*G2973</f>
        <v>0</v>
      </c>
      <c r="AM2973">
        <f t="shared" ref="AM2973" si="1657">F2973*H2973</f>
        <v>0</v>
      </c>
      <c r="AN2973">
        <f t="shared" ref="AN2973" si="1658">AK2973*F2973+IF(E2973&gt;1.01,F2973/E2973*0.2,0)</f>
        <v>0</v>
      </c>
      <c r="AO2973" t="s">
        <v>5271</v>
      </c>
      <c r="AV2973" t="str">
        <f>IF(F2973&gt;0,(COUNT($AV$1:AV2972)+1),"")</f>
        <v/>
      </c>
    </row>
    <row r="2974" spans="1:48" ht="15" customHeight="1" x14ac:dyDescent="0.25">
      <c r="A2974" s="1"/>
      <c r="B2974" s="31">
        <v>16017</v>
      </c>
      <c r="C2974" s="16">
        <v>4631111135051</v>
      </c>
      <c r="D2974" s="226" t="s">
        <v>7735</v>
      </c>
      <c r="E2974" s="69">
        <v>15</v>
      </c>
      <c r="F2974" s="222"/>
      <c r="G2974" s="108">
        <v>240</v>
      </c>
      <c r="H2974" s="18">
        <v>252</v>
      </c>
      <c r="I2974" s="18">
        <v>265</v>
      </c>
      <c r="J2974" s="113" t="s">
        <v>1403</v>
      </c>
      <c r="K2974" s="44" t="s">
        <v>204</v>
      </c>
      <c r="L2974" s="442" t="s">
        <v>3258</v>
      </c>
      <c r="M2974" s="480" t="s">
        <v>1856</v>
      </c>
      <c r="N2974" s="1015" t="s">
        <v>1856</v>
      </c>
      <c r="O2974" s="210"/>
      <c r="P2974" s="68" t="s">
        <v>50</v>
      </c>
      <c r="Q2974" s="100">
        <f t="shared" si="1647"/>
        <v>0</v>
      </c>
      <c r="R2974" s="13" t="str">
        <f t="shared" ref="R2974:R2979" si="1659">IF(AO2974&gt;0,HYPERLINK(AO2974,"Фото &gt;&gt;"),"")</f>
        <v>Фото &gt;&gt;</v>
      </c>
      <c r="S2974" s="14" t="s">
        <v>1405</v>
      </c>
      <c r="AK2974">
        <v>0.55000000000000004</v>
      </c>
      <c r="AL2974">
        <f t="shared" ref="AL2974:AL2979" si="1660">F2974*G2974</f>
        <v>0</v>
      </c>
      <c r="AM2974">
        <f t="shared" ref="AM2974:AM2979" si="1661">F2974*H2974</f>
        <v>0</v>
      </c>
      <c r="AN2974">
        <f t="shared" ref="AN2974:AN2979" si="1662">AK2974*F2974+IF(E2974&gt;1.01,F2974/E2974*0.2,0)</f>
        <v>0</v>
      </c>
      <c r="AO2974" t="s">
        <v>5272</v>
      </c>
      <c r="AV2974" t="str">
        <f>IF(F2974&gt;0,(COUNT($AV$1:AV2973)+1),"")</f>
        <v/>
      </c>
    </row>
    <row r="2975" spans="1:48" ht="15" customHeight="1" x14ac:dyDescent="0.25">
      <c r="A2975" s="1"/>
      <c r="B2975" s="30">
        <v>16016</v>
      </c>
      <c r="C2975" s="20">
        <v>4631111135068</v>
      </c>
      <c r="D2975" s="225" t="s">
        <v>7736</v>
      </c>
      <c r="E2975" s="67">
        <v>15</v>
      </c>
      <c r="F2975" s="222"/>
      <c r="G2975" s="107">
        <v>240</v>
      </c>
      <c r="H2975" s="22">
        <v>252</v>
      </c>
      <c r="I2975" s="22">
        <v>265</v>
      </c>
      <c r="J2975" s="112" t="s">
        <v>1403</v>
      </c>
      <c r="K2975" s="45" t="s">
        <v>204</v>
      </c>
      <c r="L2975" s="437" t="s">
        <v>3258</v>
      </c>
      <c r="M2975" s="474" t="s">
        <v>1856</v>
      </c>
      <c r="N2975" s="1013" t="s">
        <v>1856</v>
      </c>
      <c r="O2975" s="209"/>
      <c r="P2975" s="66" t="s">
        <v>50</v>
      </c>
      <c r="Q2975" s="100">
        <f t="shared" si="1647"/>
        <v>0</v>
      </c>
      <c r="R2975" s="13" t="str">
        <f t="shared" si="1659"/>
        <v>Фото &gt;&gt;</v>
      </c>
      <c r="S2975" s="14" t="s">
        <v>1406</v>
      </c>
      <c r="AK2975">
        <v>0.55000000000000004</v>
      </c>
      <c r="AL2975">
        <f t="shared" si="1660"/>
        <v>0</v>
      </c>
      <c r="AM2975">
        <f t="shared" si="1661"/>
        <v>0</v>
      </c>
      <c r="AN2975">
        <f t="shared" si="1662"/>
        <v>0</v>
      </c>
      <c r="AO2975" t="s">
        <v>5273</v>
      </c>
      <c r="AV2975" t="str">
        <f>IF(F2975&gt;0,(COUNT($AV$1:AV2974)+1),"")</f>
        <v/>
      </c>
    </row>
    <row r="2976" spans="1:48" ht="15" customHeight="1" x14ac:dyDescent="0.25">
      <c r="A2976" s="1"/>
      <c r="B2976" s="31">
        <v>16015</v>
      </c>
      <c r="C2976" s="16">
        <v>4631111135037</v>
      </c>
      <c r="D2976" s="226" t="s">
        <v>7737</v>
      </c>
      <c r="E2976" s="69">
        <v>15</v>
      </c>
      <c r="F2976" s="222"/>
      <c r="G2976" s="108">
        <v>240</v>
      </c>
      <c r="H2976" s="18">
        <v>252</v>
      </c>
      <c r="I2976" s="18">
        <v>265</v>
      </c>
      <c r="J2976" s="113" t="s">
        <v>1403</v>
      </c>
      <c r="K2976" s="44" t="s">
        <v>204</v>
      </c>
      <c r="L2976" s="442" t="s">
        <v>3258</v>
      </c>
      <c r="M2976" s="480" t="s">
        <v>1856</v>
      </c>
      <c r="N2976" s="1015" t="s">
        <v>1856</v>
      </c>
      <c r="O2976" s="210"/>
      <c r="P2976" s="68" t="s">
        <v>50</v>
      </c>
      <c r="Q2976" s="100">
        <f t="shared" si="1647"/>
        <v>0</v>
      </c>
      <c r="R2976" s="13" t="str">
        <f t="shared" si="1659"/>
        <v>Фото &gt;&gt;</v>
      </c>
      <c r="S2976" s="14" t="s">
        <v>1407</v>
      </c>
      <c r="AK2976">
        <v>0.55000000000000004</v>
      </c>
      <c r="AL2976">
        <f t="shared" si="1660"/>
        <v>0</v>
      </c>
      <c r="AM2976">
        <f t="shared" si="1661"/>
        <v>0</v>
      </c>
      <c r="AN2976">
        <f t="shared" si="1662"/>
        <v>0</v>
      </c>
      <c r="AO2976" t="s">
        <v>5274</v>
      </c>
      <c r="AV2976" t="str">
        <f>IF(F2976&gt;0,(COUNT($AV$1:AV2975)+1),"")</f>
        <v/>
      </c>
    </row>
    <row r="2977" spans="1:48" ht="15" customHeight="1" x14ac:dyDescent="0.25">
      <c r="A2977" s="1"/>
      <c r="B2977" s="30">
        <v>18320</v>
      </c>
      <c r="C2977" s="20">
        <v>4603743998182</v>
      </c>
      <c r="D2977" s="225" t="s">
        <v>7738</v>
      </c>
      <c r="E2977" s="67">
        <v>15</v>
      </c>
      <c r="F2977" s="222"/>
      <c r="G2977" s="107">
        <v>240</v>
      </c>
      <c r="H2977" s="22">
        <v>252</v>
      </c>
      <c r="I2977" s="22">
        <v>265</v>
      </c>
      <c r="J2977" s="112" t="s">
        <v>1403</v>
      </c>
      <c r="K2977" s="45" t="s">
        <v>204</v>
      </c>
      <c r="L2977" s="437" t="s">
        <v>3258</v>
      </c>
      <c r="M2977" s="474" t="s">
        <v>1856</v>
      </c>
      <c r="N2977" s="1013" t="s">
        <v>1856</v>
      </c>
      <c r="O2977" s="209"/>
      <c r="P2977" s="66" t="s">
        <v>50</v>
      </c>
      <c r="Q2977" s="100">
        <f t="shared" si="1647"/>
        <v>0</v>
      </c>
      <c r="R2977" s="13" t="str">
        <f t="shared" si="1659"/>
        <v>Фото &gt;&gt;</v>
      </c>
      <c r="S2977" s="14" t="s">
        <v>3770</v>
      </c>
      <c r="AK2977">
        <v>0.55000000000000004</v>
      </c>
      <c r="AL2977">
        <f t="shared" si="1660"/>
        <v>0</v>
      </c>
      <c r="AM2977">
        <f t="shared" si="1661"/>
        <v>0</v>
      </c>
      <c r="AN2977">
        <f t="shared" si="1662"/>
        <v>0</v>
      </c>
      <c r="AO2977" t="s">
        <v>3769</v>
      </c>
      <c r="AV2977" t="str">
        <f>IF(F2977&gt;0,(COUNT($AV$1:AV2976)+1),"")</f>
        <v/>
      </c>
    </row>
    <row r="2978" spans="1:48" ht="15" customHeight="1" x14ac:dyDescent="0.25">
      <c r="A2978" s="1"/>
      <c r="B2978" s="31">
        <v>16208</v>
      </c>
      <c r="C2978" s="16">
        <v>4634444105623</v>
      </c>
      <c r="D2978" s="226" t="s">
        <v>7739</v>
      </c>
      <c r="E2978" s="69">
        <v>15</v>
      </c>
      <c r="F2978" s="222"/>
      <c r="G2978" s="108">
        <v>240</v>
      </c>
      <c r="H2978" s="18">
        <v>252</v>
      </c>
      <c r="I2978" s="18">
        <v>265</v>
      </c>
      <c r="J2978" s="113" t="s">
        <v>1403</v>
      </c>
      <c r="K2978" s="44" t="s">
        <v>204</v>
      </c>
      <c r="L2978" s="442" t="s">
        <v>3258</v>
      </c>
      <c r="M2978" s="480" t="s">
        <v>1856</v>
      </c>
      <c r="N2978" s="1015" t="s">
        <v>1856</v>
      </c>
      <c r="O2978" s="210"/>
      <c r="P2978" s="68" t="s">
        <v>50</v>
      </c>
      <c r="Q2978" s="100">
        <f t="shared" si="1647"/>
        <v>0</v>
      </c>
      <c r="R2978" s="13" t="str">
        <f t="shared" si="1659"/>
        <v>Фото &gt;&gt;</v>
      </c>
      <c r="S2978" s="14" t="s">
        <v>1408</v>
      </c>
      <c r="AK2978">
        <v>0.55000000000000004</v>
      </c>
      <c r="AL2978">
        <f t="shared" si="1660"/>
        <v>0</v>
      </c>
      <c r="AM2978">
        <f t="shared" si="1661"/>
        <v>0</v>
      </c>
      <c r="AN2978">
        <f t="shared" si="1662"/>
        <v>0</v>
      </c>
      <c r="AO2978" t="s">
        <v>5275</v>
      </c>
      <c r="AV2978" t="str">
        <f>IF(F2978&gt;0,(COUNT($AV$1:AV2977)+1),"")</f>
        <v/>
      </c>
    </row>
    <row r="2979" spans="1:48" ht="15" customHeight="1" x14ac:dyDescent="0.25">
      <c r="A2979" s="1"/>
      <c r="B2979" s="30">
        <v>16020</v>
      </c>
      <c r="C2979" s="20">
        <v>4634444033971</v>
      </c>
      <c r="D2979" s="225" t="s">
        <v>7740</v>
      </c>
      <c r="E2979" s="67">
        <v>15</v>
      </c>
      <c r="F2979" s="222"/>
      <c r="G2979" s="107">
        <v>240</v>
      </c>
      <c r="H2979" s="22">
        <v>252</v>
      </c>
      <c r="I2979" s="22">
        <v>265</v>
      </c>
      <c r="J2979" s="112" t="s">
        <v>1403</v>
      </c>
      <c r="K2979" s="45" t="s">
        <v>204</v>
      </c>
      <c r="L2979" s="437" t="s">
        <v>3258</v>
      </c>
      <c r="M2979" s="474" t="s">
        <v>1856</v>
      </c>
      <c r="N2979" s="1013" t="s">
        <v>1856</v>
      </c>
      <c r="O2979" s="209"/>
      <c r="P2979" s="66" t="s">
        <v>50</v>
      </c>
      <c r="Q2979" s="100">
        <f t="shared" si="1647"/>
        <v>0</v>
      </c>
      <c r="R2979" s="13" t="str">
        <f t="shared" si="1659"/>
        <v>Фото &gt;&gt;</v>
      </c>
      <c r="S2979" s="14" t="s">
        <v>1409</v>
      </c>
      <c r="AK2979">
        <v>0.55000000000000004</v>
      </c>
      <c r="AL2979">
        <f t="shared" si="1660"/>
        <v>0</v>
      </c>
      <c r="AM2979">
        <f t="shared" si="1661"/>
        <v>0</v>
      </c>
      <c r="AN2979">
        <f t="shared" si="1662"/>
        <v>0</v>
      </c>
      <c r="AO2979" t="s">
        <v>5276</v>
      </c>
      <c r="AV2979" t="str">
        <f>IF(F2979&gt;0,(COUNT($AV$1:AV2978)+1),"")</f>
        <v/>
      </c>
    </row>
    <row r="2980" spans="1:48" ht="15" customHeight="1" x14ac:dyDescent="0.25">
      <c r="A2980" s="1"/>
      <c r="B2980" s="125"/>
      <c r="C2980" s="126"/>
      <c r="D2980" s="127"/>
      <c r="E2980" s="134"/>
      <c r="F2980" s="189"/>
      <c r="G2980" s="130"/>
      <c r="H2980" s="131"/>
      <c r="I2980" s="132"/>
      <c r="J2980" s="128"/>
      <c r="K2980" s="129"/>
      <c r="L2980" s="433"/>
      <c r="M2980" s="481" t="s">
        <v>104</v>
      </c>
      <c r="N2980" s="471"/>
      <c r="O2980" s="181"/>
      <c r="P2980" s="133"/>
      <c r="Q2980" s="135"/>
      <c r="R2980" s="13"/>
      <c r="S2980" s="14"/>
      <c r="AV2980" t="str">
        <f>IF(F2980&gt;0,(COUNT($AV$1:AV2979)+1),"")</f>
        <v/>
      </c>
    </row>
    <row r="2981" spans="1:48" ht="15" customHeight="1" thickBot="1" x14ac:dyDescent="0.3">
      <c r="A2981" s="1"/>
      <c r="B2981" s="136"/>
      <c r="C2981" s="137"/>
      <c r="D2981" s="138"/>
      <c r="E2981" s="145"/>
      <c r="F2981" s="190"/>
      <c r="G2981" s="141"/>
      <c r="H2981" s="142"/>
      <c r="I2981" s="143"/>
      <c r="J2981" s="139"/>
      <c r="K2981" s="140"/>
      <c r="L2981" s="434"/>
      <c r="M2981" s="477" t="s">
        <v>104</v>
      </c>
      <c r="N2981" s="468"/>
      <c r="O2981" s="182"/>
      <c r="P2981" s="144"/>
      <c r="Q2981" s="146"/>
      <c r="R2981" s="13"/>
      <c r="S2981" s="14"/>
      <c r="AV2981" t="str">
        <f>IF(F2981&gt;0,(COUNT($AV$1:AV2980)+1),"")</f>
        <v/>
      </c>
    </row>
    <row r="2982" spans="1:48" ht="24.75" customHeight="1" thickBot="1" x14ac:dyDescent="0.3">
      <c r="A2982" s="1"/>
      <c r="B2982" s="169"/>
      <c r="C2982" s="170"/>
      <c r="D2982" s="171" t="str">
        <f>CONCATENATE("Предприятие МС","     |     Сумма заказа: ",AK2982," руб.")</f>
        <v>Предприятие МС     |     Сумма заказа: 0 руб.</v>
      </c>
      <c r="E2982" s="176"/>
      <c r="F2982" s="177"/>
      <c r="G2982" s="180" t="str">
        <f>CONCATENATE("Ценовая колонка: ",AO2982,"   |   До следующей скидки: ",AJ2982," руб.")</f>
        <v>Ценовая колонка: 3   |   До следующей скидки: 5000 руб.</v>
      </c>
      <c r="H2982" s="174"/>
      <c r="I2982" s="174"/>
      <c r="J2982" s="172" t="s">
        <v>1131</v>
      </c>
      <c r="K2982" s="173"/>
      <c r="L2982" s="444"/>
      <c r="M2982" s="486" t="s">
        <v>104</v>
      </c>
      <c r="N2982" s="717"/>
      <c r="O2982" s="184"/>
      <c r="P2982" s="175"/>
      <c r="Q2982" s="178"/>
      <c r="R2982" s="179" t="s">
        <v>1558</v>
      </c>
      <c r="S2982" s="14"/>
      <c r="AJ2982">
        <f>ROUND(IF(AL2982&gt;15000,"0", IF(AND(AL2982&lt;15000,AM2982&gt;5000),15000-AL2982,5000-AM2982)),2)</f>
        <v>5000</v>
      </c>
      <c r="AK2982">
        <f>SUM(Q2984:Q2987)</f>
        <v>0</v>
      </c>
      <c r="AL2982">
        <f>SUM(AL2984:AL2987)</f>
        <v>0</v>
      </c>
      <c r="AM2982">
        <f>SUM(AM2984:AM2987)</f>
        <v>0</v>
      </c>
      <c r="AO2982">
        <f>IF(AM2982&gt;5000,IF(AL2982&gt;15000,1,2),3)</f>
        <v>3</v>
      </c>
      <c r="AV2982" t="str">
        <f>IF(F2982&gt;0,(COUNT($AV$1:AV2981)+1),"")</f>
        <v/>
      </c>
    </row>
    <row r="2983" spans="1:48" ht="15" customHeight="1" x14ac:dyDescent="0.25">
      <c r="A2983" s="1"/>
      <c r="B2983" s="296"/>
      <c r="C2983" s="38"/>
      <c r="D2983" s="39" t="s">
        <v>1473</v>
      </c>
      <c r="E2983" s="82"/>
      <c r="F2983" s="97"/>
      <c r="G2983" s="40" t="s">
        <v>170</v>
      </c>
      <c r="H2983" s="41" t="s">
        <v>16</v>
      </c>
      <c r="I2983" s="41" t="s">
        <v>221</v>
      </c>
      <c r="J2983" s="52"/>
      <c r="K2983" s="48"/>
      <c r="L2983" s="448"/>
      <c r="M2983" s="491" t="s">
        <v>104</v>
      </c>
      <c r="N2983" s="715"/>
      <c r="O2983" s="187"/>
      <c r="P2983" s="81"/>
      <c r="Q2983" s="105"/>
      <c r="R2983" s="13"/>
      <c r="S2983" s="14"/>
      <c r="AV2983" t="str">
        <f>IF(F2983&gt;0,(COUNT($AV$1:AV2982)+1),"")</f>
        <v/>
      </c>
    </row>
    <row r="2984" spans="1:48" ht="15" customHeight="1" x14ac:dyDescent="0.25">
      <c r="A2984" s="1"/>
      <c r="B2984" s="19">
        <v>16816</v>
      </c>
      <c r="C2984" s="20">
        <v>4640019110091</v>
      </c>
      <c r="D2984" s="225" t="s">
        <v>1130</v>
      </c>
      <c r="E2984" s="67">
        <v>24</v>
      </c>
      <c r="F2984" s="222"/>
      <c r="G2984" s="107">
        <v>125</v>
      </c>
      <c r="H2984" s="22">
        <v>130</v>
      </c>
      <c r="I2984" s="22">
        <v>140</v>
      </c>
      <c r="J2984" s="112" t="s">
        <v>1131</v>
      </c>
      <c r="K2984" s="45" t="s">
        <v>1424</v>
      </c>
      <c r="L2984" s="437"/>
      <c r="M2984" s="474" t="s">
        <v>1856</v>
      </c>
      <c r="N2984" s="1013" t="s">
        <v>1856</v>
      </c>
      <c r="O2984" s="209"/>
      <c r="P2984" s="66" t="s">
        <v>72</v>
      </c>
      <c r="Q2984" s="100">
        <f>IF($AO$2982=2,F2984*H2984,IF($AO$2982=1,F2984*G2984,F2984*I2984))</f>
        <v>0</v>
      </c>
      <c r="R2984" s="13" t="str">
        <f t="shared" ref="R2984:R3037" si="1663">IF(AO2984&gt;0,HYPERLINK(AO2984,"Фото &gt;&gt;"),"")</f>
        <v>Фото &gt;&gt;</v>
      </c>
      <c r="S2984" s="14" t="s">
        <v>1132</v>
      </c>
      <c r="AK2984">
        <v>0.25</v>
      </c>
      <c r="AL2984">
        <f>F2984*G2984</f>
        <v>0</v>
      </c>
      <c r="AM2984">
        <f>F2984*H2984</f>
        <v>0</v>
      </c>
      <c r="AN2984">
        <f>AK2984*F2984+IF(E2984&gt;1.01,F2984/E2984*0.2,0)</f>
        <v>0</v>
      </c>
      <c r="AO2984" t="s">
        <v>2798</v>
      </c>
      <c r="AV2984" t="str">
        <f>IF(F2984&gt;0,(COUNT($AV$1:AV2983)+1),"")</f>
        <v/>
      </c>
    </row>
    <row r="2985" spans="1:48" ht="15" customHeight="1" x14ac:dyDescent="0.25">
      <c r="A2985" s="1"/>
      <c r="B2985" s="15">
        <v>15043</v>
      </c>
      <c r="C2985" s="16">
        <v>4640019110015</v>
      </c>
      <c r="D2985" s="226" t="s">
        <v>1133</v>
      </c>
      <c r="E2985" s="69">
        <v>40</v>
      </c>
      <c r="F2985" s="222"/>
      <c r="G2985" s="108">
        <v>119</v>
      </c>
      <c r="H2985" s="18">
        <v>125</v>
      </c>
      <c r="I2985" s="18">
        <v>140</v>
      </c>
      <c r="J2985" s="113" t="s">
        <v>1131</v>
      </c>
      <c r="K2985" s="44" t="s">
        <v>1424</v>
      </c>
      <c r="L2985" s="442"/>
      <c r="M2985" s="480" t="s">
        <v>1856</v>
      </c>
      <c r="N2985" s="1015" t="s">
        <v>1856</v>
      </c>
      <c r="O2985" s="210"/>
      <c r="P2985" s="68" t="s">
        <v>72</v>
      </c>
      <c r="Q2985" s="100">
        <f>IF($AO$2982=2,F2985*H2985,IF($AO$2982=1,F2985*G2985,F2985*I2985))</f>
        <v>0</v>
      </c>
      <c r="R2985" s="13" t="str">
        <f t="shared" si="1663"/>
        <v>Фото &gt;&gt;</v>
      </c>
      <c r="S2985" s="14" t="s">
        <v>1132</v>
      </c>
      <c r="AK2985">
        <v>0.2</v>
      </c>
      <c r="AL2985">
        <f>F2985*G2985</f>
        <v>0</v>
      </c>
      <c r="AM2985">
        <f>F2985*H2985</f>
        <v>0</v>
      </c>
      <c r="AN2985">
        <f>AK2985*F2985+IF(E2985&gt;1.01,F2985/E2985*0.2,0)</f>
        <v>0</v>
      </c>
      <c r="AO2985" t="s">
        <v>5277</v>
      </c>
      <c r="AV2985" t="str">
        <f>IF(F2985&gt;0,(COUNT($AV$1:AV2984)+1),"")</f>
        <v/>
      </c>
    </row>
    <row r="2986" spans="1:48" ht="15" customHeight="1" x14ac:dyDescent="0.25">
      <c r="A2986" s="1"/>
      <c r="B2986" s="19">
        <v>16817</v>
      </c>
      <c r="C2986" s="20">
        <v>4640019110183</v>
      </c>
      <c r="D2986" s="225" t="s">
        <v>2405</v>
      </c>
      <c r="E2986" s="67">
        <v>24</v>
      </c>
      <c r="F2986" s="222"/>
      <c r="G2986" s="107">
        <v>156</v>
      </c>
      <c r="H2986" s="22">
        <v>164</v>
      </c>
      <c r="I2986" s="22">
        <v>180</v>
      </c>
      <c r="J2986" s="112" t="s">
        <v>1131</v>
      </c>
      <c r="K2986" s="45" t="s">
        <v>1424</v>
      </c>
      <c r="L2986" s="437"/>
      <c r="M2986" s="474" t="s">
        <v>1856</v>
      </c>
      <c r="N2986" s="1013" t="s">
        <v>1856</v>
      </c>
      <c r="O2986" s="209"/>
      <c r="P2986" s="66" t="s">
        <v>72</v>
      </c>
      <c r="Q2986" s="100">
        <f>IF($AO$2982=2,F2986*H2986,IF($AO$2982=1,F2986*G2986,F2986*I2986))</f>
        <v>0</v>
      </c>
      <c r="R2986" s="13" t="str">
        <f t="shared" si="1663"/>
        <v>Фото &gt;&gt;</v>
      </c>
      <c r="S2986" s="14" t="s">
        <v>2403</v>
      </c>
      <c r="AK2986">
        <v>0.25</v>
      </c>
      <c r="AL2986">
        <f>F2986*G2986</f>
        <v>0</v>
      </c>
      <c r="AM2986">
        <f>F2986*H2986</f>
        <v>0</v>
      </c>
      <c r="AN2986">
        <f>AK2986*F2986+IF(E2986&gt;1.01,F2986/E2986*0.2,0)</f>
        <v>0</v>
      </c>
      <c r="AO2986" t="s">
        <v>5278</v>
      </c>
      <c r="AV2986" t="str">
        <f>IF(F2986&gt;0,(COUNT($AV$1:AV2985)+1),"")</f>
        <v/>
      </c>
    </row>
    <row r="2987" spans="1:48" ht="15" customHeight="1" x14ac:dyDescent="0.25">
      <c r="A2987" s="1"/>
      <c r="B2987" s="15">
        <v>16818</v>
      </c>
      <c r="C2987" s="16">
        <v>4640019110138</v>
      </c>
      <c r="D2987" s="226" t="s">
        <v>2406</v>
      </c>
      <c r="E2987" s="69">
        <v>24</v>
      </c>
      <c r="F2987" s="222"/>
      <c r="G2987" s="108">
        <v>156</v>
      </c>
      <c r="H2987" s="18">
        <v>164</v>
      </c>
      <c r="I2987" s="18">
        <v>180</v>
      </c>
      <c r="J2987" s="113" t="s">
        <v>1131</v>
      </c>
      <c r="K2987" s="44" t="s">
        <v>1424</v>
      </c>
      <c r="L2987" s="442"/>
      <c r="M2987" s="480" t="s">
        <v>1856</v>
      </c>
      <c r="N2987" s="1015" t="s">
        <v>1856</v>
      </c>
      <c r="O2987" s="210"/>
      <c r="P2987" s="68" t="s">
        <v>72</v>
      </c>
      <c r="Q2987" s="100">
        <f>IF($AO$2982=2,F2987*H2987,IF($AO$2982=1,F2987*G2987,F2987*I2987))</f>
        <v>0</v>
      </c>
      <c r="R2987" s="13" t="str">
        <f t="shared" si="1663"/>
        <v>Фото &gt;&gt;</v>
      </c>
      <c r="S2987" s="14" t="s">
        <v>2404</v>
      </c>
      <c r="AK2987">
        <v>0.25</v>
      </c>
      <c r="AL2987">
        <f>F2987*G2987</f>
        <v>0</v>
      </c>
      <c r="AM2987">
        <f>F2987*H2987</f>
        <v>0</v>
      </c>
      <c r="AN2987">
        <f>AK2987*F2987+IF(E2987&gt;1.01,F2987/E2987*0.2,0)</f>
        <v>0</v>
      </c>
      <c r="AO2987" t="s">
        <v>5279</v>
      </c>
      <c r="AV2987" t="str">
        <f>IF(F2987&gt;0,(COUNT($AV$1:AV2986)+1),"")</f>
        <v/>
      </c>
    </row>
    <row r="2988" spans="1:48" ht="15" customHeight="1" x14ac:dyDescent="0.25">
      <c r="A2988" s="1"/>
      <c r="B2988" s="125"/>
      <c r="C2988" s="126"/>
      <c r="D2988" s="127"/>
      <c r="E2988" s="134"/>
      <c r="F2988" s="189"/>
      <c r="G2988" s="130"/>
      <c r="H2988" s="131"/>
      <c r="I2988" s="132"/>
      <c r="J2988" s="128"/>
      <c r="K2988" s="129"/>
      <c r="L2988" s="433"/>
      <c r="M2988" s="481" t="s">
        <v>104</v>
      </c>
      <c r="N2988" s="471"/>
      <c r="O2988" s="181"/>
      <c r="P2988" s="133"/>
      <c r="Q2988" s="135"/>
      <c r="R2988" s="13"/>
      <c r="S2988" s="14"/>
      <c r="AV2988" t="str">
        <f>IF(F2988&gt;0,(COUNT($AV$1:AV2987)+1),"")</f>
        <v/>
      </c>
    </row>
    <row r="2989" spans="1:48" ht="15" customHeight="1" thickBot="1" x14ac:dyDescent="0.3">
      <c r="A2989" s="1"/>
      <c r="B2989" s="136"/>
      <c r="C2989" s="137"/>
      <c r="D2989" s="138"/>
      <c r="E2989" s="145"/>
      <c r="F2989" s="190"/>
      <c r="G2989" s="141"/>
      <c r="H2989" s="142"/>
      <c r="I2989" s="143"/>
      <c r="J2989" s="139"/>
      <c r="K2989" s="140"/>
      <c r="L2989" s="434"/>
      <c r="M2989" s="477" t="s">
        <v>104</v>
      </c>
      <c r="N2989" s="468"/>
      <c r="O2989" s="182"/>
      <c r="P2989" s="144"/>
      <c r="Q2989" s="146"/>
      <c r="R2989" s="13"/>
      <c r="S2989" s="14"/>
      <c r="AV2989" t="str">
        <f>IF(F2989&gt;0,(COUNT($AV$1:AV2988)+1),"")</f>
        <v/>
      </c>
    </row>
    <row r="2990" spans="1:48" ht="24.75" customHeight="1" thickBot="1" x14ac:dyDescent="0.3">
      <c r="A2990" s="1"/>
      <c r="B2990" s="169"/>
      <c r="C2990" s="170"/>
      <c r="D2990" s="171" t="str">
        <f>CONCATENATE("Флайчипсы","     |     Сумма заказа: ",AK2990," руб.")</f>
        <v>Флайчипсы     |     Сумма заказа: 0 руб.</v>
      </c>
      <c r="E2990" s="176"/>
      <c r="F2990" s="177"/>
      <c r="G2990" s="180" t="str">
        <f>CONCATENATE("Ценовая колонка: ",AO2990,"   |   До следующей скидки: ",AJ2990," руб.")</f>
        <v>Ценовая колонка: 3   |   До следующей скидки: 5000 руб.</v>
      </c>
      <c r="H2990" s="174"/>
      <c r="I2990" s="174"/>
      <c r="J2990" s="172" t="s">
        <v>1474</v>
      </c>
      <c r="K2990" s="173"/>
      <c r="L2990" s="444"/>
      <c r="M2990" s="486" t="s">
        <v>104</v>
      </c>
      <c r="N2990" s="717"/>
      <c r="O2990" s="184"/>
      <c r="P2990" s="175"/>
      <c r="Q2990" s="178"/>
      <c r="R2990" s="179" t="s">
        <v>1558</v>
      </c>
      <c r="S2990" s="14"/>
      <c r="AJ2990">
        <f>ROUND(IF(AL2990&gt;10000,"0", IF(AND(AL2990&lt;10000,AM2990&gt;5000),10000-AL2990,5000-AM2990)),2)</f>
        <v>5000</v>
      </c>
      <c r="AK2990">
        <f>SUM(Q2992:Q3003)</f>
        <v>0</v>
      </c>
      <c r="AL2990">
        <f>SUM(AL2992:AL3003)</f>
        <v>0</v>
      </c>
      <c r="AM2990">
        <f>SUM(AM2992:AM3003)</f>
        <v>0</v>
      </c>
      <c r="AO2990">
        <f>IF(AM2990&gt;5000,IF(AL2990&gt;10000,1,2),3)</f>
        <v>3</v>
      </c>
      <c r="AV2990" t="str">
        <f>IF(F2990&gt;0,(COUNT($AV$1:AV2989)+1),"")</f>
        <v/>
      </c>
    </row>
    <row r="2991" spans="1:48" ht="15" customHeight="1" x14ac:dyDescent="0.25">
      <c r="A2991" s="1"/>
      <c r="B2991" s="296"/>
      <c r="C2991" s="38"/>
      <c r="D2991" s="39" t="s">
        <v>1474</v>
      </c>
      <c r="E2991" s="82"/>
      <c r="F2991" s="97"/>
      <c r="G2991" s="40" t="s">
        <v>1451</v>
      </c>
      <c r="H2991" s="41" t="s">
        <v>16</v>
      </c>
      <c r="I2991" s="41" t="s">
        <v>221</v>
      </c>
      <c r="J2991" s="52"/>
      <c r="K2991" s="48"/>
      <c r="L2991" s="448"/>
      <c r="M2991" s="491" t="s">
        <v>104</v>
      </c>
      <c r="N2991" s="715"/>
      <c r="O2991" s="187"/>
      <c r="P2991" s="81"/>
      <c r="Q2991" s="105"/>
      <c r="R2991" s="13"/>
      <c r="S2991" s="14"/>
      <c r="AV2991" t="str">
        <f>IF(F2991&gt;0,(COUNT($AV$1:AV2990)+1),"")</f>
        <v/>
      </c>
    </row>
    <row r="2992" spans="1:48" ht="15" customHeight="1" x14ac:dyDescent="0.25">
      <c r="A2992" s="1"/>
      <c r="B2992" s="30">
        <v>17329</v>
      </c>
      <c r="C2992" s="20">
        <v>4640018410536</v>
      </c>
      <c r="D2992" s="153" t="s">
        <v>1134</v>
      </c>
      <c r="E2992" s="67">
        <v>14</v>
      </c>
      <c r="F2992" s="222"/>
      <c r="G2992" s="107">
        <v>57.2</v>
      </c>
      <c r="H2992" s="22">
        <v>60</v>
      </c>
      <c r="I2992" s="22">
        <v>65</v>
      </c>
      <c r="J2992" s="112" t="s">
        <v>1474</v>
      </c>
      <c r="K2992" s="45" t="s">
        <v>478</v>
      </c>
      <c r="L2992" s="437"/>
      <c r="M2992" s="474" t="s">
        <v>1856</v>
      </c>
      <c r="N2992" s="1013" t="s">
        <v>1856</v>
      </c>
      <c r="O2992" s="209" t="str">
        <f>CONCATENATE(G2992,"руб. заказ коробками")</f>
        <v>57,2руб. заказ коробками</v>
      </c>
      <c r="P2992" s="66" t="s">
        <v>53</v>
      </c>
      <c r="Q2992" s="620">
        <f t="shared" ref="Q2992:Q3003" si="1664">IF(OR(INT(F2992/E2992),$AO$2990=1),F2992*G2992,IF($AO$2990=2,F2992*H2992,F2992*I2992))</f>
        <v>0</v>
      </c>
      <c r="R2992" s="13" t="str">
        <f t="shared" ref="R2992:R3003" si="1665">IF(AO2992&gt;0,HYPERLINK(AO2992,"Фото &gt;&gt;"),"")</f>
        <v>Фото &gt;&gt;</v>
      </c>
      <c r="S2992" s="14" t="s">
        <v>1135</v>
      </c>
      <c r="AK2992">
        <v>0.05</v>
      </c>
      <c r="AL2992">
        <f t="shared" ref="AL2992:AL3003" si="1666">F2992*G2992</f>
        <v>0</v>
      </c>
      <c r="AM2992">
        <f t="shared" ref="AM2992:AM3003" si="1667">F2992*H2992</f>
        <v>0</v>
      </c>
      <c r="AN2992">
        <f t="shared" ref="AN2992:AN3003" si="1668">AK2992*F2992+IF(E2992&gt;1.01,F2992/E2992*0.2,0)</f>
        <v>0</v>
      </c>
      <c r="AO2992" t="s">
        <v>2799</v>
      </c>
      <c r="AV2992" t="str">
        <f>IF(F2992&gt;0,(COUNT($AV$1:AV2991)+1),"")</f>
        <v/>
      </c>
    </row>
    <row r="2993" spans="1:48" ht="15" customHeight="1" x14ac:dyDescent="0.25">
      <c r="A2993" s="1"/>
      <c r="B2993" s="31">
        <v>17161</v>
      </c>
      <c r="C2993" s="16">
        <v>4640018410345</v>
      </c>
      <c r="D2993" s="154" t="s">
        <v>5785</v>
      </c>
      <c r="E2993" s="69">
        <v>14</v>
      </c>
      <c r="F2993" s="222"/>
      <c r="G2993" s="108">
        <v>57.2</v>
      </c>
      <c r="H2993" s="18">
        <v>60</v>
      </c>
      <c r="I2993" s="18">
        <v>65</v>
      </c>
      <c r="J2993" s="113" t="s">
        <v>1474</v>
      </c>
      <c r="K2993" s="44" t="s">
        <v>478</v>
      </c>
      <c r="L2993" s="442"/>
      <c r="M2993" s="480" t="s">
        <v>1856</v>
      </c>
      <c r="N2993" s="1015" t="s">
        <v>1856</v>
      </c>
      <c r="O2993" s="210" t="str">
        <f>CONCATENATE(G2993,"руб. заказ коробками")</f>
        <v>57,2руб. заказ коробками</v>
      </c>
      <c r="P2993" s="68" t="s">
        <v>53</v>
      </c>
      <c r="Q2993" s="620">
        <f t="shared" si="1664"/>
        <v>0</v>
      </c>
      <c r="R2993" s="13" t="str">
        <f t="shared" si="1665"/>
        <v>Фото &gt;&gt;</v>
      </c>
      <c r="S2993" s="14" t="s">
        <v>1136</v>
      </c>
      <c r="AK2993">
        <v>0.06</v>
      </c>
      <c r="AL2993">
        <f t="shared" si="1666"/>
        <v>0</v>
      </c>
      <c r="AM2993">
        <f t="shared" si="1667"/>
        <v>0</v>
      </c>
      <c r="AN2993">
        <f t="shared" si="1668"/>
        <v>0</v>
      </c>
      <c r="AO2993" t="s">
        <v>5503</v>
      </c>
      <c r="AV2993" t="str">
        <f>IF(F2993&gt;0,(COUNT($AV$1:AV2992)+1),"")</f>
        <v/>
      </c>
    </row>
    <row r="2994" spans="1:48" ht="15" customHeight="1" x14ac:dyDescent="0.25">
      <c r="A2994" s="1"/>
      <c r="B2994" s="30">
        <v>17166</v>
      </c>
      <c r="C2994" s="20">
        <v>4640018410475</v>
      </c>
      <c r="D2994" s="153" t="s">
        <v>5786</v>
      </c>
      <c r="E2994" s="67">
        <v>14</v>
      </c>
      <c r="F2994" s="222"/>
      <c r="G2994" s="107">
        <v>57.2</v>
      </c>
      <c r="H2994" s="22">
        <v>60</v>
      </c>
      <c r="I2994" s="22">
        <v>65</v>
      </c>
      <c r="J2994" s="112" t="s">
        <v>1474</v>
      </c>
      <c r="K2994" s="45" t="s">
        <v>478</v>
      </c>
      <c r="L2994" s="437"/>
      <c r="M2994" s="474" t="s">
        <v>1856</v>
      </c>
      <c r="N2994" s="1013" t="s">
        <v>1856</v>
      </c>
      <c r="O2994" s="209" t="str">
        <f>CONCATENATE(G2994,"руб. заказ коробками")</f>
        <v>57,2руб. заказ коробками</v>
      </c>
      <c r="P2994" s="66" t="s">
        <v>53</v>
      </c>
      <c r="Q2994" s="620">
        <f t="shared" si="1664"/>
        <v>0</v>
      </c>
      <c r="R2994" s="13" t="str">
        <f t="shared" si="1665"/>
        <v>Фото &gt;&gt;</v>
      </c>
      <c r="S2994" s="14" t="s">
        <v>1137</v>
      </c>
      <c r="AK2994">
        <v>0.06</v>
      </c>
      <c r="AL2994">
        <f t="shared" si="1666"/>
        <v>0</v>
      </c>
      <c r="AM2994">
        <f t="shared" si="1667"/>
        <v>0</v>
      </c>
      <c r="AN2994">
        <f t="shared" si="1668"/>
        <v>0</v>
      </c>
      <c r="AO2994" t="s">
        <v>5280</v>
      </c>
      <c r="AV2994" t="str">
        <f>IF(F2994&gt;0,(COUNT($AV$1:AV2993)+1),"")</f>
        <v/>
      </c>
    </row>
    <row r="2995" spans="1:48" ht="15" customHeight="1" x14ac:dyDescent="0.25">
      <c r="A2995" s="1"/>
      <c r="B2995" s="31">
        <v>17167</v>
      </c>
      <c r="C2995" s="16">
        <v>4640018410529</v>
      </c>
      <c r="D2995" s="154" t="s">
        <v>1138</v>
      </c>
      <c r="E2995" s="69">
        <v>14</v>
      </c>
      <c r="F2995" s="222"/>
      <c r="G2995" s="108">
        <v>57.2</v>
      </c>
      <c r="H2995" s="18">
        <v>60</v>
      </c>
      <c r="I2995" s="18">
        <v>65</v>
      </c>
      <c r="J2995" s="113" t="s">
        <v>1474</v>
      </c>
      <c r="K2995" s="44" t="s">
        <v>478</v>
      </c>
      <c r="L2995" s="442"/>
      <c r="M2995" s="480" t="s">
        <v>1856</v>
      </c>
      <c r="N2995" s="1015" t="s">
        <v>1856</v>
      </c>
      <c r="O2995" s="210" t="str">
        <f>CONCATENATE(G2995,"руб. заказ коробками")</f>
        <v>57,2руб. заказ коробками</v>
      </c>
      <c r="P2995" s="68" t="s">
        <v>53</v>
      </c>
      <c r="Q2995" s="620">
        <f t="shared" si="1664"/>
        <v>0</v>
      </c>
      <c r="R2995" s="13" t="str">
        <f t="shared" si="1665"/>
        <v>Фото &gt;&gt;</v>
      </c>
      <c r="S2995" s="14" t="s">
        <v>1139</v>
      </c>
      <c r="AK2995">
        <v>0.06</v>
      </c>
      <c r="AL2995">
        <f t="shared" si="1666"/>
        <v>0</v>
      </c>
      <c r="AM2995">
        <f t="shared" si="1667"/>
        <v>0</v>
      </c>
      <c r="AN2995">
        <f t="shared" si="1668"/>
        <v>0</v>
      </c>
      <c r="AO2995" t="s">
        <v>5281</v>
      </c>
      <c r="AV2995" t="str">
        <f>IF(F2995&gt;0,(COUNT($AV$1:AV2994)+1),"")</f>
        <v/>
      </c>
    </row>
    <row r="2996" spans="1:48" ht="15" customHeight="1" x14ac:dyDescent="0.25">
      <c r="A2996" s="1"/>
      <c r="B2996" s="30">
        <v>19550</v>
      </c>
      <c r="C2996" s="20">
        <v>4640018410857</v>
      </c>
      <c r="D2996" s="225" t="s">
        <v>5863</v>
      </c>
      <c r="E2996" s="67">
        <v>14</v>
      </c>
      <c r="F2996" s="222"/>
      <c r="G2996" s="107">
        <v>57.2</v>
      </c>
      <c r="H2996" s="22">
        <v>60</v>
      </c>
      <c r="I2996" s="22">
        <v>65</v>
      </c>
      <c r="J2996" s="112" t="s">
        <v>1474</v>
      </c>
      <c r="K2996" s="45" t="s">
        <v>478</v>
      </c>
      <c r="L2996" s="437"/>
      <c r="M2996" s="474" t="s">
        <v>1856</v>
      </c>
      <c r="N2996" s="1013" t="s">
        <v>1856</v>
      </c>
      <c r="O2996" s="209" t="str">
        <f>CONCATENATE(G2996,"руб. заказ коробками")</f>
        <v>57,2руб. заказ коробками</v>
      </c>
      <c r="P2996" s="66" t="s">
        <v>53</v>
      </c>
      <c r="Q2996" s="620">
        <f t="shared" si="1664"/>
        <v>0</v>
      </c>
      <c r="R2996" s="13" t="str">
        <f t="shared" si="1665"/>
        <v>Фото &gt;&gt;</v>
      </c>
      <c r="S2996" s="14"/>
      <c r="AK2996">
        <v>0.06</v>
      </c>
      <c r="AL2996">
        <f t="shared" si="1666"/>
        <v>0</v>
      </c>
      <c r="AM2996">
        <f t="shared" si="1667"/>
        <v>0</v>
      </c>
      <c r="AN2996">
        <f t="shared" si="1668"/>
        <v>0</v>
      </c>
      <c r="AO2996" t="s">
        <v>5282</v>
      </c>
      <c r="AV2996" t="str">
        <f>IF(F2996&gt;0,(COUNT($AV$1:AV2995)+1),"")</f>
        <v/>
      </c>
    </row>
    <row r="2997" spans="1:48" ht="15" customHeight="1" x14ac:dyDescent="0.25">
      <c r="A2997" s="1"/>
      <c r="B2997" s="31">
        <v>17168</v>
      </c>
      <c r="C2997" s="16">
        <v>4640018410369</v>
      </c>
      <c r="D2997" s="154" t="s">
        <v>5787</v>
      </c>
      <c r="E2997" s="69">
        <v>14</v>
      </c>
      <c r="F2997" s="222"/>
      <c r="G2997" s="108">
        <v>57.2</v>
      </c>
      <c r="H2997" s="18">
        <v>60</v>
      </c>
      <c r="I2997" s="18">
        <v>65</v>
      </c>
      <c r="J2997" s="113" t="s">
        <v>1474</v>
      </c>
      <c r="K2997" s="44" t="s">
        <v>478</v>
      </c>
      <c r="L2997" s="442"/>
      <c r="M2997" s="480" t="s">
        <v>1856</v>
      </c>
      <c r="N2997" s="1015" t="s">
        <v>1856</v>
      </c>
      <c r="O2997" s="210" t="str">
        <f t="shared" ref="O2997:O3002" si="1669">CONCATENATE(G2997,"руб. заказ коробками")</f>
        <v>57,2руб. заказ коробками</v>
      </c>
      <c r="P2997" s="68" t="s">
        <v>53</v>
      </c>
      <c r="Q2997" s="620">
        <f t="shared" si="1664"/>
        <v>0</v>
      </c>
      <c r="R2997" s="13" t="str">
        <f t="shared" si="1665"/>
        <v>Фото &gt;&gt;</v>
      </c>
      <c r="S2997" s="14" t="s">
        <v>1140</v>
      </c>
      <c r="AK2997">
        <v>0.06</v>
      </c>
      <c r="AL2997">
        <f t="shared" si="1666"/>
        <v>0</v>
      </c>
      <c r="AM2997">
        <f t="shared" si="1667"/>
        <v>0</v>
      </c>
      <c r="AN2997">
        <f t="shared" si="1668"/>
        <v>0</v>
      </c>
      <c r="AO2997" t="s">
        <v>5504</v>
      </c>
      <c r="AV2997" t="str">
        <f>IF(F2997&gt;0,(COUNT($AV$1:AV2996)+1),"")</f>
        <v/>
      </c>
    </row>
    <row r="2998" spans="1:48" ht="15" customHeight="1" x14ac:dyDescent="0.25">
      <c r="A2998" s="1"/>
      <c r="B2998" s="30">
        <v>17162</v>
      </c>
      <c r="C2998" s="20">
        <v>4640018410314</v>
      </c>
      <c r="D2998" s="153" t="s">
        <v>1141</v>
      </c>
      <c r="E2998" s="67">
        <v>14</v>
      </c>
      <c r="F2998" s="222"/>
      <c r="G2998" s="107">
        <v>57.2</v>
      </c>
      <c r="H2998" s="22">
        <v>60</v>
      </c>
      <c r="I2998" s="22">
        <v>65</v>
      </c>
      <c r="J2998" s="112" t="s">
        <v>1474</v>
      </c>
      <c r="K2998" s="45" t="s">
        <v>478</v>
      </c>
      <c r="L2998" s="437"/>
      <c r="M2998" s="474"/>
      <c r="N2998" s="1013" t="s">
        <v>1856</v>
      </c>
      <c r="O2998" s="209" t="str">
        <f t="shared" si="1669"/>
        <v>57,2руб. заказ коробками</v>
      </c>
      <c r="P2998" s="66" t="s">
        <v>53</v>
      </c>
      <c r="Q2998" s="620">
        <f t="shared" si="1664"/>
        <v>0</v>
      </c>
      <c r="R2998" s="13" t="str">
        <f t="shared" si="1665"/>
        <v>Фото &gt;&gt;</v>
      </c>
      <c r="S2998" s="14" t="s">
        <v>1142</v>
      </c>
      <c r="AK2998">
        <v>0.06</v>
      </c>
      <c r="AL2998">
        <f t="shared" si="1666"/>
        <v>0</v>
      </c>
      <c r="AM2998">
        <f t="shared" si="1667"/>
        <v>0</v>
      </c>
      <c r="AN2998">
        <f t="shared" si="1668"/>
        <v>0</v>
      </c>
      <c r="AO2998" t="s">
        <v>3773</v>
      </c>
      <c r="AV2998" t="str">
        <f>IF(F2998&gt;0,(COUNT($AV$1:AV2997)+1),"")</f>
        <v/>
      </c>
    </row>
    <row r="2999" spans="1:48" ht="15" customHeight="1" x14ac:dyDescent="0.25">
      <c r="A2999" s="1"/>
      <c r="B2999" s="31">
        <v>17330</v>
      </c>
      <c r="C2999" s="16">
        <v>4640018410482</v>
      </c>
      <c r="D2999" s="154" t="s">
        <v>2992</v>
      </c>
      <c r="E2999" s="69">
        <v>14</v>
      </c>
      <c r="F2999" s="222"/>
      <c r="G2999" s="108">
        <v>57.2</v>
      </c>
      <c r="H2999" s="18">
        <v>60</v>
      </c>
      <c r="I2999" s="18">
        <v>65</v>
      </c>
      <c r="J2999" s="113" t="s">
        <v>1474</v>
      </c>
      <c r="K2999" s="44" t="s">
        <v>478</v>
      </c>
      <c r="L2999" s="442"/>
      <c r="M2999" s="480" t="s">
        <v>1856</v>
      </c>
      <c r="N2999" s="1015" t="s">
        <v>1856</v>
      </c>
      <c r="O2999" s="210" t="str">
        <f t="shared" si="1669"/>
        <v>57,2руб. заказ коробками</v>
      </c>
      <c r="P2999" s="68" t="s">
        <v>53</v>
      </c>
      <c r="Q2999" s="620">
        <f t="shared" si="1664"/>
        <v>0</v>
      </c>
      <c r="R2999" s="13" t="str">
        <f t="shared" si="1665"/>
        <v>Фото &gt;&gt;</v>
      </c>
      <c r="S2999" s="14" t="s">
        <v>3776</v>
      </c>
      <c r="AK2999">
        <v>0.06</v>
      </c>
      <c r="AL2999">
        <f t="shared" si="1666"/>
        <v>0</v>
      </c>
      <c r="AM2999">
        <f t="shared" si="1667"/>
        <v>0</v>
      </c>
      <c r="AN2999">
        <f t="shared" si="1668"/>
        <v>0</v>
      </c>
      <c r="AO2999" t="s">
        <v>5283</v>
      </c>
      <c r="AV2999" t="str">
        <f>IF(F2999&gt;0,(COUNT($AV$1:AV2998)+1),"")</f>
        <v/>
      </c>
    </row>
    <row r="3000" spans="1:48" ht="15" customHeight="1" x14ac:dyDescent="0.25">
      <c r="A3000" s="1"/>
      <c r="B3000" s="30">
        <v>19683</v>
      </c>
      <c r="C3000" s="20">
        <v>4640018410925</v>
      </c>
      <c r="D3000" s="153" t="s">
        <v>5788</v>
      </c>
      <c r="E3000" s="67">
        <v>14</v>
      </c>
      <c r="F3000" s="222"/>
      <c r="G3000" s="107">
        <v>59.8</v>
      </c>
      <c r="H3000" s="22">
        <v>62.8</v>
      </c>
      <c r="I3000" s="22">
        <v>66</v>
      </c>
      <c r="J3000" s="112" t="s">
        <v>1474</v>
      </c>
      <c r="K3000" s="45" t="s">
        <v>478</v>
      </c>
      <c r="L3000" s="437"/>
      <c r="M3000" s="474" t="s">
        <v>1856</v>
      </c>
      <c r="N3000" s="1013"/>
      <c r="O3000" s="209" t="str">
        <f t="shared" si="1669"/>
        <v>59,8руб. заказ коробками</v>
      </c>
      <c r="P3000" s="66" t="s">
        <v>53</v>
      </c>
      <c r="Q3000" s="620">
        <f t="shared" si="1664"/>
        <v>0</v>
      </c>
      <c r="R3000" s="13" t="str">
        <f t="shared" si="1665"/>
        <v>Фото &gt;&gt;</v>
      </c>
      <c r="S3000" s="14" t="s">
        <v>3775</v>
      </c>
      <c r="AK3000">
        <v>0.05</v>
      </c>
      <c r="AL3000">
        <f t="shared" si="1666"/>
        <v>0</v>
      </c>
      <c r="AM3000">
        <f t="shared" si="1667"/>
        <v>0</v>
      </c>
      <c r="AN3000">
        <f t="shared" si="1668"/>
        <v>0</v>
      </c>
      <c r="AO3000" t="s">
        <v>5284</v>
      </c>
      <c r="AV3000" t="str">
        <f>IF(F3000&gt;0,(COUNT($AV$1:AV2999)+1),"")</f>
        <v/>
      </c>
    </row>
    <row r="3001" spans="1:48" ht="15" customHeight="1" x14ac:dyDescent="0.25">
      <c r="A3001" s="1"/>
      <c r="B3001" s="31">
        <v>19682</v>
      </c>
      <c r="C3001" s="16">
        <v>4640018410918</v>
      </c>
      <c r="D3001" s="154" t="s">
        <v>2029</v>
      </c>
      <c r="E3001" s="69">
        <v>14</v>
      </c>
      <c r="F3001" s="222"/>
      <c r="G3001" s="108">
        <v>59.8</v>
      </c>
      <c r="H3001" s="18">
        <v>62.8</v>
      </c>
      <c r="I3001" s="18">
        <v>66</v>
      </c>
      <c r="J3001" s="113" t="s">
        <v>1474</v>
      </c>
      <c r="K3001" s="44" t="s">
        <v>478</v>
      </c>
      <c r="L3001" s="442"/>
      <c r="M3001" s="480" t="s">
        <v>1856</v>
      </c>
      <c r="N3001" s="1015"/>
      <c r="O3001" s="210" t="str">
        <f t="shared" si="1669"/>
        <v>59,8руб. заказ коробками</v>
      </c>
      <c r="P3001" s="68" t="s">
        <v>53</v>
      </c>
      <c r="Q3001" s="620">
        <f t="shared" si="1664"/>
        <v>0</v>
      </c>
      <c r="R3001" s="13" t="str">
        <f t="shared" si="1665"/>
        <v>Фото &gt;&gt;</v>
      </c>
      <c r="S3001" s="14" t="s">
        <v>3774</v>
      </c>
      <c r="AK3001">
        <v>0.05</v>
      </c>
      <c r="AL3001">
        <f t="shared" si="1666"/>
        <v>0</v>
      </c>
      <c r="AM3001">
        <f t="shared" si="1667"/>
        <v>0</v>
      </c>
      <c r="AN3001">
        <f t="shared" si="1668"/>
        <v>0</v>
      </c>
      <c r="AO3001" t="s">
        <v>5285</v>
      </c>
      <c r="AV3001" t="str">
        <f>IF(F3001&gt;0,(COUNT($AV$1:AV3000)+1),"")</f>
        <v/>
      </c>
    </row>
    <row r="3002" spans="1:48" ht="15" customHeight="1" x14ac:dyDescent="0.25">
      <c r="A3002" s="1"/>
      <c r="B3002" s="30">
        <v>19549</v>
      </c>
      <c r="C3002" s="20">
        <v>4640018410871</v>
      </c>
      <c r="D3002" s="153" t="s">
        <v>5789</v>
      </c>
      <c r="E3002" s="67">
        <v>14</v>
      </c>
      <c r="F3002" s="222"/>
      <c r="G3002" s="107">
        <v>59.8</v>
      </c>
      <c r="H3002" s="22">
        <v>62.8</v>
      </c>
      <c r="I3002" s="22">
        <v>66</v>
      </c>
      <c r="J3002" s="112" t="s">
        <v>1474</v>
      </c>
      <c r="K3002" s="45" t="s">
        <v>478</v>
      </c>
      <c r="L3002" s="437"/>
      <c r="M3002" s="474" t="s">
        <v>1856</v>
      </c>
      <c r="N3002" s="1013" t="s">
        <v>1856</v>
      </c>
      <c r="O3002" s="209" t="str">
        <f t="shared" si="1669"/>
        <v>59,8руб. заказ коробками</v>
      </c>
      <c r="P3002" s="66" t="s">
        <v>53</v>
      </c>
      <c r="Q3002" s="620">
        <f t="shared" si="1664"/>
        <v>0</v>
      </c>
      <c r="R3002" s="13" t="str">
        <f t="shared" si="1665"/>
        <v>Фото &gt;&gt;</v>
      </c>
      <c r="S3002" s="14" t="s">
        <v>3772</v>
      </c>
      <c r="AK3002">
        <v>0.05</v>
      </c>
      <c r="AL3002">
        <f t="shared" si="1666"/>
        <v>0</v>
      </c>
      <c r="AM3002">
        <f t="shared" si="1667"/>
        <v>0</v>
      </c>
      <c r="AN3002">
        <f t="shared" si="1668"/>
        <v>0</v>
      </c>
      <c r="AO3002" t="s">
        <v>5286</v>
      </c>
      <c r="AV3002" t="str">
        <f>IF(F3002&gt;0,(COUNT($AV$1:AV3001)+1),"")</f>
        <v/>
      </c>
    </row>
    <row r="3003" spans="1:48" ht="15" customHeight="1" x14ac:dyDescent="0.25">
      <c r="A3003" s="1"/>
      <c r="B3003" s="31">
        <v>18089</v>
      </c>
      <c r="C3003" s="16">
        <v>4640018410628</v>
      </c>
      <c r="D3003" s="154" t="s">
        <v>1143</v>
      </c>
      <c r="E3003" s="69">
        <v>14</v>
      </c>
      <c r="F3003" s="222"/>
      <c r="G3003" s="108">
        <v>57.2</v>
      </c>
      <c r="H3003" s="18">
        <v>60</v>
      </c>
      <c r="I3003" s="18">
        <v>65</v>
      </c>
      <c r="J3003" s="113" t="s">
        <v>1474</v>
      </c>
      <c r="K3003" s="44" t="s">
        <v>478</v>
      </c>
      <c r="L3003" s="442"/>
      <c r="M3003" s="480" t="s">
        <v>1856</v>
      </c>
      <c r="N3003" s="1015" t="s">
        <v>1856</v>
      </c>
      <c r="O3003" s="210" t="str">
        <f>CONCATENATE(G3003,"руб. заказ коробками")</f>
        <v>57,2руб. заказ коробками</v>
      </c>
      <c r="P3003" s="68" t="s">
        <v>53</v>
      </c>
      <c r="Q3003" s="620">
        <f t="shared" si="1664"/>
        <v>0</v>
      </c>
      <c r="R3003" s="13" t="str">
        <f t="shared" si="1665"/>
        <v>Фото &gt;&gt;</v>
      </c>
      <c r="S3003" s="14" t="s">
        <v>3771</v>
      </c>
      <c r="AK3003">
        <v>0.05</v>
      </c>
      <c r="AL3003">
        <f t="shared" si="1666"/>
        <v>0</v>
      </c>
      <c r="AM3003">
        <f t="shared" si="1667"/>
        <v>0</v>
      </c>
      <c r="AN3003">
        <f t="shared" si="1668"/>
        <v>0</v>
      </c>
      <c r="AO3003" t="s">
        <v>5287</v>
      </c>
      <c r="AV3003" t="str">
        <f>IF(F3003&gt;0,(COUNT($AV$1:AV3002)+1),"")</f>
        <v/>
      </c>
    </row>
    <row r="3004" spans="1:48" ht="15" customHeight="1" x14ac:dyDescent="0.25">
      <c r="A3004" s="1"/>
      <c r="B3004" s="125"/>
      <c r="C3004" s="126"/>
      <c r="D3004" s="127"/>
      <c r="E3004" s="134"/>
      <c r="F3004" s="189"/>
      <c r="G3004" s="130"/>
      <c r="H3004" s="131"/>
      <c r="I3004" s="132"/>
      <c r="J3004" s="128"/>
      <c r="K3004" s="129"/>
      <c r="L3004" s="433"/>
      <c r="M3004" s="481" t="s">
        <v>104</v>
      </c>
      <c r="N3004" s="471"/>
      <c r="O3004" s="181"/>
      <c r="P3004" s="133"/>
      <c r="Q3004" s="135"/>
      <c r="R3004" s="13"/>
      <c r="S3004" s="14"/>
      <c r="AV3004" t="str">
        <f>IF(F3004&gt;0,(COUNT($AV$1:AV3003)+1),"")</f>
        <v/>
      </c>
    </row>
    <row r="3005" spans="1:48" ht="15" customHeight="1" thickBot="1" x14ac:dyDescent="0.3">
      <c r="A3005" s="1"/>
      <c r="B3005" s="136"/>
      <c r="C3005" s="137"/>
      <c r="D3005" s="138"/>
      <c r="E3005" s="145"/>
      <c r="F3005" s="190"/>
      <c r="G3005" s="141"/>
      <c r="H3005" s="142"/>
      <c r="I3005" s="143"/>
      <c r="J3005" s="139"/>
      <c r="K3005" s="140"/>
      <c r="L3005" s="434"/>
      <c r="M3005" s="477" t="s">
        <v>104</v>
      </c>
      <c r="N3005" s="468"/>
      <c r="O3005" s="182"/>
      <c r="P3005" s="144"/>
      <c r="Q3005" s="146"/>
      <c r="R3005" s="13"/>
      <c r="S3005" s="14"/>
      <c r="AV3005" t="str">
        <f>IF(F3005&gt;0,(COUNT($AV$1:AV3004)+1),"")</f>
        <v/>
      </c>
    </row>
    <row r="3006" spans="1:48" ht="24.75" customHeight="1" thickBot="1" x14ac:dyDescent="0.3">
      <c r="A3006" s="1"/>
      <c r="B3006" s="169"/>
      <c r="C3006" s="170"/>
      <c r="D3006" s="171" t="str">
        <f>CONCATENATE("Твёрдый мёд (Сила сибири)","     |     Сумма заказа: ",AK3006," руб.")</f>
        <v>Твёрдый мёд (Сила сибири)     |     Сумма заказа: 0 руб.</v>
      </c>
      <c r="E3006" s="176"/>
      <c r="F3006" s="177"/>
      <c r="G3006" s="180" t="str">
        <f>CONCATENATE("Ценовая колонка: ",AO3006,"   |   До следующей скидки: ",AJ3006," руб.")</f>
        <v>Ценовая колонка: 3   |   До следующей скидки: 5000 руб.</v>
      </c>
      <c r="H3006" s="174"/>
      <c r="I3006" s="174"/>
      <c r="J3006" s="172" t="s">
        <v>1144</v>
      </c>
      <c r="K3006" s="173"/>
      <c r="L3006" s="444"/>
      <c r="M3006" s="486" t="s">
        <v>104</v>
      </c>
      <c r="N3006" s="717"/>
      <c r="O3006" s="184"/>
      <c r="P3006" s="175"/>
      <c r="Q3006" s="178"/>
      <c r="R3006" s="179" t="s">
        <v>1558</v>
      </c>
      <c r="S3006" s="14"/>
      <c r="AJ3006">
        <f>ROUND(IF(AL3006&gt;10000,"0", IF(AND(AL3006&lt;10000,AM3006&gt;5000),10000-AL3006,5000-AM3006)),2)</f>
        <v>5000</v>
      </c>
      <c r="AK3006">
        <f>SUM(Q3008:Q3017)</f>
        <v>0</v>
      </c>
      <c r="AL3006">
        <f>SUM(AL3008:AL3017)</f>
        <v>0</v>
      </c>
      <c r="AM3006">
        <f>SUM(AM3008:AM3017)</f>
        <v>0</v>
      </c>
      <c r="AO3006">
        <f>IF(AM3006&gt;5000,IF(AL3006&gt;10000,1,2),3)</f>
        <v>3</v>
      </c>
      <c r="AV3006" t="str">
        <f>IF(F3006&gt;0,(COUNT($AV$1:AV3005)+1),"")</f>
        <v/>
      </c>
    </row>
    <row r="3007" spans="1:48" ht="15" customHeight="1" x14ac:dyDescent="0.25">
      <c r="A3007" s="1"/>
      <c r="B3007" s="296"/>
      <c r="C3007" s="38"/>
      <c r="D3007" s="39" t="s">
        <v>1475</v>
      </c>
      <c r="E3007" s="82"/>
      <c r="F3007" s="97"/>
      <c r="G3007" s="40" t="s">
        <v>1451</v>
      </c>
      <c r="H3007" s="41" t="s">
        <v>16</v>
      </c>
      <c r="I3007" s="41" t="s">
        <v>221</v>
      </c>
      <c r="J3007" s="52"/>
      <c r="K3007" s="48"/>
      <c r="L3007" s="448"/>
      <c r="M3007" s="491" t="s">
        <v>104</v>
      </c>
      <c r="N3007" s="715"/>
      <c r="O3007" s="187"/>
      <c r="P3007" s="81"/>
      <c r="Q3007" s="105"/>
      <c r="R3007" s="13"/>
      <c r="S3007" s="14"/>
      <c r="AV3007" t="str">
        <f>IF(F3007&gt;0,(COUNT($AV$1:AV3006)+1),"")</f>
        <v/>
      </c>
    </row>
    <row r="3008" spans="1:48" ht="15" customHeight="1" x14ac:dyDescent="0.25">
      <c r="A3008" s="1"/>
      <c r="B3008" s="30">
        <v>21177</v>
      </c>
      <c r="C3008" s="149">
        <v>4650245651800</v>
      </c>
      <c r="D3008" s="225" t="s">
        <v>7010</v>
      </c>
      <c r="E3008" s="67">
        <v>10</v>
      </c>
      <c r="F3008" s="222"/>
      <c r="G3008" s="107">
        <v>179</v>
      </c>
      <c r="H3008" s="21">
        <v>187.6</v>
      </c>
      <c r="I3008" s="22">
        <v>206</v>
      </c>
      <c r="J3008" s="112" t="s">
        <v>1144</v>
      </c>
      <c r="K3008" s="45" t="s">
        <v>97</v>
      </c>
      <c r="L3008" s="437"/>
      <c r="M3008" s="474" t="s">
        <v>1856</v>
      </c>
      <c r="N3008" s="1013" t="s">
        <v>1856</v>
      </c>
      <c r="O3008" s="209"/>
      <c r="P3008" s="66" t="s">
        <v>50</v>
      </c>
      <c r="Q3008" s="100">
        <f t="shared" ref="Q3008:Q3017" si="1670">IF($AO$3006=2,F3008*H3008,IF($AO$3006=1,F3008*G3008,F3008*I3008))</f>
        <v>0</v>
      </c>
      <c r="R3008" s="13" t="str">
        <f t="shared" ref="R3008:R3016" si="1671">IF(AO3008&gt;0,HYPERLINK(AO3008,"Фото &gt;&gt;"),"")</f>
        <v>Фото &gt;&gt;</v>
      </c>
      <c r="S3008" s="14" t="s">
        <v>6221</v>
      </c>
      <c r="AK3008">
        <v>4.4999999999999998E-2</v>
      </c>
      <c r="AL3008">
        <f>F3008*G3008</f>
        <v>0</v>
      </c>
      <c r="AM3008">
        <f>F3008*H3008</f>
        <v>0</v>
      </c>
      <c r="AN3008">
        <f t="shared" ref="AN3008:AN3017" si="1672">AK3008*F3008+IF(E3008&gt;1.01,F3008/E3008*0.2,0)</f>
        <v>0</v>
      </c>
      <c r="AO3008" t="s">
        <v>6222</v>
      </c>
      <c r="AV3008" t="str">
        <f>IF(F3008&gt;0,(COUNT($AV$1:AV3007)+1),"")</f>
        <v/>
      </c>
    </row>
    <row r="3009" spans="1:48" ht="15" customHeight="1" x14ac:dyDescent="0.25">
      <c r="A3009" s="1"/>
      <c r="B3009" s="31">
        <v>15918</v>
      </c>
      <c r="C3009" s="148">
        <v>4650054430016</v>
      </c>
      <c r="D3009" s="226" t="s">
        <v>1911</v>
      </c>
      <c r="E3009" s="69">
        <v>10</v>
      </c>
      <c r="F3009" s="222"/>
      <c r="G3009" s="108">
        <v>179</v>
      </c>
      <c r="H3009" s="17">
        <v>187.6</v>
      </c>
      <c r="I3009" s="18">
        <v>206</v>
      </c>
      <c r="J3009" s="113" t="s">
        <v>1144</v>
      </c>
      <c r="K3009" s="44" t="s">
        <v>97</v>
      </c>
      <c r="L3009" s="442"/>
      <c r="M3009" s="480" t="s">
        <v>1856</v>
      </c>
      <c r="N3009" s="1015" t="s">
        <v>1856</v>
      </c>
      <c r="O3009" s="326"/>
      <c r="P3009" s="68" t="s">
        <v>50</v>
      </c>
      <c r="Q3009" s="100">
        <f t="shared" si="1670"/>
        <v>0</v>
      </c>
      <c r="R3009" s="13" t="str">
        <f t="shared" si="1671"/>
        <v>Фото &gt;&gt;</v>
      </c>
      <c r="S3009" s="14" t="s">
        <v>1145</v>
      </c>
      <c r="AK3009">
        <v>4.4999999999999998E-2</v>
      </c>
      <c r="AL3009">
        <f t="shared" ref="AL3009:AL3016" si="1673">F3009*G3009</f>
        <v>0</v>
      </c>
      <c r="AM3009">
        <f t="shared" ref="AM3009:AM3016" si="1674">F3009*H3009</f>
        <v>0</v>
      </c>
      <c r="AN3009">
        <f t="shared" ref="AN3009:AN3016" si="1675">AK3009*F3009+IF(E3009&gt;1.01,F3009/E3009*0.2,0)</f>
        <v>0</v>
      </c>
      <c r="AO3009" t="s">
        <v>5288</v>
      </c>
      <c r="AV3009" t="str">
        <f>IF(F3009&gt;0,(COUNT($AV$1:AV3008)+1),"")</f>
        <v/>
      </c>
    </row>
    <row r="3010" spans="1:48" ht="15" customHeight="1" x14ac:dyDescent="0.25">
      <c r="A3010" s="1"/>
      <c r="B3010" s="30">
        <v>15921</v>
      </c>
      <c r="C3010" s="149">
        <v>4650245650063</v>
      </c>
      <c r="D3010" s="225" t="s">
        <v>1912</v>
      </c>
      <c r="E3010" s="67">
        <v>10</v>
      </c>
      <c r="F3010" s="222"/>
      <c r="G3010" s="107">
        <v>179</v>
      </c>
      <c r="H3010" s="21">
        <v>187.6</v>
      </c>
      <c r="I3010" s="22">
        <v>206</v>
      </c>
      <c r="J3010" s="112" t="s">
        <v>1144</v>
      </c>
      <c r="K3010" s="45" t="s">
        <v>97</v>
      </c>
      <c r="L3010" s="437"/>
      <c r="M3010" s="474" t="s">
        <v>1856</v>
      </c>
      <c r="N3010" s="1013" t="s">
        <v>1856</v>
      </c>
      <c r="O3010" s="209"/>
      <c r="P3010" s="66" t="s">
        <v>50</v>
      </c>
      <c r="Q3010" s="100">
        <f t="shared" si="1670"/>
        <v>0</v>
      </c>
      <c r="R3010" s="13" t="str">
        <f t="shared" si="1671"/>
        <v>Фото &gt;&gt;</v>
      </c>
      <c r="S3010" s="14" t="s">
        <v>1146</v>
      </c>
      <c r="AK3010">
        <v>4.4999999999999998E-2</v>
      </c>
      <c r="AL3010">
        <f t="shared" si="1673"/>
        <v>0</v>
      </c>
      <c r="AM3010">
        <f t="shared" si="1674"/>
        <v>0</v>
      </c>
      <c r="AN3010">
        <f t="shared" si="1675"/>
        <v>0</v>
      </c>
      <c r="AO3010" t="s">
        <v>5289</v>
      </c>
      <c r="AV3010" t="str">
        <f>IF(F3010&gt;0,(COUNT($AV$1:AV3009)+1),"")</f>
        <v/>
      </c>
    </row>
    <row r="3011" spans="1:48" ht="15" customHeight="1" x14ac:dyDescent="0.25">
      <c r="A3011" s="1"/>
      <c r="B3011" s="31">
        <v>21178</v>
      </c>
      <c r="C3011" s="148">
        <v>4650245651824</v>
      </c>
      <c r="D3011" s="226" t="s">
        <v>7011</v>
      </c>
      <c r="E3011" s="69">
        <v>10</v>
      </c>
      <c r="F3011" s="222"/>
      <c r="G3011" s="108">
        <v>179</v>
      </c>
      <c r="H3011" s="17">
        <v>187.6</v>
      </c>
      <c r="I3011" s="18">
        <v>206</v>
      </c>
      <c r="J3011" s="113" t="s">
        <v>1144</v>
      </c>
      <c r="K3011" s="44" t="s">
        <v>97</v>
      </c>
      <c r="L3011" s="442"/>
      <c r="M3011" s="480" t="s">
        <v>1856</v>
      </c>
      <c r="N3011" s="1015" t="s">
        <v>1856</v>
      </c>
      <c r="O3011" s="326"/>
      <c r="P3011" s="68" t="s">
        <v>50</v>
      </c>
      <c r="Q3011" s="100">
        <f t="shared" si="1670"/>
        <v>0</v>
      </c>
      <c r="R3011" s="13" t="str">
        <f t="shared" si="1671"/>
        <v>Фото &gt;&gt;</v>
      </c>
      <c r="S3011" s="14" t="s">
        <v>6219</v>
      </c>
      <c r="AK3011">
        <v>4.4999999999999998E-2</v>
      </c>
      <c r="AL3011">
        <f t="shared" si="1673"/>
        <v>0</v>
      </c>
      <c r="AM3011">
        <f t="shared" si="1674"/>
        <v>0</v>
      </c>
      <c r="AN3011">
        <f t="shared" si="1675"/>
        <v>0</v>
      </c>
      <c r="AO3011" t="s">
        <v>6223</v>
      </c>
      <c r="AV3011" t="str">
        <f>IF(F3011&gt;0,(COUNT($AV$1:AV3010)+1),"")</f>
        <v/>
      </c>
    </row>
    <row r="3012" spans="1:48" ht="15" customHeight="1" x14ac:dyDescent="0.25">
      <c r="A3012" s="1"/>
      <c r="B3012" s="30">
        <v>18441</v>
      </c>
      <c r="C3012" s="149">
        <v>4650245650155</v>
      </c>
      <c r="D3012" s="225" t="s">
        <v>1913</v>
      </c>
      <c r="E3012" s="67">
        <v>10</v>
      </c>
      <c r="F3012" s="222"/>
      <c r="G3012" s="107">
        <v>179</v>
      </c>
      <c r="H3012" s="21">
        <v>187.6</v>
      </c>
      <c r="I3012" s="22">
        <v>206</v>
      </c>
      <c r="J3012" s="112" t="s">
        <v>1144</v>
      </c>
      <c r="K3012" s="45" t="s">
        <v>97</v>
      </c>
      <c r="L3012" s="437"/>
      <c r="M3012" s="474" t="s">
        <v>1856</v>
      </c>
      <c r="N3012" s="1013" t="s">
        <v>1856</v>
      </c>
      <c r="O3012" s="209"/>
      <c r="P3012" s="66" t="s">
        <v>50</v>
      </c>
      <c r="Q3012" s="100">
        <f t="shared" si="1670"/>
        <v>0</v>
      </c>
      <c r="R3012" s="13" t="str">
        <f t="shared" si="1671"/>
        <v>Фото &gt;&gt;</v>
      </c>
      <c r="S3012" s="14" t="s">
        <v>3777</v>
      </c>
      <c r="AK3012">
        <v>4.4999999999999998E-2</v>
      </c>
      <c r="AL3012">
        <f t="shared" si="1673"/>
        <v>0</v>
      </c>
      <c r="AM3012">
        <f t="shared" si="1674"/>
        <v>0</v>
      </c>
      <c r="AN3012">
        <f t="shared" si="1675"/>
        <v>0</v>
      </c>
      <c r="AO3012" t="s">
        <v>5290</v>
      </c>
      <c r="AV3012" t="str">
        <f>IF(F3012&gt;0,(COUNT($AV$1:AV3011)+1),"")</f>
        <v/>
      </c>
    </row>
    <row r="3013" spans="1:48" ht="15" customHeight="1" x14ac:dyDescent="0.25">
      <c r="A3013" s="1"/>
      <c r="B3013" s="31">
        <v>16327</v>
      </c>
      <c r="C3013" s="148">
        <v>4650245650179</v>
      </c>
      <c r="D3013" s="226" t="s">
        <v>1914</v>
      </c>
      <c r="E3013" s="69">
        <v>10</v>
      </c>
      <c r="F3013" s="222"/>
      <c r="G3013" s="108">
        <v>179</v>
      </c>
      <c r="H3013" s="17">
        <v>187.6</v>
      </c>
      <c r="I3013" s="18">
        <v>206</v>
      </c>
      <c r="J3013" s="113" t="s">
        <v>1144</v>
      </c>
      <c r="K3013" s="44" t="s">
        <v>97</v>
      </c>
      <c r="L3013" s="442"/>
      <c r="M3013" s="480" t="s">
        <v>1856</v>
      </c>
      <c r="N3013" s="1015" t="s">
        <v>1856</v>
      </c>
      <c r="O3013" s="326"/>
      <c r="P3013" s="68" t="s">
        <v>50</v>
      </c>
      <c r="Q3013" s="100">
        <f t="shared" si="1670"/>
        <v>0</v>
      </c>
      <c r="R3013" s="13" t="str">
        <f t="shared" si="1671"/>
        <v>Фото &gt;&gt;</v>
      </c>
      <c r="S3013" s="14" t="s">
        <v>1147</v>
      </c>
      <c r="AK3013">
        <v>4.4999999999999998E-2</v>
      </c>
      <c r="AL3013">
        <f t="shared" si="1673"/>
        <v>0</v>
      </c>
      <c r="AM3013">
        <f t="shared" si="1674"/>
        <v>0</v>
      </c>
      <c r="AN3013">
        <f t="shared" si="1675"/>
        <v>0</v>
      </c>
      <c r="AO3013" t="s">
        <v>3778</v>
      </c>
      <c r="AV3013" t="str">
        <f>IF(F3013&gt;0,(COUNT($AV$1:AV3012)+1),"")</f>
        <v/>
      </c>
    </row>
    <row r="3014" spans="1:48" ht="15" customHeight="1" x14ac:dyDescent="0.25">
      <c r="A3014" s="1"/>
      <c r="B3014" s="30">
        <v>19663</v>
      </c>
      <c r="C3014" s="149">
        <v>4650245650032</v>
      </c>
      <c r="D3014" s="225" t="s">
        <v>2060</v>
      </c>
      <c r="E3014" s="67">
        <v>10</v>
      </c>
      <c r="F3014" s="222"/>
      <c r="G3014" s="107">
        <v>179</v>
      </c>
      <c r="H3014" s="21">
        <v>187.6</v>
      </c>
      <c r="I3014" s="22">
        <v>206</v>
      </c>
      <c r="J3014" s="112" t="s">
        <v>1144</v>
      </c>
      <c r="K3014" s="45" t="s">
        <v>97</v>
      </c>
      <c r="L3014" s="437"/>
      <c r="M3014" s="474" t="s">
        <v>1856</v>
      </c>
      <c r="N3014" s="1013" t="s">
        <v>1856</v>
      </c>
      <c r="O3014" s="209"/>
      <c r="P3014" s="66" t="s">
        <v>50</v>
      </c>
      <c r="Q3014" s="100">
        <f t="shared" si="1670"/>
        <v>0</v>
      </c>
      <c r="R3014" s="13" t="str">
        <f t="shared" si="1671"/>
        <v>Фото &gt;&gt;</v>
      </c>
      <c r="S3014" s="14" t="s">
        <v>3779</v>
      </c>
      <c r="AK3014">
        <v>4.4999999999999998E-2</v>
      </c>
      <c r="AL3014">
        <f t="shared" si="1673"/>
        <v>0</v>
      </c>
      <c r="AM3014">
        <f t="shared" si="1674"/>
        <v>0</v>
      </c>
      <c r="AN3014">
        <f t="shared" si="1675"/>
        <v>0</v>
      </c>
      <c r="AO3014" t="s">
        <v>3780</v>
      </c>
      <c r="AV3014" t="str">
        <f>IF(F3014&gt;0,(COUNT($AV$1:AV3013)+1),"")</f>
        <v/>
      </c>
    </row>
    <row r="3015" spans="1:48" ht="15" customHeight="1" x14ac:dyDescent="0.25">
      <c r="A3015" s="1"/>
      <c r="B3015" s="31">
        <v>21179</v>
      </c>
      <c r="C3015" s="148">
        <v>4650245651848</v>
      </c>
      <c r="D3015" s="226" t="s">
        <v>7012</v>
      </c>
      <c r="E3015" s="69">
        <v>10</v>
      </c>
      <c r="F3015" s="222"/>
      <c r="G3015" s="108">
        <v>179</v>
      </c>
      <c r="H3015" s="17">
        <v>187.6</v>
      </c>
      <c r="I3015" s="18">
        <v>206</v>
      </c>
      <c r="J3015" s="113" t="s">
        <v>1144</v>
      </c>
      <c r="K3015" s="44" t="s">
        <v>97</v>
      </c>
      <c r="L3015" s="442"/>
      <c r="M3015" s="480" t="s">
        <v>1856</v>
      </c>
      <c r="N3015" s="1015" t="s">
        <v>1856</v>
      </c>
      <c r="O3015" s="326"/>
      <c r="P3015" s="68" t="s">
        <v>50</v>
      </c>
      <c r="Q3015" s="100">
        <f t="shared" si="1670"/>
        <v>0</v>
      </c>
      <c r="R3015" s="13" t="str">
        <f t="shared" si="1671"/>
        <v>Фото &gt;&gt;</v>
      </c>
      <c r="S3015" s="14" t="s">
        <v>6220</v>
      </c>
      <c r="AK3015">
        <v>4.4999999999999998E-2</v>
      </c>
      <c r="AL3015">
        <f t="shared" si="1673"/>
        <v>0</v>
      </c>
      <c r="AM3015">
        <f t="shared" si="1674"/>
        <v>0</v>
      </c>
      <c r="AN3015">
        <f t="shared" si="1675"/>
        <v>0</v>
      </c>
      <c r="AO3015" t="s">
        <v>6224</v>
      </c>
      <c r="AV3015" t="str">
        <f>IF(F3015&gt;0,(COUNT($AV$1:AV3014)+1),"")</f>
        <v/>
      </c>
    </row>
    <row r="3016" spans="1:48" ht="15" customHeight="1" x14ac:dyDescent="0.25">
      <c r="A3016" s="1"/>
      <c r="B3016" s="30">
        <v>15919</v>
      </c>
      <c r="C3016" s="149">
        <v>4650245650117</v>
      </c>
      <c r="D3016" s="225" t="s">
        <v>1915</v>
      </c>
      <c r="E3016" s="67">
        <v>10</v>
      </c>
      <c r="F3016" s="222"/>
      <c r="G3016" s="107">
        <v>179</v>
      </c>
      <c r="H3016" s="21">
        <v>187.6</v>
      </c>
      <c r="I3016" s="22">
        <v>206</v>
      </c>
      <c r="J3016" s="112" t="s">
        <v>1144</v>
      </c>
      <c r="K3016" s="45" t="s">
        <v>97</v>
      </c>
      <c r="L3016" s="437"/>
      <c r="M3016" s="474" t="s">
        <v>1856</v>
      </c>
      <c r="N3016" s="1013" t="s">
        <v>1856</v>
      </c>
      <c r="O3016" s="209"/>
      <c r="P3016" s="66" t="s">
        <v>50</v>
      </c>
      <c r="Q3016" s="100">
        <f t="shared" si="1670"/>
        <v>0</v>
      </c>
      <c r="R3016" s="13" t="str">
        <f t="shared" si="1671"/>
        <v>Фото &gt;&gt;</v>
      </c>
      <c r="S3016" s="14" t="s">
        <v>1148</v>
      </c>
      <c r="AK3016">
        <v>4.4999999999999998E-2</v>
      </c>
      <c r="AL3016">
        <f t="shared" si="1673"/>
        <v>0</v>
      </c>
      <c r="AM3016">
        <f t="shared" si="1674"/>
        <v>0</v>
      </c>
      <c r="AN3016">
        <f t="shared" si="1675"/>
        <v>0</v>
      </c>
      <c r="AO3016" t="s">
        <v>5291</v>
      </c>
      <c r="AV3016" t="str">
        <f>IF(F3016&gt;0,(COUNT($AV$1:AV3015)+1),"")</f>
        <v/>
      </c>
    </row>
    <row r="3017" spans="1:48" ht="15" customHeight="1" x14ac:dyDescent="0.25">
      <c r="A3017" s="1"/>
      <c r="B3017" s="31">
        <v>15920</v>
      </c>
      <c r="C3017" s="148">
        <v>4650245650131</v>
      </c>
      <c r="D3017" s="226" t="s">
        <v>1916</v>
      </c>
      <c r="E3017" s="69">
        <v>10</v>
      </c>
      <c r="F3017" s="222"/>
      <c r="G3017" s="108">
        <v>179</v>
      </c>
      <c r="H3017" s="17">
        <v>187.6</v>
      </c>
      <c r="I3017" s="18">
        <v>206</v>
      </c>
      <c r="J3017" s="113" t="s">
        <v>1144</v>
      </c>
      <c r="K3017" s="44" t="s">
        <v>97</v>
      </c>
      <c r="L3017" s="442"/>
      <c r="M3017" s="480" t="s">
        <v>1856</v>
      </c>
      <c r="N3017" s="1015" t="s">
        <v>1856</v>
      </c>
      <c r="O3017" s="326"/>
      <c r="P3017" s="68" t="s">
        <v>50</v>
      </c>
      <c r="Q3017" s="100">
        <f t="shared" si="1670"/>
        <v>0</v>
      </c>
      <c r="R3017" s="13" t="str">
        <f t="shared" ref="R3017" si="1676">IF(AO3017&gt;0,HYPERLINK(AO3017,"Фото &gt;&gt;"),"")</f>
        <v>Фото &gt;&gt;</v>
      </c>
      <c r="S3017" s="14" t="s">
        <v>1149</v>
      </c>
      <c r="AK3017">
        <v>4.4999999999999998E-2</v>
      </c>
      <c r="AL3017">
        <f t="shared" ref="AL3017" si="1677">F3017*G3017</f>
        <v>0</v>
      </c>
      <c r="AM3017">
        <f t="shared" ref="AM3017" si="1678">F3017*H3017</f>
        <v>0</v>
      </c>
      <c r="AN3017">
        <f t="shared" si="1672"/>
        <v>0</v>
      </c>
      <c r="AO3017" t="s">
        <v>5292</v>
      </c>
      <c r="AV3017" t="str">
        <f>IF(F3017&gt;0,(COUNT($AV$1:AV3016)+1),"")</f>
        <v/>
      </c>
    </row>
    <row r="3018" spans="1:48" ht="15" customHeight="1" x14ac:dyDescent="0.25">
      <c r="A3018" s="1"/>
      <c r="B3018" s="125"/>
      <c r="C3018" s="126"/>
      <c r="D3018" s="127"/>
      <c r="E3018" s="134"/>
      <c r="F3018" s="189"/>
      <c r="G3018" s="130"/>
      <c r="H3018" s="131"/>
      <c r="I3018" s="132"/>
      <c r="J3018" s="128"/>
      <c r="K3018" s="129"/>
      <c r="L3018" s="433"/>
      <c r="M3018" s="481" t="s">
        <v>104</v>
      </c>
      <c r="N3018" s="471"/>
      <c r="O3018" s="181"/>
      <c r="P3018" s="133"/>
      <c r="Q3018" s="135"/>
      <c r="R3018" s="13"/>
      <c r="S3018" s="14"/>
      <c r="AV3018" t="str">
        <f>IF(F3018&gt;0,(COUNT($AV$1:AV3017)+1),"")</f>
        <v/>
      </c>
    </row>
    <row r="3019" spans="1:48" ht="15" customHeight="1" thickBot="1" x14ac:dyDescent="0.3">
      <c r="A3019" s="1"/>
      <c r="B3019" s="136"/>
      <c r="C3019" s="137"/>
      <c r="D3019" s="138"/>
      <c r="E3019" s="145"/>
      <c r="F3019" s="190"/>
      <c r="G3019" s="141"/>
      <c r="H3019" s="142"/>
      <c r="I3019" s="143"/>
      <c r="J3019" s="139"/>
      <c r="K3019" s="140"/>
      <c r="L3019" s="434"/>
      <c r="M3019" s="477" t="s">
        <v>104</v>
      </c>
      <c r="N3019" s="468"/>
      <c r="O3019" s="182"/>
      <c r="P3019" s="144"/>
      <c r="Q3019" s="146"/>
      <c r="R3019" s="13"/>
      <c r="S3019" s="14"/>
      <c r="AV3019" t="str">
        <f>IF(F3019&gt;0,(COUNT($AV$1:AV3018)+1),"")</f>
        <v/>
      </c>
    </row>
    <row r="3020" spans="1:48" ht="24.95" customHeight="1" thickBot="1" x14ac:dyDescent="0.3">
      <c r="A3020" s="1"/>
      <c r="B3020" s="169"/>
      <c r="C3020" s="170"/>
      <c r="D3020" s="171" t="str">
        <f>CONCATENATE("Реалкапс","     |     Сумма заказа: ",AK3020," руб.")</f>
        <v>Реалкапс     |     Сумма заказа: 0 руб.</v>
      </c>
      <c r="E3020" s="176"/>
      <c r="F3020" s="177"/>
      <c r="G3020" s="180" t="str">
        <f>CONCATENATE("Ценовая колонка: ",AO3020,"   |   До следующей скидки: ",AJ3020," руб.")</f>
        <v>Ценовая колонка: 3   |   До следующей скидки: 5000 руб.</v>
      </c>
      <c r="H3020" s="174"/>
      <c r="I3020" s="174"/>
      <c r="J3020" s="172" t="s">
        <v>1151</v>
      </c>
      <c r="K3020" s="173"/>
      <c r="L3020" s="444"/>
      <c r="M3020" s="486" t="s">
        <v>104</v>
      </c>
      <c r="N3020" s="717"/>
      <c r="O3020" s="184"/>
      <c r="P3020" s="175"/>
      <c r="Q3020" s="178"/>
      <c r="R3020" s="179" t="s">
        <v>1558</v>
      </c>
      <c r="S3020" s="14"/>
      <c r="AJ3020">
        <f>ROUND(IF(AL3020&gt;10000,"0", IF(AND(AL3020&lt;10000,AM3020&gt;5000),10000-AL3020,5000-AM3020)),2)</f>
        <v>5000</v>
      </c>
      <c r="AK3020">
        <f>SUM(Q3022:Q3037)</f>
        <v>0</v>
      </c>
      <c r="AL3020">
        <f>SUM(AL3022:AL3037)</f>
        <v>0</v>
      </c>
      <c r="AM3020">
        <f>SUM(AM3022:AM3037)</f>
        <v>0</v>
      </c>
      <c r="AO3020">
        <f>IF(AM3020&gt;5000,IF(AL3020&gt;10000,1,2),3)</f>
        <v>3</v>
      </c>
      <c r="AV3020" t="str">
        <f>IF(F3020&gt;0,(COUNT($AV$1:AV3019)+1),"")</f>
        <v/>
      </c>
    </row>
    <row r="3021" spans="1:48" ht="15" customHeight="1" x14ac:dyDescent="0.25">
      <c r="A3021" s="1"/>
      <c r="B3021" s="296"/>
      <c r="C3021" s="38"/>
      <c r="D3021" s="39" t="s">
        <v>1481</v>
      </c>
      <c r="E3021" s="82"/>
      <c r="F3021" s="97"/>
      <c r="G3021" s="40" t="s">
        <v>1451</v>
      </c>
      <c r="H3021" s="41" t="s">
        <v>16</v>
      </c>
      <c r="I3021" s="41" t="s">
        <v>221</v>
      </c>
      <c r="J3021" s="52"/>
      <c r="K3021" s="48"/>
      <c r="L3021" s="448"/>
      <c r="M3021" s="491" t="s">
        <v>104</v>
      </c>
      <c r="N3021" s="715"/>
      <c r="O3021" s="187"/>
      <c r="P3021" s="81"/>
      <c r="Q3021" s="105"/>
      <c r="R3021" s="13"/>
      <c r="S3021" s="14"/>
      <c r="AV3021" t="str">
        <f>IF(F3021&gt;0,(COUNT($AV$1:AV3020)+1),"")</f>
        <v/>
      </c>
    </row>
    <row r="3022" spans="1:48" ht="15" customHeight="1" x14ac:dyDescent="0.25">
      <c r="A3022" s="1"/>
      <c r="B3022" s="30">
        <v>12104</v>
      </c>
      <c r="C3022" s="149">
        <v>4607136740204</v>
      </c>
      <c r="D3022" s="153" t="s">
        <v>1150</v>
      </c>
      <c r="E3022" s="67">
        <v>100</v>
      </c>
      <c r="F3022" s="222"/>
      <c r="G3022" s="107">
        <v>146.9</v>
      </c>
      <c r="H3022" s="21">
        <v>153</v>
      </c>
      <c r="I3022" s="22">
        <v>164.2</v>
      </c>
      <c r="J3022" s="112" t="s">
        <v>1151</v>
      </c>
      <c r="K3022" s="45" t="s">
        <v>154</v>
      </c>
      <c r="L3022" s="437"/>
      <c r="M3022" s="474" t="s">
        <v>1856</v>
      </c>
      <c r="N3022" s="1013"/>
      <c r="O3022" s="216"/>
      <c r="P3022" s="66" t="s">
        <v>50</v>
      </c>
      <c r="Q3022" s="100">
        <f t="shared" ref="Q3022:Q3027" si="1679">IF($AO$3020=2,F3022*H3022,IF($AO$3020=1,F3022*G3022,F3022*I3022))</f>
        <v>0</v>
      </c>
      <c r="R3022" s="13" t="str">
        <f t="shared" si="1663"/>
        <v>Фото &gt;&gt;</v>
      </c>
      <c r="S3022" s="14" t="s">
        <v>3781</v>
      </c>
      <c r="AK3022">
        <v>7.0000000000000007E-2</v>
      </c>
      <c r="AL3022">
        <f t="shared" ref="AL3022:AL3037" si="1680">F3022*G3022</f>
        <v>0</v>
      </c>
      <c r="AM3022">
        <f t="shared" ref="AM3022:AM3037" si="1681">F3022*H3022</f>
        <v>0</v>
      </c>
      <c r="AN3022">
        <f t="shared" ref="AN3022:AN3037" si="1682">AK3022*F3022+IF(E3022&gt;1.01,F3022/E3022*0.2,0)</f>
        <v>0</v>
      </c>
      <c r="AO3022" t="s">
        <v>5505</v>
      </c>
      <c r="AV3022" t="str">
        <f>IF(F3022&gt;0,(COUNT($AV$1:AV3021)+1),"")</f>
        <v/>
      </c>
    </row>
    <row r="3023" spans="1:48" ht="15" customHeight="1" x14ac:dyDescent="0.25">
      <c r="A3023" s="1"/>
      <c r="B3023" s="31">
        <v>13037</v>
      </c>
      <c r="C3023" s="148">
        <v>4607136740150</v>
      </c>
      <c r="D3023" s="154" t="s">
        <v>1152</v>
      </c>
      <c r="E3023" s="69">
        <v>32</v>
      </c>
      <c r="F3023" s="222"/>
      <c r="G3023" s="108">
        <v>421.7</v>
      </c>
      <c r="H3023" s="17">
        <v>438.5</v>
      </c>
      <c r="I3023" s="18">
        <v>472.3</v>
      </c>
      <c r="J3023" s="113" t="s">
        <v>1151</v>
      </c>
      <c r="K3023" s="44" t="s">
        <v>5530</v>
      </c>
      <c r="L3023" s="442"/>
      <c r="M3023" s="480" t="s">
        <v>1856</v>
      </c>
      <c r="N3023" s="1015"/>
      <c r="O3023" s="217"/>
      <c r="P3023" s="68"/>
      <c r="Q3023" s="100">
        <f t="shared" si="1679"/>
        <v>0</v>
      </c>
      <c r="R3023" s="13" t="str">
        <f t="shared" si="1663"/>
        <v>Фото &gt;&gt;</v>
      </c>
      <c r="S3023" s="14" t="s">
        <v>1153</v>
      </c>
      <c r="AK3023">
        <v>0.05</v>
      </c>
      <c r="AL3023">
        <f t="shared" si="1680"/>
        <v>0</v>
      </c>
      <c r="AM3023">
        <f t="shared" si="1681"/>
        <v>0</v>
      </c>
      <c r="AN3023">
        <f t="shared" si="1682"/>
        <v>0</v>
      </c>
      <c r="AO3023" t="s">
        <v>2800</v>
      </c>
      <c r="AV3023" t="str">
        <f>IF(F3023&gt;0,(COUNT($AV$1:AV3022)+1),"")</f>
        <v/>
      </c>
    </row>
    <row r="3024" spans="1:48" ht="15" customHeight="1" x14ac:dyDescent="0.25">
      <c r="A3024" s="1"/>
      <c r="B3024" s="30">
        <v>13038</v>
      </c>
      <c r="C3024" s="149">
        <v>4607136740174</v>
      </c>
      <c r="D3024" s="153" t="s">
        <v>1154</v>
      </c>
      <c r="E3024" s="67">
        <v>32</v>
      </c>
      <c r="F3024" s="222"/>
      <c r="G3024" s="107">
        <v>436.9</v>
      </c>
      <c r="H3024" s="21">
        <v>454.4</v>
      </c>
      <c r="I3024" s="22">
        <v>489.3</v>
      </c>
      <c r="J3024" s="112" t="s">
        <v>1151</v>
      </c>
      <c r="K3024" s="45" t="s">
        <v>5530</v>
      </c>
      <c r="L3024" s="437"/>
      <c r="M3024" s="474" t="s">
        <v>1856</v>
      </c>
      <c r="N3024" s="1013"/>
      <c r="O3024" s="216"/>
      <c r="P3024" s="66"/>
      <c r="Q3024" s="100">
        <f t="shared" si="1679"/>
        <v>0</v>
      </c>
      <c r="R3024" s="13" t="str">
        <f t="shared" si="1663"/>
        <v>Фото &gt;&gt;</v>
      </c>
      <c r="S3024" s="14" t="s">
        <v>1155</v>
      </c>
      <c r="AK3024">
        <v>0.05</v>
      </c>
      <c r="AL3024">
        <f t="shared" si="1680"/>
        <v>0</v>
      </c>
      <c r="AM3024">
        <f t="shared" si="1681"/>
        <v>0</v>
      </c>
      <c r="AN3024">
        <f t="shared" si="1682"/>
        <v>0</v>
      </c>
      <c r="AO3024" t="s">
        <v>2801</v>
      </c>
      <c r="AV3024" t="str">
        <f>IF(F3024&gt;0,(COUNT($AV$1:AV3023)+1),"")</f>
        <v/>
      </c>
    </row>
    <row r="3025" spans="1:48" ht="15" customHeight="1" x14ac:dyDescent="0.25">
      <c r="A3025" s="1"/>
      <c r="B3025" s="31">
        <v>13257</v>
      </c>
      <c r="C3025" s="148">
        <v>4607136740228</v>
      </c>
      <c r="D3025" s="154" t="s">
        <v>1156</v>
      </c>
      <c r="E3025" s="69">
        <v>100</v>
      </c>
      <c r="F3025" s="222"/>
      <c r="G3025" s="108">
        <v>158.6</v>
      </c>
      <c r="H3025" s="17">
        <v>164.7</v>
      </c>
      <c r="I3025" s="18">
        <v>178</v>
      </c>
      <c r="J3025" s="113" t="s">
        <v>1151</v>
      </c>
      <c r="K3025" s="44" t="s">
        <v>154</v>
      </c>
      <c r="L3025" s="442"/>
      <c r="M3025" s="480" t="s">
        <v>1856</v>
      </c>
      <c r="N3025" s="1015"/>
      <c r="O3025" s="217"/>
      <c r="P3025" s="68" t="s">
        <v>50</v>
      </c>
      <c r="Q3025" s="100">
        <f t="shared" si="1679"/>
        <v>0</v>
      </c>
      <c r="R3025" s="13" t="str">
        <f t="shared" si="1663"/>
        <v>Фото &gt;&gt;</v>
      </c>
      <c r="S3025" s="14" t="s">
        <v>1157</v>
      </c>
      <c r="AK3025">
        <v>7.0000000000000007E-2</v>
      </c>
      <c r="AL3025">
        <f t="shared" si="1680"/>
        <v>0</v>
      </c>
      <c r="AM3025">
        <f t="shared" si="1681"/>
        <v>0</v>
      </c>
      <c r="AN3025">
        <f t="shared" si="1682"/>
        <v>0</v>
      </c>
      <c r="AO3025" t="s">
        <v>5506</v>
      </c>
      <c r="AV3025" t="str">
        <f>IF(F3025&gt;0,(COUNT($AV$1:AV3024)+1),"")</f>
        <v/>
      </c>
    </row>
    <row r="3026" spans="1:48" ht="15" customHeight="1" x14ac:dyDescent="0.25">
      <c r="A3026" s="1"/>
      <c r="B3026" s="30">
        <v>10796</v>
      </c>
      <c r="C3026" s="149">
        <v>4607136740426</v>
      </c>
      <c r="D3026" s="153" t="s">
        <v>1158</v>
      </c>
      <c r="E3026" s="67">
        <v>164</v>
      </c>
      <c r="F3026" s="222"/>
      <c r="G3026" s="107">
        <v>218.8</v>
      </c>
      <c r="H3026" s="21">
        <v>227.6</v>
      </c>
      <c r="I3026" s="22">
        <v>245.1</v>
      </c>
      <c r="J3026" s="112" t="s">
        <v>1151</v>
      </c>
      <c r="K3026" s="45" t="s">
        <v>5530</v>
      </c>
      <c r="L3026" s="437"/>
      <c r="M3026" s="474" t="s">
        <v>1856</v>
      </c>
      <c r="N3026" s="1013"/>
      <c r="O3026" s="212"/>
      <c r="P3026" s="66"/>
      <c r="Q3026" s="100">
        <f t="shared" si="1679"/>
        <v>0</v>
      </c>
      <c r="R3026" s="13" t="str">
        <f t="shared" si="1663"/>
        <v>Фото &gt;&gt;</v>
      </c>
      <c r="S3026" s="14" t="s">
        <v>1159</v>
      </c>
      <c r="AK3026">
        <v>0.25</v>
      </c>
      <c r="AL3026">
        <f t="shared" si="1680"/>
        <v>0</v>
      </c>
      <c r="AM3026">
        <f t="shared" si="1681"/>
        <v>0</v>
      </c>
      <c r="AN3026">
        <f t="shared" si="1682"/>
        <v>0</v>
      </c>
      <c r="AO3026" t="s">
        <v>3782</v>
      </c>
      <c r="AV3026" t="str">
        <f>IF(F3026&gt;0,(COUNT($AV$1:AV3025)+1),"")</f>
        <v/>
      </c>
    </row>
    <row r="3027" spans="1:48" ht="15" customHeight="1" x14ac:dyDescent="0.25">
      <c r="A3027" s="1"/>
      <c r="B3027" s="31">
        <v>12036</v>
      </c>
      <c r="C3027" s="148">
        <v>4607136740433</v>
      </c>
      <c r="D3027" s="154" t="s">
        <v>1160</v>
      </c>
      <c r="E3027" s="69">
        <v>100</v>
      </c>
      <c r="F3027" s="222"/>
      <c r="G3027" s="108">
        <v>367.5</v>
      </c>
      <c r="H3027" s="17">
        <v>382.2</v>
      </c>
      <c r="I3027" s="18">
        <v>411.6</v>
      </c>
      <c r="J3027" s="113" t="s">
        <v>1151</v>
      </c>
      <c r="K3027" s="44" t="s">
        <v>5530</v>
      </c>
      <c r="L3027" s="442"/>
      <c r="M3027" s="480" t="s">
        <v>1856</v>
      </c>
      <c r="N3027" s="1015"/>
      <c r="O3027" s="217"/>
      <c r="P3027" s="68"/>
      <c r="Q3027" s="100">
        <f t="shared" si="1679"/>
        <v>0</v>
      </c>
      <c r="R3027" s="13" t="str">
        <f t="shared" si="1663"/>
        <v>Фото &gt;&gt;</v>
      </c>
      <c r="S3027" s="14" t="s">
        <v>1159</v>
      </c>
      <c r="AK3027">
        <v>0.25</v>
      </c>
      <c r="AL3027">
        <f t="shared" si="1680"/>
        <v>0</v>
      </c>
      <c r="AM3027">
        <f t="shared" si="1681"/>
        <v>0</v>
      </c>
      <c r="AN3027">
        <f t="shared" si="1682"/>
        <v>0</v>
      </c>
      <c r="AO3027" t="s">
        <v>2802</v>
      </c>
      <c r="AV3027" t="str">
        <f>IF(F3027&gt;0,(COUNT($AV$1:AV3026)+1),"")</f>
        <v/>
      </c>
    </row>
    <row r="3028" spans="1:48" ht="15" customHeight="1" x14ac:dyDescent="0.25">
      <c r="A3028" s="1"/>
      <c r="B3028" s="25"/>
      <c r="C3028" s="26"/>
      <c r="D3028" s="27" t="s">
        <v>1482</v>
      </c>
      <c r="E3028" s="80"/>
      <c r="F3028" s="96"/>
      <c r="G3028" s="29"/>
      <c r="H3028" s="29"/>
      <c r="I3028" s="29"/>
      <c r="J3028" s="51"/>
      <c r="K3028" s="47"/>
      <c r="L3028" s="447"/>
      <c r="M3028" s="489"/>
      <c r="N3028" s="716"/>
      <c r="O3028" s="186"/>
      <c r="P3028" s="79"/>
      <c r="Q3028" s="104"/>
      <c r="R3028" s="13"/>
      <c r="S3028" s="14"/>
      <c r="AL3028">
        <f t="shared" si="1680"/>
        <v>0</v>
      </c>
      <c r="AM3028">
        <f t="shared" si="1681"/>
        <v>0</v>
      </c>
      <c r="AN3028">
        <f t="shared" si="1682"/>
        <v>0</v>
      </c>
      <c r="AO3028" t="s">
        <v>104</v>
      </c>
      <c r="AV3028" t="str">
        <f>IF(F3028&gt;0,(COUNT($AV$1:AV3027)+1),"")</f>
        <v/>
      </c>
    </row>
    <row r="3029" spans="1:48" ht="15" customHeight="1" x14ac:dyDescent="0.25">
      <c r="A3029" s="1"/>
      <c r="B3029" s="30">
        <v>8855</v>
      </c>
      <c r="C3029" s="149">
        <v>4607136740044</v>
      </c>
      <c r="D3029" s="153" t="s">
        <v>1476</v>
      </c>
      <c r="E3029" s="67">
        <v>60</v>
      </c>
      <c r="F3029" s="222"/>
      <c r="G3029" s="107">
        <v>127.3</v>
      </c>
      <c r="H3029" s="21">
        <v>132.4</v>
      </c>
      <c r="I3029" s="22">
        <v>142.6</v>
      </c>
      <c r="J3029" s="112" t="s">
        <v>1151</v>
      </c>
      <c r="K3029" s="45" t="s">
        <v>19</v>
      </c>
      <c r="L3029" s="437"/>
      <c r="M3029" s="474" t="s">
        <v>1856</v>
      </c>
      <c r="N3029" s="1013"/>
      <c r="O3029" s="212"/>
      <c r="P3029" s="66" t="s">
        <v>50</v>
      </c>
      <c r="Q3029" s="100">
        <f t="shared" ref="Q3029:Q3037" si="1683">IF($AO$3020=2,F3029*H3029,IF($AO$3020=1,F3029*G3029,F3029*I3029))</f>
        <v>0</v>
      </c>
      <c r="R3029" s="13" t="str">
        <f t="shared" si="1663"/>
        <v>Фото &gt;&gt;</v>
      </c>
      <c r="S3029" s="14" t="s">
        <v>1161</v>
      </c>
      <c r="AK3029">
        <v>0.04</v>
      </c>
      <c r="AL3029">
        <f t="shared" si="1680"/>
        <v>0</v>
      </c>
      <c r="AM3029">
        <f t="shared" si="1681"/>
        <v>0</v>
      </c>
      <c r="AN3029">
        <f t="shared" si="1682"/>
        <v>0</v>
      </c>
      <c r="AO3029" t="s">
        <v>5293</v>
      </c>
      <c r="AV3029" t="str">
        <f>IF(F3029&gt;0,(COUNT($AV$1:AV3028)+1),"")</f>
        <v/>
      </c>
    </row>
    <row r="3030" spans="1:48" ht="15" customHeight="1" x14ac:dyDescent="0.25">
      <c r="A3030" s="1"/>
      <c r="B3030" s="31">
        <v>8857</v>
      </c>
      <c r="C3030" s="148">
        <v>4607136740068</v>
      </c>
      <c r="D3030" s="154" t="s">
        <v>1477</v>
      </c>
      <c r="E3030" s="69">
        <v>60</v>
      </c>
      <c r="F3030" s="222"/>
      <c r="G3030" s="108">
        <v>265.39999999999998</v>
      </c>
      <c r="H3030" s="17">
        <v>276</v>
      </c>
      <c r="I3030" s="18">
        <v>297.2</v>
      </c>
      <c r="J3030" s="113" t="s">
        <v>1151</v>
      </c>
      <c r="K3030" s="44" t="s">
        <v>19</v>
      </c>
      <c r="L3030" s="442"/>
      <c r="M3030" s="480" t="s">
        <v>1856</v>
      </c>
      <c r="N3030" s="1015"/>
      <c r="O3030" s="217"/>
      <c r="P3030" s="68" t="s">
        <v>50</v>
      </c>
      <c r="Q3030" s="100">
        <f t="shared" si="1683"/>
        <v>0</v>
      </c>
      <c r="R3030" s="13" t="str">
        <f t="shared" si="1663"/>
        <v>Фото &gt;&gt;</v>
      </c>
      <c r="S3030" s="14" t="s">
        <v>1162</v>
      </c>
      <c r="AK3030">
        <v>0.04</v>
      </c>
      <c r="AL3030">
        <f t="shared" si="1680"/>
        <v>0</v>
      </c>
      <c r="AM3030">
        <f t="shared" si="1681"/>
        <v>0</v>
      </c>
      <c r="AN3030">
        <f t="shared" si="1682"/>
        <v>0</v>
      </c>
      <c r="AO3030" t="s">
        <v>5294</v>
      </c>
      <c r="AV3030" t="str">
        <f>IF(F3030&gt;0,(COUNT($AV$1:AV3029)+1),"")</f>
        <v/>
      </c>
    </row>
    <row r="3031" spans="1:48" ht="15" customHeight="1" x14ac:dyDescent="0.25">
      <c r="A3031" s="1"/>
      <c r="B3031" s="30">
        <v>8859</v>
      </c>
      <c r="C3031" s="149">
        <v>4607136740266</v>
      </c>
      <c r="D3031" s="153" t="s">
        <v>2955</v>
      </c>
      <c r="E3031" s="67">
        <v>180</v>
      </c>
      <c r="F3031" s="222"/>
      <c r="G3031" s="107">
        <v>89.2</v>
      </c>
      <c r="H3031" s="21">
        <v>92.8</v>
      </c>
      <c r="I3031" s="22">
        <v>99.9</v>
      </c>
      <c r="J3031" s="112" t="s">
        <v>1151</v>
      </c>
      <c r="K3031" s="45" t="s">
        <v>19</v>
      </c>
      <c r="L3031" s="437"/>
      <c r="M3031" s="474" t="s">
        <v>1856</v>
      </c>
      <c r="N3031" s="1013"/>
      <c r="O3031" s="212"/>
      <c r="P3031" s="66" t="s">
        <v>50</v>
      </c>
      <c r="Q3031" s="100">
        <f t="shared" si="1683"/>
        <v>0</v>
      </c>
      <c r="R3031" s="13" t="str">
        <f t="shared" si="1663"/>
        <v>Фото &gt;&gt;</v>
      </c>
      <c r="S3031" s="14" t="s">
        <v>1163</v>
      </c>
      <c r="AK3031">
        <v>0.04</v>
      </c>
      <c r="AL3031">
        <f t="shared" si="1680"/>
        <v>0</v>
      </c>
      <c r="AM3031">
        <f t="shared" si="1681"/>
        <v>0</v>
      </c>
      <c r="AN3031">
        <f t="shared" si="1682"/>
        <v>0</v>
      </c>
      <c r="AO3031" t="s">
        <v>5295</v>
      </c>
      <c r="AV3031" t="str">
        <f>IF(F3031&gt;0,(COUNT($AV$1:AV3030)+1),"")</f>
        <v/>
      </c>
    </row>
    <row r="3032" spans="1:48" ht="15" customHeight="1" x14ac:dyDescent="0.25">
      <c r="A3032" s="1"/>
      <c r="B3032" s="31">
        <v>8858</v>
      </c>
      <c r="C3032" s="148">
        <v>4607136740075</v>
      </c>
      <c r="D3032" s="154" t="s">
        <v>1478</v>
      </c>
      <c r="E3032" s="69">
        <v>60</v>
      </c>
      <c r="F3032" s="222"/>
      <c r="G3032" s="108">
        <v>161.69999999999999</v>
      </c>
      <c r="H3032" s="17">
        <v>168.1</v>
      </c>
      <c r="I3032" s="18">
        <v>181</v>
      </c>
      <c r="J3032" s="113" t="s">
        <v>1151</v>
      </c>
      <c r="K3032" s="44" t="s">
        <v>19</v>
      </c>
      <c r="L3032" s="442"/>
      <c r="M3032" s="480" t="s">
        <v>1856</v>
      </c>
      <c r="N3032" s="1015"/>
      <c r="O3032" s="217"/>
      <c r="P3032" s="68" t="s">
        <v>50</v>
      </c>
      <c r="Q3032" s="100">
        <f t="shared" si="1683"/>
        <v>0</v>
      </c>
      <c r="R3032" s="13" t="str">
        <f t="shared" si="1663"/>
        <v>Фото &gt;&gt;</v>
      </c>
      <c r="S3032" s="14" t="s">
        <v>1164</v>
      </c>
      <c r="AK3032">
        <v>0.04</v>
      </c>
      <c r="AL3032">
        <f t="shared" si="1680"/>
        <v>0</v>
      </c>
      <c r="AM3032">
        <f t="shared" si="1681"/>
        <v>0</v>
      </c>
      <c r="AN3032">
        <f t="shared" si="1682"/>
        <v>0</v>
      </c>
      <c r="AO3032" t="s">
        <v>5296</v>
      </c>
      <c r="AV3032" t="str">
        <f>IF(F3032&gt;0,(COUNT($AV$1:AV3031)+1),"")</f>
        <v/>
      </c>
    </row>
    <row r="3033" spans="1:48" ht="15" customHeight="1" x14ac:dyDescent="0.25">
      <c r="A3033" s="1"/>
      <c r="B3033" s="30">
        <v>8856</v>
      </c>
      <c r="C3033" s="149">
        <v>4607136741034</v>
      </c>
      <c r="D3033" s="153" t="s">
        <v>1479</v>
      </c>
      <c r="E3033" s="67">
        <v>180</v>
      </c>
      <c r="F3033" s="222"/>
      <c r="G3033" s="107">
        <v>128.9</v>
      </c>
      <c r="H3033" s="21">
        <v>134</v>
      </c>
      <c r="I3033" s="22">
        <v>144.30000000000001</v>
      </c>
      <c r="J3033" s="112" t="s">
        <v>1151</v>
      </c>
      <c r="K3033" s="45" t="s">
        <v>19</v>
      </c>
      <c r="L3033" s="437"/>
      <c r="M3033" s="474" t="s">
        <v>1856</v>
      </c>
      <c r="N3033" s="1013"/>
      <c r="O3033" s="212"/>
      <c r="P3033" s="66" t="s">
        <v>50</v>
      </c>
      <c r="Q3033" s="100">
        <f t="shared" si="1683"/>
        <v>0</v>
      </c>
      <c r="R3033" s="13" t="str">
        <f t="shared" si="1663"/>
        <v>Фото &gt;&gt;</v>
      </c>
      <c r="S3033" s="14" t="s">
        <v>1165</v>
      </c>
      <c r="AK3033">
        <v>0.04</v>
      </c>
      <c r="AL3033">
        <f t="shared" si="1680"/>
        <v>0</v>
      </c>
      <c r="AM3033">
        <f t="shared" si="1681"/>
        <v>0</v>
      </c>
      <c r="AN3033">
        <f t="shared" si="1682"/>
        <v>0</v>
      </c>
      <c r="AO3033" t="s">
        <v>5297</v>
      </c>
      <c r="AV3033" t="str">
        <f>IF(F3033&gt;0,(COUNT($AV$1:AV3032)+1),"")</f>
        <v/>
      </c>
    </row>
    <row r="3034" spans="1:48" ht="15" customHeight="1" x14ac:dyDescent="0.25">
      <c r="A3034" s="1"/>
      <c r="B3034" s="31">
        <v>8861</v>
      </c>
      <c r="C3034" s="148">
        <v>4607136740051</v>
      </c>
      <c r="D3034" s="154" t="s">
        <v>1480</v>
      </c>
      <c r="E3034" s="69">
        <v>60</v>
      </c>
      <c r="F3034" s="222"/>
      <c r="G3034" s="108">
        <v>176.1</v>
      </c>
      <c r="H3034" s="17">
        <v>183.2</v>
      </c>
      <c r="I3034" s="18">
        <v>197.3</v>
      </c>
      <c r="J3034" s="113" t="s">
        <v>1151</v>
      </c>
      <c r="K3034" s="44" t="s">
        <v>19</v>
      </c>
      <c r="L3034" s="442"/>
      <c r="M3034" s="480" t="s">
        <v>1856</v>
      </c>
      <c r="N3034" s="1015"/>
      <c r="O3034" s="217"/>
      <c r="P3034" s="68" t="s">
        <v>50</v>
      </c>
      <c r="Q3034" s="100">
        <f t="shared" si="1683"/>
        <v>0</v>
      </c>
      <c r="R3034" s="13" t="str">
        <f t="shared" si="1663"/>
        <v>Фото &gt;&gt;</v>
      </c>
      <c r="S3034" s="14" t="s">
        <v>1166</v>
      </c>
      <c r="AK3034">
        <v>0.04</v>
      </c>
      <c r="AL3034">
        <f t="shared" si="1680"/>
        <v>0</v>
      </c>
      <c r="AM3034">
        <f t="shared" si="1681"/>
        <v>0</v>
      </c>
      <c r="AN3034">
        <f t="shared" si="1682"/>
        <v>0</v>
      </c>
      <c r="AO3034" t="s">
        <v>5298</v>
      </c>
      <c r="AV3034" t="str">
        <f>IF(F3034&gt;0,(COUNT($AV$1:AV3033)+1),"")</f>
        <v/>
      </c>
    </row>
    <row r="3035" spans="1:48" ht="15" customHeight="1" x14ac:dyDescent="0.25">
      <c r="A3035" s="1"/>
      <c r="B3035" s="30">
        <v>8860</v>
      </c>
      <c r="C3035" s="149">
        <v>4607136740327</v>
      </c>
      <c r="D3035" s="153" t="s">
        <v>1167</v>
      </c>
      <c r="E3035" s="67">
        <v>18</v>
      </c>
      <c r="F3035" s="222"/>
      <c r="G3035" s="107">
        <v>83.9</v>
      </c>
      <c r="H3035" s="21">
        <v>87.2</v>
      </c>
      <c r="I3035" s="22">
        <v>93.9</v>
      </c>
      <c r="J3035" s="112" t="s">
        <v>1151</v>
      </c>
      <c r="K3035" s="45" t="s">
        <v>47</v>
      </c>
      <c r="L3035" s="437"/>
      <c r="M3035" s="474" t="s">
        <v>1856</v>
      </c>
      <c r="N3035" s="1013"/>
      <c r="O3035" s="212"/>
      <c r="P3035" s="66" t="s">
        <v>50</v>
      </c>
      <c r="Q3035" s="100">
        <f t="shared" si="1683"/>
        <v>0</v>
      </c>
      <c r="R3035" s="13" t="str">
        <f t="shared" si="1663"/>
        <v>Фото &gt;&gt;</v>
      </c>
      <c r="S3035" s="14" t="s">
        <v>1168</v>
      </c>
      <c r="AK3035">
        <v>0.05</v>
      </c>
      <c r="AL3035">
        <f t="shared" si="1680"/>
        <v>0</v>
      </c>
      <c r="AM3035">
        <f t="shared" si="1681"/>
        <v>0</v>
      </c>
      <c r="AN3035">
        <f t="shared" si="1682"/>
        <v>0</v>
      </c>
      <c r="AO3035" t="s">
        <v>2803</v>
      </c>
      <c r="AV3035" t="str">
        <f>IF(F3035&gt;0,(COUNT($AV$1:AV3034)+1),"")</f>
        <v/>
      </c>
    </row>
    <row r="3036" spans="1:48" ht="15" customHeight="1" x14ac:dyDescent="0.25">
      <c r="A3036" s="1"/>
      <c r="B3036" s="31">
        <v>11665</v>
      </c>
      <c r="C3036" s="148">
        <v>4607136740181</v>
      </c>
      <c r="D3036" s="154" t="s">
        <v>1169</v>
      </c>
      <c r="E3036" s="69">
        <v>70</v>
      </c>
      <c r="F3036" s="222"/>
      <c r="G3036" s="108">
        <v>379</v>
      </c>
      <c r="H3036" s="17">
        <v>394.1</v>
      </c>
      <c r="I3036" s="18">
        <v>424.4</v>
      </c>
      <c r="J3036" s="113" t="s">
        <v>1151</v>
      </c>
      <c r="K3036" s="44" t="s">
        <v>47</v>
      </c>
      <c r="L3036" s="442"/>
      <c r="M3036" s="480" t="s">
        <v>1856</v>
      </c>
      <c r="N3036" s="1015"/>
      <c r="O3036" s="217"/>
      <c r="P3036" s="68" t="s">
        <v>50</v>
      </c>
      <c r="Q3036" s="100">
        <f t="shared" si="1683"/>
        <v>0</v>
      </c>
      <c r="R3036" s="13" t="str">
        <f t="shared" si="1663"/>
        <v>Фото &gt;&gt;</v>
      </c>
      <c r="S3036" s="14" t="s">
        <v>1170</v>
      </c>
      <c r="AK3036">
        <v>0.09</v>
      </c>
      <c r="AL3036">
        <f t="shared" si="1680"/>
        <v>0</v>
      </c>
      <c r="AM3036">
        <f t="shared" si="1681"/>
        <v>0</v>
      </c>
      <c r="AN3036">
        <f t="shared" si="1682"/>
        <v>0</v>
      </c>
      <c r="AO3036" t="s">
        <v>2804</v>
      </c>
      <c r="AV3036" t="str">
        <f>IF(F3036&gt;0,(COUNT($AV$1:AV3035)+1),"")</f>
        <v/>
      </c>
    </row>
    <row r="3037" spans="1:48" ht="15" customHeight="1" x14ac:dyDescent="0.25">
      <c r="A3037" s="1"/>
      <c r="B3037" s="30">
        <v>8862</v>
      </c>
      <c r="C3037" s="149">
        <v>4607136740112</v>
      </c>
      <c r="D3037" s="153" t="s">
        <v>1171</v>
      </c>
      <c r="E3037" s="67">
        <v>90</v>
      </c>
      <c r="F3037" s="222"/>
      <c r="G3037" s="107">
        <v>169.3</v>
      </c>
      <c r="H3037" s="21">
        <v>176</v>
      </c>
      <c r="I3037" s="22">
        <v>189.6</v>
      </c>
      <c r="J3037" s="112" t="s">
        <v>1151</v>
      </c>
      <c r="K3037" s="45" t="s">
        <v>47</v>
      </c>
      <c r="L3037" s="437"/>
      <c r="M3037" s="474" t="s">
        <v>1856</v>
      </c>
      <c r="N3037" s="1013"/>
      <c r="O3037" s="212"/>
      <c r="P3037" s="66" t="s">
        <v>50</v>
      </c>
      <c r="Q3037" s="100">
        <f t="shared" si="1683"/>
        <v>0</v>
      </c>
      <c r="R3037" s="13" t="str">
        <f t="shared" si="1663"/>
        <v>Фото &gt;&gt;</v>
      </c>
      <c r="S3037" s="14" t="s">
        <v>1172</v>
      </c>
      <c r="AK3037">
        <v>0.05</v>
      </c>
      <c r="AL3037">
        <f t="shared" si="1680"/>
        <v>0</v>
      </c>
      <c r="AM3037">
        <f t="shared" si="1681"/>
        <v>0</v>
      </c>
      <c r="AN3037">
        <f t="shared" si="1682"/>
        <v>0</v>
      </c>
      <c r="AO3037" t="s">
        <v>2805</v>
      </c>
      <c r="AV3037" t="str">
        <f>IF(F3037&gt;0,(COUNT($AV$1:AV3036)+1),"")</f>
        <v/>
      </c>
    </row>
    <row r="3038" spans="1:48" ht="15" customHeight="1" x14ac:dyDescent="0.25">
      <c r="A3038" s="1"/>
      <c r="B3038" s="125"/>
      <c r="C3038" s="126"/>
      <c r="D3038" s="127"/>
      <c r="E3038" s="134"/>
      <c r="F3038" s="189"/>
      <c r="G3038" s="130"/>
      <c r="H3038" s="131"/>
      <c r="I3038" s="132"/>
      <c r="J3038" s="128"/>
      <c r="K3038" s="129"/>
      <c r="L3038" s="433"/>
      <c r="M3038" s="481" t="s">
        <v>104</v>
      </c>
      <c r="N3038" s="471"/>
      <c r="O3038" s="181"/>
      <c r="P3038" s="133"/>
      <c r="Q3038" s="135"/>
      <c r="R3038" s="13"/>
      <c r="S3038" s="14"/>
      <c r="AV3038" t="str">
        <f>IF(F3038&gt;0,(COUNT($AV$1:AV3037)+1),"")</f>
        <v/>
      </c>
    </row>
    <row r="3039" spans="1:48" ht="15" customHeight="1" thickBot="1" x14ac:dyDescent="0.3">
      <c r="A3039" s="1"/>
      <c r="B3039" s="136"/>
      <c r="C3039" s="137"/>
      <c r="D3039" s="138"/>
      <c r="E3039" s="145"/>
      <c r="F3039" s="190"/>
      <c r="G3039" s="141"/>
      <c r="H3039" s="142"/>
      <c r="I3039" s="143"/>
      <c r="J3039" s="139"/>
      <c r="K3039" s="140"/>
      <c r="L3039" s="434"/>
      <c r="M3039" s="477" t="s">
        <v>104</v>
      </c>
      <c r="N3039" s="468"/>
      <c r="O3039" s="182"/>
      <c r="P3039" s="144"/>
      <c r="Q3039" s="146"/>
      <c r="R3039" s="13"/>
      <c r="S3039" s="14"/>
      <c r="AV3039" t="str">
        <f>IF(F3039&gt;0,(COUNT($AV$1:AV3038)+1),"")</f>
        <v/>
      </c>
    </row>
    <row r="3040" spans="1:48" ht="24.75" customHeight="1" thickBot="1" x14ac:dyDescent="0.3">
      <c r="A3040" s="1"/>
      <c r="B3040" s="169"/>
      <c r="C3040" s="170"/>
      <c r="D3040" s="171" t="str">
        <f>CONCATENATE("Фитосила","     |     Сумма заказа: ",AK3040," руб.")</f>
        <v>Фитосила     |     Сумма заказа: 0 руб.</v>
      </c>
      <c r="E3040" s="176"/>
      <c r="F3040" s="177"/>
      <c r="G3040" s="180" t="str">
        <f>CONCATENATE("Ценовая колонка: ",AO3040,"   |   До следующей скидки: ",AJ3040," руб.")</f>
        <v>Ценовая колонка: 3   |   До следующей скидки: 5000 руб.</v>
      </c>
      <c r="H3040" s="174"/>
      <c r="I3040" s="174"/>
      <c r="J3040" s="172" t="s">
        <v>1173</v>
      </c>
      <c r="K3040" s="173"/>
      <c r="L3040" s="444"/>
      <c r="M3040" s="486" t="s">
        <v>104</v>
      </c>
      <c r="N3040" s="717"/>
      <c r="O3040" s="184"/>
      <c r="P3040" s="175"/>
      <c r="Q3040" s="178"/>
      <c r="R3040" s="179" t="s">
        <v>1558</v>
      </c>
      <c r="S3040" s="14"/>
      <c r="AJ3040">
        <f>ROUND(IF(AL3040&gt;15000,"0", IF(AND(AL3040&lt;15000,AM3040&gt;5000),15000-AL3040,5000-AM3040)),2)</f>
        <v>5000</v>
      </c>
      <c r="AK3040">
        <f>SUM(Q3042:Q3062)</f>
        <v>0</v>
      </c>
      <c r="AL3040">
        <f>SUM(AL3042:AL3062)</f>
        <v>0</v>
      </c>
      <c r="AM3040">
        <f>SUM(AM3042:AM3062)</f>
        <v>0</v>
      </c>
      <c r="AO3040">
        <f>IF(AM3040&gt;5000,IF(AL3040&gt;15000,1,2),3)</f>
        <v>3</v>
      </c>
      <c r="AV3040" t="str">
        <f>IF(F3040&gt;0,(COUNT($AV$1:AV3039)+1),"")</f>
        <v/>
      </c>
    </row>
    <row r="3041" spans="1:48" ht="15" customHeight="1" x14ac:dyDescent="0.25">
      <c r="A3041" s="1"/>
      <c r="B3041" s="296"/>
      <c r="C3041" s="38"/>
      <c r="D3041" s="39" t="s">
        <v>1483</v>
      </c>
      <c r="E3041" s="82"/>
      <c r="F3041" s="97"/>
      <c r="G3041" s="40" t="s">
        <v>170</v>
      </c>
      <c r="H3041" s="41" t="s">
        <v>16</v>
      </c>
      <c r="I3041" s="41" t="s">
        <v>221</v>
      </c>
      <c r="J3041" s="52"/>
      <c r="K3041" s="48"/>
      <c r="L3041" s="448"/>
      <c r="M3041" s="491" t="s">
        <v>104</v>
      </c>
      <c r="N3041" s="715"/>
      <c r="O3041" s="187"/>
      <c r="P3041" s="81"/>
      <c r="Q3041" s="105"/>
      <c r="R3041" s="13"/>
      <c r="S3041" s="14"/>
      <c r="AV3041" t="str">
        <f>IF(F3041&gt;0,(COUNT($AV$1:AV3040)+1),"")</f>
        <v/>
      </c>
    </row>
    <row r="3042" spans="1:48" ht="15" customHeight="1" x14ac:dyDescent="0.25">
      <c r="A3042" s="1"/>
      <c r="B3042" s="30">
        <v>7487</v>
      </c>
      <c r="C3042" s="149">
        <v>4607069270243</v>
      </c>
      <c r="D3042" s="153" t="s">
        <v>1174</v>
      </c>
      <c r="E3042" s="67">
        <v>98</v>
      </c>
      <c r="F3042" s="222"/>
      <c r="G3042" s="107">
        <v>254.2</v>
      </c>
      <c r="H3042" s="21">
        <v>267.39999999999998</v>
      </c>
      <c r="I3042" s="22">
        <v>280.7</v>
      </c>
      <c r="J3042" s="112" t="s">
        <v>1173</v>
      </c>
      <c r="K3042" s="45" t="s">
        <v>47</v>
      </c>
      <c r="L3042" s="437"/>
      <c r="M3042" s="474" t="s">
        <v>104</v>
      </c>
      <c r="N3042" s="1013"/>
      <c r="O3042" s="212"/>
      <c r="P3042" s="66" t="s">
        <v>50</v>
      </c>
      <c r="Q3042" s="100">
        <f t="shared" ref="Q3042:Q3062" si="1684">IF($AO$3040=2,F3042*H3042,IF($AO$3040=1,F3042*G3042,F3042*I3042))</f>
        <v>0</v>
      </c>
      <c r="R3042" s="13" t="str">
        <f t="shared" ref="R3042:R3101" si="1685">IF(AO3042&gt;0,HYPERLINK(AO3042,"Фото &gt;&gt;"),"")</f>
        <v>Фото &gt;&gt;</v>
      </c>
      <c r="S3042" s="14" t="s">
        <v>1175</v>
      </c>
      <c r="AK3042">
        <v>0.1</v>
      </c>
      <c r="AL3042">
        <f t="shared" ref="AL3042:AL3062" si="1686">F3042*G3042</f>
        <v>0</v>
      </c>
      <c r="AM3042">
        <f t="shared" ref="AM3042:AM3062" si="1687">F3042*H3042</f>
        <v>0</v>
      </c>
      <c r="AN3042">
        <f t="shared" ref="AN3042:AN3062" si="1688">AK3042*F3042+IF(E3042&gt;1.01,F3042/E3042*0.2,0)</f>
        <v>0</v>
      </c>
      <c r="AO3042" t="s">
        <v>2806</v>
      </c>
      <c r="AV3042" t="str">
        <f>IF(F3042&gt;0,(COUNT($AV$1:AV3041)+1),"")</f>
        <v/>
      </c>
    </row>
    <row r="3043" spans="1:48" ht="15" customHeight="1" x14ac:dyDescent="0.25">
      <c r="A3043" s="1"/>
      <c r="B3043" s="31">
        <v>7722</v>
      </c>
      <c r="C3043" s="148">
        <v>4607069270212</v>
      </c>
      <c r="D3043" s="154" t="s">
        <v>2318</v>
      </c>
      <c r="E3043" s="69">
        <v>100</v>
      </c>
      <c r="F3043" s="222"/>
      <c r="G3043" s="108">
        <v>94.6</v>
      </c>
      <c r="H3043" s="17">
        <v>99.7</v>
      </c>
      <c r="I3043" s="18">
        <v>104.8</v>
      </c>
      <c r="J3043" s="113" t="s">
        <v>1173</v>
      </c>
      <c r="K3043" s="44" t="s">
        <v>154</v>
      </c>
      <c r="L3043" s="442"/>
      <c r="M3043" s="480" t="s">
        <v>104</v>
      </c>
      <c r="N3043" s="1015"/>
      <c r="O3043" s="217"/>
      <c r="P3043" s="68" t="s">
        <v>50</v>
      </c>
      <c r="Q3043" s="100">
        <f t="shared" si="1684"/>
        <v>0</v>
      </c>
      <c r="R3043" s="13" t="str">
        <f t="shared" si="1685"/>
        <v>Фото &gt;&gt;</v>
      </c>
      <c r="S3043" s="14" t="s">
        <v>1176</v>
      </c>
      <c r="AK3043">
        <v>0.06</v>
      </c>
      <c r="AL3043">
        <f t="shared" si="1686"/>
        <v>0</v>
      </c>
      <c r="AM3043">
        <f t="shared" si="1687"/>
        <v>0</v>
      </c>
      <c r="AN3043">
        <f t="shared" si="1688"/>
        <v>0</v>
      </c>
      <c r="AO3043" t="s">
        <v>2807</v>
      </c>
      <c r="AV3043" t="str">
        <f>IF(F3043&gt;0,(COUNT($AV$1:AV3042)+1),"")</f>
        <v/>
      </c>
    </row>
    <row r="3044" spans="1:48" ht="15" customHeight="1" x14ac:dyDescent="0.25">
      <c r="A3044" s="1"/>
      <c r="B3044" s="30">
        <v>10312</v>
      </c>
      <c r="C3044" s="149">
        <v>4607069270649</v>
      </c>
      <c r="D3044" s="153" t="s">
        <v>1177</v>
      </c>
      <c r="E3044" s="67">
        <v>100</v>
      </c>
      <c r="F3044" s="222"/>
      <c r="G3044" s="107">
        <v>327.39999999999998</v>
      </c>
      <c r="H3044" s="21">
        <v>344.7</v>
      </c>
      <c r="I3044" s="22">
        <v>361</v>
      </c>
      <c r="J3044" s="112" t="s">
        <v>1173</v>
      </c>
      <c r="K3044" s="45" t="s">
        <v>154</v>
      </c>
      <c r="L3044" s="437"/>
      <c r="M3044" s="474" t="s">
        <v>104</v>
      </c>
      <c r="N3044" s="1013"/>
      <c r="O3044" s="212"/>
      <c r="P3044" s="66" t="s">
        <v>50</v>
      </c>
      <c r="Q3044" s="100">
        <f t="shared" si="1684"/>
        <v>0</v>
      </c>
      <c r="R3044" s="13" t="str">
        <f t="shared" si="1685"/>
        <v>Фото &gt;&gt;</v>
      </c>
      <c r="S3044" s="14" t="s">
        <v>1178</v>
      </c>
      <c r="AK3044">
        <v>0.06</v>
      </c>
      <c r="AL3044">
        <f t="shared" si="1686"/>
        <v>0</v>
      </c>
      <c r="AM3044">
        <f t="shared" si="1687"/>
        <v>0</v>
      </c>
      <c r="AN3044">
        <f t="shared" si="1688"/>
        <v>0</v>
      </c>
      <c r="AO3044" t="s">
        <v>2808</v>
      </c>
      <c r="AV3044" t="str">
        <f>IF(F3044&gt;0,(COUNT($AV$1:AV3043)+1),"")</f>
        <v/>
      </c>
    </row>
    <row r="3045" spans="1:48" ht="15" customHeight="1" x14ac:dyDescent="0.25">
      <c r="A3045" s="1"/>
      <c r="B3045" s="31">
        <v>6833</v>
      </c>
      <c r="C3045" s="148">
        <v>4607069270199</v>
      </c>
      <c r="D3045" s="154" t="s">
        <v>1179</v>
      </c>
      <c r="E3045" s="69">
        <v>100</v>
      </c>
      <c r="F3045" s="222"/>
      <c r="G3045" s="108">
        <v>77</v>
      </c>
      <c r="H3045" s="17">
        <v>80.900000000000006</v>
      </c>
      <c r="I3045" s="18">
        <v>86.5</v>
      </c>
      <c r="J3045" s="113" t="s">
        <v>1173</v>
      </c>
      <c r="K3045" s="44" t="s">
        <v>151</v>
      </c>
      <c r="L3045" s="442"/>
      <c r="M3045" s="480" t="s">
        <v>104</v>
      </c>
      <c r="N3045" s="1015"/>
      <c r="O3045" s="217"/>
      <c r="P3045" s="68" t="s">
        <v>50</v>
      </c>
      <c r="Q3045" s="100">
        <f t="shared" si="1684"/>
        <v>0</v>
      </c>
      <c r="R3045" s="13" t="str">
        <f t="shared" si="1685"/>
        <v>Фото &gt;&gt;</v>
      </c>
      <c r="S3045" s="14" t="s">
        <v>1180</v>
      </c>
      <c r="AK3045">
        <v>0.06</v>
      </c>
      <c r="AL3045">
        <f t="shared" si="1686"/>
        <v>0</v>
      </c>
      <c r="AM3045">
        <f t="shared" si="1687"/>
        <v>0</v>
      </c>
      <c r="AN3045">
        <f t="shared" si="1688"/>
        <v>0</v>
      </c>
      <c r="AO3045" t="s">
        <v>2809</v>
      </c>
      <c r="AV3045" t="str">
        <f>IF(F3045&gt;0,(COUNT($AV$1:AV3044)+1),"")</f>
        <v/>
      </c>
    </row>
    <row r="3046" spans="1:48" ht="15" customHeight="1" x14ac:dyDescent="0.25">
      <c r="A3046" s="1"/>
      <c r="B3046" s="30">
        <v>11983</v>
      </c>
      <c r="C3046" s="149">
        <v>4607069270779</v>
      </c>
      <c r="D3046" s="153" t="s">
        <v>1181</v>
      </c>
      <c r="E3046" s="67">
        <v>90</v>
      </c>
      <c r="F3046" s="222"/>
      <c r="G3046" s="107">
        <v>86.7</v>
      </c>
      <c r="H3046" s="21">
        <v>91</v>
      </c>
      <c r="I3046" s="22">
        <v>95.6</v>
      </c>
      <c r="J3046" s="112" t="s">
        <v>1173</v>
      </c>
      <c r="K3046" s="45" t="s">
        <v>153</v>
      </c>
      <c r="L3046" s="437"/>
      <c r="M3046" s="474" t="s">
        <v>104</v>
      </c>
      <c r="N3046" s="1013"/>
      <c r="O3046" s="212"/>
      <c r="P3046" s="66" t="s">
        <v>50</v>
      </c>
      <c r="Q3046" s="100">
        <f t="shared" si="1684"/>
        <v>0</v>
      </c>
      <c r="R3046" s="13" t="str">
        <f t="shared" si="1685"/>
        <v>Фото &gt;&gt;</v>
      </c>
      <c r="S3046" s="14" t="s">
        <v>1182</v>
      </c>
      <c r="AK3046">
        <v>0.04</v>
      </c>
      <c r="AL3046">
        <f t="shared" si="1686"/>
        <v>0</v>
      </c>
      <c r="AM3046">
        <f t="shared" si="1687"/>
        <v>0</v>
      </c>
      <c r="AN3046">
        <f t="shared" si="1688"/>
        <v>0</v>
      </c>
      <c r="AO3046" t="s">
        <v>2810</v>
      </c>
      <c r="AV3046" t="str">
        <f>IF(F3046&gt;0,(COUNT($AV$1:AV3045)+1),"")</f>
        <v/>
      </c>
    </row>
    <row r="3047" spans="1:48" ht="15" customHeight="1" x14ac:dyDescent="0.25">
      <c r="A3047" s="1"/>
      <c r="B3047" s="31">
        <v>15450</v>
      </c>
      <c r="C3047" s="148">
        <v>4607069271011</v>
      </c>
      <c r="D3047" s="154" t="s">
        <v>1183</v>
      </c>
      <c r="E3047" s="69">
        <v>50</v>
      </c>
      <c r="F3047" s="222"/>
      <c r="G3047" s="108">
        <v>119</v>
      </c>
      <c r="H3047" s="17">
        <v>125.1</v>
      </c>
      <c r="I3047" s="18">
        <v>132.19999999999999</v>
      </c>
      <c r="J3047" s="113" t="s">
        <v>1173</v>
      </c>
      <c r="K3047" s="44" t="s">
        <v>131</v>
      </c>
      <c r="L3047" s="442"/>
      <c r="M3047" s="480" t="s">
        <v>104</v>
      </c>
      <c r="N3047" s="1015"/>
      <c r="O3047" s="217"/>
      <c r="P3047" s="68" t="s">
        <v>50</v>
      </c>
      <c r="Q3047" s="100">
        <f t="shared" si="1684"/>
        <v>0</v>
      </c>
      <c r="R3047" s="13" t="str">
        <f t="shared" si="1685"/>
        <v>Фото &gt;&gt;</v>
      </c>
      <c r="S3047" s="14" t="s">
        <v>1184</v>
      </c>
      <c r="AK3047">
        <v>0.05</v>
      </c>
      <c r="AL3047">
        <f t="shared" si="1686"/>
        <v>0</v>
      </c>
      <c r="AM3047">
        <f t="shared" si="1687"/>
        <v>0</v>
      </c>
      <c r="AN3047">
        <f t="shared" si="1688"/>
        <v>0</v>
      </c>
      <c r="AO3047" t="s">
        <v>2811</v>
      </c>
      <c r="AV3047" t="str">
        <f>IF(F3047&gt;0,(COUNT($AV$1:AV3046)+1),"")</f>
        <v/>
      </c>
    </row>
    <row r="3048" spans="1:48" ht="15" customHeight="1" x14ac:dyDescent="0.25">
      <c r="A3048" s="1"/>
      <c r="B3048" s="30">
        <v>15449</v>
      </c>
      <c r="C3048" s="149">
        <v>4607069271004</v>
      </c>
      <c r="D3048" s="153" t="s">
        <v>1185</v>
      </c>
      <c r="E3048" s="67">
        <v>50</v>
      </c>
      <c r="F3048" s="222"/>
      <c r="G3048" s="107">
        <v>291.8</v>
      </c>
      <c r="H3048" s="21">
        <v>306.10000000000002</v>
      </c>
      <c r="I3048" s="22">
        <v>321.3</v>
      </c>
      <c r="J3048" s="112" t="s">
        <v>1173</v>
      </c>
      <c r="K3048" s="45" t="s">
        <v>131</v>
      </c>
      <c r="L3048" s="437"/>
      <c r="M3048" s="474" t="s">
        <v>104</v>
      </c>
      <c r="N3048" s="1013"/>
      <c r="O3048" s="212"/>
      <c r="P3048" s="66" t="s">
        <v>50</v>
      </c>
      <c r="Q3048" s="100">
        <f t="shared" si="1684"/>
        <v>0</v>
      </c>
      <c r="R3048" s="13" t="str">
        <f t="shared" si="1685"/>
        <v>Фото &gt;&gt;</v>
      </c>
      <c r="S3048" s="14" t="s">
        <v>1186</v>
      </c>
      <c r="AK3048">
        <v>0.12</v>
      </c>
      <c r="AL3048">
        <f t="shared" si="1686"/>
        <v>0</v>
      </c>
      <c r="AM3048">
        <f t="shared" si="1687"/>
        <v>0</v>
      </c>
      <c r="AN3048">
        <f t="shared" si="1688"/>
        <v>0</v>
      </c>
      <c r="AO3048" t="s">
        <v>2812</v>
      </c>
      <c r="AV3048" t="str">
        <f>IF(F3048&gt;0,(COUNT($AV$1:AV3047)+1),"")</f>
        <v/>
      </c>
    </row>
    <row r="3049" spans="1:48" ht="15" customHeight="1" x14ac:dyDescent="0.25">
      <c r="A3049" s="1"/>
      <c r="B3049" s="31">
        <v>15448</v>
      </c>
      <c r="C3049" s="148">
        <v>4607069270984</v>
      </c>
      <c r="D3049" s="154" t="s">
        <v>2013</v>
      </c>
      <c r="E3049" s="69">
        <v>150</v>
      </c>
      <c r="F3049" s="222"/>
      <c r="G3049" s="108">
        <v>105.3</v>
      </c>
      <c r="H3049" s="17">
        <v>110.9</v>
      </c>
      <c r="I3049" s="18">
        <v>117</v>
      </c>
      <c r="J3049" s="113" t="s">
        <v>1173</v>
      </c>
      <c r="K3049" s="44" t="s">
        <v>151</v>
      </c>
      <c r="L3049" s="442"/>
      <c r="M3049" s="480" t="s">
        <v>104</v>
      </c>
      <c r="N3049" s="1015"/>
      <c r="O3049" s="217"/>
      <c r="P3049" s="68" t="s">
        <v>50</v>
      </c>
      <c r="Q3049" s="100">
        <f t="shared" si="1684"/>
        <v>0</v>
      </c>
      <c r="R3049" s="13" t="str">
        <f t="shared" si="1685"/>
        <v>Фото &gt;&gt;</v>
      </c>
      <c r="S3049" s="14" t="s">
        <v>1187</v>
      </c>
      <c r="AK3049">
        <v>0.05</v>
      </c>
      <c r="AL3049">
        <f t="shared" si="1686"/>
        <v>0</v>
      </c>
      <c r="AM3049">
        <f t="shared" si="1687"/>
        <v>0</v>
      </c>
      <c r="AN3049">
        <f t="shared" si="1688"/>
        <v>0</v>
      </c>
      <c r="AO3049" t="s">
        <v>2813</v>
      </c>
      <c r="AV3049" t="str">
        <f>IF(F3049&gt;0,(COUNT($AV$1:AV3048)+1),"")</f>
        <v/>
      </c>
    </row>
    <row r="3050" spans="1:48" ht="15" customHeight="1" x14ac:dyDescent="0.25">
      <c r="A3050" s="1"/>
      <c r="B3050" s="30">
        <v>5303</v>
      </c>
      <c r="C3050" s="149">
        <v>4607069270021</v>
      </c>
      <c r="D3050" s="153" t="s">
        <v>1188</v>
      </c>
      <c r="E3050" s="67">
        <v>64</v>
      </c>
      <c r="F3050" s="222"/>
      <c r="G3050" s="107">
        <v>136.80000000000001</v>
      </c>
      <c r="H3050" s="21">
        <v>143.69999999999999</v>
      </c>
      <c r="I3050" s="22">
        <v>151</v>
      </c>
      <c r="J3050" s="112" t="s">
        <v>1173</v>
      </c>
      <c r="K3050" s="45" t="s">
        <v>154</v>
      </c>
      <c r="L3050" s="437"/>
      <c r="M3050" s="474" t="s">
        <v>104</v>
      </c>
      <c r="N3050" s="1013"/>
      <c r="O3050" s="212"/>
      <c r="P3050" s="66" t="s">
        <v>50</v>
      </c>
      <c r="Q3050" s="100">
        <f t="shared" si="1684"/>
        <v>0</v>
      </c>
      <c r="R3050" s="13" t="str">
        <f t="shared" si="1685"/>
        <v>Фото &gt;&gt;</v>
      </c>
      <c r="S3050" s="14" t="s">
        <v>1189</v>
      </c>
      <c r="AK3050">
        <v>0.08</v>
      </c>
      <c r="AL3050">
        <f t="shared" si="1686"/>
        <v>0</v>
      </c>
      <c r="AM3050">
        <f t="shared" si="1687"/>
        <v>0</v>
      </c>
      <c r="AN3050">
        <f t="shared" si="1688"/>
        <v>0</v>
      </c>
      <c r="AO3050" t="s">
        <v>2814</v>
      </c>
      <c r="AV3050" t="str">
        <f>IF(F3050&gt;0,(COUNT($AV$1:AV3049)+1),"")</f>
        <v/>
      </c>
    </row>
    <row r="3051" spans="1:48" ht="15" customHeight="1" x14ac:dyDescent="0.25">
      <c r="A3051" s="1"/>
      <c r="B3051" s="31">
        <v>5304</v>
      </c>
      <c r="C3051" s="148">
        <v>4607069270014</v>
      </c>
      <c r="D3051" s="154" t="s">
        <v>1190</v>
      </c>
      <c r="E3051" s="69">
        <v>64</v>
      </c>
      <c r="F3051" s="222"/>
      <c r="G3051" s="108">
        <v>130.9</v>
      </c>
      <c r="H3051" s="17">
        <v>137.30000000000001</v>
      </c>
      <c r="I3051" s="18">
        <v>144.4</v>
      </c>
      <c r="J3051" s="113" t="s">
        <v>1173</v>
      </c>
      <c r="K3051" s="44" t="s">
        <v>154</v>
      </c>
      <c r="L3051" s="442"/>
      <c r="M3051" s="480" t="s">
        <v>104</v>
      </c>
      <c r="N3051" s="1015"/>
      <c r="O3051" s="217"/>
      <c r="P3051" s="68" t="s">
        <v>50</v>
      </c>
      <c r="Q3051" s="100">
        <f t="shared" si="1684"/>
        <v>0</v>
      </c>
      <c r="R3051" s="13" t="str">
        <f t="shared" si="1685"/>
        <v>Фото &gt;&gt;</v>
      </c>
      <c r="S3051" s="14" t="s">
        <v>1191</v>
      </c>
      <c r="AK3051">
        <v>0.08</v>
      </c>
      <c r="AL3051">
        <f t="shared" si="1686"/>
        <v>0</v>
      </c>
      <c r="AM3051">
        <f t="shared" si="1687"/>
        <v>0</v>
      </c>
      <c r="AN3051">
        <f t="shared" si="1688"/>
        <v>0</v>
      </c>
      <c r="AO3051" t="s">
        <v>2815</v>
      </c>
      <c r="AV3051" t="str">
        <f>IF(F3051&gt;0,(COUNT($AV$1:AV3050)+1),"")</f>
        <v/>
      </c>
    </row>
    <row r="3052" spans="1:48" ht="15" customHeight="1" x14ac:dyDescent="0.25">
      <c r="A3052" s="1"/>
      <c r="B3052" s="30">
        <v>6301</v>
      </c>
      <c r="C3052" s="149">
        <v>4607069270908</v>
      </c>
      <c r="D3052" s="153" t="s">
        <v>1192</v>
      </c>
      <c r="E3052" s="67">
        <v>150</v>
      </c>
      <c r="F3052" s="222"/>
      <c r="G3052" s="107">
        <v>118</v>
      </c>
      <c r="H3052" s="21">
        <v>124.1</v>
      </c>
      <c r="I3052" s="22">
        <v>130.19999999999999</v>
      </c>
      <c r="J3052" s="112" t="s">
        <v>1173</v>
      </c>
      <c r="K3052" s="45" t="s">
        <v>154</v>
      </c>
      <c r="L3052" s="437"/>
      <c r="M3052" s="474" t="s">
        <v>104</v>
      </c>
      <c r="N3052" s="1013"/>
      <c r="O3052" s="212"/>
      <c r="P3052" s="66" t="s">
        <v>50</v>
      </c>
      <c r="Q3052" s="100">
        <f t="shared" si="1684"/>
        <v>0</v>
      </c>
      <c r="R3052" s="13" t="str">
        <f t="shared" si="1685"/>
        <v>Фото &gt;&gt;</v>
      </c>
      <c r="S3052" s="14" t="s">
        <v>1193</v>
      </c>
      <c r="AK3052">
        <v>0.03</v>
      </c>
      <c r="AL3052">
        <f t="shared" si="1686"/>
        <v>0</v>
      </c>
      <c r="AM3052">
        <f t="shared" si="1687"/>
        <v>0</v>
      </c>
      <c r="AN3052">
        <f t="shared" si="1688"/>
        <v>0</v>
      </c>
      <c r="AO3052" t="s">
        <v>2816</v>
      </c>
      <c r="AV3052" t="str">
        <f>IF(F3052&gt;0,(COUNT($AV$1:AV3051)+1),"")</f>
        <v/>
      </c>
    </row>
    <row r="3053" spans="1:48" ht="15" customHeight="1" x14ac:dyDescent="0.25">
      <c r="A3053" s="1"/>
      <c r="B3053" s="31">
        <v>16504</v>
      </c>
      <c r="C3053" s="148">
        <v>4607069271066</v>
      </c>
      <c r="D3053" s="154" t="s">
        <v>1194</v>
      </c>
      <c r="E3053" s="69">
        <v>50</v>
      </c>
      <c r="F3053" s="222"/>
      <c r="G3053" s="108">
        <v>253.2</v>
      </c>
      <c r="H3053" s="17">
        <v>265.89999999999998</v>
      </c>
      <c r="I3053" s="18">
        <v>278.60000000000002</v>
      </c>
      <c r="J3053" s="113" t="s">
        <v>1173</v>
      </c>
      <c r="K3053" s="44" t="s">
        <v>154</v>
      </c>
      <c r="L3053" s="442"/>
      <c r="M3053" s="480" t="s">
        <v>104</v>
      </c>
      <c r="N3053" s="1015"/>
      <c r="O3053" s="217"/>
      <c r="P3053" s="68" t="s">
        <v>50</v>
      </c>
      <c r="Q3053" s="100">
        <f t="shared" si="1684"/>
        <v>0</v>
      </c>
      <c r="R3053" s="13" t="str">
        <f t="shared" si="1685"/>
        <v>Фото &gt;&gt;</v>
      </c>
      <c r="S3053" s="14" t="s">
        <v>1195</v>
      </c>
      <c r="AK3053">
        <v>0.08</v>
      </c>
      <c r="AL3053">
        <f t="shared" si="1686"/>
        <v>0</v>
      </c>
      <c r="AM3053">
        <f t="shared" si="1687"/>
        <v>0</v>
      </c>
      <c r="AN3053">
        <f t="shared" si="1688"/>
        <v>0</v>
      </c>
      <c r="AO3053" t="s">
        <v>2817</v>
      </c>
      <c r="AV3053" t="str">
        <f>IF(F3053&gt;0,(COUNT($AV$1:AV3052)+1),"")</f>
        <v/>
      </c>
    </row>
    <row r="3054" spans="1:48" ht="15" customHeight="1" x14ac:dyDescent="0.25">
      <c r="A3054" s="1"/>
      <c r="B3054" s="30">
        <v>15451</v>
      </c>
      <c r="C3054" s="149">
        <v>4607069270991</v>
      </c>
      <c r="D3054" s="153" t="s">
        <v>1196</v>
      </c>
      <c r="E3054" s="67">
        <v>48</v>
      </c>
      <c r="F3054" s="222"/>
      <c r="G3054" s="107">
        <v>143.4</v>
      </c>
      <c r="H3054" s="21">
        <v>150.5</v>
      </c>
      <c r="I3054" s="22">
        <v>158.69999999999999</v>
      </c>
      <c r="J3054" s="112" t="s">
        <v>1173</v>
      </c>
      <c r="K3054" s="45" t="s">
        <v>151</v>
      </c>
      <c r="L3054" s="437"/>
      <c r="M3054" s="474" t="s">
        <v>104</v>
      </c>
      <c r="N3054" s="1013"/>
      <c r="O3054" s="212"/>
      <c r="P3054" s="66" t="s">
        <v>50</v>
      </c>
      <c r="Q3054" s="100">
        <f t="shared" si="1684"/>
        <v>0</v>
      </c>
      <c r="R3054" s="13" t="str">
        <f t="shared" si="1685"/>
        <v>Фото &gt;&gt;</v>
      </c>
      <c r="S3054" s="14" t="s">
        <v>1197</v>
      </c>
      <c r="AK3054">
        <v>7.0000000000000007E-2</v>
      </c>
      <c r="AL3054">
        <f t="shared" si="1686"/>
        <v>0</v>
      </c>
      <c r="AM3054">
        <f t="shared" si="1687"/>
        <v>0</v>
      </c>
      <c r="AN3054">
        <f t="shared" si="1688"/>
        <v>0</v>
      </c>
      <c r="AO3054" t="s">
        <v>2818</v>
      </c>
      <c r="AV3054" t="str">
        <f>IF(F3054&gt;0,(COUNT($AV$1:AV3053)+1),"")</f>
        <v/>
      </c>
    </row>
    <row r="3055" spans="1:48" ht="15" customHeight="1" x14ac:dyDescent="0.25">
      <c r="A3055" s="1"/>
      <c r="B3055" s="31">
        <v>7206</v>
      </c>
      <c r="C3055" s="148">
        <v>4607069270168</v>
      </c>
      <c r="D3055" s="154" t="s">
        <v>1198</v>
      </c>
      <c r="E3055" s="69">
        <v>98</v>
      </c>
      <c r="F3055" s="222"/>
      <c r="G3055" s="108">
        <v>103.8</v>
      </c>
      <c r="H3055" s="17">
        <v>108.8</v>
      </c>
      <c r="I3055" s="18">
        <v>122.1</v>
      </c>
      <c r="J3055" s="113" t="s">
        <v>1173</v>
      </c>
      <c r="K3055" s="44" t="s">
        <v>19</v>
      </c>
      <c r="L3055" s="442"/>
      <c r="M3055" s="480" t="s">
        <v>104</v>
      </c>
      <c r="N3055" s="1015"/>
      <c r="O3055" s="217"/>
      <c r="P3055" s="68" t="s">
        <v>50</v>
      </c>
      <c r="Q3055" s="100">
        <f t="shared" si="1684"/>
        <v>0</v>
      </c>
      <c r="R3055" s="13" t="str">
        <f t="shared" si="1685"/>
        <v>Фото &gt;&gt;</v>
      </c>
      <c r="S3055" s="14" t="s">
        <v>1199</v>
      </c>
      <c r="AK3055">
        <v>0.04</v>
      </c>
      <c r="AL3055">
        <f t="shared" si="1686"/>
        <v>0</v>
      </c>
      <c r="AM3055">
        <f t="shared" si="1687"/>
        <v>0</v>
      </c>
      <c r="AN3055">
        <f t="shared" si="1688"/>
        <v>0</v>
      </c>
      <c r="AO3055" t="s">
        <v>3819</v>
      </c>
      <c r="AV3055" t="str">
        <f>IF(F3055&gt;0,(COUNT($AV$1:AV3054)+1),"")</f>
        <v/>
      </c>
    </row>
    <row r="3056" spans="1:48" ht="15" customHeight="1" x14ac:dyDescent="0.25">
      <c r="A3056" s="1"/>
      <c r="B3056" s="37">
        <v>15452</v>
      </c>
      <c r="C3056" s="152">
        <v>4607069271035</v>
      </c>
      <c r="D3056" s="156" t="s">
        <v>1200</v>
      </c>
      <c r="E3056" s="75">
        <v>48</v>
      </c>
      <c r="F3056" s="223"/>
      <c r="G3056" s="111">
        <v>233.9</v>
      </c>
      <c r="H3056" s="5">
        <v>244.1</v>
      </c>
      <c r="I3056" s="24">
        <v>254.2</v>
      </c>
      <c r="J3056" s="115" t="s">
        <v>1173</v>
      </c>
      <c r="K3056" s="46" t="s">
        <v>68</v>
      </c>
      <c r="L3056" s="440"/>
      <c r="M3056" s="482" t="s">
        <v>104</v>
      </c>
      <c r="N3056" s="1002"/>
      <c r="O3056" s="214"/>
      <c r="P3056" s="74" t="s">
        <v>50</v>
      </c>
      <c r="Q3056" s="100">
        <f t="shared" si="1684"/>
        <v>0</v>
      </c>
      <c r="R3056" s="13" t="str">
        <f t="shared" si="1685"/>
        <v>Фото &gt;&gt;</v>
      </c>
      <c r="S3056" s="14" t="s">
        <v>1201</v>
      </c>
      <c r="AK3056">
        <v>0.08</v>
      </c>
      <c r="AL3056">
        <f t="shared" si="1686"/>
        <v>0</v>
      </c>
      <c r="AM3056">
        <f t="shared" si="1687"/>
        <v>0</v>
      </c>
      <c r="AN3056">
        <f t="shared" si="1688"/>
        <v>0</v>
      </c>
      <c r="AO3056" t="s">
        <v>2819</v>
      </c>
      <c r="AV3056" t="str">
        <f>IF(F3056&gt;0,(COUNT($AV$1:AV3055)+1),"")</f>
        <v/>
      </c>
    </row>
    <row r="3057" spans="1:48" ht="15" customHeight="1" x14ac:dyDescent="0.25">
      <c r="A3057" s="1"/>
      <c r="B3057" s="795">
        <v>14899</v>
      </c>
      <c r="C3057" s="1106">
        <v>4626018162668</v>
      </c>
      <c r="D3057" s="898" t="s">
        <v>1202</v>
      </c>
      <c r="E3057" s="798">
        <v>14</v>
      </c>
      <c r="F3057" s="789"/>
      <c r="G3057" s="810">
        <v>274.60000000000002</v>
      </c>
      <c r="H3057" s="799">
        <v>288.8</v>
      </c>
      <c r="I3057" s="800">
        <v>303</v>
      </c>
      <c r="J3057" s="801" t="s">
        <v>1173</v>
      </c>
      <c r="K3057" s="802" t="s">
        <v>5530</v>
      </c>
      <c r="L3057" s="803"/>
      <c r="M3057" s="804" t="s">
        <v>104</v>
      </c>
      <c r="N3057" s="1006"/>
      <c r="O3057" s="887"/>
      <c r="P3057" s="806"/>
      <c r="Q3057" s="100">
        <f t="shared" si="1684"/>
        <v>0</v>
      </c>
      <c r="R3057" s="13" t="str">
        <f t="shared" si="1685"/>
        <v>Фото &gt;&gt;</v>
      </c>
      <c r="S3057" s="14" t="s">
        <v>1203</v>
      </c>
      <c r="AK3057">
        <v>0.4</v>
      </c>
      <c r="AL3057">
        <f t="shared" si="1686"/>
        <v>0</v>
      </c>
      <c r="AM3057">
        <f t="shared" si="1687"/>
        <v>0</v>
      </c>
      <c r="AN3057">
        <f t="shared" si="1688"/>
        <v>0</v>
      </c>
      <c r="AO3057" t="s">
        <v>3783</v>
      </c>
      <c r="AV3057" t="str">
        <f>IF(F3057&gt;0,(COUNT($AV$1:AV3056)+1),"")</f>
        <v/>
      </c>
    </row>
    <row r="3058" spans="1:48" ht="15" customHeight="1" x14ac:dyDescent="0.25">
      <c r="A3058" s="1"/>
      <c r="B3058" s="30">
        <v>12587</v>
      </c>
      <c r="C3058" s="149">
        <v>4626018162637</v>
      </c>
      <c r="D3058" s="153" t="s">
        <v>1204</v>
      </c>
      <c r="E3058" s="67">
        <v>30</v>
      </c>
      <c r="F3058" s="222"/>
      <c r="G3058" s="107">
        <v>132.19999999999999</v>
      </c>
      <c r="H3058" s="21">
        <v>138.6</v>
      </c>
      <c r="I3058" s="22">
        <v>145.4</v>
      </c>
      <c r="J3058" s="112" t="s">
        <v>1173</v>
      </c>
      <c r="K3058" s="45" t="s">
        <v>5530</v>
      </c>
      <c r="L3058" s="437"/>
      <c r="M3058" s="474" t="s">
        <v>104</v>
      </c>
      <c r="N3058" s="1013"/>
      <c r="O3058" s="212"/>
      <c r="P3058" s="66"/>
      <c r="Q3058" s="100">
        <f t="shared" si="1684"/>
        <v>0</v>
      </c>
      <c r="R3058" s="13" t="str">
        <f t="shared" si="1685"/>
        <v>Фото &gt;&gt;</v>
      </c>
      <c r="S3058" s="14" t="s">
        <v>6289</v>
      </c>
      <c r="AK3058">
        <v>0.17</v>
      </c>
      <c r="AL3058">
        <f t="shared" si="1686"/>
        <v>0</v>
      </c>
      <c r="AM3058">
        <f t="shared" si="1687"/>
        <v>0</v>
      </c>
      <c r="AN3058">
        <f t="shared" si="1688"/>
        <v>0</v>
      </c>
      <c r="AO3058" t="s">
        <v>2820</v>
      </c>
      <c r="AV3058" t="str">
        <f>IF(F3058&gt;0,(COUNT($AV$1:AV3057)+1),"")</f>
        <v/>
      </c>
    </row>
    <row r="3059" spans="1:48" ht="15" customHeight="1" x14ac:dyDescent="0.25">
      <c r="A3059" s="1"/>
      <c r="B3059" s="31">
        <v>9952</v>
      </c>
      <c r="C3059" s="148">
        <v>4626018162583</v>
      </c>
      <c r="D3059" s="154" t="s">
        <v>1205</v>
      </c>
      <c r="E3059" s="69">
        <v>14</v>
      </c>
      <c r="F3059" s="222"/>
      <c r="G3059" s="108">
        <v>192.2</v>
      </c>
      <c r="H3059" s="17">
        <v>202.4</v>
      </c>
      <c r="I3059" s="18">
        <v>212.5</v>
      </c>
      <c r="J3059" s="113" t="s">
        <v>1173</v>
      </c>
      <c r="K3059" s="44" t="s">
        <v>5530</v>
      </c>
      <c r="L3059" s="442"/>
      <c r="M3059" s="480" t="s">
        <v>104</v>
      </c>
      <c r="N3059" s="1015"/>
      <c r="O3059" s="217"/>
      <c r="P3059" s="68"/>
      <c r="Q3059" s="100">
        <f t="shared" si="1684"/>
        <v>0</v>
      </c>
      <c r="R3059" s="13" t="str">
        <f t="shared" si="1685"/>
        <v>Фото &gt;&gt;</v>
      </c>
      <c r="S3059" s="14" t="s">
        <v>1206</v>
      </c>
      <c r="AK3059">
        <v>0.51</v>
      </c>
      <c r="AL3059">
        <f t="shared" si="1686"/>
        <v>0</v>
      </c>
      <c r="AM3059">
        <f t="shared" si="1687"/>
        <v>0</v>
      </c>
      <c r="AN3059">
        <f t="shared" si="1688"/>
        <v>0</v>
      </c>
      <c r="AO3059" t="s">
        <v>2821</v>
      </c>
      <c r="AV3059" t="str">
        <f>IF(F3059&gt;0,(COUNT($AV$1:AV3058)+1),"")</f>
        <v/>
      </c>
    </row>
    <row r="3060" spans="1:48" ht="15" customHeight="1" x14ac:dyDescent="0.25">
      <c r="A3060" s="1"/>
      <c r="B3060" s="30">
        <v>1916</v>
      </c>
      <c r="C3060" s="149">
        <v>4626018162545</v>
      </c>
      <c r="D3060" s="153" t="s">
        <v>1592</v>
      </c>
      <c r="E3060" s="67">
        <v>153</v>
      </c>
      <c r="F3060" s="222"/>
      <c r="G3060" s="107">
        <v>66.099999999999994</v>
      </c>
      <c r="H3060" s="21">
        <v>69.2</v>
      </c>
      <c r="I3060" s="22">
        <v>73.2</v>
      </c>
      <c r="J3060" s="112" t="s">
        <v>1173</v>
      </c>
      <c r="K3060" s="45" t="s">
        <v>5530</v>
      </c>
      <c r="L3060" s="437"/>
      <c r="M3060" s="474" t="s">
        <v>104</v>
      </c>
      <c r="N3060" s="1013"/>
      <c r="O3060" s="212"/>
      <c r="P3060" s="66"/>
      <c r="Q3060" s="100">
        <f t="shared" si="1684"/>
        <v>0</v>
      </c>
      <c r="R3060" s="13" t="str">
        <f t="shared" si="1685"/>
        <v>Фото &gt;&gt;</v>
      </c>
      <c r="S3060" s="14" t="s">
        <v>1207</v>
      </c>
      <c r="AK3060">
        <v>0.02</v>
      </c>
      <c r="AL3060">
        <f t="shared" si="1686"/>
        <v>0</v>
      </c>
      <c r="AM3060">
        <f t="shared" si="1687"/>
        <v>0</v>
      </c>
      <c r="AN3060">
        <f t="shared" si="1688"/>
        <v>0</v>
      </c>
      <c r="AO3060" t="s">
        <v>2822</v>
      </c>
      <c r="AV3060" t="str">
        <f>IF(F3060&gt;0,(COUNT($AV$1:AV3059)+1),"")</f>
        <v/>
      </c>
    </row>
    <row r="3061" spans="1:48" ht="15" customHeight="1" x14ac:dyDescent="0.25">
      <c r="A3061" s="1"/>
      <c r="B3061" s="31">
        <v>12521</v>
      </c>
      <c r="C3061" s="148">
        <v>4626018162552</v>
      </c>
      <c r="D3061" s="154" t="s">
        <v>1593</v>
      </c>
      <c r="E3061" s="69">
        <v>144</v>
      </c>
      <c r="F3061" s="222"/>
      <c r="G3061" s="108">
        <v>132.19999999999999</v>
      </c>
      <c r="H3061" s="17">
        <v>138.6</v>
      </c>
      <c r="I3061" s="18">
        <v>145.4</v>
      </c>
      <c r="J3061" s="113" t="s">
        <v>1173</v>
      </c>
      <c r="K3061" s="44" t="s">
        <v>5530</v>
      </c>
      <c r="L3061" s="442"/>
      <c r="M3061" s="480" t="s">
        <v>104</v>
      </c>
      <c r="N3061" s="1015"/>
      <c r="O3061" s="217"/>
      <c r="P3061" s="68"/>
      <c r="Q3061" s="100">
        <f t="shared" si="1684"/>
        <v>0</v>
      </c>
      <c r="R3061" s="13" t="str">
        <f t="shared" si="1685"/>
        <v>Фото &gt;&gt;</v>
      </c>
      <c r="S3061" s="14" t="s">
        <v>1208</v>
      </c>
      <c r="AK3061">
        <v>0.06</v>
      </c>
      <c r="AL3061">
        <f t="shared" si="1686"/>
        <v>0</v>
      </c>
      <c r="AM3061">
        <f t="shared" si="1687"/>
        <v>0</v>
      </c>
      <c r="AN3061">
        <f t="shared" si="1688"/>
        <v>0</v>
      </c>
      <c r="AO3061" t="s">
        <v>2823</v>
      </c>
      <c r="AV3061" t="str">
        <f>IF(F3061&gt;0,(COUNT($AV$1:AV3060)+1),"")</f>
        <v/>
      </c>
    </row>
    <row r="3062" spans="1:48" ht="15" customHeight="1" x14ac:dyDescent="0.25">
      <c r="A3062" s="1"/>
      <c r="B3062" s="30">
        <v>6897</v>
      </c>
      <c r="C3062" s="149">
        <v>4626018162576</v>
      </c>
      <c r="D3062" s="153" t="s">
        <v>1594</v>
      </c>
      <c r="E3062" s="67">
        <v>60</v>
      </c>
      <c r="F3062" s="222"/>
      <c r="G3062" s="107">
        <v>104.5</v>
      </c>
      <c r="H3062" s="21">
        <v>109.9</v>
      </c>
      <c r="I3062" s="22">
        <v>115.4</v>
      </c>
      <c r="J3062" s="112" t="s">
        <v>1173</v>
      </c>
      <c r="K3062" s="45" t="s">
        <v>5530</v>
      </c>
      <c r="L3062" s="437"/>
      <c r="M3062" s="474" t="s">
        <v>104</v>
      </c>
      <c r="N3062" s="1013"/>
      <c r="O3062" s="212"/>
      <c r="P3062" s="66"/>
      <c r="Q3062" s="100">
        <f t="shared" si="1684"/>
        <v>0</v>
      </c>
      <c r="R3062" s="13" t="str">
        <f t="shared" si="1685"/>
        <v>Фото &gt;&gt;</v>
      </c>
      <c r="S3062" s="14" t="s">
        <v>1208</v>
      </c>
      <c r="AK3062">
        <v>0.16</v>
      </c>
      <c r="AL3062">
        <f t="shared" si="1686"/>
        <v>0</v>
      </c>
      <c r="AM3062">
        <f t="shared" si="1687"/>
        <v>0</v>
      </c>
      <c r="AN3062">
        <f t="shared" si="1688"/>
        <v>0</v>
      </c>
      <c r="AO3062" t="s">
        <v>2824</v>
      </c>
      <c r="AV3062" t="str">
        <f>IF(F3062&gt;0,(COUNT($AV$1:AV3061)+1),"")</f>
        <v/>
      </c>
    </row>
    <row r="3063" spans="1:48" ht="15" customHeight="1" x14ac:dyDescent="0.25">
      <c r="A3063" s="1"/>
      <c r="B3063" s="125"/>
      <c r="C3063" s="126"/>
      <c r="D3063" s="127"/>
      <c r="E3063" s="134"/>
      <c r="F3063" s="189"/>
      <c r="G3063" s="130"/>
      <c r="H3063" s="131"/>
      <c r="I3063" s="132"/>
      <c r="J3063" s="128"/>
      <c r="K3063" s="129"/>
      <c r="L3063" s="433"/>
      <c r="M3063" s="481" t="s">
        <v>104</v>
      </c>
      <c r="N3063" s="471"/>
      <c r="O3063" s="181"/>
      <c r="P3063" s="133"/>
      <c r="Q3063" s="135"/>
      <c r="R3063" s="13"/>
      <c r="S3063" s="14"/>
      <c r="AV3063" t="str">
        <f>IF(F3063&gt;0,(COUNT($AV$1:AV3062)+1),"")</f>
        <v/>
      </c>
    </row>
    <row r="3064" spans="1:48" ht="15" customHeight="1" thickBot="1" x14ac:dyDescent="0.3">
      <c r="A3064" s="1"/>
      <c r="B3064" s="136"/>
      <c r="C3064" s="137"/>
      <c r="D3064" s="138"/>
      <c r="E3064" s="145"/>
      <c r="F3064" s="190"/>
      <c r="G3064" s="141"/>
      <c r="H3064" s="142"/>
      <c r="I3064" s="143"/>
      <c r="J3064" s="139"/>
      <c r="K3064" s="140"/>
      <c r="L3064" s="434"/>
      <c r="M3064" s="477" t="s">
        <v>104</v>
      </c>
      <c r="N3064" s="468"/>
      <c r="O3064" s="182"/>
      <c r="P3064" s="144"/>
      <c r="Q3064" s="146"/>
      <c r="R3064" s="13"/>
      <c r="S3064" s="14"/>
      <c r="AV3064" t="str">
        <f>IF(F3064&gt;0,(COUNT($AV$1:AV3063)+1),"")</f>
        <v/>
      </c>
    </row>
    <row r="3065" spans="1:48" ht="24.75" customHeight="1" thickBot="1" x14ac:dyDescent="0.3">
      <c r="A3065" s="1"/>
      <c r="B3065" s="169"/>
      <c r="C3065" s="170"/>
      <c r="D3065" s="171" t="str">
        <f>CONCATENATE("БАДы разных производителей","     |     Сумма заказа: ",AK3065," руб.")</f>
        <v>БАДы разных производителей     |     Сумма заказа: 0 руб.</v>
      </c>
      <c r="E3065" s="176"/>
      <c r="F3065" s="177"/>
      <c r="G3065" s="180" t="str">
        <f>CONCATENATE("Ценовая колонка: ",AO3065,"   |   До следующей скидки: ",AJ3065," руб.")</f>
        <v>Ценовая колонка: 3   |   До следующей скидки: 5000 руб.</v>
      </c>
      <c r="H3065" s="174"/>
      <c r="I3065" s="174"/>
      <c r="J3065" s="172"/>
      <c r="K3065" s="173"/>
      <c r="L3065" s="444"/>
      <c r="M3065" s="486" t="s">
        <v>104</v>
      </c>
      <c r="N3065" s="717"/>
      <c r="O3065" s="184"/>
      <c r="P3065" s="175"/>
      <c r="Q3065" s="178"/>
      <c r="R3065" s="179" t="s">
        <v>1558</v>
      </c>
      <c r="S3065" s="14"/>
      <c r="AJ3065">
        <f>ROUND(IF(AL3065&gt;10000,"0", IF(AND(AL3065&lt;10000,AM3065&gt;5000),10000-AL3065,5000-AM3065)),2)</f>
        <v>5000</v>
      </c>
      <c r="AK3065">
        <f>SUM(Q3067:Q3068)</f>
        <v>0</v>
      </c>
      <c r="AL3065">
        <f>SUM(AL3067:AL3068)</f>
        <v>0</v>
      </c>
      <c r="AM3065">
        <f>SUM(AM3067:AM3068)</f>
        <v>0</v>
      </c>
      <c r="AO3065">
        <f>IF(AM3065&gt;5000,IF(AL3065&gt;10000,1,2),3)</f>
        <v>3</v>
      </c>
      <c r="AV3065" t="str">
        <f>IF(F3065&gt;0,(COUNT($AV$1:AV3064)+1),"")</f>
        <v/>
      </c>
    </row>
    <row r="3066" spans="1:48" ht="15" customHeight="1" x14ac:dyDescent="0.25">
      <c r="A3066" s="1"/>
      <c r="B3066" s="296"/>
      <c r="C3066" s="38"/>
      <c r="D3066" s="39" t="s">
        <v>1483</v>
      </c>
      <c r="E3066" s="82"/>
      <c r="F3066" s="97"/>
      <c r="G3066" s="40" t="s">
        <v>1451</v>
      </c>
      <c r="H3066" s="41" t="s">
        <v>16</v>
      </c>
      <c r="I3066" s="41" t="s">
        <v>221</v>
      </c>
      <c r="J3066" s="52"/>
      <c r="K3066" s="48"/>
      <c r="L3066" s="448"/>
      <c r="M3066" s="491" t="s">
        <v>104</v>
      </c>
      <c r="N3066" s="715"/>
      <c r="O3066" s="187"/>
      <c r="P3066" s="81"/>
      <c r="Q3066" s="105"/>
      <c r="R3066" s="13"/>
      <c r="S3066" s="14"/>
      <c r="AV3066" t="str">
        <f>IF(F3066&gt;0,(COUNT($AV$1:AV3065)+1),"")</f>
        <v/>
      </c>
    </row>
    <row r="3067" spans="1:48" ht="15" customHeight="1" x14ac:dyDescent="0.25">
      <c r="A3067" s="1"/>
      <c r="B3067" s="31">
        <v>56</v>
      </c>
      <c r="C3067" s="148" t="s">
        <v>104</v>
      </c>
      <c r="D3067" s="154" t="s">
        <v>1209</v>
      </c>
      <c r="E3067" s="69">
        <v>40</v>
      </c>
      <c r="F3067" s="222"/>
      <c r="G3067" s="108">
        <v>246.1</v>
      </c>
      <c r="H3067" s="17">
        <v>258.3</v>
      </c>
      <c r="I3067" s="18">
        <v>284.7</v>
      </c>
      <c r="J3067" s="113" t="s">
        <v>1173</v>
      </c>
      <c r="K3067" s="44" t="s">
        <v>154</v>
      </c>
      <c r="L3067" s="442"/>
      <c r="M3067" s="480" t="s">
        <v>104</v>
      </c>
      <c r="N3067" s="1015"/>
      <c r="O3067" s="217"/>
      <c r="P3067" s="68" t="s">
        <v>884</v>
      </c>
      <c r="Q3067" s="100">
        <f>IF($AO$3065=2,F3067*H3067,IF($AO$3065=1,F3067*G3067,F3067*I3067))</f>
        <v>0</v>
      </c>
      <c r="R3067" s="13" t="str">
        <f t="shared" si="1685"/>
        <v>Фото &gt;&gt;</v>
      </c>
      <c r="S3067" s="14" t="s">
        <v>1210</v>
      </c>
      <c r="AK3067">
        <v>0.26</v>
      </c>
      <c r="AL3067">
        <f t="shared" ref="AL3067" si="1689">F3067*G3067</f>
        <v>0</v>
      </c>
      <c r="AM3067">
        <f t="shared" ref="AM3067" si="1690">F3067*H3067</f>
        <v>0</v>
      </c>
      <c r="AN3067">
        <f>AK3067*F3067+IF(E3067&gt;1.01,F3067/E3067*0.2,0)</f>
        <v>0</v>
      </c>
      <c r="AO3067" t="s">
        <v>2825</v>
      </c>
      <c r="AV3067" t="str">
        <f>IF(F3067&gt;0,(COUNT($AV$1:AV3066)+1),"")</f>
        <v/>
      </c>
    </row>
    <row r="3068" spans="1:48" ht="15" customHeight="1" x14ac:dyDescent="0.25">
      <c r="A3068" s="1"/>
      <c r="B3068" s="30">
        <v>84</v>
      </c>
      <c r="C3068" s="149">
        <v>4606296000012</v>
      </c>
      <c r="D3068" s="153" t="s">
        <v>1212</v>
      </c>
      <c r="E3068" s="67">
        <v>150</v>
      </c>
      <c r="F3068" s="222"/>
      <c r="G3068" s="331">
        <v>205.4</v>
      </c>
      <c r="H3068" s="332">
        <v>215.6</v>
      </c>
      <c r="I3068" s="333">
        <v>226.8</v>
      </c>
      <c r="J3068" s="112" t="s">
        <v>1211</v>
      </c>
      <c r="K3068" s="45" t="s">
        <v>5530</v>
      </c>
      <c r="L3068" s="437"/>
      <c r="M3068" s="474" t="s">
        <v>104</v>
      </c>
      <c r="N3068" s="1013"/>
      <c r="O3068" s="212"/>
      <c r="P3068" s="66"/>
      <c r="Q3068" s="100">
        <f>IF($AO$3065=2,F3068*H3068,IF($AO$3065=1,F3068*G3068,F3068*I3068))</f>
        <v>0</v>
      </c>
      <c r="R3068" s="13" t="str">
        <f t="shared" si="1685"/>
        <v>Фото &gt;&gt;</v>
      </c>
      <c r="S3068" s="14" t="s">
        <v>1213</v>
      </c>
      <c r="AK3068">
        <v>0.11</v>
      </c>
      <c r="AL3068">
        <f t="shared" ref="AL3068" si="1691">F3068*G3068</f>
        <v>0</v>
      </c>
      <c r="AM3068">
        <f t="shared" ref="AM3068" si="1692">F3068*H3068</f>
        <v>0</v>
      </c>
      <c r="AN3068">
        <f>AK3068*F3068+IF(E3068&gt;1.01,F3068/E3068*0.2,0)</f>
        <v>0</v>
      </c>
      <c r="AO3068" t="s">
        <v>2826</v>
      </c>
      <c r="AV3068" t="str">
        <f>IF(F3068&gt;0,(COUNT($AV$1:AV3067)+1),"")</f>
        <v/>
      </c>
    </row>
    <row r="3069" spans="1:48" ht="15" customHeight="1" x14ac:dyDescent="0.25">
      <c r="A3069" s="1"/>
      <c r="B3069" s="125"/>
      <c r="C3069" s="126"/>
      <c r="D3069" s="127"/>
      <c r="E3069" s="134"/>
      <c r="F3069" s="189"/>
      <c r="G3069" s="130"/>
      <c r="H3069" s="131"/>
      <c r="I3069" s="132"/>
      <c r="J3069" s="128"/>
      <c r="K3069" s="129"/>
      <c r="L3069" s="433"/>
      <c r="M3069" s="481" t="s">
        <v>104</v>
      </c>
      <c r="N3069" s="471"/>
      <c r="O3069" s="181"/>
      <c r="P3069" s="133"/>
      <c r="Q3069" s="135"/>
      <c r="R3069" s="13"/>
      <c r="S3069" s="14"/>
      <c r="AV3069" t="str">
        <f>IF(F3069&gt;0,(COUNT($AV$1:AV3068)+1),"")</f>
        <v/>
      </c>
    </row>
    <row r="3070" spans="1:48" ht="15" customHeight="1" thickBot="1" x14ac:dyDescent="0.3">
      <c r="A3070" s="1"/>
      <c r="B3070" s="136"/>
      <c r="C3070" s="137"/>
      <c r="D3070" s="138"/>
      <c r="E3070" s="145"/>
      <c r="F3070" s="190"/>
      <c r="G3070" s="141"/>
      <c r="H3070" s="142"/>
      <c r="I3070" s="143"/>
      <c r="J3070" s="139"/>
      <c r="K3070" s="140"/>
      <c r="L3070" s="434"/>
      <c r="M3070" s="477" t="s">
        <v>104</v>
      </c>
      <c r="N3070" s="468"/>
      <c r="O3070" s="182"/>
      <c r="P3070" s="144"/>
      <c r="Q3070" s="146"/>
      <c r="R3070" s="13"/>
      <c r="S3070" s="14"/>
      <c r="AV3070" t="str">
        <f>IF(F3070&gt;0,(COUNT($AV$1:AV3069)+1),"")</f>
        <v/>
      </c>
    </row>
    <row r="3071" spans="1:48" ht="24.75" customHeight="1" thickBot="1" x14ac:dyDescent="0.3">
      <c r="A3071" s="1"/>
      <c r="B3071" s="169"/>
      <c r="C3071" s="170"/>
      <c r="D3071" s="171" t="str">
        <f>CONCATENATE("Чайные напитки","     |     Сумма заказа: ",AK3071," руб.")</f>
        <v>Чайные напитки     |     Сумма заказа: 0 руб.</v>
      </c>
      <c r="E3071" s="176"/>
      <c r="F3071" s="177"/>
      <c r="G3071" s="180" t="str">
        <f>CONCATENATE("Ценовая колонка: ",AO3071,"   |   До следующей скидки: ",AJ3071," руб.")</f>
        <v>Ценовая колонка: 3   |   До следующей скидки: 5000 руб.</v>
      </c>
      <c r="H3071" s="174"/>
      <c r="I3071" s="174"/>
      <c r="J3071" s="172"/>
      <c r="K3071" s="173"/>
      <c r="L3071" s="444"/>
      <c r="M3071" s="486" t="s">
        <v>104</v>
      </c>
      <c r="N3071" s="717"/>
      <c r="O3071" s="184"/>
      <c r="P3071" s="175"/>
      <c r="Q3071" s="178"/>
      <c r="R3071" s="179" t="s">
        <v>1558</v>
      </c>
      <c r="S3071" s="14"/>
      <c r="AJ3071">
        <f>ROUND(IF(AL3071&gt;15000,"0", IF(AND(AL3071&lt;15000,AM3071&gt;5000),15000-AL3071,5000-AM3071)),2)</f>
        <v>5000</v>
      </c>
      <c r="AK3071">
        <f>SUM(Q3073:Q3112)</f>
        <v>0</v>
      </c>
      <c r="AL3071">
        <f>SUM(AL3073:AL3112)</f>
        <v>0</v>
      </c>
      <c r="AM3071">
        <f>SUM(AM3073:AM3112)</f>
        <v>0</v>
      </c>
      <c r="AO3071">
        <f>IF(AM3071&gt;5000,IF(AL3071&gt;15000,1,2),3)</f>
        <v>3</v>
      </c>
      <c r="AV3071" t="str">
        <f>IF(F3071&gt;0,(COUNT($AV$1:AV3070)+1),"")</f>
        <v/>
      </c>
    </row>
    <row r="3072" spans="1:48" ht="15" customHeight="1" x14ac:dyDescent="0.25">
      <c r="A3072" s="1"/>
      <c r="B3072" s="296"/>
      <c r="C3072" s="38"/>
      <c r="D3072" s="39" t="s">
        <v>1484</v>
      </c>
      <c r="E3072" s="82"/>
      <c r="F3072" s="97"/>
      <c r="G3072" s="40" t="s">
        <v>170</v>
      </c>
      <c r="H3072" s="41" t="s">
        <v>16</v>
      </c>
      <c r="I3072" s="41" t="s">
        <v>221</v>
      </c>
      <c r="J3072" s="52"/>
      <c r="K3072" s="48"/>
      <c r="L3072" s="448"/>
      <c r="M3072" s="491" t="s">
        <v>104</v>
      </c>
      <c r="N3072" s="715"/>
      <c r="O3072" s="187"/>
      <c r="P3072" s="81"/>
      <c r="Q3072" s="105"/>
      <c r="R3072" s="13"/>
      <c r="S3072" s="14"/>
      <c r="AV3072" t="str">
        <f>IF(F3072&gt;0,(COUNT($AV$1:AV3071)+1),"")</f>
        <v/>
      </c>
    </row>
    <row r="3073" spans="1:48" ht="15" customHeight="1" x14ac:dyDescent="0.25">
      <c r="A3073" s="1"/>
      <c r="B3073" s="30">
        <v>8401</v>
      </c>
      <c r="C3073" s="149">
        <v>4603720177012</v>
      </c>
      <c r="D3073" s="153" t="s">
        <v>1214</v>
      </c>
      <c r="E3073" s="67">
        <v>60</v>
      </c>
      <c r="F3073" s="222"/>
      <c r="G3073" s="107">
        <v>123.1</v>
      </c>
      <c r="H3073" s="21">
        <v>129.19999999999999</v>
      </c>
      <c r="I3073" s="22">
        <v>137.30000000000001</v>
      </c>
      <c r="J3073" s="112" t="s">
        <v>1215</v>
      </c>
      <c r="K3073" s="45" t="s">
        <v>117</v>
      </c>
      <c r="L3073" s="437"/>
      <c r="M3073" s="474" t="s">
        <v>104</v>
      </c>
      <c r="N3073" s="1013"/>
      <c r="O3073" s="212"/>
      <c r="P3073" s="66" t="s">
        <v>40</v>
      </c>
      <c r="Q3073" s="100">
        <f t="shared" ref="Q3073:Q3112" si="1693">IF($AO$3071=2,F3073*H3073,IF($AO$3071=1,F3073*G3073,F3073*I3073))</f>
        <v>0</v>
      </c>
      <c r="R3073" s="13" t="str">
        <f t="shared" si="1685"/>
        <v>Фото &gt;&gt;</v>
      </c>
      <c r="S3073" s="14" t="s">
        <v>1216</v>
      </c>
      <c r="AK3073">
        <v>0.05</v>
      </c>
      <c r="AL3073">
        <f t="shared" ref="AL3073:AL3112" si="1694">F3073*G3073</f>
        <v>0</v>
      </c>
      <c r="AM3073">
        <f t="shared" ref="AM3073:AM3112" si="1695">F3073*H3073</f>
        <v>0</v>
      </c>
      <c r="AN3073">
        <f t="shared" ref="AN3073:AN3104" si="1696">AK3073*F3073+IF(E3073&gt;1.01,F3073/E3073*0.2,0)</f>
        <v>0</v>
      </c>
      <c r="AO3073" t="s">
        <v>2827</v>
      </c>
      <c r="AV3073" t="str">
        <f>IF(F3073&gt;0,(COUNT($AV$1:AV3072)+1),"")</f>
        <v/>
      </c>
    </row>
    <row r="3074" spans="1:48" ht="15" customHeight="1" x14ac:dyDescent="0.25">
      <c r="A3074" s="1"/>
      <c r="B3074" s="31">
        <v>8412</v>
      </c>
      <c r="C3074" s="148">
        <v>4603720177029</v>
      </c>
      <c r="D3074" s="154" t="s">
        <v>1217</v>
      </c>
      <c r="E3074" s="69">
        <v>60</v>
      </c>
      <c r="F3074" s="222"/>
      <c r="G3074" s="108">
        <v>123.1</v>
      </c>
      <c r="H3074" s="17">
        <v>129.19999999999999</v>
      </c>
      <c r="I3074" s="18">
        <v>136.30000000000001</v>
      </c>
      <c r="J3074" s="113" t="s">
        <v>1215</v>
      </c>
      <c r="K3074" s="44" t="s">
        <v>117</v>
      </c>
      <c r="L3074" s="442"/>
      <c r="M3074" s="480" t="s">
        <v>104</v>
      </c>
      <c r="N3074" s="1015"/>
      <c r="O3074" s="217"/>
      <c r="P3074" s="68" t="s">
        <v>40</v>
      </c>
      <c r="Q3074" s="100">
        <f t="shared" si="1693"/>
        <v>0</v>
      </c>
      <c r="R3074" s="13" t="str">
        <f t="shared" si="1685"/>
        <v>Фото &gt;&gt;</v>
      </c>
      <c r="S3074" s="14" t="s">
        <v>1218</v>
      </c>
      <c r="AK3074">
        <v>0.05</v>
      </c>
      <c r="AL3074">
        <f t="shared" si="1694"/>
        <v>0</v>
      </c>
      <c r="AM3074">
        <f t="shared" si="1695"/>
        <v>0</v>
      </c>
      <c r="AN3074">
        <f t="shared" si="1696"/>
        <v>0</v>
      </c>
      <c r="AO3074" t="s">
        <v>2828</v>
      </c>
      <c r="AV3074" t="str">
        <f>IF(F3074&gt;0,(COUNT($AV$1:AV3073)+1),"")</f>
        <v/>
      </c>
    </row>
    <row r="3075" spans="1:48" ht="15" customHeight="1" x14ac:dyDescent="0.25">
      <c r="A3075" s="1"/>
      <c r="B3075" s="30">
        <v>8423</v>
      </c>
      <c r="C3075" s="149">
        <v>4603720177036</v>
      </c>
      <c r="D3075" s="153" t="s">
        <v>1219</v>
      </c>
      <c r="E3075" s="67">
        <v>60</v>
      </c>
      <c r="F3075" s="222"/>
      <c r="G3075" s="107">
        <v>123.1</v>
      </c>
      <c r="H3075" s="21">
        <v>129.19999999999999</v>
      </c>
      <c r="I3075" s="22">
        <v>137.30000000000001</v>
      </c>
      <c r="J3075" s="112" t="s">
        <v>1215</v>
      </c>
      <c r="K3075" s="45" t="s">
        <v>117</v>
      </c>
      <c r="L3075" s="437"/>
      <c r="M3075" s="474" t="s">
        <v>104</v>
      </c>
      <c r="N3075" s="1013"/>
      <c r="O3075" s="212"/>
      <c r="P3075" s="66" t="s">
        <v>40</v>
      </c>
      <c r="Q3075" s="100">
        <f t="shared" si="1693"/>
        <v>0</v>
      </c>
      <c r="R3075" s="13" t="str">
        <f t="shared" si="1685"/>
        <v>Фото &gt;&gt;</v>
      </c>
      <c r="S3075" s="14" t="s">
        <v>1220</v>
      </c>
      <c r="AK3075">
        <v>0.05</v>
      </c>
      <c r="AL3075">
        <f t="shared" si="1694"/>
        <v>0</v>
      </c>
      <c r="AM3075">
        <f t="shared" si="1695"/>
        <v>0</v>
      </c>
      <c r="AN3075">
        <f t="shared" si="1696"/>
        <v>0</v>
      </c>
      <c r="AO3075" t="s">
        <v>2829</v>
      </c>
      <c r="AV3075" t="str">
        <f>IF(F3075&gt;0,(COUNT($AV$1:AV3074)+1),"")</f>
        <v/>
      </c>
    </row>
    <row r="3076" spans="1:48" ht="15" customHeight="1" x14ac:dyDescent="0.25">
      <c r="A3076" s="1"/>
      <c r="B3076" s="31">
        <v>8434</v>
      </c>
      <c r="C3076" s="148">
        <v>4603720177043</v>
      </c>
      <c r="D3076" s="154" t="s">
        <v>1221</v>
      </c>
      <c r="E3076" s="69">
        <v>60</v>
      </c>
      <c r="F3076" s="222"/>
      <c r="G3076" s="108">
        <v>123.1</v>
      </c>
      <c r="H3076" s="17">
        <v>129.19999999999999</v>
      </c>
      <c r="I3076" s="18">
        <v>137.30000000000001</v>
      </c>
      <c r="J3076" s="113" t="s">
        <v>1215</v>
      </c>
      <c r="K3076" s="44" t="s">
        <v>117</v>
      </c>
      <c r="L3076" s="442"/>
      <c r="M3076" s="480" t="s">
        <v>104</v>
      </c>
      <c r="N3076" s="1015"/>
      <c r="O3076" s="217"/>
      <c r="P3076" s="68" t="s">
        <v>40</v>
      </c>
      <c r="Q3076" s="100">
        <f t="shared" si="1693"/>
        <v>0</v>
      </c>
      <c r="R3076" s="13" t="str">
        <f t="shared" si="1685"/>
        <v>Фото &gt;&gt;</v>
      </c>
      <c r="S3076" s="14" t="s">
        <v>1222</v>
      </c>
      <c r="AK3076">
        <v>0.05</v>
      </c>
      <c r="AL3076">
        <f t="shared" si="1694"/>
        <v>0</v>
      </c>
      <c r="AM3076">
        <f t="shared" si="1695"/>
        <v>0</v>
      </c>
      <c r="AN3076">
        <f t="shared" si="1696"/>
        <v>0</v>
      </c>
      <c r="AO3076" t="s">
        <v>2830</v>
      </c>
      <c r="AV3076" t="str">
        <f>IF(F3076&gt;0,(COUNT($AV$1:AV3075)+1),"")</f>
        <v/>
      </c>
    </row>
    <row r="3077" spans="1:48" ht="15" customHeight="1" x14ac:dyDescent="0.25">
      <c r="A3077" s="1"/>
      <c r="B3077" s="30">
        <v>8436</v>
      </c>
      <c r="C3077" s="149">
        <v>4603720177050</v>
      </c>
      <c r="D3077" s="153" t="s">
        <v>1223</v>
      </c>
      <c r="E3077" s="67">
        <v>60</v>
      </c>
      <c r="F3077" s="222"/>
      <c r="G3077" s="107">
        <v>123.1</v>
      </c>
      <c r="H3077" s="21">
        <v>129.19999999999999</v>
      </c>
      <c r="I3077" s="22">
        <v>137.30000000000001</v>
      </c>
      <c r="J3077" s="112" t="s">
        <v>1215</v>
      </c>
      <c r="K3077" s="45" t="s">
        <v>117</v>
      </c>
      <c r="L3077" s="437"/>
      <c r="M3077" s="474" t="s">
        <v>104</v>
      </c>
      <c r="N3077" s="1013"/>
      <c r="O3077" s="212"/>
      <c r="P3077" s="66" t="s">
        <v>40</v>
      </c>
      <c r="Q3077" s="100">
        <f t="shared" si="1693"/>
        <v>0</v>
      </c>
      <c r="R3077" s="13" t="str">
        <f t="shared" si="1685"/>
        <v>Фото &gt;&gt;</v>
      </c>
      <c r="S3077" s="14" t="s">
        <v>1224</v>
      </c>
      <c r="AK3077">
        <v>0.05</v>
      </c>
      <c r="AL3077">
        <f t="shared" si="1694"/>
        <v>0</v>
      </c>
      <c r="AM3077">
        <f t="shared" si="1695"/>
        <v>0</v>
      </c>
      <c r="AN3077">
        <f t="shared" si="1696"/>
        <v>0</v>
      </c>
      <c r="AO3077" t="s">
        <v>2831</v>
      </c>
      <c r="AV3077" t="str">
        <f>IF(F3077&gt;0,(COUNT($AV$1:AV3076)+1),"")</f>
        <v/>
      </c>
    </row>
    <row r="3078" spans="1:48" ht="15" customHeight="1" x14ac:dyDescent="0.25">
      <c r="A3078" s="1"/>
      <c r="B3078" s="31">
        <v>8437</v>
      </c>
      <c r="C3078" s="148">
        <v>4603720177067</v>
      </c>
      <c r="D3078" s="154" t="s">
        <v>1225</v>
      </c>
      <c r="E3078" s="69">
        <v>60</v>
      </c>
      <c r="F3078" s="222"/>
      <c r="G3078" s="108">
        <v>123.1</v>
      </c>
      <c r="H3078" s="17">
        <v>129.19999999999999</v>
      </c>
      <c r="I3078" s="18">
        <v>137.30000000000001</v>
      </c>
      <c r="J3078" s="113" t="s">
        <v>1215</v>
      </c>
      <c r="K3078" s="44" t="s">
        <v>117</v>
      </c>
      <c r="L3078" s="442"/>
      <c r="M3078" s="480" t="s">
        <v>104</v>
      </c>
      <c r="N3078" s="1015"/>
      <c r="O3078" s="217"/>
      <c r="P3078" s="68" t="s">
        <v>40</v>
      </c>
      <c r="Q3078" s="100">
        <f t="shared" si="1693"/>
        <v>0</v>
      </c>
      <c r="R3078" s="13" t="str">
        <f t="shared" si="1685"/>
        <v>Фото &gt;&gt;</v>
      </c>
      <c r="S3078" s="14" t="s">
        <v>1226</v>
      </c>
      <c r="AK3078">
        <v>0.05</v>
      </c>
      <c r="AL3078">
        <f t="shared" si="1694"/>
        <v>0</v>
      </c>
      <c r="AM3078">
        <f t="shared" si="1695"/>
        <v>0</v>
      </c>
      <c r="AN3078">
        <f t="shared" si="1696"/>
        <v>0</v>
      </c>
      <c r="AO3078" t="s">
        <v>2832</v>
      </c>
      <c r="AV3078" t="str">
        <f>IF(F3078&gt;0,(COUNT($AV$1:AV3077)+1),"")</f>
        <v/>
      </c>
    </row>
    <row r="3079" spans="1:48" ht="15" customHeight="1" x14ac:dyDescent="0.25">
      <c r="A3079" s="1"/>
      <c r="B3079" s="30">
        <v>8438</v>
      </c>
      <c r="C3079" s="149">
        <v>4603720177074</v>
      </c>
      <c r="D3079" s="153" t="s">
        <v>1227</v>
      </c>
      <c r="E3079" s="67">
        <v>60</v>
      </c>
      <c r="F3079" s="222"/>
      <c r="G3079" s="107">
        <v>123.1</v>
      </c>
      <c r="H3079" s="21">
        <v>129.19999999999999</v>
      </c>
      <c r="I3079" s="22">
        <v>137.30000000000001</v>
      </c>
      <c r="J3079" s="112" t="s">
        <v>1215</v>
      </c>
      <c r="K3079" s="45" t="s">
        <v>117</v>
      </c>
      <c r="L3079" s="437"/>
      <c r="M3079" s="474" t="s">
        <v>104</v>
      </c>
      <c r="N3079" s="1013"/>
      <c r="O3079" s="212"/>
      <c r="P3079" s="66" t="s">
        <v>40</v>
      </c>
      <c r="Q3079" s="100">
        <f t="shared" si="1693"/>
        <v>0</v>
      </c>
      <c r="R3079" s="13" t="str">
        <f t="shared" si="1685"/>
        <v>Фото &gt;&gt;</v>
      </c>
      <c r="S3079" s="14" t="s">
        <v>1228</v>
      </c>
      <c r="AK3079">
        <v>0.05</v>
      </c>
      <c r="AL3079">
        <f t="shared" si="1694"/>
        <v>0</v>
      </c>
      <c r="AM3079">
        <f t="shared" si="1695"/>
        <v>0</v>
      </c>
      <c r="AN3079">
        <f t="shared" si="1696"/>
        <v>0</v>
      </c>
      <c r="AO3079" t="s">
        <v>2833</v>
      </c>
      <c r="AV3079" t="str">
        <f>IF(F3079&gt;0,(COUNT($AV$1:AV3078)+1),"")</f>
        <v/>
      </c>
    </row>
    <row r="3080" spans="1:48" ht="15" customHeight="1" x14ac:dyDescent="0.25">
      <c r="A3080" s="1"/>
      <c r="B3080" s="31">
        <v>8439</v>
      </c>
      <c r="C3080" s="148">
        <v>4603720177081</v>
      </c>
      <c r="D3080" s="154" t="s">
        <v>1229</v>
      </c>
      <c r="E3080" s="69">
        <v>60</v>
      </c>
      <c r="F3080" s="222"/>
      <c r="G3080" s="108">
        <v>123.1</v>
      </c>
      <c r="H3080" s="17">
        <v>129.19999999999999</v>
      </c>
      <c r="I3080" s="18">
        <v>137.30000000000001</v>
      </c>
      <c r="J3080" s="113" t="s">
        <v>1215</v>
      </c>
      <c r="K3080" s="44" t="s">
        <v>117</v>
      </c>
      <c r="L3080" s="442"/>
      <c r="M3080" s="480" t="s">
        <v>104</v>
      </c>
      <c r="N3080" s="1015"/>
      <c r="O3080" s="217"/>
      <c r="P3080" s="68" t="s">
        <v>40</v>
      </c>
      <c r="Q3080" s="100">
        <f t="shared" si="1693"/>
        <v>0</v>
      </c>
      <c r="R3080" s="13" t="str">
        <f t="shared" si="1685"/>
        <v>Фото &gt;&gt;</v>
      </c>
      <c r="S3080" s="14" t="s">
        <v>1230</v>
      </c>
      <c r="AK3080">
        <v>0.05</v>
      </c>
      <c r="AL3080">
        <f t="shared" si="1694"/>
        <v>0</v>
      </c>
      <c r="AM3080">
        <f t="shared" si="1695"/>
        <v>0</v>
      </c>
      <c r="AN3080">
        <f t="shared" si="1696"/>
        <v>0</v>
      </c>
      <c r="AO3080" t="s">
        <v>2834</v>
      </c>
      <c r="AV3080" t="str">
        <f>IF(F3080&gt;0,(COUNT($AV$1:AV3079)+1),"")</f>
        <v/>
      </c>
    </row>
    <row r="3081" spans="1:48" ht="15" customHeight="1" x14ac:dyDescent="0.25">
      <c r="A3081" s="1"/>
      <c r="B3081" s="30">
        <v>8440</v>
      </c>
      <c r="C3081" s="149">
        <v>4603720177098</v>
      </c>
      <c r="D3081" s="153" t="s">
        <v>1231</v>
      </c>
      <c r="E3081" s="67">
        <v>60</v>
      </c>
      <c r="F3081" s="222"/>
      <c r="G3081" s="107">
        <v>123.1</v>
      </c>
      <c r="H3081" s="21">
        <v>129.19999999999999</v>
      </c>
      <c r="I3081" s="22">
        <v>137.30000000000001</v>
      </c>
      <c r="J3081" s="112" t="s">
        <v>1215</v>
      </c>
      <c r="K3081" s="45" t="s">
        <v>117</v>
      </c>
      <c r="L3081" s="437"/>
      <c r="M3081" s="474" t="s">
        <v>104</v>
      </c>
      <c r="N3081" s="1013"/>
      <c r="O3081" s="212"/>
      <c r="P3081" s="66" t="s">
        <v>40</v>
      </c>
      <c r="Q3081" s="100">
        <f t="shared" si="1693"/>
        <v>0</v>
      </c>
      <c r="R3081" s="13" t="str">
        <f t="shared" si="1685"/>
        <v>Фото &gt;&gt;</v>
      </c>
      <c r="S3081" s="14" t="s">
        <v>1232</v>
      </c>
      <c r="AK3081">
        <v>0.05</v>
      </c>
      <c r="AL3081">
        <f t="shared" si="1694"/>
        <v>0</v>
      </c>
      <c r="AM3081">
        <f t="shared" si="1695"/>
        <v>0</v>
      </c>
      <c r="AN3081">
        <f t="shared" si="1696"/>
        <v>0</v>
      </c>
      <c r="AO3081" t="s">
        <v>2835</v>
      </c>
      <c r="AV3081" t="str">
        <f>IF(F3081&gt;0,(COUNT($AV$1:AV3080)+1),"")</f>
        <v/>
      </c>
    </row>
    <row r="3082" spans="1:48" ht="15" customHeight="1" x14ac:dyDescent="0.25">
      <c r="A3082" s="1"/>
      <c r="B3082" s="31">
        <v>8402</v>
      </c>
      <c r="C3082" s="148">
        <v>4603720177104</v>
      </c>
      <c r="D3082" s="154" t="s">
        <v>1233</v>
      </c>
      <c r="E3082" s="69">
        <v>60</v>
      </c>
      <c r="F3082" s="222"/>
      <c r="G3082" s="108">
        <v>123.1</v>
      </c>
      <c r="H3082" s="17">
        <v>129.19999999999999</v>
      </c>
      <c r="I3082" s="18">
        <v>137.30000000000001</v>
      </c>
      <c r="J3082" s="113" t="s">
        <v>1215</v>
      </c>
      <c r="K3082" s="44" t="s">
        <v>117</v>
      </c>
      <c r="L3082" s="442"/>
      <c r="M3082" s="480" t="s">
        <v>104</v>
      </c>
      <c r="N3082" s="1015"/>
      <c r="O3082" s="217"/>
      <c r="P3082" s="68" t="s">
        <v>40</v>
      </c>
      <c r="Q3082" s="100">
        <f t="shared" si="1693"/>
        <v>0</v>
      </c>
      <c r="R3082" s="13" t="str">
        <f t="shared" si="1685"/>
        <v>Фото &gt;&gt;</v>
      </c>
      <c r="S3082" s="14" t="s">
        <v>1234</v>
      </c>
      <c r="AK3082">
        <v>0.05</v>
      </c>
      <c r="AL3082">
        <f t="shared" si="1694"/>
        <v>0</v>
      </c>
      <c r="AM3082">
        <f t="shared" si="1695"/>
        <v>0</v>
      </c>
      <c r="AN3082">
        <f t="shared" si="1696"/>
        <v>0</v>
      </c>
      <c r="AO3082" t="s">
        <v>2836</v>
      </c>
      <c r="AV3082" t="str">
        <f>IF(F3082&gt;0,(COUNT($AV$1:AV3081)+1),"")</f>
        <v/>
      </c>
    </row>
    <row r="3083" spans="1:48" ht="15" customHeight="1" x14ac:dyDescent="0.25">
      <c r="A3083" s="1"/>
      <c r="B3083" s="30">
        <v>8403</v>
      </c>
      <c r="C3083" s="149">
        <v>4603720177111</v>
      </c>
      <c r="D3083" s="153" t="s">
        <v>1235</v>
      </c>
      <c r="E3083" s="67">
        <v>60</v>
      </c>
      <c r="F3083" s="222"/>
      <c r="G3083" s="107">
        <v>123.1</v>
      </c>
      <c r="H3083" s="21">
        <v>129.19999999999999</v>
      </c>
      <c r="I3083" s="22">
        <v>137.30000000000001</v>
      </c>
      <c r="J3083" s="112" t="s">
        <v>1215</v>
      </c>
      <c r="K3083" s="45" t="s">
        <v>117</v>
      </c>
      <c r="L3083" s="437"/>
      <c r="M3083" s="474" t="s">
        <v>104</v>
      </c>
      <c r="N3083" s="1013"/>
      <c r="O3083" s="212"/>
      <c r="P3083" s="66" t="s">
        <v>40</v>
      </c>
      <c r="Q3083" s="100">
        <f t="shared" si="1693"/>
        <v>0</v>
      </c>
      <c r="R3083" s="13" t="str">
        <f t="shared" si="1685"/>
        <v>Фото &gt;&gt;</v>
      </c>
      <c r="S3083" s="14" t="s">
        <v>1236</v>
      </c>
      <c r="AK3083">
        <v>0.05</v>
      </c>
      <c r="AL3083">
        <f t="shared" si="1694"/>
        <v>0</v>
      </c>
      <c r="AM3083">
        <f t="shared" si="1695"/>
        <v>0</v>
      </c>
      <c r="AN3083">
        <f t="shared" si="1696"/>
        <v>0</v>
      </c>
      <c r="AO3083" t="s">
        <v>2837</v>
      </c>
      <c r="AV3083" t="str">
        <f>IF(F3083&gt;0,(COUNT($AV$1:AV3082)+1),"")</f>
        <v/>
      </c>
    </row>
    <row r="3084" spans="1:48" ht="15" customHeight="1" x14ac:dyDescent="0.25">
      <c r="A3084" s="1"/>
      <c r="B3084" s="31">
        <v>8404</v>
      </c>
      <c r="C3084" s="148">
        <v>4603720177128</v>
      </c>
      <c r="D3084" s="154" t="s">
        <v>1237</v>
      </c>
      <c r="E3084" s="69">
        <v>60</v>
      </c>
      <c r="F3084" s="222"/>
      <c r="G3084" s="108">
        <v>123.1</v>
      </c>
      <c r="H3084" s="17">
        <v>129.19999999999999</v>
      </c>
      <c r="I3084" s="18">
        <v>137.30000000000001</v>
      </c>
      <c r="J3084" s="113" t="s">
        <v>1215</v>
      </c>
      <c r="K3084" s="44" t="s">
        <v>117</v>
      </c>
      <c r="L3084" s="442"/>
      <c r="M3084" s="480" t="s">
        <v>104</v>
      </c>
      <c r="N3084" s="1015"/>
      <c r="O3084" s="217"/>
      <c r="P3084" s="68" t="s">
        <v>40</v>
      </c>
      <c r="Q3084" s="100">
        <f t="shared" si="1693"/>
        <v>0</v>
      </c>
      <c r="R3084" s="13" t="str">
        <f t="shared" si="1685"/>
        <v>Фото &gt;&gt;</v>
      </c>
      <c r="S3084" s="14" t="s">
        <v>1238</v>
      </c>
      <c r="AK3084">
        <v>0.05</v>
      </c>
      <c r="AL3084">
        <f t="shared" si="1694"/>
        <v>0</v>
      </c>
      <c r="AM3084">
        <f t="shared" si="1695"/>
        <v>0</v>
      </c>
      <c r="AN3084">
        <f t="shared" si="1696"/>
        <v>0</v>
      </c>
      <c r="AO3084" t="s">
        <v>2838</v>
      </c>
      <c r="AV3084" t="str">
        <f>IF(F3084&gt;0,(COUNT($AV$1:AV3083)+1),"")</f>
        <v/>
      </c>
    </row>
    <row r="3085" spans="1:48" ht="15" customHeight="1" x14ac:dyDescent="0.25">
      <c r="A3085" s="1"/>
      <c r="B3085" s="30">
        <v>8405</v>
      </c>
      <c r="C3085" s="149">
        <v>4603720177135</v>
      </c>
      <c r="D3085" s="153" t="s">
        <v>1239</v>
      </c>
      <c r="E3085" s="67">
        <v>60</v>
      </c>
      <c r="F3085" s="222"/>
      <c r="G3085" s="107">
        <v>123.1</v>
      </c>
      <c r="H3085" s="21">
        <v>129.19999999999999</v>
      </c>
      <c r="I3085" s="22">
        <v>136.30000000000001</v>
      </c>
      <c r="J3085" s="112" t="s">
        <v>1215</v>
      </c>
      <c r="K3085" s="45" t="s">
        <v>117</v>
      </c>
      <c r="L3085" s="437"/>
      <c r="M3085" s="474" t="s">
        <v>104</v>
      </c>
      <c r="N3085" s="1013"/>
      <c r="O3085" s="212"/>
      <c r="P3085" s="66" t="s">
        <v>40</v>
      </c>
      <c r="Q3085" s="100">
        <f t="shared" si="1693"/>
        <v>0</v>
      </c>
      <c r="R3085" s="13" t="str">
        <f t="shared" si="1685"/>
        <v>Фото &gt;&gt;</v>
      </c>
      <c r="S3085" s="14" t="s">
        <v>1240</v>
      </c>
      <c r="AK3085">
        <v>0.05</v>
      </c>
      <c r="AL3085">
        <f t="shared" si="1694"/>
        <v>0</v>
      </c>
      <c r="AM3085">
        <f t="shared" si="1695"/>
        <v>0</v>
      </c>
      <c r="AN3085">
        <f t="shared" si="1696"/>
        <v>0</v>
      </c>
      <c r="AO3085" t="s">
        <v>2839</v>
      </c>
      <c r="AV3085" t="str">
        <f>IF(F3085&gt;0,(COUNT($AV$1:AV3084)+1),"")</f>
        <v/>
      </c>
    </row>
    <row r="3086" spans="1:48" ht="15" customHeight="1" x14ac:dyDescent="0.25">
      <c r="A3086" s="1"/>
      <c r="B3086" s="31">
        <v>8406</v>
      </c>
      <c r="C3086" s="148">
        <v>4603720177142</v>
      </c>
      <c r="D3086" s="154" t="s">
        <v>1241</v>
      </c>
      <c r="E3086" s="69">
        <v>60</v>
      </c>
      <c r="F3086" s="222"/>
      <c r="G3086" s="108">
        <v>123.1</v>
      </c>
      <c r="H3086" s="17">
        <v>129.19999999999999</v>
      </c>
      <c r="I3086" s="18">
        <v>137.30000000000001</v>
      </c>
      <c r="J3086" s="113" t="s">
        <v>1215</v>
      </c>
      <c r="K3086" s="44" t="s">
        <v>117</v>
      </c>
      <c r="L3086" s="442"/>
      <c r="M3086" s="480" t="s">
        <v>104</v>
      </c>
      <c r="N3086" s="1015"/>
      <c r="O3086" s="217"/>
      <c r="P3086" s="68" t="s">
        <v>40</v>
      </c>
      <c r="Q3086" s="100">
        <f t="shared" si="1693"/>
        <v>0</v>
      </c>
      <c r="R3086" s="13" t="str">
        <f t="shared" si="1685"/>
        <v>Фото &gt;&gt;</v>
      </c>
      <c r="S3086" s="14" t="s">
        <v>1242</v>
      </c>
      <c r="AK3086">
        <v>0.05</v>
      </c>
      <c r="AL3086">
        <f t="shared" si="1694"/>
        <v>0</v>
      </c>
      <c r="AM3086">
        <f t="shared" si="1695"/>
        <v>0</v>
      </c>
      <c r="AN3086">
        <f t="shared" si="1696"/>
        <v>0</v>
      </c>
      <c r="AO3086" t="s">
        <v>2840</v>
      </c>
      <c r="AV3086" t="str">
        <f>IF(F3086&gt;0,(COUNT($AV$1:AV3085)+1),"")</f>
        <v/>
      </c>
    </row>
    <row r="3087" spans="1:48" ht="15" customHeight="1" x14ac:dyDescent="0.25">
      <c r="A3087" s="1"/>
      <c r="B3087" s="30">
        <v>8407</v>
      </c>
      <c r="C3087" s="149">
        <v>4603720177159</v>
      </c>
      <c r="D3087" s="153" t="s">
        <v>1243</v>
      </c>
      <c r="E3087" s="67">
        <v>60</v>
      </c>
      <c r="F3087" s="222"/>
      <c r="G3087" s="107">
        <v>123.1</v>
      </c>
      <c r="H3087" s="21">
        <v>129.19999999999999</v>
      </c>
      <c r="I3087" s="22">
        <v>137.30000000000001</v>
      </c>
      <c r="J3087" s="112" t="s">
        <v>1215</v>
      </c>
      <c r="K3087" s="45" t="s">
        <v>117</v>
      </c>
      <c r="L3087" s="437"/>
      <c r="M3087" s="474" t="s">
        <v>104</v>
      </c>
      <c r="N3087" s="1013"/>
      <c r="O3087" s="212"/>
      <c r="P3087" s="66" t="s">
        <v>40</v>
      </c>
      <c r="Q3087" s="100">
        <f t="shared" si="1693"/>
        <v>0</v>
      </c>
      <c r="R3087" s="13" t="str">
        <f t="shared" si="1685"/>
        <v>Фото &gt;&gt;</v>
      </c>
      <c r="S3087" s="14" t="s">
        <v>1244</v>
      </c>
      <c r="AK3087">
        <v>0.05</v>
      </c>
      <c r="AL3087">
        <f t="shared" si="1694"/>
        <v>0</v>
      </c>
      <c r="AM3087">
        <f t="shared" si="1695"/>
        <v>0</v>
      </c>
      <c r="AN3087">
        <f t="shared" si="1696"/>
        <v>0</v>
      </c>
      <c r="AO3087" t="s">
        <v>2841</v>
      </c>
      <c r="AV3087" t="str">
        <f>IF(F3087&gt;0,(COUNT($AV$1:AV3086)+1),"")</f>
        <v/>
      </c>
    </row>
    <row r="3088" spans="1:48" ht="15" customHeight="1" x14ac:dyDescent="0.25">
      <c r="A3088" s="1"/>
      <c r="B3088" s="31">
        <v>8408</v>
      </c>
      <c r="C3088" s="148">
        <v>4603720177166</v>
      </c>
      <c r="D3088" s="154" t="s">
        <v>1245</v>
      </c>
      <c r="E3088" s="69">
        <v>60</v>
      </c>
      <c r="F3088" s="222"/>
      <c r="G3088" s="108">
        <v>123.1</v>
      </c>
      <c r="H3088" s="17">
        <v>129.19999999999999</v>
      </c>
      <c r="I3088" s="18">
        <v>137.30000000000001</v>
      </c>
      <c r="J3088" s="113" t="s">
        <v>1215</v>
      </c>
      <c r="K3088" s="44" t="s">
        <v>117</v>
      </c>
      <c r="L3088" s="442"/>
      <c r="M3088" s="480" t="s">
        <v>104</v>
      </c>
      <c r="N3088" s="1015"/>
      <c r="O3088" s="217"/>
      <c r="P3088" s="68" t="s">
        <v>40</v>
      </c>
      <c r="Q3088" s="100">
        <f t="shared" si="1693"/>
        <v>0</v>
      </c>
      <c r="R3088" s="13" t="str">
        <f t="shared" si="1685"/>
        <v>Фото &gt;&gt;</v>
      </c>
      <c r="S3088" s="14" t="s">
        <v>1246</v>
      </c>
      <c r="AK3088">
        <v>0.05</v>
      </c>
      <c r="AL3088">
        <f t="shared" si="1694"/>
        <v>0</v>
      </c>
      <c r="AM3088">
        <f t="shared" si="1695"/>
        <v>0</v>
      </c>
      <c r="AN3088">
        <f t="shared" si="1696"/>
        <v>0</v>
      </c>
      <c r="AO3088" t="s">
        <v>2842</v>
      </c>
      <c r="AV3088" t="str">
        <f>IF(F3088&gt;0,(COUNT($AV$1:AV3087)+1),"")</f>
        <v/>
      </c>
    </row>
    <row r="3089" spans="1:48" ht="15" customHeight="1" x14ac:dyDescent="0.25">
      <c r="A3089" s="1"/>
      <c r="B3089" s="30">
        <v>8409</v>
      </c>
      <c r="C3089" s="149">
        <v>4603720177173</v>
      </c>
      <c r="D3089" s="153" t="s">
        <v>1247</v>
      </c>
      <c r="E3089" s="67">
        <v>60</v>
      </c>
      <c r="F3089" s="222"/>
      <c r="G3089" s="107">
        <v>123.1</v>
      </c>
      <c r="H3089" s="21">
        <v>129.19999999999999</v>
      </c>
      <c r="I3089" s="22">
        <v>137.30000000000001</v>
      </c>
      <c r="J3089" s="112" t="s">
        <v>1215</v>
      </c>
      <c r="K3089" s="45" t="s">
        <v>117</v>
      </c>
      <c r="L3089" s="437"/>
      <c r="M3089" s="474" t="s">
        <v>104</v>
      </c>
      <c r="N3089" s="1013"/>
      <c r="O3089" s="212"/>
      <c r="P3089" s="66" t="s">
        <v>40</v>
      </c>
      <c r="Q3089" s="100">
        <f t="shared" si="1693"/>
        <v>0</v>
      </c>
      <c r="R3089" s="13" t="str">
        <f t="shared" si="1685"/>
        <v>Фото &gt;&gt;</v>
      </c>
      <c r="S3089" s="14" t="s">
        <v>1248</v>
      </c>
      <c r="AK3089">
        <v>0.05</v>
      </c>
      <c r="AL3089">
        <f t="shared" si="1694"/>
        <v>0</v>
      </c>
      <c r="AM3089">
        <f t="shared" si="1695"/>
        <v>0</v>
      </c>
      <c r="AN3089">
        <f t="shared" si="1696"/>
        <v>0</v>
      </c>
      <c r="AO3089" t="s">
        <v>2843</v>
      </c>
      <c r="AV3089" t="str">
        <f>IF(F3089&gt;0,(COUNT($AV$1:AV3088)+1),"")</f>
        <v/>
      </c>
    </row>
    <row r="3090" spans="1:48" ht="15" customHeight="1" x14ac:dyDescent="0.25">
      <c r="A3090" s="1"/>
      <c r="B3090" s="31">
        <v>8410</v>
      </c>
      <c r="C3090" s="148">
        <v>4603720177180</v>
      </c>
      <c r="D3090" s="154" t="s">
        <v>1249</v>
      </c>
      <c r="E3090" s="69">
        <v>60</v>
      </c>
      <c r="F3090" s="222"/>
      <c r="G3090" s="108">
        <v>123.1</v>
      </c>
      <c r="H3090" s="17">
        <v>129.19999999999999</v>
      </c>
      <c r="I3090" s="18">
        <v>137.30000000000001</v>
      </c>
      <c r="J3090" s="113" t="s">
        <v>1215</v>
      </c>
      <c r="K3090" s="44" t="s">
        <v>117</v>
      </c>
      <c r="L3090" s="442"/>
      <c r="M3090" s="480" t="s">
        <v>104</v>
      </c>
      <c r="N3090" s="1015"/>
      <c r="O3090" s="217"/>
      <c r="P3090" s="68" t="s">
        <v>40</v>
      </c>
      <c r="Q3090" s="100">
        <f t="shared" si="1693"/>
        <v>0</v>
      </c>
      <c r="R3090" s="13" t="str">
        <f t="shared" si="1685"/>
        <v>Фото &gt;&gt;</v>
      </c>
      <c r="S3090" s="14" t="s">
        <v>1250</v>
      </c>
      <c r="AK3090">
        <v>0.05</v>
      </c>
      <c r="AL3090">
        <f t="shared" si="1694"/>
        <v>0</v>
      </c>
      <c r="AM3090">
        <f t="shared" si="1695"/>
        <v>0</v>
      </c>
      <c r="AN3090">
        <f t="shared" si="1696"/>
        <v>0</v>
      </c>
      <c r="AO3090" t="s">
        <v>2844</v>
      </c>
      <c r="AV3090" t="str">
        <f>IF(F3090&gt;0,(COUNT($AV$1:AV3089)+1),"")</f>
        <v/>
      </c>
    </row>
    <row r="3091" spans="1:48" ht="15" customHeight="1" x14ac:dyDescent="0.25">
      <c r="A3091" s="1"/>
      <c r="B3091" s="30">
        <v>8411</v>
      </c>
      <c r="C3091" s="149">
        <v>4603720177197</v>
      </c>
      <c r="D3091" s="153" t="s">
        <v>1251</v>
      </c>
      <c r="E3091" s="67">
        <v>60</v>
      </c>
      <c r="F3091" s="222"/>
      <c r="G3091" s="107">
        <v>123.1</v>
      </c>
      <c r="H3091" s="21">
        <v>129.19999999999999</v>
      </c>
      <c r="I3091" s="22">
        <v>137.30000000000001</v>
      </c>
      <c r="J3091" s="112" t="s">
        <v>1215</v>
      </c>
      <c r="K3091" s="45" t="s">
        <v>117</v>
      </c>
      <c r="L3091" s="437"/>
      <c r="M3091" s="474" t="s">
        <v>104</v>
      </c>
      <c r="N3091" s="1013"/>
      <c r="O3091" s="212"/>
      <c r="P3091" s="66" t="s">
        <v>40</v>
      </c>
      <c r="Q3091" s="100">
        <f t="shared" si="1693"/>
        <v>0</v>
      </c>
      <c r="R3091" s="13" t="str">
        <f t="shared" si="1685"/>
        <v>Фото &gt;&gt;</v>
      </c>
      <c r="S3091" s="14" t="s">
        <v>1252</v>
      </c>
      <c r="AK3091">
        <v>0.05</v>
      </c>
      <c r="AL3091">
        <f t="shared" si="1694"/>
        <v>0</v>
      </c>
      <c r="AM3091">
        <f t="shared" si="1695"/>
        <v>0</v>
      </c>
      <c r="AN3091">
        <f t="shared" si="1696"/>
        <v>0</v>
      </c>
      <c r="AO3091" t="s">
        <v>2845</v>
      </c>
      <c r="AV3091" t="str">
        <f>IF(F3091&gt;0,(COUNT($AV$1:AV3090)+1),"")</f>
        <v/>
      </c>
    </row>
    <row r="3092" spans="1:48" ht="15" customHeight="1" x14ac:dyDescent="0.25">
      <c r="A3092" s="1"/>
      <c r="B3092" s="31">
        <v>8413</v>
      </c>
      <c r="C3092" s="148">
        <v>4603720177203</v>
      </c>
      <c r="D3092" s="154" t="s">
        <v>1253</v>
      </c>
      <c r="E3092" s="69">
        <v>60</v>
      </c>
      <c r="F3092" s="222"/>
      <c r="G3092" s="108">
        <v>123.1</v>
      </c>
      <c r="H3092" s="17">
        <v>129.19999999999999</v>
      </c>
      <c r="I3092" s="18">
        <v>137.30000000000001</v>
      </c>
      <c r="J3092" s="113" t="s">
        <v>1215</v>
      </c>
      <c r="K3092" s="44" t="s">
        <v>117</v>
      </c>
      <c r="L3092" s="442"/>
      <c r="M3092" s="480" t="s">
        <v>104</v>
      </c>
      <c r="N3092" s="1015"/>
      <c r="O3092" s="217"/>
      <c r="P3092" s="68" t="s">
        <v>40</v>
      </c>
      <c r="Q3092" s="100">
        <f t="shared" si="1693"/>
        <v>0</v>
      </c>
      <c r="R3092" s="13" t="str">
        <f t="shared" si="1685"/>
        <v>Фото &gt;&gt;</v>
      </c>
      <c r="S3092" s="14" t="s">
        <v>1254</v>
      </c>
      <c r="AK3092">
        <v>0.05</v>
      </c>
      <c r="AL3092">
        <f t="shared" si="1694"/>
        <v>0</v>
      </c>
      <c r="AM3092">
        <f t="shared" si="1695"/>
        <v>0</v>
      </c>
      <c r="AN3092">
        <f t="shared" si="1696"/>
        <v>0</v>
      </c>
      <c r="AO3092" t="s">
        <v>2846</v>
      </c>
      <c r="AV3092" t="str">
        <f>IF(F3092&gt;0,(COUNT($AV$1:AV3091)+1),"")</f>
        <v/>
      </c>
    </row>
    <row r="3093" spans="1:48" ht="15" customHeight="1" x14ac:dyDescent="0.25">
      <c r="A3093" s="1"/>
      <c r="B3093" s="30">
        <v>8414</v>
      </c>
      <c r="C3093" s="149">
        <v>4603720177210</v>
      </c>
      <c r="D3093" s="153" t="s">
        <v>1255</v>
      </c>
      <c r="E3093" s="67">
        <v>60</v>
      </c>
      <c r="F3093" s="222"/>
      <c r="G3093" s="107">
        <v>123.1</v>
      </c>
      <c r="H3093" s="21">
        <v>129.19999999999999</v>
      </c>
      <c r="I3093" s="22">
        <v>137.30000000000001</v>
      </c>
      <c r="J3093" s="112" t="s">
        <v>1215</v>
      </c>
      <c r="K3093" s="45" t="s">
        <v>117</v>
      </c>
      <c r="L3093" s="437"/>
      <c r="M3093" s="474" t="s">
        <v>104</v>
      </c>
      <c r="N3093" s="1013"/>
      <c r="O3093" s="212"/>
      <c r="P3093" s="66" t="s">
        <v>40</v>
      </c>
      <c r="Q3093" s="100">
        <f t="shared" si="1693"/>
        <v>0</v>
      </c>
      <c r="R3093" s="13" t="str">
        <f t="shared" si="1685"/>
        <v>Фото &gt;&gt;</v>
      </c>
      <c r="S3093" s="14" t="s">
        <v>1256</v>
      </c>
      <c r="AK3093">
        <v>0.05</v>
      </c>
      <c r="AL3093">
        <f t="shared" si="1694"/>
        <v>0</v>
      </c>
      <c r="AM3093">
        <f t="shared" si="1695"/>
        <v>0</v>
      </c>
      <c r="AN3093">
        <f t="shared" si="1696"/>
        <v>0</v>
      </c>
      <c r="AO3093" t="s">
        <v>2847</v>
      </c>
      <c r="AV3093" t="str">
        <f>IF(F3093&gt;0,(COUNT($AV$1:AV3092)+1),"")</f>
        <v/>
      </c>
    </row>
    <row r="3094" spans="1:48" ht="15" customHeight="1" x14ac:dyDescent="0.25">
      <c r="A3094" s="1"/>
      <c r="B3094" s="31">
        <v>8415</v>
      </c>
      <c r="C3094" s="148">
        <v>4603720177227</v>
      </c>
      <c r="D3094" s="154" t="s">
        <v>1257</v>
      </c>
      <c r="E3094" s="69">
        <v>60</v>
      </c>
      <c r="F3094" s="222"/>
      <c r="G3094" s="108">
        <v>123.1</v>
      </c>
      <c r="H3094" s="17">
        <v>129.19999999999999</v>
      </c>
      <c r="I3094" s="18">
        <v>137.30000000000001</v>
      </c>
      <c r="J3094" s="113" t="s">
        <v>1215</v>
      </c>
      <c r="K3094" s="44" t="s">
        <v>117</v>
      </c>
      <c r="L3094" s="442"/>
      <c r="M3094" s="480" t="s">
        <v>104</v>
      </c>
      <c r="N3094" s="1015"/>
      <c r="O3094" s="217"/>
      <c r="P3094" s="68" t="s">
        <v>40</v>
      </c>
      <c r="Q3094" s="100">
        <f t="shared" si="1693"/>
        <v>0</v>
      </c>
      <c r="R3094" s="13" t="str">
        <f t="shared" si="1685"/>
        <v>Фото &gt;&gt;</v>
      </c>
      <c r="S3094" s="14" t="s">
        <v>1258</v>
      </c>
      <c r="AK3094">
        <v>0.05</v>
      </c>
      <c r="AL3094">
        <f t="shared" si="1694"/>
        <v>0</v>
      </c>
      <c r="AM3094">
        <f t="shared" si="1695"/>
        <v>0</v>
      </c>
      <c r="AN3094">
        <f t="shared" si="1696"/>
        <v>0</v>
      </c>
      <c r="AO3094" t="s">
        <v>2848</v>
      </c>
      <c r="AV3094" t="str">
        <f>IF(F3094&gt;0,(COUNT($AV$1:AV3093)+1),"")</f>
        <v/>
      </c>
    </row>
    <row r="3095" spans="1:48" ht="15" customHeight="1" x14ac:dyDescent="0.25">
      <c r="A3095" s="1"/>
      <c r="B3095" s="30">
        <v>8416</v>
      </c>
      <c r="C3095" s="149">
        <v>4603720177234</v>
      </c>
      <c r="D3095" s="153" t="s">
        <v>1259</v>
      </c>
      <c r="E3095" s="67">
        <v>60</v>
      </c>
      <c r="F3095" s="222"/>
      <c r="G3095" s="107">
        <v>123.1</v>
      </c>
      <c r="H3095" s="21">
        <v>129.19999999999999</v>
      </c>
      <c r="I3095" s="22">
        <v>137.30000000000001</v>
      </c>
      <c r="J3095" s="112" t="s">
        <v>1215</v>
      </c>
      <c r="K3095" s="45" t="s">
        <v>117</v>
      </c>
      <c r="L3095" s="437"/>
      <c r="M3095" s="474" t="s">
        <v>104</v>
      </c>
      <c r="N3095" s="1013"/>
      <c r="O3095" s="212"/>
      <c r="P3095" s="66" t="s">
        <v>40</v>
      </c>
      <c r="Q3095" s="100">
        <f t="shared" si="1693"/>
        <v>0</v>
      </c>
      <c r="R3095" s="13" t="str">
        <f t="shared" si="1685"/>
        <v>Фото &gt;&gt;</v>
      </c>
      <c r="S3095" s="14" t="s">
        <v>1260</v>
      </c>
      <c r="AK3095">
        <v>0.05</v>
      </c>
      <c r="AL3095">
        <f t="shared" si="1694"/>
        <v>0</v>
      </c>
      <c r="AM3095">
        <f t="shared" si="1695"/>
        <v>0</v>
      </c>
      <c r="AN3095">
        <f t="shared" si="1696"/>
        <v>0</v>
      </c>
      <c r="AO3095" t="s">
        <v>2849</v>
      </c>
      <c r="AV3095" t="str">
        <f>IF(F3095&gt;0,(COUNT($AV$1:AV3094)+1),"")</f>
        <v/>
      </c>
    </row>
    <row r="3096" spans="1:48" ht="15" customHeight="1" x14ac:dyDescent="0.25">
      <c r="A3096" s="1"/>
      <c r="B3096" s="31">
        <v>8417</v>
      </c>
      <c r="C3096" s="148">
        <v>4603720177241</v>
      </c>
      <c r="D3096" s="154" t="s">
        <v>1261</v>
      </c>
      <c r="E3096" s="69">
        <v>60</v>
      </c>
      <c r="F3096" s="222"/>
      <c r="G3096" s="108">
        <v>123.1</v>
      </c>
      <c r="H3096" s="17">
        <v>129.19999999999999</v>
      </c>
      <c r="I3096" s="18">
        <v>137.30000000000001</v>
      </c>
      <c r="J3096" s="113" t="s">
        <v>1215</v>
      </c>
      <c r="K3096" s="44" t="s">
        <v>117</v>
      </c>
      <c r="L3096" s="442"/>
      <c r="M3096" s="480" t="s">
        <v>104</v>
      </c>
      <c r="N3096" s="1015"/>
      <c r="O3096" s="217"/>
      <c r="P3096" s="68" t="s">
        <v>40</v>
      </c>
      <c r="Q3096" s="100">
        <f t="shared" si="1693"/>
        <v>0</v>
      </c>
      <c r="R3096" s="13" t="str">
        <f t="shared" si="1685"/>
        <v>Фото &gt;&gt;</v>
      </c>
      <c r="S3096" s="14" t="s">
        <v>1262</v>
      </c>
      <c r="AK3096">
        <v>0.05</v>
      </c>
      <c r="AL3096">
        <f t="shared" si="1694"/>
        <v>0</v>
      </c>
      <c r="AM3096">
        <f t="shared" si="1695"/>
        <v>0</v>
      </c>
      <c r="AN3096">
        <f t="shared" si="1696"/>
        <v>0</v>
      </c>
      <c r="AO3096" t="s">
        <v>2850</v>
      </c>
      <c r="AV3096" t="str">
        <f>IF(F3096&gt;0,(COUNT($AV$1:AV3095)+1),"")</f>
        <v/>
      </c>
    </row>
    <row r="3097" spans="1:48" ht="15" customHeight="1" x14ac:dyDescent="0.25">
      <c r="A3097" s="1"/>
      <c r="B3097" s="30">
        <v>8418</v>
      </c>
      <c r="C3097" s="149">
        <v>4603720177258</v>
      </c>
      <c r="D3097" s="153" t="s">
        <v>1263</v>
      </c>
      <c r="E3097" s="67">
        <v>60</v>
      </c>
      <c r="F3097" s="222"/>
      <c r="G3097" s="107">
        <v>123.1</v>
      </c>
      <c r="H3097" s="21">
        <v>129.19999999999999</v>
      </c>
      <c r="I3097" s="22">
        <v>137.30000000000001</v>
      </c>
      <c r="J3097" s="112" t="s">
        <v>1215</v>
      </c>
      <c r="K3097" s="45" t="s">
        <v>117</v>
      </c>
      <c r="L3097" s="437"/>
      <c r="M3097" s="474" t="s">
        <v>104</v>
      </c>
      <c r="N3097" s="1013"/>
      <c r="O3097" s="212"/>
      <c r="P3097" s="66" t="s">
        <v>40</v>
      </c>
      <c r="Q3097" s="100">
        <f t="shared" si="1693"/>
        <v>0</v>
      </c>
      <c r="R3097" s="13" t="str">
        <f t="shared" si="1685"/>
        <v>Фото &gt;&gt;</v>
      </c>
      <c r="S3097" s="14" t="s">
        <v>1264</v>
      </c>
      <c r="AK3097">
        <v>0.05</v>
      </c>
      <c r="AL3097">
        <f t="shared" si="1694"/>
        <v>0</v>
      </c>
      <c r="AM3097">
        <f t="shared" si="1695"/>
        <v>0</v>
      </c>
      <c r="AN3097">
        <f t="shared" si="1696"/>
        <v>0</v>
      </c>
      <c r="AO3097" t="s">
        <v>2851</v>
      </c>
      <c r="AV3097" t="str">
        <f>IF(F3097&gt;0,(COUNT($AV$1:AV3096)+1),"")</f>
        <v/>
      </c>
    </row>
    <row r="3098" spans="1:48" ht="15" customHeight="1" x14ac:dyDescent="0.25">
      <c r="A3098" s="1"/>
      <c r="B3098" s="31">
        <v>8419</v>
      </c>
      <c r="C3098" s="148">
        <v>4603720177265</v>
      </c>
      <c r="D3098" s="154" t="s">
        <v>1265</v>
      </c>
      <c r="E3098" s="69">
        <v>60</v>
      </c>
      <c r="F3098" s="222"/>
      <c r="G3098" s="108">
        <v>123.1</v>
      </c>
      <c r="H3098" s="17">
        <v>129.19999999999999</v>
      </c>
      <c r="I3098" s="18">
        <v>137.30000000000001</v>
      </c>
      <c r="J3098" s="113" t="s">
        <v>1215</v>
      </c>
      <c r="K3098" s="44" t="s">
        <v>117</v>
      </c>
      <c r="L3098" s="442"/>
      <c r="M3098" s="480" t="s">
        <v>104</v>
      </c>
      <c r="N3098" s="1015"/>
      <c r="O3098" s="217"/>
      <c r="P3098" s="68" t="s">
        <v>40</v>
      </c>
      <c r="Q3098" s="100">
        <f t="shared" si="1693"/>
        <v>0</v>
      </c>
      <c r="R3098" s="13" t="str">
        <f t="shared" si="1685"/>
        <v>Фото &gt;&gt;</v>
      </c>
      <c r="S3098" s="14" t="s">
        <v>1266</v>
      </c>
      <c r="AK3098">
        <v>0.05</v>
      </c>
      <c r="AL3098">
        <f t="shared" si="1694"/>
        <v>0</v>
      </c>
      <c r="AM3098">
        <f t="shared" si="1695"/>
        <v>0</v>
      </c>
      <c r="AN3098">
        <f t="shared" si="1696"/>
        <v>0</v>
      </c>
      <c r="AO3098" t="s">
        <v>2852</v>
      </c>
      <c r="AV3098" t="str">
        <f>IF(F3098&gt;0,(COUNT($AV$1:AV3097)+1),"")</f>
        <v/>
      </c>
    </row>
    <row r="3099" spans="1:48" ht="15" customHeight="1" x14ac:dyDescent="0.25">
      <c r="A3099" s="1"/>
      <c r="B3099" s="30">
        <v>8420</v>
      </c>
      <c r="C3099" s="149">
        <v>4603720177272</v>
      </c>
      <c r="D3099" s="153" t="s">
        <v>1267</v>
      </c>
      <c r="E3099" s="67">
        <v>60</v>
      </c>
      <c r="F3099" s="222"/>
      <c r="G3099" s="107">
        <v>123.1</v>
      </c>
      <c r="H3099" s="21">
        <v>129.19999999999999</v>
      </c>
      <c r="I3099" s="22">
        <v>137.30000000000001</v>
      </c>
      <c r="J3099" s="112" t="s">
        <v>1215</v>
      </c>
      <c r="K3099" s="45" t="s">
        <v>117</v>
      </c>
      <c r="L3099" s="437"/>
      <c r="M3099" s="474" t="s">
        <v>104</v>
      </c>
      <c r="N3099" s="1013"/>
      <c r="O3099" s="212"/>
      <c r="P3099" s="66" t="s">
        <v>40</v>
      </c>
      <c r="Q3099" s="100">
        <f t="shared" si="1693"/>
        <v>0</v>
      </c>
      <c r="R3099" s="13" t="str">
        <f t="shared" si="1685"/>
        <v>Фото &gt;&gt;</v>
      </c>
      <c r="S3099" s="14" t="s">
        <v>1268</v>
      </c>
      <c r="AK3099">
        <v>0.05</v>
      </c>
      <c r="AL3099">
        <f t="shared" si="1694"/>
        <v>0</v>
      </c>
      <c r="AM3099">
        <f t="shared" si="1695"/>
        <v>0</v>
      </c>
      <c r="AN3099">
        <f t="shared" si="1696"/>
        <v>0</v>
      </c>
      <c r="AO3099" t="s">
        <v>2853</v>
      </c>
      <c r="AV3099" t="str">
        <f>IF(F3099&gt;0,(COUNT($AV$1:AV3098)+1),"")</f>
        <v/>
      </c>
    </row>
    <row r="3100" spans="1:48" ht="15" customHeight="1" x14ac:dyDescent="0.25">
      <c r="A3100" s="1"/>
      <c r="B3100" s="31">
        <v>8421</v>
      </c>
      <c r="C3100" s="148">
        <v>4603720177289</v>
      </c>
      <c r="D3100" s="154" t="s">
        <v>1269</v>
      </c>
      <c r="E3100" s="69">
        <v>60</v>
      </c>
      <c r="F3100" s="222"/>
      <c r="G3100" s="108">
        <v>123.1</v>
      </c>
      <c r="H3100" s="17">
        <v>129.19999999999999</v>
      </c>
      <c r="I3100" s="18">
        <v>137.30000000000001</v>
      </c>
      <c r="J3100" s="113" t="s">
        <v>1215</v>
      </c>
      <c r="K3100" s="44" t="s">
        <v>117</v>
      </c>
      <c r="L3100" s="442"/>
      <c r="M3100" s="480" t="s">
        <v>104</v>
      </c>
      <c r="N3100" s="1015"/>
      <c r="O3100" s="217"/>
      <c r="P3100" s="68" t="s">
        <v>40</v>
      </c>
      <c r="Q3100" s="100">
        <f t="shared" si="1693"/>
        <v>0</v>
      </c>
      <c r="R3100" s="13" t="str">
        <f t="shared" si="1685"/>
        <v>Фото &gt;&gt;</v>
      </c>
      <c r="S3100" s="14" t="s">
        <v>1270</v>
      </c>
      <c r="AK3100">
        <v>0.05</v>
      </c>
      <c r="AL3100">
        <f t="shared" si="1694"/>
        <v>0</v>
      </c>
      <c r="AM3100">
        <f t="shared" si="1695"/>
        <v>0</v>
      </c>
      <c r="AN3100">
        <f t="shared" si="1696"/>
        <v>0</v>
      </c>
      <c r="AO3100" t="s">
        <v>2854</v>
      </c>
      <c r="AV3100" t="str">
        <f>IF(F3100&gt;0,(COUNT($AV$1:AV3099)+1),"")</f>
        <v/>
      </c>
    </row>
    <row r="3101" spans="1:48" ht="15" customHeight="1" x14ac:dyDescent="0.25">
      <c r="A3101" s="1"/>
      <c r="B3101" s="30">
        <v>8422</v>
      </c>
      <c r="C3101" s="149">
        <v>4603720177296</v>
      </c>
      <c r="D3101" s="153" t="s">
        <v>1271</v>
      </c>
      <c r="E3101" s="67">
        <v>60</v>
      </c>
      <c r="F3101" s="222"/>
      <c r="G3101" s="107">
        <v>123.1</v>
      </c>
      <c r="H3101" s="21">
        <v>129.19999999999999</v>
      </c>
      <c r="I3101" s="22">
        <v>137.30000000000001</v>
      </c>
      <c r="J3101" s="112" t="s">
        <v>1215</v>
      </c>
      <c r="K3101" s="45" t="s">
        <v>117</v>
      </c>
      <c r="L3101" s="437"/>
      <c r="M3101" s="474" t="s">
        <v>104</v>
      </c>
      <c r="N3101" s="1013"/>
      <c r="O3101" s="212"/>
      <c r="P3101" s="66" t="s">
        <v>40</v>
      </c>
      <c r="Q3101" s="100">
        <f t="shared" si="1693"/>
        <v>0</v>
      </c>
      <c r="R3101" s="13" t="str">
        <f t="shared" si="1685"/>
        <v>Фото &gt;&gt;</v>
      </c>
      <c r="S3101" s="14" t="s">
        <v>1272</v>
      </c>
      <c r="AK3101">
        <v>0.05</v>
      </c>
      <c r="AL3101">
        <f t="shared" si="1694"/>
        <v>0</v>
      </c>
      <c r="AM3101">
        <f t="shared" si="1695"/>
        <v>0</v>
      </c>
      <c r="AN3101">
        <f t="shared" si="1696"/>
        <v>0</v>
      </c>
      <c r="AO3101" t="s">
        <v>2855</v>
      </c>
      <c r="AV3101" t="str">
        <f>IF(F3101&gt;0,(COUNT($AV$1:AV3100)+1),"")</f>
        <v/>
      </c>
    </row>
    <row r="3102" spans="1:48" ht="15" customHeight="1" x14ac:dyDescent="0.25">
      <c r="A3102" s="1"/>
      <c r="B3102" s="31">
        <v>8424</v>
      </c>
      <c r="C3102" s="148">
        <v>4603720177302</v>
      </c>
      <c r="D3102" s="154" t="s">
        <v>1273</v>
      </c>
      <c r="E3102" s="69">
        <v>60</v>
      </c>
      <c r="F3102" s="222"/>
      <c r="G3102" s="108">
        <v>123.1</v>
      </c>
      <c r="H3102" s="17">
        <v>129.19999999999999</v>
      </c>
      <c r="I3102" s="18">
        <v>137.30000000000001</v>
      </c>
      <c r="J3102" s="113" t="s">
        <v>1215</v>
      </c>
      <c r="K3102" s="44" t="s">
        <v>117</v>
      </c>
      <c r="L3102" s="442"/>
      <c r="M3102" s="480" t="s">
        <v>104</v>
      </c>
      <c r="N3102" s="1015"/>
      <c r="O3102" s="217"/>
      <c r="P3102" s="68" t="s">
        <v>40</v>
      </c>
      <c r="Q3102" s="100">
        <f t="shared" si="1693"/>
        <v>0</v>
      </c>
      <c r="R3102" s="13" t="str">
        <f t="shared" ref="R3102:R3151" si="1697">IF(AO3102&gt;0,HYPERLINK(AO3102,"Фото &gt;&gt;"),"")</f>
        <v>Фото &gt;&gt;</v>
      </c>
      <c r="S3102" s="14" t="s">
        <v>1274</v>
      </c>
      <c r="AK3102">
        <v>0.05</v>
      </c>
      <c r="AL3102">
        <f t="shared" si="1694"/>
        <v>0</v>
      </c>
      <c r="AM3102">
        <f t="shared" si="1695"/>
        <v>0</v>
      </c>
      <c r="AN3102">
        <f t="shared" si="1696"/>
        <v>0</v>
      </c>
      <c r="AO3102" t="s">
        <v>2856</v>
      </c>
      <c r="AV3102" t="str">
        <f>IF(F3102&gt;0,(COUNT($AV$1:AV3101)+1),"")</f>
        <v/>
      </c>
    </row>
    <row r="3103" spans="1:48" ht="15" customHeight="1" x14ac:dyDescent="0.25">
      <c r="A3103" s="1"/>
      <c r="B3103" s="30">
        <v>8425</v>
      </c>
      <c r="C3103" s="149">
        <v>4603720177319</v>
      </c>
      <c r="D3103" s="153" t="s">
        <v>1275</v>
      </c>
      <c r="E3103" s="67">
        <v>60</v>
      </c>
      <c r="F3103" s="222"/>
      <c r="G3103" s="107">
        <v>123.1</v>
      </c>
      <c r="H3103" s="21">
        <v>129.19999999999999</v>
      </c>
      <c r="I3103" s="22">
        <v>137.30000000000001</v>
      </c>
      <c r="J3103" s="112" t="s">
        <v>1215</v>
      </c>
      <c r="K3103" s="45" t="s">
        <v>117</v>
      </c>
      <c r="L3103" s="437"/>
      <c r="M3103" s="474" t="s">
        <v>104</v>
      </c>
      <c r="N3103" s="1013"/>
      <c r="O3103" s="212"/>
      <c r="P3103" s="66" t="s">
        <v>40</v>
      </c>
      <c r="Q3103" s="100">
        <f t="shared" si="1693"/>
        <v>0</v>
      </c>
      <c r="R3103" s="13" t="str">
        <f t="shared" si="1697"/>
        <v>Фото &gt;&gt;</v>
      </c>
      <c r="S3103" s="14" t="s">
        <v>1276</v>
      </c>
      <c r="AK3103">
        <v>0.05</v>
      </c>
      <c r="AL3103">
        <f t="shared" si="1694"/>
        <v>0</v>
      </c>
      <c r="AM3103">
        <f t="shared" si="1695"/>
        <v>0</v>
      </c>
      <c r="AN3103">
        <f t="shared" si="1696"/>
        <v>0</v>
      </c>
      <c r="AO3103" t="s">
        <v>2857</v>
      </c>
      <c r="AV3103" t="str">
        <f>IF(F3103&gt;0,(COUNT($AV$1:AV3102)+1),"")</f>
        <v/>
      </c>
    </row>
    <row r="3104" spans="1:48" ht="15" customHeight="1" x14ac:dyDescent="0.25">
      <c r="A3104" s="1"/>
      <c r="B3104" s="31">
        <v>8426</v>
      </c>
      <c r="C3104" s="148">
        <v>4603720177326</v>
      </c>
      <c r="D3104" s="154" t="s">
        <v>1277</v>
      </c>
      <c r="E3104" s="69">
        <v>60</v>
      </c>
      <c r="F3104" s="222"/>
      <c r="G3104" s="108">
        <v>123.1</v>
      </c>
      <c r="H3104" s="17">
        <v>129.19999999999999</v>
      </c>
      <c r="I3104" s="18">
        <v>137.30000000000001</v>
      </c>
      <c r="J3104" s="113" t="s">
        <v>1215</v>
      </c>
      <c r="K3104" s="44" t="s">
        <v>117</v>
      </c>
      <c r="L3104" s="442"/>
      <c r="M3104" s="480" t="s">
        <v>104</v>
      </c>
      <c r="N3104" s="1015"/>
      <c r="O3104" s="217"/>
      <c r="P3104" s="68" t="s">
        <v>40</v>
      </c>
      <c r="Q3104" s="100">
        <f t="shared" si="1693"/>
        <v>0</v>
      </c>
      <c r="R3104" s="13" t="str">
        <f t="shared" si="1697"/>
        <v>Фото &gt;&gt;</v>
      </c>
      <c r="S3104" s="14" t="s">
        <v>1278</v>
      </c>
      <c r="AK3104">
        <v>0.05</v>
      </c>
      <c r="AL3104">
        <f t="shared" si="1694"/>
        <v>0</v>
      </c>
      <c r="AM3104">
        <f t="shared" si="1695"/>
        <v>0</v>
      </c>
      <c r="AN3104">
        <f t="shared" si="1696"/>
        <v>0</v>
      </c>
      <c r="AO3104" t="s">
        <v>2858</v>
      </c>
      <c r="AV3104" t="str">
        <f>IF(F3104&gt;0,(COUNT($AV$1:AV3103)+1),"")</f>
        <v/>
      </c>
    </row>
    <row r="3105" spans="1:48" ht="15" customHeight="1" x14ac:dyDescent="0.25">
      <c r="A3105" s="1"/>
      <c r="B3105" s="30">
        <v>8427</v>
      </c>
      <c r="C3105" s="149">
        <v>4603720177333</v>
      </c>
      <c r="D3105" s="153" t="s">
        <v>1279</v>
      </c>
      <c r="E3105" s="67">
        <v>60</v>
      </c>
      <c r="F3105" s="222"/>
      <c r="G3105" s="107">
        <v>123.1</v>
      </c>
      <c r="H3105" s="21">
        <v>129.19999999999999</v>
      </c>
      <c r="I3105" s="22">
        <v>137.30000000000001</v>
      </c>
      <c r="J3105" s="112" t="s">
        <v>1215</v>
      </c>
      <c r="K3105" s="45" t="s">
        <v>117</v>
      </c>
      <c r="L3105" s="437"/>
      <c r="M3105" s="474" t="s">
        <v>104</v>
      </c>
      <c r="N3105" s="1013"/>
      <c r="O3105" s="212"/>
      <c r="P3105" s="66" t="s">
        <v>40</v>
      </c>
      <c r="Q3105" s="100">
        <f t="shared" si="1693"/>
        <v>0</v>
      </c>
      <c r="R3105" s="13" t="str">
        <f t="shared" si="1697"/>
        <v>Фото &gt;&gt;</v>
      </c>
      <c r="S3105" s="14" t="s">
        <v>1280</v>
      </c>
      <c r="AK3105">
        <v>0.05</v>
      </c>
      <c r="AL3105">
        <f t="shared" si="1694"/>
        <v>0</v>
      </c>
      <c r="AM3105">
        <f t="shared" si="1695"/>
        <v>0</v>
      </c>
      <c r="AN3105">
        <f t="shared" ref="AN3105:AN3112" si="1698">AK3105*F3105+IF(E3105&gt;1.01,F3105/E3105*0.2,0)</f>
        <v>0</v>
      </c>
      <c r="AO3105" t="s">
        <v>2859</v>
      </c>
      <c r="AV3105" t="str">
        <f>IF(F3105&gt;0,(COUNT($AV$1:AV3104)+1),"")</f>
        <v/>
      </c>
    </row>
    <row r="3106" spans="1:48" ht="15" customHeight="1" x14ac:dyDescent="0.25">
      <c r="A3106" s="1"/>
      <c r="B3106" s="31">
        <v>8428</v>
      </c>
      <c r="C3106" s="148">
        <v>4603720177340</v>
      </c>
      <c r="D3106" s="154" t="s">
        <v>1281</v>
      </c>
      <c r="E3106" s="69">
        <v>60</v>
      </c>
      <c r="F3106" s="222"/>
      <c r="G3106" s="108">
        <v>123.1</v>
      </c>
      <c r="H3106" s="17">
        <v>129.19999999999999</v>
      </c>
      <c r="I3106" s="18">
        <v>137.30000000000001</v>
      </c>
      <c r="J3106" s="113" t="s">
        <v>1215</v>
      </c>
      <c r="K3106" s="44" t="s">
        <v>117</v>
      </c>
      <c r="L3106" s="442"/>
      <c r="M3106" s="480" t="s">
        <v>104</v>
      </c>
      <c r="N3106" s="1015"/>
      <c r="O3106" s="217"/>
      <c r="P3106" s="68" t="s">
        <v>40</v>
      </c>
      <c r="Q3106" s="100">
        <f t="shared" si="1693"/>
        <v>0</v>
      </c>
      <c r="R3106" s="13" t="str">
        <f t="shared" si="1697"/>
        <v>Фото &gt;&gt;</v>
      </c>
      <c r="S3106" s="14" t="s">
        <v>1282</v>
      </c>
      <c r="AK3106">
        <v>0.05</v>
      </c>
      <c r="AL3106">
        <f t="shared" si="1694"/>
        <v>0</v>
      </c>
      <c r="AM3106">
        <f t="shared" si="1695"/>
        <v>0</v>
      </c>
      <c r="AN3106">
        <f t="shared" si="1698"/>
        <v>0</v>
      </c>
      <c r="AO3106" t="s">
        <v>2860</v>
      </c>
      <c r="AV3106" t="str">
        <f>IF(F3106&gt;0,(COUNT($AV$1:AV3105)+1),"")</f>
        <v/>
      </c>
    </row>
    <row r="3107" spans="1:48" ht="15" customHeight="1" x14ac:dyDescent="0.25">
      <c r="A3107" s="1"/>
      <c r="B3107" s="30">
        <v>8429</v>
      </c>
      <c r="C3107" s="149">
        <v>4603720177357</v>
      </c>
      <c r="D3107" s="153" t="s">
        <v>1283</v>
      </c>
      <c r="E3107" s="67">
        <v>60</v>
      </c>
      <c r="F3107" s="222"/>
      <c r="G3107" s="107">
        <v>123.1</v>
      </c>
      <c r="H3107" s="21">
        <v>129.19999999999999</v>
      </c>
      <c r="I3107" s="22">
        <v>137.30000000000001</v>
      </c>
      <c r="J3107" s="112" t="s">
        <v>1215</v>
      </c>
      <c r="K3107" s="45" t="s">
        <v>117</v>
      </c>
      <c r="L3107" s="437"/>
      <c r="M3107" s="474" t="s">
        <v>104</v>
      </c>
      <c r="N3107" s="1013"/>
      <c r="O3107" s="212"/>
      <c r="P3107" s="66" t="s">
        <v>40</v>
      </c>
      <c r="Q3107" s="100">
        <f t="shared" si="1693"/>
        <v>0</v>
      </c>
      <c r="R3107" s="13" t="str">
        <f t="shared" si="1697"/>
        <v>Фото &gt;&gt;</v>
      </c>
      <c r="S3107" s="14" t="s">
        <v>1284</v>
      </c>
      <c r="AK3107">
        <v>0.05</v>
      </c>
      <c r="AL3107">
        <f t="shared" si="1694"/>
        <v>0</v>
      </c>
      <c r="AM3107">
        <f t="shared" si="1695"/>
        <v>0</v>
      </c>
      <c r="AN3107">
        <f t="shared" si="1698"/>
        <v>0</v>
      </c>
      <c r="AO3107" t="s">
        <v>2861</v>
      </c>
      <c r="AV3107" t="str">
        <f>IF(F3107&gt;0,(COUNT($AV$1:AV3106)+1),"")</f>
        <v/>
      </c>
    </row>
    <row r="3108" spans="1:48" ht="15" customHeight="1" x14ac:dyDescent="0.25">
      <c r="A3108" s="1"/>
      <c r="B3108" s="31">
        <v>8430</v>
      </c>
      <c r="C3108" s="148">
        <v>4603720177364</v>
      </c>
      <c r="D3108" s="154" t="s">
        <v>1285</v>
      </c>
      <c r="E3108" s="69">
        <v>60</v>
      </c>
      <c r="F3108" s="222"/>
      <c r="G3108" s="108">
        <v>123.1</v>
      </c>
      <c r="H3108" s="17">
        <v>129.19999999999999</v>
      </c>
      <c r="I3108" s="18">
        <v>137.30000000000001</v>
      </c>
      <c r="J3108" s="113" t="s">
        <v>1215</v>
      </c>
      <c r="K3108" s="44" t="s">
        <v>117</v>
      </c>
      <c r="L3108" s="442"/>
      <c r="M3108" s="480" t="s">
        <v>104</v>
      </c>
      <c r="N3108" s="1015"/>
      <c r="O3108" s="217"/>
      <c r="P3108" s="68" t="s">
        <v>40</v>
      </c>
      <c r="Q3108" s="100">
        <f t="shared" si="1693"/>
        <v>0</v>
      </c>
      <c r="R3108" s="13" t="str">
        <f t="shared" si="1697"/>
        <v>Фото &gt;&gt;</v>
      </c>
      <c r="S3108" s="14" t="s">
        <v>1286</v>
      </c>
      <c r="AK3108">
        <v>0.05</v>
      </c>
      <c r="AL3108">
        <f t="shared" si="1694"/>
        <v>0</v>
      </c>
      <c r="AM3108">
        <f t="shared" si="1695"/>
        <v>0</v>
      </c>
      <c r="AN3108">
        <f t="shared" si="1698"/>
        <v>0</v>
      </c>
      <c r="AO3108" t="s">
        <v>2862</v>
      </c>
      <c r="AV3108" t="str">
        <f>IF(F3108&gt;0,(COUNT($AV$1:AV3107)+1),"")</f>
        <v/>
      </c>
    </row>
    <row r="3109" spans="1:48" ht="15" customHeight="1" x14ac:dyDescent="0.25">
      <c r="A3109" s="1"/>
      <c r="B3109" s="30">
        <v>8431</v>
      </c>
      <c r="C3109" s="149">
        <v>4603720177371</v>
      </c>
      <c r="D3109" s="153" t="s">
        <v>1287</v>
      </c>
      <c r="E3109" s="67">
        <v>60</v>
      </c>
      <c r="F3109" s="222"/>
      <c r="G3109" s="107">
        <v>123.1</v>
      </c>
      <c r="H3109" s="21">
        <v>129.19999999999999</v>
      </c>
      <c r="I3109" s="22">
        <v>137.30000000000001</v>
      </c>
      <c r="J3109" s="112" t="s">
        <v>1215</v>
      </c>
      <c r="K3109" s="45" t="s">
        <v>117</v>
      </c>
      <c r="L3109" s="437"/>
      <c r="M3109" s="474" t="s">
        <v>104</v>
      </c>
      <c r="N3109" s="1013"/>
      <c r="O3109" s="212"/>
      <c r="P3109" s="66" t="s">
        <v>40</v>
      </c>
      <c r="Q3109" s="100">
        <f t="shared" si="1693"/>
        <v>0</v>
      </c>
      <c r="R3109" s="13" t="str">
        <f t="shared" si="1697"/>
        <v>Фото &gt;&gt;</v>
      </c>
      <c r="S3109" s="14" t="s">
        <v>1288</v>
      </c>
      <c r="AK3109">
        <v>0.05</v>
      </c>
      <c r="AL3109">
        <f t="shared" si="1694"/>
        <v>0</v>
      </c>
      <c r="AM3109">
        <f t="shared" si="1695"/>
        <v>0</v>
      </c>
      <c r="AN3109">
        <f t="shared" si="1698"/>
        <v>0</v>
      </c>
      <c r="AO3109" t="s">
        <v>2863</v>
      </c>
      <c r="AV3109" t="str">
        <f>IF(F3109&gt;0,(COUNT($AV$1:AV3108)+1),"")</f>
        <v/>
      </c>
    </row>
    <row r="3110" spans="1:48" ht="15" customHeight="1" x14ac:dyDescent="0.25">
      <c r="A3110" s="1"/>
      <c r="B3110" s="31">
        <v>8432</v>
      </c>
      <c r="C3110" s="148">
        <v>4603720177388</v>
      </c>
      <c r="D3110" s="154" t="s">
        <v>1289</v>
      </c>
      <c r="E3110" s="69">
        <v>60</v>
      </c>
      <c r="F3110" s="222"/>
      <c r="G3110" s="108">
        <v>123.1</v>
      </c>
      <c r="H3110" s="17">
        <v>129.19999999999999</v>
      </c>
      <c r="I3110" s="18">
        <v>137.30000000000001</v>
      </c>
      <c r="J3110" s="113" t="s">
        <v>1215</v>
      </c>
      <c r="K3110" s="44" t="s">
        <v>117</v>
      </c>
      <c r="L3110" s="442"/>
      <c r="M3110" s="480" t="s">
        <v>104</v>
      </c>
      <c r="N3110" s="1015"/>
      <c r="O3110" s="217"/>
      <c r="P3110" s="68" t="s">
        <v>40</v>
      </c>
      <c r="Q3110" s="100">
        <f t="shared" si="1693"/>
        <v>0</v>
      </c>
      <c r="R3110" s="13" t="str">
        <f t="shared" si="1697"/>
        <v>Фото &gt;&gt;</v>
      </c>
      <c r="S3110" s="14" t="s">
        <v>1290</v>
      </c>
      <c r="AK3110">
        <v>0.05</v>
      </c>
      <c r="AL3110">
        <f t="shared" si="1694"/>
        <v>0</v>
      </c>
      <c r="AM3110">
        <f t="shared" si="1695"/>
        <v>0</v>
      </c>
      <c r="AN3110">
        <f t="shared" si="1698"/>
        <v>0</v>
      </c>
      <c r="AO3110" t="s">
        <v>2864</v>
      </c>
      <c r="AV3110" t="str">
        <f>IF(F3110&gt;0,(COUNT($AV$1:AV3109)+1),"")</f>
        <v/>
      </c>
    </row>
    <row r="3111" spans="1:48" ht="15" customHeight="1" x14ac:dyDescent="0.25">
      <c r="A3111" s="1"/>
      <c r="B3111" s="30">
        <v>8433</v>
      </c>
      <c r="C3111" s="149">
        <v>4603720177395</v>
      </c>
      <c r="D3111" s="153" t="s">
        <v>1291</v>
      </c>
      <c r="E3111" s="67">
        <v>60</v>
      </c>
      <c r="F3111" s="222"/>
      <c r="G3111" s="107">
        <v>123.1</v>
      </c>
      <c r="H3111" s="21">
        <v>129.19999999999999</v>
      </c>
      <c r="I3111" s="22">
        <v>137.30000000000001</v>
      </c>
      <c r="J3111" s="112" t="s">
        <v>1215</v>
      </c>
      <c r="K3111" s="45" t="s">
        <v>117</v>
      </c>
      <c r="L3111" s="437"/>
      <c r="M3111" s="474" t="s">
        <v>104</v>
      </c>
      <c r="N3111" s="1013"/>
      <c r="O3111" s="212"/>
      <c r="P3111" s="66" t="s">
        <v>40</v>
      </c>
      <c r="Q3111" s="100">
        <f t="shared" si="1693"/>
        <v>0</v>
      </c>
      <c r="R3111" s="13" t="str">
        <f t="shared" si="1697"/>
        <v>Фото &gt;&gt;</v>
      </c>
      <c r="S3111" s="14" t="s">
        <v>1292</v>
      </c>
      <c r="AK3111">
        <v>0.05</v>
      </c>
      <c r="AL3111">
        <f t="shared" si="1694"/>
        <v>0</v>
      </c>
      <c r="AM3111">
        <f t="shared" si="1695"/>
        <v>0</v>
      </c>
      <c r="AN3111">
        <f t="shared" si="1698"/>
        <v>0</v>
      </c>
      <c r="AO3111" t="s">
        <v>2865</v>
      </c>
      <c r="AV3111" t="str">
        <f>IF(F3111&gt;0,(COUNT($AV$1:AV3110)+1),"")</f>
        <v/>
      </c>
    </row>
    <row r="3112" spans="1:48" ht="15" customHeight="1" x14ac:dyDescent="0.25">
      <c r="A3112" s="1"/>
      <c r="B3112" s="31">
        <v>8435</v>
      </c>
      <c r="C3112" s="148">
        <v>4603720177401</v>
      </c>
      <c r="D3112" s="154" t="s">
        <v>1293</v>
      </c>
      <c r="E3112" s="69">
        <v>60</v>
      </c>
      <c r="F3112" s="222"/>
      <c r="G3112" s="108">
        <v>126.1</v>
      </c>
      <c r="H3112" s="17">
        <v>132.19999999999999</v>
      </c>
      <c r="I3112" s="18">
        <v>145.4</v>
      </c>
      <c r="J3112" s="113" t="s">
        <v>1215</v>
      </c>
      <c r="K3112" s="44" t="s">
        <v>117</v>
      </c>
      <c r="L3112" s="442"/>
      <c r="M3112" s="480" t="s">
        <v>104</v>
      </c>
      <c r="N3112" s="1015"/>
      <c r="O3112" s="217"/>
      <c r="P3112" s="68" t="s">
        <v>40</v>
      </c>
      <c r="Q3112" s="100">
        <f t="shared" si="1693"/>
        <v>0</v>
      </c>
      <c r="R3112" s="13" t="str">
        <f t="shared" si="1697"/>
        <v>Фото &gt;&gt;</v>
      </c>
      <c r="S3112" s="14" t="s">
        <v>1294</v>
      </c>
      <c r="AK3112">
        <v>0.05</v>
      </c>
      <c r="AL3112">
        <f t="shared" si="1694"/>
        <v>0</v>
      </c>
      <c r="AM3112">
        <f t="shared" si="1695"/>
        <v>0</v>
      </c>
      <c r="AN3112">
        <f t="shared" si="1698"/>
        <v>0</v>
      </c>
      <c r="AO3112" t="s">
        <v>2866</v>
      </c>
      <c r="AV3112" t="str">
        <f>IF(F3112&gt;0,(COUNT($AV$1:AV3111)+1),"")</f>
        <v/>
      </c>
    </row>
    <row r="3113" spans="1:48" ht="15" customHeight="1" x14ac:dyDescent="0.25">
      <c r="A3113" s="1"/>
      <c r="B3113" s="125"/>
      <c r="C3113" s="126"/>
      <c r="D3113" s="127"/>
      <c r="E3113" s="134"/>
      <c r="F3113" s="189"/>
      <c r="G3113" s="130"/>
      <c r="H3113" s="131"/>
      <c r="I3113" s="132"/>
      <c r="J3113" s="128"/>
      <c r="K3113" s="129"/>
      <c r="L3113" s="433"/>
      <c r="M3113" s="481" t="s">
        <v>104</v>
      </c>
      <c r="N3113" s="471"/>
      <c r="O3113" s="181"/>
      <c r="P3113" s="133"/>
      <c r="Q3113" s="135"/>
      <c r="R3113" s="13"/>
      <c r="S3113" s="14"/>
      <c r="AV3113" t="str">
        <f>IF(F3113&gt;0,(COUNT($AV$1:AV3112)+1),"")</f>
        <v/>
      </c>
    </row>
    <row r="3114" spans="1:48" ht="15" customHeight="1" thickBot="1" x14ac:dyDescent="0.3">
      <c r="A3114" s="1"/>
      <c r="B3114" s="136"/>
      <c r="C3114" s="137"/>
      <c r="D3114" s="138"/>
      <c r="E3114" s="145"/>
      <c r="F3114" s="190"/>
      <c r="G3114" s="141"/>
      <c r="H3114" s="142"/>
      <c r="I3114" s="143"/>
      <c r="J3114" s="139"/>
      <c r="K3114" s="140"/>
      <c r="L3114" s="434"/>
      <c r="M3114" s="477" t="s">
        <v>104</v>
      </c>
      <c r="N3114" s="468"/>
      <c r="O3114" s="182"/>
      <c r="P3114" s="144"/>
      <c r="Q3114" s="146"/>
      <c r="R3114" s="13"/>
      <c r="S3114" s="14"/>
      <c r="AV3114" t="str">
        <f>IF(F3114&gt;0,(COUNT($AV$1:AV3113)+1),"")</f>
        <v/>
      </c>
    </row>
    <row r="3115" spans="1:48" ht="24.75" customHeight="1" thickBot="1" x14ac:dyDescent="0.3">
      <c r="A3115" s="1"/>
      <c r="B3115" s="169"/>
      <c r="C3115" s="170"/>
      <c r="D3115" s="171" t="str">
        <f>CONCATENATE("Косметическая продукция","     |     Сумма заказа: ",AK3115," руб.")</f>
        <v>Косметическая продукция     |     Сумма заказа: 0 руб.</v>
      </c>
      <c r="E3115" s="176"/>
      <c r="F3115" s="177"/>
      <c r="G3115" s="180" t="str">
        <f>CONCATENATE("Ценовая колонка: ",AO3115,"   |   До следующей скидки: ",AJ3115," руб.")</f>
        <v>Ценовая колонка: 3   |   До следующей скидки: 5000 руб.</v>
      </c>
      <c r="H3115" s="174"/>
      <c r="I3115" s="174"/>
      <c r="J3115" s="172"/>
      <c r="K3115" s="173"/>
      <c r="L3115" s="444"/>
      <c r="M3115" s="486" t="s">
        <v>104</v>
      </c>
      <c r="N3115" s="717"/>
      <c r="O3115" s="184"/>
      <c r="P3115" s="175"/>
      <c r="Q3115" s="178"/>
      <c r="R3115" s="179" t="s">
        <v>1558</v>
      </c>
      <c r="S3115" s="14"/>
      <c r="AJ3115">
        <f>ROUND(IF(AL3115&gt;20000,"0", IF(AND(AL3115&lt;20000,AM3115&gt;5000),20000-AL3115,5000-AM3115)),2)</f>
        <v>5000</v>
      </c>
      <c r="AK3115">
        <f>SUM(Q3117:Q3157)</f>
        <v>0</v>
      </c>
      <c r="AL3115">
        <f>SUM(AL3117:AL3157)</f>
        <v>0</v>
      </c>
      <c r="AM3115">
        <f>SUM(AM3117:AM3157)</f>
        <v>0</v>
      </c>
      <c r="AO3115">
        <f>IF(AM3115&gt;5000,IF(AL3115&gt;20000,1,2),3)</f>
        <v>3</v>
      </c>
      <c r="AV3115" t="str">
        <f>IF(F3115&gt;0,(COUNT($AV$1:AV3114)+1),"")</f>
        <v/>
      </c>
    </row>
    <row r="3116" spans="1:48" ht="15" customHeight="1" x14ac:dyDescent="0.25">
      <c r="A3116" s="1"/>
      <c r="B3116" s="296"/>
      <c r="C3116" s="38"/>
      <c r="D3116" s="39" t="s">
        <v>1296</v>
      </c>
      <c r="E3116" s="82"/>
      <c r="F3116" s="97"/>
      <c r="G3116" s="40" t="s">
        <v>15</v>
      </c>
      <c r="H3116" s="41" t="s">
        <v>16</v>
      </c>
      <c r="I3116" s="41" t="s">
        <v>221</v>
      </c>
      <c r="J3116" s="52"/>
      <c r="K3116" s="48"/>
      <c r="L3116" s="448"/>
      <c r="M3116" s="491" t="s">
        <v>104</v>
      </c>
      <c r="N3116" s="715"/>
      <c r="O3116" s="187"/>
      <c r="P3116" s="81"/>
      <c r="Q3116" s="105"/>
      <c r="R3116" s="13"/>
      <c r="S3116" s="14"/>
      <c r="AV3116" t="str">
        <f>IF(F3116&gt;0,(COUNT($AV$1:AV3115)+1),"")</f>
        <v/>
      </c>
    </row>
    <row r="3117" spans="1:48" ht="15" customHeight="1" x14ac:dyDescent="0.25">
      <c r="A3117" s="1"/>
      <c r="B3117" s="30">
        <v>9295</v>
      </c>
      <c r="C3117" s="149">
        <v>4603699000083</v>
      </c>
      <c r="D3117" s="153" t="s">
        <v>1295</v>
      </c>
      <c r="E3117" s="324">
        <v>45</v>
      </c>
      <c r="F3117" s="222"/>
      <c r="G3117" s="107">
        <v>174</v>
      </c>
      <c r="H3117" s="21">
        <v>182.7</v>
      </c>
      <c r="I3117" s="22">
        <v>192</v>
      </c>
      <c r="J3117" s="112" t="s">
        <v>1296</v>
      </c>
      <c r="K3117" s="45" t="s">
        <v>5530</v>
      </c>
      <c r="L3117" s="437"/>
      <c r="M3117" s="474" t="s">
        <v>104</v>
      </c>
      <c r="N3117" s="1013"/>
      <c r="O3117" s="212" t="s">
        <v>6011</v>
      </c>
      <c r="P3117" s="66"/>
      <c r="Q3117" s="100">
        <f t="shared" ref="Q3117:Q3124" si="1699">IF($AO$3115=2,F3117*H3117,IF($AO$3115=1,F3117*G3117,F3117*I3117))</f>
        <v>0</v>
      </c>
      <c r="R3117" s="13"/>
      <c r="S3117" s="14" t="s">
        <v>6287</v>
      </c>
      <c r="AK3117">
        <v>0.09</v>
      </c>
      <c r="AL3117">
        <f t="shared" ref="AL3117:AL3136" si="1700">F3117*G3117</f>
        <v>0</v>
      </c>
      <c r="AM3117">
        <f t="shared" ref="AM3117:AM3136" si="1701">F3117*H3117</f>
        <v>0</v>
      </c>
      <c r="AN3117">
        <f t="shared" ref="AN3117:AN3157" si="1702">AK3117*F3117+IF(E3117&gt;1.01,F3117/E3117*0.2,0)</f>
        <v>0</v>
      </c>
      <c r="AV3117" t="str">
        <f>IF(F3117&gt;0,(COUNT($AV$1:AV3116)+1),"")</f>
        <v/>
      </c>
    </row>
    <row r="3118" spans="1:48" ht="15" customHeight="1" x14ac:dyDescent="0.25">
      <c r="A3118" s="1"/>
      <c r="B3118" s="31">
        <v>8000</v>
      </c>
      <c r="C3118" s="148">
        <v>4603699000175</v>
      </c>
      <c r="D3118" s="154" t="s">
        <v>1297</v>
      </c>
      <c r="E3118" s="323">
        <v>60</v>
      </c>
      <c r="F3118" s="222"/>
      <c r="G3118" s="108">
        <v>191.4</v>
      </c>
      <c r="H3118" s="17">
        <v>201</v>
      </c>
      <c r="I3118" s="18">
        <v>211</v>
      </c>
      <c r="J3118" s="113" t="s">
        <v>1296</v>
      </c>
      <c r="K3118" s="44" t="s">
        <v>5530</v>
      </c>
      <c r="L3118" s="442"/>
      <c r="M3118" s="480" t="s">
        <v>104</v>
      </c>
      <c r="N3118" s="1015"/>
      <c r="O3118" s="217" t="s">
        <v>6012</v>
      </c>
      <c r="P3118" s="68"/>
      <c r="Q3118" s="100">
        <f t="shared" si="1699"/>
        <v>0</v>
      </c>
      <c r="R3118" s="13" t="str">
        <f t="shared" si="1697"/>
        <v>Фото &gt;&gt;</v>
      </c>
      <c r="S3118" s="14" t="s">
        <v>6288</v>
      </c>
      <c r="AK3118">
        <v>0.02</v>
      </c>
      <c r="AL3118">
        <f t="shared" si="1700"/>
        <v>0</v>
      </c>
      <c r="AM3118">
        <f t="shared" si="1701"/>
        <v>0</v>
      </c>
      <c r="AN3118">
        <f t="shared" si="1702"/>
        <v>0</v>
      </c>
      <c r="AO3118" t="s">
        <v>5299</v>
      </c>
      <c r="AV3118" t="str">
        <f>IF(F3118&gt;0,(COUNT($AV$1:AV3117)+1),"")</f>
        <v/>
      </c>
    </row>
    <row r="3119" spans="1:48" ht="15" customHeight="1" x14ac:dyDescent="0.25">
      <c r="A3119" s="1"/>
      <c r="B3119" s="30">
        <v>13540</v>
      </c>
      <c r="C3119" s="149">
        <v>4601437053759</v>
      </c>
      <c r="D3119" s="153" t="s">
        <v>1298</v>
      </c>
      <c r="E3119" s="324">
        <v>12</v>
      </c>
      <c r="F3119" s="222"/>
      <c r="G3119" s="107">
        <v>307.39999999999998</v>
      </c>
      <c r="H3119" s="21">
        <v>323</v>
      </c>
      <c r="I3119" s="22">
        <v>339</v>
      </c>
      <c r="J3119" s="112" t="s">
        <v>1296</v>
      </c>
      <c r="K3119" s="45" t="s">
        <v>5530</v>
      </c>
      <c r="L3119" s="437"/>
      <c r="M3119" s="474" t="s">
        <v>104</v>
      </c>
      <c r="N3119" s="1013"/>
      <c r="O3119" s="212" t="s">
        <v>4226</v>
      </c>
      <c r="P3119" s="66"/>
      <c r="Q3119" s="100">
        <f t="shared" si="1699"/>
        <v>0</v>
      </c>
      <c r="R3119" s="13" t="str">
        <f t="shared" si="1697"/>
        <v>Фото &gt;&gt;</v>
      </c>
      <c r="S3119" s="14" t="s">
        <v>1299</v>
      </c>
      <c r="AK3119">
        <v>7.0000000000000007E-2</v>
      </c>
      <c r="AL3119">
        <f t="shared" si="1700"/>
        <v>0</v>
      </c>
      <c r="AM3119">
        <f t="shared" si="1701"/>
        <v>0</v>
      </c>
      <c r="AN3119">
        <f t="shared" si="1702"/>
        <v>0</v>
      </c>
      <c r="AO3119" t="s">
        <v>5300</v>
      </c>
      <c r="AV3119" t="str">
        <f>IF(F3119&gt;0,(COUNT($AV$1:AV3118)+1),"")</f>
        <v/>
      </c>
    </row>
    <row r="3120" spans="1:48" ht="15" customHeight="1" x14ac:dyDescent="0.25">
      <c r="A3120" s="1"/>
      <c r="B3120" s="31">
        <v>10236</v>
      </c>
      <c r="C3120" s="148">
        <v>4603699000052</v>
      </c>
      <c r="D3120" s="154" t="s">
        <v>1300</v>
      </c>
      <c r="E3120" s="323">
        <v>18</v>
      </c>
      <c r="F3120" s="222"/>
      <c r="G3120" s="108">
        <v>230.5</v>
      </c>
      <c r="H3120" s="17">
        <v>242</v>
      </c>
      <c r="I3120" s="18">
        <v>255</v>
      </c>
      <c r="J3120" s="113" t="s">
        <v>1296</v>
      </c>
      <c r="K3120" s="44" t="s">
        <v>5530</v>
      </c>
      <c r="L3120" s="442"/>
      <c r="M3120" s="480" t="s">
        <v>104</v>
      </c>
      <c r="N3120" s="1015"/>
      <c r="O3120" s="217" t="s">
        <v>4779</v>
      </c>
      <c r="P3120" s="68"/>
      <c r="Q3120" s="100">
        <f t="shared" si="1699"/>
        <v>0</v>
      </c>
      <c r="R3120" s="13" t="str">
        <f t="shared" si="1697"/>
        <v>Фото &gt;&gt;</v>
      </c>
      <c r="S3120" s="14" t="s">
        <v>1301</v>
      </c>
      <c r="AK3120">
        <v>0.11</v>
      </c>
      <c r="AL3120">
        <f t="shared" si="1700"/>
        <v>0</v>
      </c>
      <c r="AM3120">
        <f t="shared" si="1701"/>
        <v>0</v>
      </c>
      <c r="AN3120">
        <f t="shared" si="1702"/>
        <v>0</v>
      </c>
      <c r="AO3120" t="s">
        <v>5301</v>
      </c>
      <c r="AV3120" t="str">
        <f>IF(F3120&gt;0,(COUNT($AV$1:AV3119)+1),"")</f>
        <v/>
      </c>
    </row>
    <row r="3121" spans="1:48" ht="15" customHeight="1" x14ac:dyDescent="0.25">
      <c r="A3121" s="1"/>
      <c r="B3121" s="30">
        <v>8004</v>
      </c>
      <c r="C3121" s="149">
        <v>4603699000014</v>
      </c>
      <c r="D3121" s="153" t="s">
        <v>1302</v>
      </c>
      <c r="E3121" s="324">
        <v>45</v>
      </c>
      <c r="F3121" s="222"/>
      <c r="G3121" s="107">
        <v>162.4</v>
      </c>
      <c r="H3121" s="21">
        <v>170.5</v>
      </c>
      <c r="I3121" s="22">
        <v>180</v>
      </c>
      <c r="J3121" s="112" t="s">
        <v>1296</v>
      </c>
      <c r="K3121" s="45" t="s">
        <v>5530</v>
      </c>
      <c r="L3121" s="437"/>
      <c r="M3121" s="474" t="s">
        <v>104</v>
      </c>
      <c r="N3121" s="1013"/>
      <c r="O3121" s="212" t="s">
        <v>6011</v>
      </c>
      <c r="P3121" s="66"/>
      <c r="Q3121" s="100">
        <f t="shared" si="1699"/>
        <v>0</v>
      </c>
      <c r="R3121" s="13" t="str">
        <f t="shared" si="1697"/>
        <v>Фото &gt;&gt;</v>
      </c>
      <c r="S3121" s="14" t="s">
        <v>1303</v>
      </c>
      <c r="AK3121">
        <v>0.09</v>
      </c>
      <c r="AL3121">
        <f t="shared" si="1700"/>
        <v>0</v>
      </c>
      <c r="AM3121">
        <f t="shared" si="1701"/>
        <v>0</v>
      </c>
      <c r="AN3121">
        <f t="shared" si="1702"/>
        <v>0</v>
      </c>
      <c r="AO3121" t="s">
        <v>5302</v>
      </c>
      <c r="AV3121" t="str">
        <f>IF(F3121&gt;0,(COUNT($AV$1:AV3120)+1),"")</f>
        <v/>
      </c>
    </row>
    <row r="3122" spans="1:48" ht="15" customHeight="1" x14ac:dyDescent="0.25">
      <c r="A3122" s="1"/>
      <c r="B3122" s="31">
        <v>8003</v>
      </c>
      <c r="C3122" s="148">
        <v>4603699000182</v>
      </c>
      <c r="D3122" s="154" t="s">
        <v>1304</v>
      </c>
      <c r="E3122" s="323">
        <v>24</v>
      </c>
      <c r="F3122" s="222"/>
      <c r="G3122" s="108">
        <v>261</v>
      </c>
      <c r="H3122" s="17">
        <v>274</v>
      </c>
      <c r="I3122" s="18">
        <v>288</v>
      </c>
      <c r="J3122" s="113" t="s">
        <v>1296</v>
      </c>
      <c r="K3122" s="44" t="s">
        <v>5530</v>
      </c>
      <c r="L3122" s="442"/>
      <c r="M3122" s="480" t="s">
        <v>104</v>
      </c>
      <c r="N3122" s="1015"/>
      <c r="O3122" s="217" t="s">
        <v>2270</v>
      </c>
      <c r="P3122" s="68"/>
      <c r="Q3122" s="100">
        <f t="shared" si="1699"/>
        <v>0</v>
      </c>
      <c r="R3122" s="13" t="str">
        <f t="shared" si="1697"/>
        <v>Фото &gt;&gt;</v>
      </c>
      <c r="S3122" s="14" t="s">
        <v>1305</v>
      </c>
      <c r="AK3122">
        <v>7.0000000000000007E-2</v>
      </c>
      <c r="AL3122">
        <f t="shared" si="1700"/>
        <v>0</v>
      </c>
      <c r="AM3122">
        <f t="shared" si="1701"/>
        <v>0</v>
      </c>
      <c r="AN3122">
        <f t="shared" si="1702"/>
        <v>0</v>
      </c>
      <c r="AO3122" t="s">
        <v>5545</v>
      </c>
      <c r="AV3122" t="str">
        <f>IF(F3122&gt;0,(COUNT($AV$1:AV3121)+1),"")</f>
        <v/>
      </c>
    </row>
    <row r="3123" spans="1:48" ht="15" customHeight="1" x14ac:dyDescent="0.25">
      <c r="A3123" s="1"/>
      <c r="B3123" s="30">
        <v>9559</v>
      </c>
      <c r="C3123" s="149">
        <v>4603699000045</v>
      </c>
      <c r="D3123" s="153" t="s">
        <v>1306</v>
      </c>
      <c r="E3123" s="324">
        <v>120</v>
      </c>
      <c r="F3123" s="222"/>
      <c r="G3123" s="107">
        <v>240.7</v>
      </c>
      <c r="H3123" s="21">
        <v>252.7</v>
      </c>
      <c r="I3123" s="22">
        <v>265</v>
      </c>
      <c r="J3123" s="112" t="s">
        <v>1296</v>
      </c>
      <c r="K3123" s="45" t="s">
        <v>5530</v>
      </c>
      <c r="L3123" s="437"/>
      <c r="M3123" s="474" t="s">
        <v>104</v>
      </c>
      <c r="N3123" s="1013"/>
      <c r="O3123" s="212" t="s">
        <v>6013</v>
      </c>
      <c r="P3123" s="66"/>
      <c r="Q3123" s="100">
        <f t="shared" si="1699"/>
        <v>0</v>
      </c>
      <c r="R3123" s="13" t="str">
        <f t="shared" si="1697"/>
        <v>Фото &gt;&gt;</v>
      </c>
      <c r="S3123" s="14" t="s">
        <v>1307</v>
      </c>
      <c r="AK3123">
        <v>0.04</v>
      </c>
      <c r="AL3123">
        <f t="shared" si="1700"/>
        <v>0</v>
      </c>
      <c r="AM3123">
        <f t="shared" si="1701"/>
        <v>0</v>
      </c>
      <c r="AN3123">
        <f t="shared" si="1702"/>
        <v>0</v>
      </c>
      <c r="AO3123" t="s">
        <v>5303</v>
      </c>
      <c r="AV3123" t="str">
        <f>IF(F3123&gt;0,(COUNT($AV$1:AV3122)+1),"")</f>
        <v/>
      </c>
    </row>
    <row r="3124" spans="1:48" ht="15" customHeight="1" x14ac:dyDescent="0.25">
      <c r="A3124" s="1"/>
      <c r="B3124" s="31">
        <v>385</v>
      </c>
      <c r="C3124" s="148">
        <v>4603699000007</v>
      </c>
      <c r="D3124" s="154" t="s">
        <v>1308</v>
      </c>
      <c r="E3124" s="323">
        <v>96</v>
      </c>
      <c r="F3124" s="222"/>
      <c r="G3124" s="108">
        <v>232</v>
      </c>
      <c r="H3124" s="17">
        <v>243.6</v>
      </c>
      <c r="I3124" s="18">
        <v>256</v>
      </c>
      <c r="J3124" s="113" t="s">
        <v>1296</v>
      </c>
      <c r="K3124" s="44" t="s">
        <v>5530</v>
      </c>
      <c r="L3124" s="442"/>
      <c r="M3124" s="480" t="s">
        <v>104</v>
      </c>
      <c r="N3124" s="1015"/>
      <c r="O3124" s="217" t="s">
        <v>6014</v>
      </c>
      <c r="P3124" s="68"/>
      <c r="Q3124" s="100">
        <f t="shared" si="1699"/>
        <v>0</v>
      </c>
      <c r="R3124" s="13" t="str">
        <f t="shared" si="1697"/>
        <v>Фото &gt;&gt;</v>
      </c>
      <c r="S3124" s="14" t="s">
        <v>1309</v>
      </c>
      <c r="AK3124">
        <v>0.06</v>
      </c>
      <c r="AL3124">
        <f t="shared" si="1700"/>
        <v>0</v>
      </c>
      <c r="AM3124">
        <f t="shared" si="1701"/>
        <v>0</v>
      </c>
      <c r="AN3124">
        <f t="shared" si="1702"/>
        <v>0</v>
      </c>
      <c r="AO3124" t="s">
        <v>5304</v>
      </c>
      <c r="AV3124" t="str">
        <f>IF(F3124&gt;0,(COUNT($AV$1:AV3123)+1),"")</f>
        <v/>
      </c>
    </row>
    <row r="3125" spans="1:48" ht="15" customHeight="1" x14ac:dyDescent="0.25">
      <c r="A3125" s="1"/>
      <c r="B3125" s="25"/>
      <c r="C3125" s="26"/>
      <c r="D3125" s="27" t="s">
        <v>1311</v>
      </c>
      <c r="E3125" s="80"/>
      <c r="F3125" s="96"/>
      <c r="G3125" s="29"/>
      <c r="H3125" s="29"/>
      <c r="I3125" s="29"/>
      <c r="J3125" s="51"/>
      <c r="K3125" s="47"/>
      <c r="L3125" s="447"/>
      <c r="M3125" s="489" t="s">
        <v>104</v>
      </c>
      <c r="N3125" s="716"/>
      <c r="O3125" s="186"/>
      <c r="P3125" s="79"/>
      <c r="Q3125" s="104"/>
      <c r="R3125" s="13"/>
      <c r="S3125" s="14"/>
      <c r="AL3125">
        <f t="shared" si="1700"/>
        <v>0</v>
      </c>
      <c r="AM3125">
        <f t="shared" si="1701"/>
        <v>0</v>
      </c>
      <c r="AN3125">
        <f t="shared" si="1702"/>
        <v>0</v>
      </c>
      <c r="AO3125" t="s">
        <v>104</v>
      </c>
      <c r="AV3125" t="str">
        <f>IF(F3125&gt;0,(COUNT($AV$1:AV3124)+1),"")</f>
        <v/>
      </c>
    </row>
    <row r="3126" spans="1:48" ht="15" customHeight="1" x14ac:dyDescent="0.25">
      <c r="A3126" s="1"/>
      <c r="B3126" s="31">
        <v>12411</v>
      </c>
      <c r="C3126" s="148">
        <v>4607010246136</v>
      </c>
      <c r="D3126" s="154" t="s">
        <v>1310</v>
      </c>
      <c r="E3126" s="69">
        <v>50</v>
      </c>
      <c r="F3126" s="222"/>
      <c r="G3126" s="108">
        <v>256.3</v>
      </c>
      <c r="H3126" s="17">
        <v>267.39999999999998</v>
      </c>
      <c r="I3126" s="18">
        <v>278.60000000000002</v>
      </c>
      <c r="J3126" s="113" t="s">
        <v>1311</v>
      </c>
      <c r="K3126" s="44" t="s">
        <v>131</v>
      </c>
      <c r="L3126" s="442"/>
      <c r="M3126" s="480" t="s">
        <v>104</v>
      </c>
      <c r="N3126" s="1015"/>
      <c r="O3126" s="217"/>
      <c r="P3126" s="68" t="s">
        <v>50</v>
      </c>
      <c r="Q3126" s="100">
        <f t="shared" ref="Q3126:Q3157" si="1703">IF($AO$3115=2,F3126*H3126,IF($AO$3115=1,F3126*G3126,F3126*I3126))</f>
        <v>0</v>
      </c>
      <c r="R3126" s="13" t="str">
        <f t="shared" si="1697"/>
        <v>Фото &gt;&gt;</v>
      </c>
      <c r="S3126" s="14" t="s">
        <v>1312</v>
      </c>
      <c r="AK3126">
        <v>0.06</v>
      </c>
      <c r="AL3126">
        <f t="shared" si="1700"/>
        <v>0</v>
      </c>
      <c r="AM3126">
        <f t="shared" si="1701"/>
        <v>0</v>
      </c>
      <c r="AN3126">
        <f t="shared" si="1702"/>
        <v>0</v>
      </c>
      <c r="AO3126" t="s">
        <v>5305</v>
      </c>
      <c r="AV3126" t="str">
        <f>IF(F3126&gt;0,(COUNT($AV$1:AV3125)+1),"")</f>
        <v/>
      </c>
    </row>
    <row r="3127" spans="1:48" ht="15" customHeight="1" x14ac:dyDescent="0.25">
      <c r="A3127" s="1"/>
      <c r="B3127" s="30">
        <v>12412</v>
      </c>
      <c r="C3127" s="149">
        <v>4607010246143</v>
      </c>
      <c r="D3127" s="153" t="s">
        <v>1313</v>
      </c>
      <c r="E3127" s="67">
        <v>50</v>
      </c>
      <c r="F3127" s="222"/>
      <c r="G3127" s="107">
        <v>256.3</v>
      </c>
      <c r="H3127" s="21">
        <v>267.39999999999998</v>
      </c>
      <c r="I3127" s="22">
        <v>278.60000000000002</v>
      </c>
      <c r="J3127" s="112" t="s">
        <v>1311</v>
      </c>
      <c r="K3127" s="45" t="s">
        <v>131</v>
      </c>
      <c r="L3127" s="437"/>
      <c r="M3127" s="474" t="s">
        <v>104</v>
      </c>
      <c r="N3127" s="1013"/>
      <c r="O3127" s="212"/>
      <c r="P3127" s="66" t="s">
        <v>50</v>
      </c>
      <c r="Q3127" s="100">
        <f t="shared" si="1703"/>
        <v>0</v>
      </c>
      <c r="R3127" s="13" t="str">
        <f t="shared" si="1697"/>
        <v>Фото &gt;&gt;</v>
      </c>
      <c r="S3127" s="14" t="s">
        <v>1314</v>
      </c>
      <c r="AK3127">
        <v>0.06</v>
      </c>
      <c r="AL3127">
        <f t="shared" si="1700"/>
        <v>0</v>
      </c>
      <c r="AM3127">
        <f t="shared" si="1701"/>
        <v>0</v>
      </c>
      <c r="AN3127">
        <f t="shared" si="1702"/>
        <v>0</v>
      </c>
      <c r="AO3127" t="s">
        <v>5306</v>
      </c>
      <c r="AV3127" t="str">
        <f>IF(F3127&gt;0,(COUNT($AV$1:AV3126)+1),"")</f>
        <v/>
      </c>
    </row>
    <row r="3128" spans="1:48" ht="15" customHeight="1" x14ac:dyDescent="0.25">
      <c r="A3128" s="1"/>
      <c r="B3128" s="31">
        <v>12732</v>
      </c>
      <c r="C3128" s="148">
        <v>4607010246303</v>
      </c>
      <c r="D3128" s="154" t="s">
        <v>1595</v>
      </c>
      <c r="E3128" s="69">
        <v>48</v>
      </c>
      <c r="F3128" s="222"/>
      <c r="G3128" s="108">
        <v>383.3</v>
      </c>
      <c r="H3128" s="17">
        <v>401.6</v>
      </c>
      <c r="I3128" s="18">
        <v>442.3</v>
      </c>
      <c r="J3128" s="113" t="s">
        <v>1311</v>
      </c>
      <c r="K3128" s="44" t="s">
        <v>153</v>
      </c>
      <c r="L3128" s="442"/>
      <c r="M3128" s="480" t="s">
        <v>104</v>
      </c>
      <c r="N3128" s="1015"/>
      <c r="O3128" s="217"/>
      <c r="P3128" s="68" t="s">
        <v>50</v>
      </c>
      <c r="Q3128" s="100">
        <f t="shared" si="1703"/>
        <v>0</v>
      </c>
      <c r="R3128" s="13" t="str">
        <f t="shared" si="1697"/>
        <v>Фото &gt;&gt;</v>
      </c>
      <c r="S3128" s="14" t="s">
        <v>1315</v>
      </c>
      <c r="AK3128">
        <v>0.09</v>
      </c>
      <c r="AL3128">
        <f t="shared" si="1700"/>
        <v>0</v>
      </c>
      <c r="AM3128">
        <f t="shared" si="1701"/>
        <v>0</v>
      </c>
      <c r="AN3128">
        <f t="shared" si="1702"/>
        <v>0</v>
      </c>
      <c r="AO3128" t="s">
        <v>5307</v>
      </c>
      <c r="AV3128" t="str">
        <f>IF(F3128&gt;0,(COUNT($AV$1:AV3127)+1),"")</f>
        <v/>
      </c>
    </row>
    <row r="3129" spans="1:48" ht="15" customHeight="1" x14ac:dyDescent="0.25">
      <c r="A3129" s="1"/>
      <c r="B3129" s="30">
        <v>9512</v>
      </c>
      <c r="C3129" s="149">
        <v>4607010245153</v>
      </c>
      <c r="D3129" s="153" t="s">
        <v>1596</v>
      </c>
      <c r="E3129" s="67">
        <v>56</v>
      </c>
      <c r="F3129" s="222"/>
      <c r="G3129" s="107">
        <v>232</v>
      </c>
      <c r="H3129" s="21">
        <v>243</v>
      </c>
      <c r="I3129" s="22">
        <v>255</v>
      </c>
      <c r="J3129" s="112" t="s">
        <v>1311</v>
      </c>
      <c r="K3129" s="45" t="s">
        <v>153</v>
      </c>
      <c r="L3129" s="437"/>
      <c r="M3129" s="474" t="s">
        <v>104</v>
      </c>
      <c r="N3129" s="1013"/>
      <c r="O3129" s="212"/>
      <c r="P3129" s="66" t="s">
        <v>50</v>
      </c>
      <c r="Q3129" s="100">
        <f t="shared" si="1703"/>
        <v>0</v>
      </c>
      <c r="R3129" s="13" t="str">
        <f t="shared" si="1697"/>
        <v>Фото &gt;&gt;</v>
      </c>
      <c r="S3129" s="14" t="s">
        <v>1316</v>
      </c>
      <c r="AK3129">
        <v>0.03</v>
      </c>
      <c r="AL3129">
        <f t="shared" si="1700"/>
        <v>0</v>
      </c>
      <c r="AM3129">
        <f t="shared" si="1701"/>
        <v>0</v>
      </c>
      <c r="AN3129">
        <f t="shared" si="1702"/>
        <v>0</v>
      </c>
      <c r="AO3129" t="s">
        <v>5308</v>
      </c>
      <c r="AV3129" t="str">
        <f>IF(F3129&gt;0,(COUNT($AV$1:AV3128)+1),"")</f>
        <v/>
      </c>
    </row>
    <row r="3130" spans="1:48" ht="15" customHeight="1" x14ac:dyDescent="0.25">
      <c r="A3130" s="1"/>
      <c r="B3130" s="31">
        <v>12731</v>
      </c>
      <c r="C3130" s="148">
        <v>4607010246310</v>
      </c>
      <c r="D3130" s="154" t="s">
        <v>1597</v>
      </c>
      <c r="E3130" s="69">
        <v>48</v>
      </c>
      <c r="F3130" s="222"/>
      <c r="G3130" s="108">
        <v>347.7</v>
      </c>
      <c r="H3130" s="17">
        <v>363</v>
      </c>
      <c r="I3130" s="18">
        <v>378.2</v>
      </c>
      <c r="J3130" s="113" t="s">
        <v>1311</v>
      </c>
      <c r="K3130" s="44" t="s">
        <v>153</v>
      </c>
      <c r="L3130" s="442"/>
      <c r="M3130" s="480" t="s">
        <v>104</v>
      </c>
      <c r="N3130" s="1015"/>
      <c r="O3130" s="217"/>
      <c r="P3130" s="68" t="s">
        <v>50</v>
      </c>
      <c r="Q3130" s="100">
        <f t="shared" si="1703"/>
        <v>0</v>
      </c>
      <c r="R3130" s="13" t="str">
        <f t="shared" si="1697"/>
        <v>Фото &gt;&gt;</v>
      </c>
      <c r="S3130" s="14" t="s">
        <v>1317</v>
      </c>
      <c r="AK3130">
        <v>0.09</v>
      </c>
      <c r="AL3130">
        <f t="shared" si="1700"/>
        <v>0</v>
      </c>
      <c r="AM3130">
        <f t="shared" si="1701"/>
        <v>0</v>
      </c>
      <c r="AN3130">
        <f t="shared" si="1702"/>
        <v>0</v>
      </c>
      <c r="AO3130" t="s">
        <v>5507</v>
      </c>
      <c r="AV3130" t="str">
        <f>IF(F3130&gt;0,(COUNT($AV$1:AV3129)+1),"")</f>
        <v/>
      </c>
    </row>
    <row r="3131" spans="1:48" ht="15" customHeight="1" x14ac:dyDescent="0.25">
      <c r="A3131" s="1"/>
      <c r="B3131" s="30">
        <v>11595</v>
      </c>
      <c r="C3131" s="149">
        <v>4607010245856</v>
      </c>
      <c r="D3131" s="153" t="s">
        <v>1598</v>
      </c>
      <c r="E3131" s="67">
        <v>48</v>
      </c>
      <c r="F3131" s="222"/>
      <c r="G3131" s="107">
        <v>152.6</v>
      </c>
      <c r="H3131" s="21">
        <v>159.69999999999999</v>
      </c>
      <c r="I3131" s="22">
        <v>165.8</v>
      </c>
      <c r="J3131" s="112" t="s">
        <v>1311</v>
      </c>
      <c r="K3131" s="45" t="s">
        <v>153</v>
      </c>
      <c r="L3131" s="437"/>
      <c r="M3131" s="474" t="s">
        <v>104</v>
      </c>
      <c r="N3131" s="1013"/>
      <c r="O3131" s="212"/>
      <c r="P3131" s="66" t="s">
        <v>50</v>
      </c>
      <c r="Q3131" s="100">
        <f t="shared" si="1703"/>
        <v>0</v>
      </c>
      <c r="R3131" s="13" t="str">
        <f t="shared" si="1697"/>
        <v>Фото &gt;&gt;</v>
      </c>
      <c r="S3131" s="14" t="s">
        <v>1318</v>
      </c>
      <c r="AK3131">
        <v>0.09</v>
      </c>
      <c r="AL3131">
        <f t="shared" si="1700"/>
        <v>0</v>
      </c>
      <c r="AM3131">
        <f t="shared" si="1701"/>
        <v>0</v>
      </c>
      <c r="AN3131">
        <f t="shared" si="1702"/>
        <v>0</v>
      </c>
      <c r="AO3131" t="s">
        <v>5309</v>
      </c>
      <c r="AV3131" t="str">
        <f>IF(F3131&gt;0,(COUNT($AV$1:AV3130)+1),"")</f>
        <v/>
      </c>
    </row>
    <row r="3132" spans="1:48" ht="15" customHeight="1" x14ac:dyDescent="0.25">
      <c r="A3132" s="1"/>
      <c r="B3132" s="31">
        <v>11596</v>
      </c>
      <c r="C3132" s="148">
        <v>4607010245863</v>
      </c>
      <c r="D3132" s="154" t="s">
        <v>1599</v>
      </c>
      <c r="E3132" s="69">
        <v>48</v>
      </c>
      <c r="F3132" s="222"/>
      <c r="G3132" s="108">
        <v>152.6</v>
      </c>
      <c r="H3132" s="17">
        <v>159.69999999999999</v>
      </c>
      <c r="I3132" s="18">
        <v>165.8</v>
      </c>
      <c r="J3132" s="113" t="s">
        <v>1311</v>
      </c>
      <c r="K3132" s="44" t="s">
        <v>153</v>
      </c>
      <c r="L3132" s="442"/>
      <c r="M3132" s="480" t="s">
        <v>104</v>
      </c>
      <c r="N3132" s="1015"/>
      <c r="O3132" s="217"/>
      <c r="P3132" s="68" t="s">
        <v>50</v>
      </c>
      <c r="Q3132" s="100">
        <f t="shared" si="1703"/>
        <v>0</v>
      </c>
      <c r="R3132" s="13" t="str">
        <f t="shared" si="1697"/>
        <v>Фото &gt;&gt;</v>
      </c>
      <c r="S3132" s="14" t="s">
        <v>1319</v>
      </c>
      <c r="AK3132">
        <v>0.09</v>
      </c>
      <c r="AL3132">
        <f t="shared" si="1700"/>
        <v>0</v>
      </c>
      <c r="AM3132">
        <f t="shared" si="1701"/>
        <v>0</v>
      </c>
      <c r="AN3132">
        <f t="shared" si="1702"/>
        <v>0</v>
      </c>
      <c r="AO3132" t="s">
        <v>5310</v>
      </c>
      <c r="AV3132" t="str">
        <f>IF(F3132&gt;0,(COUNT($AV$1:AV3131)+1),"")</f>
        <v/>
      </c>
    </row>
    <row r="3133" spans="1:48" ht="15" customHeight="1" x14ac:dyDescent="0.25">
      <c r="A3133" s="1"/>
      <c r="B3133" s="30">
        <v>13125</v>
      </c>
      <c r="C3133" s="149">
        <v>4607010246525</v>
      </c>
      <c r="D3133" s="153" t="s">
        <v>1600</v>
      </c>
      <c r="E3133" s="67">
        <v>48</v>
      </c>
      <c r="F3133" s="222"/>
      <c r="G3133" s="107">
        <v>188.1</v>
      </c>
      <c r="H3133" s="21">
        <v>197.3</v>
      </c>
      <c r="I3133" s="22">
        <v>217.6</v>
      </c>
      <c r="J3133" s="112" t="s">
        <v>1311</v>
      </c>
      <c r="K3133" s="45" t="s">
        <v>153</v>
      </c>
      <c r="L3133" s="437"/>
      <c r="M3133" s="474" t="s">
        <v>104</v>
      </c>
      <c r="N3133" s="1013"/>
      <c r="O3133" s="212"/>
      <c r="P3133" s="66" t="s">
        <v>50</v>
      </c>
      <c r="Q3133" s="100">
        <f t="shared" si="1703"/>
        <v>0</v>
      </c>
      <c r="R3133" s="13"/>
      <c r="S3133" s="14" t="s">
        <v>1320</v>
      </c>
      <c r="AK3133">
        <v>0.09</v>
      </c>
      <c r="AL3133">
        <f t="shared" si="1700"/>
        <v>0</v>
      </c>
      <c r="AM3133">
        <f t="shared" si="1701"/>
        <v>0</v>
      </c>
      <c r="AN3133">
        <f t="shared" si="1702"/>
        <v>0</v>
      </c>
      <c r="AO3133" t="s">
        <v>104</v>
      </c>
      <c r="AV3133" t="str">
        <f>IF(F3133&gt;0,(COUNT($AV$1:AV3132)+1),"")</f>
        <v/>
      </c>
    </row>
    <row r="3134" spans="1:48" ht="15" customHeight="1" x14ac:dyDescent="0.25">
      <c r="A3134" s="1"/>
      <c r="B3134" s="31">
        <v>9369</v>
      </c>
      <c r="C3134" s="148">
        <v>4607010244545</v>
      </c>
      <c r="D3134" s="154" t="s">
        <v>1601</v>
      </c>
      <c r="E3134" s="69">
        <v>48</v>
      </c>
      <c r="F3134" s="222"/>
      <c r="G3134" s="108">
        <v>134.19999999999999</v>
      </c>
      <c r="H3134" s="17">
        <v>140.30000000000001</v>
      </c>
      <c r="I3134" s="18">
        <v>146.4</v>
      </c>
      <c r="J3134" s="113" t="s">
        <v>1311</v>
      </c>
      <c r="K3134" s="44" t="s">
        <v>153</v>
      </c>
      <c r="L3134" s="442"/>
      <c r="M3134" s="480" t="s">
        <v>104</v>
      </c>
      <c r="N3134" s="1015"/>
      <c r="O3134" s="217"/>
      <c r="P3134" s="68" t="s">
        <v>50</v>
      </c>
      <c r="Q3134" s="100">
        <f t="shared" si="1703"/>
        <v>0</v>
      </c>
      <c r="R3134" s="13" t="str">
        <f t="shared" si="1697"/>
        <v>Фото &gt;&gt;</v>
      </c>
      <c r="S3134" s="14" t="s">
        <v>1321</v>
      </c>
      <c r="AK3134">
        <v>0.09</v>
      </c>
      <c r="AL3134">
        <f t="shared" si="1700"/>
        <v>0</v>
      </c>
      <c r="AM3134">
        <f t="shared" si="1701"/>
        <v>0</v>
      </c>
      <c r="AN3134">
        <f t="shared" si="1702"/>
        <v>0</v>
      </c>
      <c r="AO3134" t="s">
        <v>5508</v>
      </c>
      <c r="AV3134" t="str">
        <f>IF(F3134&gt;0,(COUNT($AV$1:AV3133)+1),"")</f>
        <v/>
      </c>
    </row>
    <row r="3135" spans="1:48" ht="15" customHeight="1" x14ac:dyDescent="0.25">
      <c r="A3135" s="1"/>
      <c r="B3135" s="30">
        <v>9372</v>
      </c>
      <c r="C3135" s="149">
        <v>4607010244552</v>
      </c>
      <c r="D3135" s="153" t="s">
        <v>1602</v>
      </c>
      <c r="E3135" s="67">
        <v>48</v>
      </c>
      <c r="F3135" s="222"/>
      <c r="G3135" s="107">
        <v>146.5</v>
      </c>
      <c r="H3135" s="21">
        <v>152.6</v>
      </c>
      <c r="I3135" s="22">
        <v>159.69999999999999</v>
      </c>
      <c r="J3135" s="112" t="s">
        <v>1311</v>
      </c>
      <c r="K3135" s="45" t="s">
        <v>153</v>
      </c>
      <c r="L3135" s="437"/>
      <c r="M3135" s="474" t="s">
        <v>104</v>
      </c>
      <c r="N3135" s="1013"/>
      <c r="O3135" s="212"/>
      <c r="P3135" s="66" t="s">
        <v>50</v>
      </c>
      <c r="Q3135" s="100">
        <f t="shared" si="1703"/>
        <v>0</v>
      </c>
      <c r="R3135" s="13" t="str">
        <f t="shared" si="1697"/>
        <v>Фото &gt;&gt;</v>
      </c>
      <c r="S3135" s="14" t="s">
        <v>1322</v>
      </c>
      <c r="AK3135">
        <v>0.09</v>
      </c>
      <c r="AL3135">
        <f t="shared" si="1700"/>
        <v>0</v>
      </c>
      <c r="AM3135">
        <f t="shared" si="1701"/>
        <v>0</v>
      </c>
      <c r="AN3135">
        <f t="shared" si="1702"/>
        <v>0</v>
      </c>
      <c r="AO3135" t="s">
        <v>5311</v>
      </c>
      <c r="AV3135" t="str">
        <f>IF(F3135&gt;0,(COUNT($AV$1:AV3134)+1),"")</f>
        <v/>
      </c>
    </row>
    <row r="3136" spans="1:48" ht="15" customHeight="1" x14ac:dyDescent="0.25">
      <c r="A3136" s="1"/>
      <c r="B3136" s="31">
        <v>11597</v>
      </c>
      <c r="C3136" s="148">
        <v>4607010245900</v>
      </c>
      <c r="D3136" s="154" t="s">
        <v>1603</v>
      </c>
      <c r="E3136" s="69">
        <v>48</v>
      </c>
      <c r="F3136" s="222"/>
      <c r="G3136" s="108">
        <v>170</v>
      </c>
      <c r="H3136" s="17">
        <v>178.5</v>
      </c>
      <c r="I3136" s="18">
        <v>187.5</v>
      </c>
      <c r="J3136" s="113" t="s">
        <v>1311</v>
      </c>
      <c r="K3136" s="44" t="s">
        <v>151</v>
      </c>
      <c r="L3136" s="442"/>
      <c r="M3136" s="480" t="s">
        <v>104</v>
      </c>
      <c r="N3136" s="1015"/>
      <c r="O3136" s="217"/>
      <c r="P3136" s="68" t="s">
        <v>50</v>
      </c>
      <c r="Q3136" s="100">
        <f t="shared" si="1703"/>
        <v>0</v>
      </c>
      <c r="R3136" s="13" t="str">
        <f t="shared" si="1697"/>
        <v>Фото &gt;&gt;</v>
      </c>
      <c r="S3136" s="14" t="s">
        <v>1323</v>
      </c>
      <c r="AK3136">
        <v>0.09</v>
      </c>
      <c r="AL3136">
        <f t="shared" si="1700"/>
        <v>0</v>
      </c>
      <c r="AM3136">
        <f t="shared" si="1701"/>
        <v>0</v>
      </c>
      <c r="AN3136">
        <f t="shared" si="1702"/>
        <v>0</v>
      </c>
      <c r="AO3136" t="s">
        <v>5312</v>
      </c>
      <c r="AV3136" t="str">
        <f>IF(F3136&gt;0,(COUNT($AV$1:AV3135)+1),"")</f>
        <v/>
      </c>
    </row>
    <row r="3137" spans="1:48" ht="15" customHeight="1" x14ac:dyDescent="0.25">
      <c r="A3137" s="1"/>
      <c r="B3137" s="30">
        <v>12204</v>
      </c>
      <c r="C3137" s="149">
        <v>4601811011061</v>
      </c>
      <c r="D3137" s="153" t="s">
        <v>1324</v>
      </c>
      <c r="E3137" s="67">
        <v>48</v>
      </c>
      <c r="F3137" s="222"/>
      <c r="G3137" s="107">
        <v>171.1</v>
      </c>
      <c r="H3137" s="21">
        <v>178.5</v>
      </c>
      <c r="I3137" s="22">
        <v>185.9</v>
      </c>
      <c r="J3137" s="112" t="s">
        <v>1311</v>
      </c>
      <c r="K3137" s="45" t="s">
        <v>154</v>
      </c>
      <c r="L3137" s="437"/>
      <c r="M3137" s="474" t="s">
        <v>104</v>
      </c>
      <c r="N3137" s="1013"/>
      <c r="O3137" s="212"/>
      <c r="P3137" s="66" t="s">
        <v>50</v>
      </c>
      <c r="Q3137" s="100">
        <f t="shared" si="1703"/>
        <v>0</v>
      </c>
      <c r="R3137" s="13" t="str">
        <f t="shared" si="1697"/>
        <v>Фото &gt;&gt;</v>
      </c>
      <c r="S3137" s="14" t="s">
        <v>1325</v>
      </c>
      <c r="AK3137">
        <v>0.09</v>
      </c>
      <c r="AL3137">
        <f t="shared" ref="AL3137:AL3157" si="1704">F3137*G3137</f>
        <v>0</v>
      </c>
      <c r="AM3137">
        <f t="shared" ref="AM3137:AM3157" si="1705">F3137*H3137</f>
        <v>0</v>
      </c>
      <c r="AN3137">
        <f t="shared" si="1702"/>
        <v>0</v>
      </c>
      <c r="AO3137" t="s">
        <v>5313</v>
      </c>
      <c r="AV3137" t="str">
        <f>IF(F3137&gt;0,(COUNT($AV$1:AV3136)+1),"")</f>
        <v/>
      </c>
    </row>
    <row r="3138" spans="1:48" ht="15" customHeight="1" x14ac:dyDescent="0.25">
      <c r="A3138" s="1"/>
      <c r="B3138" s="31">
        <v>11594</v>
      </c>
      <c r="C3138" s="148">
        <v>4607010245849</v>
      </c>
      <c r="D3138" s="154" t="s">
        <v>1326</v>
      </c>
      <c r="E3138" s="69">
        <v>48</v>
      </c>
      <c r="F3138" s="222"/>
      <c r="G3138" s="108">
        <v>152.69999999999999</v>
      </c>
      <c r="H3138" s="17">
        <v>159.4</v>
      </c>
      <c r="I3138" s="18">
        <v>166</v>
      </c>
      <c r="J3138" s="113" t="s">
        <v>1311</v>
      </c>
      <c r="K3138" s="44" t="s">
        <v>154</v>
      </c>
      <c r="L3138" s="442"/>
      <c r="M3138" s="480" t="s">
        <v>104</v>
      </c>
      <c r="N3138" s="1015"/>
      <c r="O3138" s="217"/>
      <c r="P3138" s="68" t="s">
        <v>50</v>
      </c>
      <c r="Q3138" s="100">
        <f t="shared" si="1703"/>
        <v>0</v>
      </c>
      <c r="R3138" s="13" t="str">
        <f t="shared" si="1697"/>
        <v>Фото &gt;&gt;</v>
      </c>
      <c r="S3138" s="14" t="s">
        <v>1327</v>
      </c>
      <c r="AK3138">
        <v>0.09</v>
      </c>
      <c r="AL3138">
        <f t="shared" si="1704"/>
        <v>0</v>
      </c>
      <c r="AM3138">
        <f t="shared" si="1705"/>
        <v>0</v>
      </c>
      <c r="AN3138">
        <f t="shared" si="1702"/>
        <v>0</v>
      </c>
      <c r="AO3138" t="s">
        <v>5314</v>
      </c>
      <c r="AV3138" t="str">
        <f>IF(F3138&gt;0,(COUNT($AV$1:AV3137)+1),"")</f>
        <v/>
      </c>
    </row>
    <row r="3139" spans="1:48" ht="15" customHeight="1" x14ac:dyDescent="0.25">
      <c r="A3139" s="1"/>
      <c r="B3139" s="30">
        <v>13126</v>
      </c>
      <c r="C3139" s="149">
        <v>4607010246518</v>
      </c>
      <c r="D3139" s="153" t="s">
        <v>1328</v>
      </c>
      <c r="E3139" s="67">
        <v>48</v>
      </c>
      <c r="F3139" s="222"/>
      <c r="G3139" s="107">
        <v>170.9</v>
      </c>
      <c r="H3139" s="21">
        <v>178</v>
      </c>
      <c r="I3139" s="22">
        <v>186.1</v>
      </c>
      <c r="J3139" s="112" t="s">
        <v>1311</v>
      </c>
      <c r="K3139" s="45" t="s">
        <v>154</v>
      </c>
      <c r="L3139" s="437"/>
      <c r="M3139" s="474" t="s">
        <v>104</v>
      </c>
      <c r="N3139" s="1013"/>
      <c r="O3139" s="212"/>
      <c r="P3139" s="66" t="s">
        <v>50</v>
      </c>
      <c r="Q3139" s="100">
        <f t="shared" si="1703"/>
        <v>0</v>
      </c>
      <c r="R3139" s="13"/>
      <c r="S3139" s="14" t="s">
        <v>1329</v>
      </c>
      <c r="AK3139">
        <v>0.09</v>
      </c>
      <c r="AL3139">
        <f t="shared" si="1704"/>
        <v>0</v>
      </c>
      <c r="AM3139">
        <f t="shared" si="1705"/>
        <v>0</v>
      </c>
      <c r="AN3139">
        <f t="shared" si="1702"/>
        <v>0</v>
      </c>
      <c r="AO3139" t="s">
        <v>104</v>
      </c>
      <c r="AV3139" t="str">
        <f>IF(F3139&gt;0,(COUNT($AV$1:AV3138)+1),"")</f>
        <v/>
      </c>
    </row>
    <row r="3140" spans="1:48" ht="15" customHeight="1" x14ac:dyDescent="0.25">
      <c r="A3140" s="1"/>
      <c r="B3140" s="31">
        <v>12733</v>
      </c>
      <c r="C3140" s="148">
        <v>4607010246327</v>
      </c>
      <c r="D3140" s="154" t="s">
        <v>1330</v>
      </c>
      <c r="E3140" s="69">
        <v>48</v>
      </c>
      <c r="F3140" s="222"/>
      <c r="G3140" s="108">
        <v>201.6</v>
      </c>
      <c r="H3140" s="17">
        <v>210.3</v>
      </c>
      <c r="I3140" s="18">
        <v>219</v>
      </c>
      <c r="J3140" s="113" t="s">
        <v>1311</v>
      </c>
      <c r="K3140" s="44" t="s">
        <v>154</v>
      </c>
      <c r="L3140" s="442"/>
      <c r="M3140" s="480" t="s">
        <v>104</v>
      </c>
      <c r="N3140" s="1015"/>
      <c r="O3140" s="217"/>
      <c r="P3140" s="68" t="s">
        <v>50</v>
      </c>
      <c r="Q3140" s="100">
        <f t="shared" si="1703"/>
        <v>0</v>
      </c>
      <c r="R3140" s="13" t="str">
        <f t="shared" si="1697"/>
        <v>Фото &gt;&gt;</v>
      </c>
      <c r="S3140" s="14" t="s">
        <v>1331</v>
      </c>
      <c r="AK3140">
        <v>0.09</v>
      </c>
      <c r="AL3140">
        <f t="shared" si="1704"/>
        <v>0</v>
      </c>
      <c r="AM3140">
        <f t="shared" si="1705"/>
        <v>0</v>
      </c>
      <c r="AN3140">
        <f t="shared" si="1702"/>
        <v>0</v>
      </c>
      <c r="AO3140" t="s">
        <v>5315</v>
      </c>
      <c r="AV3140" t="str">
        <f>IF(F3140&gt;0,(COUNT($AV$1:AV3139)+1),"")</f>
        <v/>
      </c>
    </row>
    <row r="3141" spans="1:48" ht="15" customHeight="1" x14ac:dyDescent="0.25">
      <c r="A3141" s="1"/>
      <c r="B3141" s="30">
        <v>12205</v>
      </c>
      <c r="C3141" s="149">
        <v>4601811011047</v>
      </c>
      <c r="D3141" s="153" t="s">
        <v>1332</v>
      </c>
      <c r="E3141" s="67">
        <v>48</v>
      </c>
      <c r="F3141" s="222"/>
      <c r="G3141" s="107">
        <v>185</v>
      </c>
      <c r="H3141" s="21">
        <v>194</v>
      </c>
      <c r="I3141" s="22">
        <v>204</v>
      </c>
      <c r="J3141" s="112" t="s">
        <v>1311</v>
      </c>
      <c r="K3141" s="45" t="s">
        <v>154</v>
      </c>
      <c r="L3141" s="437"/>
      <c r="M3141" s="474" t="s">
        <v>104</v>
      </c>
      <c r="N3141" s="1013"/>
      <c r="O3141" s="212"/>
      <c r="P3141" s="66" t="s">
        <v>50</v>
      </c>
      <c r="Q3141" s="100">
        <f t="shared" si="1703"/>
        <v>0</v>
      </c>
      <c r="R3141" s="13" t="str">
        <f t="shared" si="1697"/>
        <v>Фото &gt;&gt;</v>
      </c>
      <c r="S3141" s="14" t="s">
        <v>1333</v>
      </c>
      <c r="AK3141">
        <v>0.09</v>
      </c>
      <c r="AL3141">
        <f t="shared" si="1704"/>
        <v>0</v>
      </c>
      <c r="AM3141">
        <f t="shared" si="1705"/>
        <v>0</v>
      </c>
      <c r="AN3141">
        <f t="shared" si="1702"/>
        <v>0</v>
      </c>
      <c r="AO3141" t="s">
        <v>5316</v>
      </c>
      <c r="AV3141" t="str">
        <f>IF(F3141&gt;0,(COUNT($AV$1:AV3140)+1),"")</f>
        <v/>
      </c>
    </row>
    <row r="3142" spans="1:48" ht="15" customHeight="1" x14ac:dyDescent="0.25">
      <c r="A3142" s="1"/>
      <c r="B3142" s="31">
        <v>12207</v>
      </c>
      <c r="C3142" s="148">
        <v>4601811011054</v>
      </c>
      <c r="D3142" s="154" t="s">
        <v>1334</v>
      </c>
      <c r="E3142" s="69">
        <v>48</v>
      </c>
      <c r="F3142" s="222"/>
      <c r="G3142" s="108">
        <v>170.9</v>
      </c>
      <c r="H3142" s="17">
        <v>178</v>
      </c>
      <c r="I3142" s="18">
        <v>186.1</v>
      </c>
      <c r="J3142" s="113" t="s">
        <v>1311</v>
      </c>
      <c r="K3142" s="44" t="s">
        <v>154</v>
      </c>
      <c r="L3142" s="442"/>
      <c r="M3142" s="480" t="s">
        <v>104</v>
      </c>
      <c r="N3142" s="1015"/>
      <c r="O3142" s="217"/>
      <c r="P3142" s="68" t="s">
        <v>50</v>
      </c>
      <c r="Q3142" s="100">
        <f t="shared" si="1703"/>
        <v>0</v>
      </c>
      <c r="R3142" s="13" t="str">
        <f t="shared" si="1697"/>
        <v>Фото &gt;&gt;</v>
      </c>
      <c r="S3142" s="14" t="s">
        <v>1335</v>
      </c>
      <c r="AK3142">
        <v>0.09</v>
      </c>
      <c r="AL3142">
        <f t="shared" si="1704"/>
        <v>0</v>
      </c>
      <c r="AM3142">
        <f t="shared" si="1705"/>
        <v>0</v>
      </c>
      <c r="AN3142">
        <f t="shared" si="1702"/>
        <v>0</v>
      </c>
      <c r="AO3142" t="s">
        <v>5317</v>
      </c>
      <c r="AV3142" t="str">
        <f>IF(F3142&gt;0,(COUNT($AV$1:AV3141)+1),"")</f>
        <v/>
      </c>
    </row>
    <row r="3143" spans="1:48" ht="15" customHeight="1" x14ac:dyDescent="0.25">
      <c r="A3143" s="1"/>
      <c r="B3143" s="31">
        <v>9371</v>
      </c>
      <c r="C3143" s="148">
        <v>4607010244538</v>
      </c>
      <c r="D3143" s="154" t="s">
        <v>1336</v>
      </c>
      <c r="E3143" s="69">
        <v>48</v>
      </c>
      <c r="F3143" s="222"/>
      <c r="G3143" s="108">
        <v>134.19999999999999</v>
      </c>
      <c r="H3143" s="17">
        <v>140.30000000000001</v>
      </c>
      <c r="I3143" s="18">
        <v>146.4</v>
      </c>
      <c r="J3143" s="113" t="s">
        <v>1311</v>
      </c>
      <c r="K3143" s="44" t="s">
        <v>154</v>
      </c>
      <c r="L3143" s="442"/>
      <c r="M3143" s="480" t="s">
        <v>104</v>
      </c>
      <c r="N3143" s="1015"/>
      <c r="O3143" s="217"/>
      <c r="P3143" s="68" t="s">
        <v>50</v>
      </c>
      <c r="Q3143" s="100">
        <f t="shared" si="1703"/>
        <v>0</v>
      </c>
      <c r="R3143" s="13" t="str">
        <f t="shared" si="1697"/>
        <v>Фото &gt;&gt;</v>
      </c>
      <c r="S3143" s="14" t="s">
        <v>1337</v>
      </c>
      <c r="AK3143">
        <v>0.09</v>
      </c>
      <c r="AL3143">
        <f t="shared" si="1704"/>
        <v>0</v>
      </c>
      <c r="AM3143">
        <f t="shared" si="1705"/>
        <v>0</v>
      </c>
      <c r="AN3143">
        <f t="shared" si="1702"/>
        <v>0</v>
      </c>
      <c r="AO3143" t="s">
        <v>5318</v>
      </c>
      <c r="AV3143" t="str">
        <f>IF(F3143&gt;0,(COUNT($AV$1:AV3142)+1),"")</f>
        <v/>
      </c>
    </row>
    <row r="3144" spans="1:48" ht="15" customHeight="1" x14ac:dyDescent="0.25">
      <c r="A3144" s="1"/>
      <c r="B3144" s="30">
        <v>9370</v>
      </c>
      <c r="C3144" s="149">
        <v>4607010244569</v>
      </c>
      <c r="D3144" s="153" t="s">
        <v>1338</v>
      </c>
      <c r="E3144" s="67">
        <v>48</v>
      </c>
      <c r="F3144" s="222"/>
      <c r="G3144" s="107">
        <v>146.5</v>
      </c>
      <c r="H3144" s="21">
        <v>152.6</v>
      </c>
      <c r="I3144" s="22">
        <v>159.69999999999999</v>
      </c>
      <c r="J3144" s="112" t="s">
        <v>1311</v>
      </c>
      <c r="K3144" s="45" t="s">
        <v>154</v>
      </c>
      <c r="L3144" s="437"/>
      <c r="M3144" s="474" t="s">
        <v>104</v>
      </c>
      <c r="N3144" s="1013"/>
      <c r="O3144" s="212"/>
      <c r="P3144" s="66" t="s">
        <v>50</v>
      </c>
      <c r="Q3144" s="100">
        <f t="shared" si="1703"/>
        <v>0</v>
      </c>
      <c r="R3144" s="13" t="str">
        <f t="shared" si="1697"/>
        <v>Фото &gt;&gt;</v>
      </c>
      <c r="S3144" s="14" t="s">
        <v>1339</v>
      </c>
      <c r="AK3144">
        <v>0.09</v>
      </c>
      <c r="AL3144">
        <f t="shared" si="1704"/>
        <v>0</v>
      </c>
      <c r="AM3144">
        <f t="shared" si="1705"/>
        <v>0</v>
      </c>
      <c r="AN3144">
        <f t="shared" si="1702"/>
        <v>0</v>
      </c>
      <c r="AO3144" t="s">
        <v>5509</v>
      </c>
      <c r="AV3144" t="str">
        <f>IF(F3144&gt;0,(COUNT($AV$1:AV3143)+1),"")</f>
        <v/>
      </c>
    </row>
    <row r="3145" spans="1:48" ht="15" customHeight="1" x14ac:dyDescent="0.25">
      <c r="A3145" s="1"/>
      <c r="B3145" s="32">
        <v>13122</v>
      </c>
      <c r="C3145" s="150">
        <v>4607010246556</v>
      </c>
      <c r="D3145" s="155" t="s">
        <v>1340</v>
      </c>
      <c r="E3145" s="71">
        <v>48</v>
      </c>
      <c r="F3145" s="223"/>
      <c r="G3145" s="109">
        <v>171.1</v>
      </c>
      <c r="H3145" s="34">
        <v>178.5</v>
      </c>
      <c r="I3145" s="35">
        <v>185.9</v>
      </c>
      <c r="J3145" s="114" t="s">
        <v>1311</v>
      </c>
      <c r="K3145" s="57" t="s">
        <v>154</v>
      </c>
      <c r="L3145" s="438"/>
      <c r="M3145" s="484" t="s">
        <v>104</v>
      </c>
      <c r="N3145" s="1008"/>
      <c r="O3145" s="218"/>
      <c r="P3145" s="70" t="s">
        <v>50</v>
      </c>
      <c r="Q3145" s="100">
        <f t="shared" si="1703"/>
        <v>0</v>
      </c>
      <c r="R3145" s="13" t="str">
        <f t="shared" si="1697"/>
        <v>Фото &gt;&gt;</v>
      </c>
      <c r="S3145" s="14" t="s">
        <v>1341</v>
      </c>
      <c r="AK3145">
        <v>0.09</v>
      </c>
      <c r="AL3145">
        <f t="shared" si="1704"/>
        <v>0</v>
      </c>
      <c r="AM3145">
        <f t="shared" si="1705"/>
        <v>0</v>
      </c>
      <c r="AN3145">
        <f t="shared" si="1702"/>
        <v>0</v>
      </c>
      <c r="AO3145" t="s">
        <v>5510</v>
      </c>
      <c r="AV3145" t="str">
        <f>IF(F3145&gt;0,(COUNT($AV$1:AV3144)+1),"")</f>
        <v/>
      </c>
    </row>
    <row r="3146" spans="1:48" ht="15" customHeight="1" x14ac:dyDescent="0.25">
      <c r="A3146" s="1"/>
      <c r="B3146" s="53">
        <v>9375</v>
      </c>
      <c r="C3146" s="151">
        <v>4607010244613</v>
      </c>
      <c r="D3146" s="157" t="s">
        <v>1604</v>
      </c>
      <c r="E3146" s="73">
        <v>120</v>
      </c>
      <c r="F3146" s="224"/>
      <c r="G3146" s="110">
        <v>57.5</v>
      </c>
      <c r="H3146" s="54">
        <v>59.9</v>
      </c>
      <c r="I3146" s="55">
        <v>62.5</v>
      </c>
      <c r="J3146" s="116" t="s">
        <v>1311</v>
      </c>
      <c r="K3146" s="58" t="s">
        <v>131</v>
      </c>
      <c r="L3146" s="441"/>
      <c r="M3146" s="490" t="s">
        <v>104</v>
      </c>
      <c r="N3146" s="1034"/>
      <c r="O3146" s="213"/>
      <c r="P3146" s="72" t="s">
        <v>50</v>
      </c>
      <c r="Q3146" s="100">
        <f t="shared" si="1703"/>
        <v>0</v>
      </c>
      <c r="R3146" s="13" t="str">
        <f t="shared" si="1697"/>
        <v>Фото &gt;&gt;</v>
      </c>
      <c r="S3146" s="14" t="s">
        <v>1342</v>
      </c>
      <c r="AK3146">
        <v>0.01</v>
      </c>
      <c r="AL3146">
        <f t="shared" si="1704"/>
        <v>0</v>
      </c>
      <c r="AM3146">
        <f t="shared" si="1705"/>
        <v>0</v>
      </c>
      <c r="AN3146">
        <f t="shared" si="1702"/>
        <v>0</v>
      </c>
      <c r="AO3146" t="s">
        <v>5319</v>
      </c>
      <c r="AV3146" t="str">
        <f>IF(F3146&gt;0,(COUNT($AV$1:AV3145)+1),"")</f>
        <v/>
      </c>
    </row>
    <row r="3147" spans="1:48" ht="15" customHeight="1" x14ac:dyDescent="0.25">
      <c r="A3147" s="1"/>
      <c r="B3147" s="31">
        <v>10723</v>
      </c>
      <c r="C3147" s="148">
        <v>4607010245450</v>
      </c>
      <c r="D3147" s="154" t="s">
        <v>1605</v>
      </c>
      <c r="E3147" s="69">
        <v>120</v>
      </c>
      <c r="F3147" s="222"/>
      <c r="G3147" s="108">
        <v>75</v>
      </c>
      <c r="H3147" s="17">
        <v>78.5</v>
      </c>
      <c r="I3147" s="18">
        <v>82.5</v>
      </c>
      <c r="J3147" s="113" t="s">
        <v>1311</v>
      </c>
      <c r="K3147" s="44" t="s">
        <v>131</v>
      </c>
      <c r="L3147" s="442"/>
      <c r="M3147" s="480" t="s">
        <v>104</v>
      </c>
      <c r="N3147" s="1015"/>
      <c r="O3147" s="217"/>
      <c r="P3147" s="68" t="s">
        <v>50</v>
      </c>
      <c r="Q3147" s="100">
        <f t="shared" si="1703"/>
        <v>0</v>
      </c>
      <c r="R3147" s="13" t="str">
        <f t="shared" si="1697"/>
        <v>Фото &gt;&gt;</v>
      </c>
      <c r="S3147" s="14" t="s">
        <v>1343</v>
      </c>
      <c r="AK3147">
        <v>0.01</v>
      </c>
      <c r="AL3147">
        <f t="shared" si="1704"/>
        <v>0</v>
      </c>
      <c r="AM3147">
        <f t="shared" si="1705"/>
        <v>0</v>
      </c>
      <c r="AN3147">
        <f t="shared" si="1702"/>
        <v>0</v>
      </c>
      <c r="AO3147" t="s">
        <v>5320</v>
      </c>
      <c r="AV3147" t="str">
        <f>IF(F3147&gt;0,(COUNT($AV$1:AV3146)+1),"")</f>
        <v/>
      </c>
    </row>
    <row r="3148" spans="1:48" ht="15" customHeight="1" x14ac:dyDescent="0.25">
      <c r="A3148" s="1"/>
      <c r="B3148" s="30">
        <v>10722</v>
      </c>
      <c r="C3148" s="149">
        <v>4607010245467</v>
      </c>
      <c r="D3148" s="153" t="s">
        <v>1606</v>
      </c>
      <c r="E3148" s="67">
        <v>120</v>
      </c>
      <c r="F3148" s="222"/>
      <c r="G3148" s="107">
        <v>74.3</v>
      </c>
      <c r="H3148" s="21">
        <v>77.599999999999994</v>
      </c>
      <c r="I3148" s="22">
        <v>85.4</v>
      </c>
      <c r="J3148" s="112" t="s">
        <v>1311</v>
      </c>
      <c r="K3148" s="45" t="s">
        <v>131</v>
      </c>
      <c r="L3148" s="437"/>
      <c r="M3148" s="474" t="s">
        <v>104</v>
      </c>
      <c r="N3148" s="1013"/>
      <c r="O3148" s="212"/>
      <c r="P3148" s="66" t="s">
        <v>50</v>
      </c>
      <c r="Q3148" s="100">
        <f t="shared" si="1703"/>
        <v>0</v>
      </c>
      <c r="R3148" s="13" t="str">
        <f t="shared" si="1697"/>
        <v>Фото &gt;&gt;</v>
      </c>
      <c r="S3148" s="14" t="s">
        <v>1344</v>
      </c>
      <c r="AK3148">
        <v>0.01</v>
      </c>
      <c r="AL3148">
        <f t="shared" si="1704"/>
        <v>0</v>
      </c>
      <c r="AM3148">
        <f t="shared" si="1705"/>
        <v>0</v>
      </c>
      <c r="AN3148">
        <f t="shared" si="1702"/>
        <v>0</v>
      </c>
      <c r="AO3148" t="s">
        <v>5321</v>
      </c>
      <c r="AV3148" t="str">
        <f>IF(F3148&gt;0,(COUNT($AV$1:AV3147)+1),"")</f>
        <v/>
      </c>
    </row>
    <row r="3149" spans="1:48" ht="15" customHeight="1" x14ac:dyDescent="0.25">
      <c r="A3149" s="1"/>
      <c r="B3149" s="31">
        <v>10724</v>
      </c>
      <c r="C3149" s="148">
        <v>4607010245436</v>
      </c>
      <c r="D3149" s="154" t="s">
        <v>1607</v>
      </c>
      <c r="E3149" s="69">
        <v>120</v>
      </c>
      <c r="F3149" s="222"/>
      <c r="G3149" s="108">
        <v>75</v>
      </c>
      <c r="H3149" s="17">
        <v>78.5</v>
      </c>
      <c r="I3149" s="18">
        <v>83</v>
      </c>
      <c r="J3149" s="113" t="s">
        <v>1311</v>
      </c>
      <c r="K3149" s="44" t="s">
        <v>131</v>
      </c>
      <c r="L3149" s="442"/>
      <c r="M3149" s="480" t="s">
        <v>104</v>
      </c>
      <c r="N3149" s="1015"/>
      <c r="O3149" s="217"/>
      <c r="P3149" s="68" t="s">
        <v>50</v>
      </c>
      <c r="Q3149" s="100">
        <f t="shared" si="1703"/>
        <v>0</v>
      </c>
      <c r="R3149" s="13" t="str">
        <f t="shared" si="1697"/>
        <v>Фото &gt;&gt;</v>
      </c>
      <c r="S3149" s="14" t="s">
        <v>1345</v>
      </c>
      <c r="AK3149">
        <v>0.01</v>
      </c>
      <c r="AL3149">
        <f t="shared" si="1704"/>
        <v>0</v>
      </c>
      <c r="AM3149">
        <f t="shared" si="1705"/>
        <v>0</v>
      </c>
      <c r="AN3149">
        <f t="shared" si="1702"/>
        <v>0</v>
      </c>
      <c r="AO3149" t="s">
        <v>5322</v>
      </c>
      <c r="AV3149" t="str">
        <f>IF(F3149&gt;0,(COUNT($AV$1:AV3148)+1),"")</f>
        <v/>
      </c>
    </row>
    <row r="3150" spans="1:48" ht="15" customHeight="1" x14ac:dyDescent="0.25">
      <c r="A3150" s="1"/>
      <c r="B3150" s="30">
        <v>9731</v>
      </c>
      <c r="C3150" s="149">
        <v>4607010245016</v>
      </c>
      <c r="D3150" s="153" t="s">
        <v>1608</v>
      </c>
      <c r="E3150" s="67">
        <v>120</v>
      </c>
      <c r="F3150" s="222"/>
      <c r="G3150" s="107">
        <v>64</v>
      </c>
      <c r="H3150" s="21">
        <v>67</v>
      </c>
      <c r="I3150" s="22">
        <v>71</v>
      </c>
      <c r="J3150" s="112" t="s">
        <v>1311</v>
      </c>
      <c r="K3150" s="45" t="s">
        <v>131</v>
      </c>
      <c r="L3150" s="437"/>
      <c r="M3150" s="474" t="s">
        <v>104</v>
      </c>
      <c r="N3150" s="1013"/>
      <c r="O3150" s="212"/>
      <c r="P3150" s="66" t="s">
        <v>50</v>
      </c>
      <c r="Q3150" s="100">
        <f t="shared" si="1703"/>
        <v>0</v>
      </c>
      <c r="R3150" s="13" t="str">
        <f t="shared" si="1697"/>
        <v>Фото &gt;&gt;</v>
      </c>
      <c r="S3150" s="14" t="s">
        <v>1346</v>
      </c>
      <c r="AK3150">
        <v>0.01</v>
      </c>
      <c r="AL3150">
        <f t="shared" si="1704"/>
        <v>0</v>
      </c>
      <c r="AM3150">
        <f t="shared" si="1705"/>
        <v>0</v>
      </c>
      <c r="AN3150">
        <f t="shared" si="1702"/>
        <v>0</v>
      </c>
      <c r="AO3150" t="s">
        <v>5323</v>
      </c>
      <c r="AV3150" t="str">
        <f>IF(F3150&gt;0,(COUNT($AV$1:AV3149)+1),"")</f>
        <v/>
      </c>
    </row>
    <row r="3151" spans="1:48" ht="15" customHeight="1" x14ac:dyDescent="0.25">
      <c r="A3151" s="1"/>
      <c r="B3151" s="31">
        <v>9732</v>
      </c>
      <c r="C3151" s="148">
        <v>4607010244996</v>
      </c>
      <c r="D3151" s="154" t="s">
        <v>1609</v>
      </c>
      <c r="E3151" s="69">
        <v>120</v>
      </c>
      <c r="F3151" s="222"/>
      <c r="G3151" s="108">
        <v>57.5</v>
      </c>
      <c r="H3151" s="17">
        <v>59.9</v>
      </c>
      <c r="I3151" s="18">
        <v>62.5</v>
      </c>
      <c r="J3151" s="113" t="s">
        <v>1311</v>
      </c>
      <c r="K3151" s="44" t="s">
        <v>131</v>
      </c>
      <c r="L3151" s="442"/>
      <c r="M3151" s="480" t="s">
        <v>104</v>
      </c>
      <c r="N3151" s="1015"/>
      <c r="O3151" s="217"/>
      <c r="P3151" s="68" t="s">
        <v>50</v>
      </c>
      <c r="Q3151" s="100">
        <f t="shared" si="1703"/>
        <v>0</v>
      </c>
      <c r="R3151" s="13" t="str">
        <f t="shared" si="1697"/>
        <v>Фото &gt;&gt;</v>
      </c>
      <c r="S3151" s="14" t="s">
        <v>1347</v>
      </c>
      <c r="AK3151">
        <v>0.01</v>
      </c>
      <c r="AL3151">
        <f t="shared" si="1704"/>
        <v>0</v>
      </c>
      <c r="AM3151">
        <f t="shared" si="1705"/>
        <v>0</v>
      </c>
      <c r="AN3151">
        <f t="shared" si="1702"/>
        <v>0</v>
      </c>
      <c r="AO3151" t="s">
        <v>5324</v>
      </c>
      <c r="AV3151" t="str">
        <f>IF(F3151&gt;0,(COUNT($AV$1:AV3150)+1),"")</f>
        <v/>
      </c>
    </row>
    <row r="3152" spans="1:48" ht="15" customHeight="1" x14ac:dyDescent="0.25">
      <c r="A3152" s="1"/>
      <c r="B3152" s="30">
        <v>9376</v>
      </c>
      <c r="C3152" s="149">
        <v>4607010244637</v>
      </c>
      <c r="D3152" s="153" t="s">
        <v>1610</v>
      </c>
      <c r="E3152" s="67">
        <v>120</v>
      </c>
      <c r="F3152" s="222"/>
      <c r="G3152" s="107">
        <v>57.5</v>
      </c>
      <c r="H3152" s="21">
        <v>59.9</v>
      </c>
      <c r="I3152" s="22">
        <v>62.5</v>
      </c>
      <c r="J3152" s="112" t="s">
        <v>1311</v>
      </c>
      <c r="K3152" s="45" t="s">
        <v>131</v>
      </c>
      <c r="L3152" s="437"/>
      <c r="M3152" s="474" t="s">
        <v>104</v>
      </c>
      <c r="N3152" s="1013"/>
      <c r="O3152" s="212"/>
      <c r="P3152" s="66" t="s">
        <v>50</v>
      </c>
      <c r="Q3152" s="100">
        <f t="shared" si="1703"/>
        <v>0</v>
      </c>
      <c r="R3152" s="13" t="str">
        <f t="shared" ref="R3152:R3193" si="1706">IF(AO3152&gt;0,HYPERLINK(AO3152,"Фото &gt;&gt;"),"")</f>
        <v>Фото &gt;&gt;</v>
      </c>
      <c r="S3152" s="14" t="s">
        <v>1348</v>
      </c>
      <c r="AK3152">
        <v>0.01</v>
      </c>
      <c r="AL3152">
        <f t="shared" si="1704"/>
        <v>0</v>
      </c>
      <c r="AM3152">
        <f t="shared" si="1705"/>
        <v>0</v>
      </c>
      <c r="AN3152">
        <f t="shared" si="1702"/>
        <v>0</v>
      </c>
      <c r="AO3152" t="s">
        <v>5325</v>
      </c>
      <c r="AV3152" t="str">
        <f>IF(F3152&gt;0,(COUNT($AV$1:AV3151)+1),"")</f>
        <v/>
      </c>
    </row>
    <row r="3153" spans="1:48" ht="15" customHeight="1" x14ac:dyDescent="0.25">
      <c r="A3153" s="1"/>
      <c r="B3153" s="31">
        <v>10720</v>
      </c>
      <c r="C3153" s="148">
        <v>4607010245474</v>
      </c>
      <c r="D3153" s="154" t="s">
        <v>1611</v>
      </c>
      <c r="E3153" s="69">
        <v>120</v>
      </c>
      <c r="F3153" s="222"/>
      <c r="G3153" s="108">
        <v>67.2</v>
      </c>
      <c r="H3153" s="17">
        <v>70.2</v>
      </c>
      <c r="I3153" s="18">
        <v>74.3</v>
      </c>
      <c r="J3153" s="113" t="s">
        <v>1311</v>
      </c>
      <c r="K3153" s="44" t="s">
        <v>131</v>
      </c>
      <c r="L3153" s="442"/>
      <c r="M3153" s="480" t="s">
        <v>104</v>
      </c>
      <c r="N3153" s="1015"/>
      <c r="O3153" s="217"/>
      <c r="P3153" s="68" t="s">
        <v>50</v>
      </c>
      <c r="Q3153" s="100">
        <f t="shared" si="1703"/>
        <v>0</v>
      </c>
      <c r="R3153" s="13" t="str">
        <f t="shared" si="1706"/>
        <v>Фото &gt;&gt;</v>
      </c>
      <c r="S3153" s="14" t="s">
        <v>1349</v>
      </c>
      <c r="AK3153">
        <v>0.01</v>
      </c>
      <c r="AL3153">
        <f t="shared" si="1704"/>
        <v>0</v>
      </c>
      <c r="AM3153">
        <f t="shared" si="1705"/>
        <v>0</v>
      </c>
      <c r="AN3153">
        <f t="shared" si="1702"/>
        <v>0</v>
      </c>
      <c r="AO3153" t="s">
        <v>5326</v>
      </c>
      <c r="AV3153" t="str">
        <f>IF(F3153&gt;0,(COUNT($AV$1:AV3152)+1),"")</f>
        <v/>
      </c>
    </row>
    <row r="3154" spans="1:48" ht="15" customHeight="1" x14ac:dyDescent="0.25">
      <c r="A3154" s="1"/>
      <c r="B3154" s="30">
        <v>9377</v>
      </c>
      <c r="C3154" s="149">
        <v>4607010244606</v>
      </c>
      <c r="D3154" s="153" t="s">
        <v>1612</v>
      </c>
      <c r="E3154" s="67">
        <v>120</v>
      </c>
      <c r="F3154" s="222"/>
      <c r="G3154" s="107">
        <v>63.1</v>
      </c>
      <c r="H3154" s="21">
        <v>66.099999999999994</v>
      </c>
      <c r="I3154" s="22">
        <v>73.2</v>
      </c>
      <c r="J3154" s="112" t="s">
        <v>1311</v>
      </c>
      <c r="K3154" s="45" t="s">
        <v>131</v>
      </c>
      <c r="L3154" s="437"/>
      <c r="M3154" s="474" t="s">
        <v>104</v>
      </c>
      <c r="N3154" s="1013"/>
      <c r="O3154" s="212"/>
      <c r="P3154" s="66" t="s">
        <v>50</v>
      </c>
      <c r="Q3154" s="100">
        <f t="shared" si="1703"/>
        <v>0</v>
      </c>
      <c r="R3154" s="13" t="str">
        <f t="shared" si="1706"/>
        <v>Фото &gt;&gt;</v>
      </c>
      <c r="S3154" s="14" t="s">
        <v>1350</v>
      </c>
      <c r="AK3154">
        <v>0.01</v>
      </c>
      <c r="AL3154">
        <f t="shared" si="1704"/>
        <v>0</v>
      </c>
      <c r="AM3154">
        <f t="shared" si="1705"/>
        <v>0</v>
      </c>
      <c r="AN3154">
        <f t="shared" si="1702"/>
        <v>0</v>
      </c>
      <c r="AO3154" t="s">
        <v>5327</v>
      </c>
      <c r="AV3154" t="str">
        <f>IF(F3154&gt;0,(COUNT($AV$1:AV3153)+1),"")</f>
        <v/>
      </c>
    </row>
    <row r="3155" spans="1:48" ht="15" customHeight="1" x14ac:dyDescent="0.25">
      <c r="A3155" s="1"/>
      <c r="B3155" s="31">
        <v>9733</v>
      </c>
      <c r="C3155" s="148">
        <v>4607010244972</v>
      </c>
      <c r="D3155" s="154" t="s">
        <v>1613</v>
      </c>
      <c r="E3155" s="69">
        <v>120</v>
      </c>
      <c r="F3155" s="222"/>
      <c r="G3155" s="108">
        <v>57.5</v>
      </c>
      <c r="H3155" s="17">
        <v>60</v>
      </c>
      <c r="I3155" s="18">
        <v>62.6</v>
      </c>
      <c r="J3155" s="113" t="s">
        <v>1311</v>
      </c>
      <c r="K3155" s="44" t="s">
        <v>131</v>
      </c>
      <c r="L3155" s="442"/>
      <c r="M3155" s="480" t="s">
        <v>104</v>
      </c>
      <c r="N3155" s="1015"/>
      <c r="O3155" s="217"/>
      <c r="P3155" s="68" t="s">
        <v>50</v>
      </c>
      <c r="Q3155" s="100">
        <f t="shared" si="1703"/>
        <v>0</v>
      </c>
      <c r="R3155" s="13" t="str">
        <f t="shared" si="1706"/>
        <v>Фото &gt;&gt;</v>
      </c>
      <c r="S3155" s="14" t="s">
        <v>1351</v>
      </c>
      <c r="AK3155">
        <v>0.01</v>
      </c>
      <c r="AL3155">
        <f t="shared" si="1704"/>
        <v>0</v>
      </c>
      <c r="AM3155">
        <f t="shared" si="1705"/>
        <v>0</v>
      </c>
      <c r="AN3155">
        <f t="shared" si="1702"/>
        <v>0</v>
      </c>
      <c r="AO3155" t="s">
        <v>5328</v>
      </c>
      <c r="AV3155" t="str">
        <f>IF(F3155&gt;0,(COUNT($AV$1:AV3154)+1),"")</f>
        <v/>
      </c>
    </row>
    <row r="3156" spans="1:48" ht="15" customHeight="1" x14ac:dyDescent="0.25">
      <c r="A3156" s="1"/>
      <c r="B3156" s="30">
        <v>9378</v>
      </c>
      <c r="C3156" s="149">
        <v>4607010244644</v>
      </c>
      <c r="D3156" s="153" t="s">
        <v>1614</v>
      </c>
      <c r="E3156" s="67">
        <v>120</v>
      </c>
      <c r="F3156" s="222"/>
      <c r="G3156" s="107">
        <v>57.5</v>
      </c>
      <c r="H3156" s="21">
        <v>60</v>
      </c>
      <c r="I3156" s="22">
        <v>63.1</v>
      </c>
      <c r="J3156" s="112" t="s">
        <v>1311</v>
      </c>
      <c r="K3156" s="45" t="s">
        <v>131</v>
      </c>
      <c r="L3156" s="437"/>
      <c r="M3156" s="474" t="s">
        <v>104</v>
      </c>
      <c r="N3156" s="1013"/>
      <c r="O3156" s="212"/>
      <c r="P3156" s="66" t="s">
        <v>50</v>
      </c>
      <c r="Q3156" s="100">
        <f t="shared" si="1703"/>
        <v>0</v>
      </c>
      <c r="R3156" s="13" t="str">
        <f t="shared" si="1706"/>
        <v>Фото &gt;&gt;</v>
      </c>
      <c r="S3156" s="14" t="s">
        <v>1352</v>
      </c>
      <c r="AK3156">
        <v>0.01</v>
      </c>
      <c r="AL3156">
        <f t="shared" si="1704"/>
        <v>0</v>
      </c>
      <c r="AM3156">
        <f t="shared" si="1705"/>
        <v>0</v>
      </c>
      <c r="AN3156">
        <f t="shared" si="1702"/>
        <v>0</v>
      </c>
      <c r="AO3156" t="s">
        <v>5329</v>
      </c>
      <c r="AV3156" t="str">
        <f>IF(F3156&gt;0,(COUNT($AV$1:AV3155)+1),"")</f>
        <v/>
      </c>
    </row>
    <row r="3157" spans="1:48" ht="15" customHeight="1" x14ac:dyDescent="0.25">
      <c r="A3157" s="1"/>
      <c r="B3157" s="31">
        <v>9734</v>
      </c>
      <c r="C3157" s="148" t="s">
        <v>104</v>
      </c>
      <c r="D3157" s="154" t="s">
        <v>1615</v>
      </c>
      <c r="E3157" s="69">
        <v>120</v>
      </c>
      <c r="F3157" s="222"/>
      <c r="G3157" s="108">
        <v>64</v>
      </c>
      <c r="H3157" s="17">
        <v>67</v>
      </c>
      <c r="I3157" s="18">
        <v>71</v>
      </c>
      <c r="J3157" s="113" t="s">
        <v>1311</v>
      </c>
      <c r="K3157" s="44" t="s">
        <v>131</v>
      </c>
      <c r="L3157" s="442"/>
      <c r="M3157" s="480" t="s">
        <v>104</v>
      </c>
      <c r="N3157" s="1015"/>
      <c r="O3157" s="217"/>
      <c r="P3157" s="68" t="s">
        <v>50</v>
      </c>
      <c r="Q3157" s="100">
        <f t="shared" si="1703"/>
        <v>0</v>
      </c>
      <c r="R3157" s="13" t="str">
        <f t="shared" si="1706"/>
        <v>Фото &gt;&gt;</v>
      </c>
      <c r="S3157" s="14" t="s">
        <v>1353</v>
      </c>
      <c r="AK3157">
        <v>0.01</v>
      </c>
      <c r="AL3157">
        <f t="shared" si="1704"/>
        <v>0</v>
      </c>
      <c r="AM3157">
        <f t="shared" si="1705"/>
        <v>0</v>
      </c>
      <c r="AN3157">
        <f t="shared" si="1702"/>
        <v>0</v>
      </c>
      <c r="AO3157" t="s">
        <v>5330</v>
      </c>
      <c r="AV3157" t="str">
        <f>IF(F3157&gt;0,(COUNT($AV$1:AV3156)+1),"")</f>
        <v/>
      </c>
    </row>
    <row r="3158" spans="1:48" ht="15" customHeight="1" x14ac:dyDescent="0.25">
      <c r="A3158" s="1"/>
      <c r="B3158" s="125"/>
      <c r="C3158" s="126"/>
      <c r="D3158" s="127"/>
      <c r="E3158" s="134"/>
      <c r="F3158" s="189"/>
      <c r="G3158" s="130"/>
      <c r="H3158" s="131"/>
      <c r="I3158" s="132"/>
      <c r="J3158" s="128"/>
      <c r="K3158" s="129"/>
      <c r="L3158" s="433"/>
      <c r="M3158" s="481" t="s">
        <v>104</v>
      </c>
      <c r="N3158" s="471"/>
      <c r="O3158" s="181"/>
      <c r="P3158" s="133"/>
      <c r="Q3158" s="135"/>
      <c r="R3158" s="13"/>
      <c r="S3158" s="14"/>
      <c r="AV3158" t="str">
        <f>IF(F3158&gt;0,(COUNT($AV$1:AV3157)+1),"")</f>
        <v/>
      </c>
    </row>
    <row r="3159" spans="1:48" ht="15" customHeight="1" thickBot="1" x14ac:dyDescent="0.3">
      <c r="A3159" s="1"/>
      <c r="B3159" s="136"/>
      <c r="C3159" s="137"/>
      <c r="D3159" s="138"/>
      <c r="E3159" s="145"/>
      <c r="F3159" s="190"/>
      <c r="G3159" s="141"/>
      <c r="H3159" s="142"/>
      <c r="I3159" s="143"/>
      <c r="J3159" s="139"/>
      <c r="K3159" s="140"/>
      <c r="L3159" s="434"/>
      <c r="M3159" s="477" t="s">
        <v>104</v>
      </c>
      <c r="N3159" s="468"/>
      <c r="O3159" s="182"/>
      <c r="P3159" s="144"/>
      <c r="Q3159" s="146"/>
      <c r="R3159" s="13"/>
      <c r="S3159" s="14"/>
      <c r="AV3159" t="str">
        <f>IF(F3159&gt;0,(COUNT($AV$1:AV3158)+1),"")</f>
        <v/>
      </c>
    </row>
    <row r="3160" spans="1:48" ht="24.75" customHeight="1" thickBot="1" x14ac:dyDescent="0.3">
      <c r="A3160" s="1"/>
      <c r="B3160" s="169"/>
      <c r="C3160" s="170"/>
      <c r="D3160" s="171" t="str">
        <f>CONCATENATE("Ботаника ароматехнологии","     |     Сумма заказа: ",AK3160," руб.")</f>
        <v>Ботаника ароматехнологии     |     Сумма заказа: 0 руб.</v>
      </c>
      <c r="E3160" s="176"/>
      <c r="F3160" s="177"/>
      <c r="G3160" s="180" t="str">
        <f>CONCATENATE("Ценовая колонка: ",AO3160,"   |   До следующей скидки: ",AJ3160," руб.")</f>
        <v>Ценовая колонка: 3   |   До следующей скидки: 5000 руб.</v>
      </c>
      <c r="H3160" s="174"/>
      <c r="I3160" s="174"/>
      <c r="J3160" s="172"/>
      <c r="K3160" s="173"/>
      <c r="L3160" s="444"/>
      <c r="M3160" s="486" t="s">
        <v>104</v>
      </c>
      <c r="N3160" s="717"/>
      <c r="O3160" s="184"/>
      <c r="P3160" s="175"/>
      <c r="Q3160" s="178"/>
      <c r="R3160" s="179" t="s">
        <v>1558</v>
      </c>
      <c r="S3160" s="14"/>
      <c r="AJ3160">
        <f>ROUND(IF(AL3160&gt;10000,"0", IF(AND(AL3160&lt;10000,AM3160&gt;5000),10000-AL3160,5000-AM3160)),2)</f>
        <v>5000</v>
      </c>
      <c r="AK3160">
        <f>SUM(Q3162:Q3208)</f>
        <v>0</v>
      </c>
      <c r="AL3160">
        <f>SUM(AL3162:AL3208)</f>
        <v>0</v>
      </c>
      <c r="AM3160">
        <f>SUM(AM3162:AM3208)</f>
        <v>0</v>
      </c>
      <c r="AO3160">
        <f>IF(AM3160&gt;5000,IF(AL3160&gt;10000,1,2),3)</f>
        <v>3</v>
      </c>
      <c r="AV3160" t="str">
        <f>IF(F3160&gt;0,(COUNT($AV$1:AV3159)+1),"")</f>
        <v/>
      </c>
    </row>
    <row r="3161" spans="1:48" ht="15" customHeight="1" x14ac:dyDescent="0.25">
      <c r="A3161" s="1"/>
      <c r="B3161" s="296"/>
      <c r="C3161" s="38"/>
      <c r="D3161" s="39" t="s">
        <v>1355</v>
      </c>
      <c r="E3161" s="82"/>
      <c r="F3161" s="97"/>
      <c r="G3161" s="40" t="s">
        <v>1451</v>
      </c>
      <c r="H3161" s="41" t="s">
        <v>16</v>
      </c>
      <c r="I3161" s="41" t="s">
        <v>221</v>
      </c>
      <c r="J3161" s="52"/>
      <c r="K3161" s="48"/>
      <c r="L3161" s="448"/>
      <c r="M3161" s="491" t="s">
        <v>104</v>
      </c>
      <c r="N3161" s="715"/>
      <c r="O3161" s="187"/>
      <c r="P3161" s="81"/>
      <c r="Q3161" s="105"/>
      <c r="R3161" s="13"/>
      <c r="S3161" s="14"/>
      <c r="AV3161" t="str">
        <f>IF(F3161&gt;0,(COUNT($AV$1:AV3160)+1),"")</f>
        <v/>
      </c>
    </row>
    <row r="3162" spans="1:48" ht="15" customHeight="1" x14ac:dyDescent="0.25">
      <c r="A3162" s="1"/>
      <c r="B3162" s="30">
        <v>8959</v>
      </c>
      <c r="C3162" s="149">
        <v>4607176000016</v>
      </c>
      <c r="D3162" s="153" t="s">
        <v>1531</v>
      </c>
      <c r="E3162" s="67">
        <v>30</v>
      </c>
      <c r="F3162" s="222"/>
      <c r="G3162" s="107">
        <v>130.80000000000001</v>
      </c>
      <c r="H3162" s="21">
        <v>137.30000000000001</v>
      </c>
      <c r="I3162" s="22">
        <v>151.5</v>
      </c>
      <c r="J3162" s="112" t="s">
        <v>1354</v>
      </c>
      <c r="K3162" s="45" t="s">
        <v>1355</v>
      </c>
      <c r="L3162" s="437"/>
      <c r="M3162" s="474" t="s">
        <v>104</v>
      </c>
      <c r="N3162" s="1013"/>
      <c r="O3162" s="212"/>
      <c r="P3162" s="66" t="s">
        <v>50</v>
      </c>
      <c r="Q3162" s="100">
        <f t="shared" ref="Q3162:Q3208" si="1707">IF($AO$3160=2,F3162*H3162,IF($AO$3160=1,F3162*G3162,F3162*I3162))</f>
        <v>0</v>
      </c>
      <c r="R3162" s="13" t="str">
        <f t="shared" si="1706"/>
        <v>Фото &gt;&gt;</v>
      </c>
      <c r="S3162" s="14" t="s">
        <v>1356</v>
      </c>
      <c r="AK3162">
        <v>0.06</v>
      </c>
      <c r="AL3162">
        <f t="shared" ref="AL3162:AL3190" si="1708">F3162*G3162</f>
        <v>0</v>
      </c>
      <c r="AM3162">
        <f t="shared" ref="AM3162:AM3190" si="1709">F3162*H3162</f>
        <v>0</v>
      </c>
      <c r="AN3162">
        <f t="shared" ref="AN3162:AN3191" si="1710">AK3162*F3162+IF(E3162&gt;1.01,F3162/E3162*0.2,0)</f>
        <v>0</v>
      </c>
      <c r="AO3162" t="s">
        <v>2867</v>
      </c>
      <c r="AV3162" t="str">
        <f>IF(F3162&gt;0,(COUNT($AV$1:AV3161)+1),"")</f>
        <v/>
      </c>
    </row>
    <row r="3163" spans="1:48" ht="15" customHeight="1" x14ac:dyDescent="0.25">
      <c r="A3163" s="1"/>
      <c r="B3163" s="31">
        <v>9058</v>
      </c>
      <c r="C3163" s="148">
        <v>4607176000030</v>
      </c>
      <c r="D3163" s="154" t="s">
        <v>1530</v>
      </c>
      <c r="E3163" s="69">
        <v>30</v>
      </c>
      <c r="F3163" s="222"/>
      <c r="G3163" s="108">
        <v>160.19999999999999</v>
      </c>
      <c r="H3163" s="17">
        <v>168.3</v>
      </c>
      <c r="I3163" s="18">
        <v>176.9</v>
      </c>
      <c r="J3163" s="113" t="s">
        <v>1354</v>
      </c>
      <c r="K3163" s="44" t="s">
        <v>1355</v>
      </c>
      <c r="L3163" s="442"/>
      <c r="M3163" s="480" t="s">
        <v>104</v>
      </c>
      <c r="N3163" s="1015"/>
      <c r="O3163" s="217"/>
      <c r="P3163" s="68" t="s">
        <v>50</v>
      </c>
      <c r="Q3163" s="100">
        <f t="shared" si="1707"/>
        <v>0</v>
      </c>
      <c r="R3163" s="13" t="str">
        <f t="shared" si="1706"/>
        <v>Фото &gt;&gt;</v>
      </c>
      <c r="S3163" s="14" t="s">
        <v>1357</v>
      </c>
      <c r="AK3163">
        <v>0.06</v>
      </c>
      <c r="AL3163">
        <f t="shared" si="1708"/>
        <v>0</v>
      </c>
      <c r="AM3163">
        <f t="shared" si="1709"/>
        <v>0</v>
      </c>
      <c r="AN3163">
        <f t="shared" si="1710"/>
        <v>0</v>
      </c>
      <c r="AO3163" t="s">
        <v>2868</v>
      </c>
      <c r="AV3163" t="str">
        <f>IF(F3163&gt;0,(COUNT($AV$1:AV3162)+1),"")</f>
        <v/>
      </c>
    </row>
    <row r="3164" spans="1:48" ht="15" customHeight="1" x14ac:dyDescent="0.25">
      <c r="A3164" s="1"/>
      <c r="B3164" s="30">
        <v>13511</v>
      </c>
      <c r="C3164" s="149">
        <v>4607176000191</v>
      </c>
      <c r="D3164" s="153" t="s">
        <v>1529</v>
      </c>
      <c r="E3164" s="67">
        <v>30</v>
      </c>
      <c r="F3164" s="222"/>
      <c r="G3164" s="107">
        <v>460.6</v>
      </c>
      <c r="H3164" s="21">
        <v>484</v>
      </c>
      <c r="I3164" s="22">
        <v>531.79999999999995</v>
      </c>
      <c r="J3164" s="112" t="s">
        <v>1354</v>
      </c>
      <c r="K3164" s="45" t="s">
        <v>1355</v>
      </c>
      <c r="L3164" s="437"/>
      <c r="M3164" s="474" t="s">
        <v>104</v>
      </c>
      <c r="N3164" s="1013"/>
      <c r="O3164" s="212"/>
      <c r="P3164" s="66" t="s">
        <v>50</v>
      </c>
      <c r="Q3164" s="100">
        <f t="shared" si="1707"/>
        <v>0</v>
      </c>
      <c r="R3164" s="13" t="str">
        <f t="shared" si="1706"/>
        <v>Фото &gt;&gt;</v>
      </c>
      <c r="S3164" s="14" t="s">
        <v>1358</v>
      </c>
      <c r="AK3164">
        <v>0.06</v>
      </c>
      <c r="AL3164">
        <f t="shared" si="1708"/>
        <v>0</v>
      </c>
      <c r="AM3164">
        <f t="shared" si="1709"/>
        <v>0</v>
      </c>
      <c r="AN3164">
        <f t="shared" si="1710"/>
        <v>0</v>
      </c>
      <c r="AO3164" t="s">
        <v>2869</v>
      </c>
      <c r="AV3164" t="str">
        <f>IF(F3164&gt;0,(COUNT($AV$1:AV3163)+1),"")</f>
        <v/>
      </c>
    </row>
    <row r="3165" spans="1:48" ht="15" customHeight="1" x14ac:dyDescent="0.25">
      <c r="A3165" s="1"/>
      <c r="B3165" s="31">
        <v>8960</v>
      </c>
      <c r="C3165" s="148">
        <v>4607176000139</v>
      </c>
      <c r="D3165" s="154" t="s">
        <v>1528</v>
      </c>
      <c r="E3165" s="69">
        <v>30</v>
      </c>
      <c r="F3165" s="222"/>
      <c r="G3165" s="108">
        <v>118</v>
      </c>
      <c r="H3165" s="17">
        <v>124.1</v>
      </c>
      <c r="I3165" s="18">
        <v>130.19999999999999</v>
      </c>
      <c r="J3165" s="113" t="s">
        <v>1354</v>
      </c>
      <c r="K3165" s="44" t="s">
        <v>1355</v>
      </c>
      <c r="L3165" s="442"/>
      <c r="M3165" s="480" t="s">
        <v>104</v>
      </c>
      <c r="N3165" s="1015"/>
      <c r="O3165" s="217"/>
      <c r="P3165" s="68" t="s">
        <v>50</v>
      </c>
      <c r="Q3165" s="100">
        <f t="shared" si="1707"/>
        <v>0</v>
      </c>
      <c r="R3165" s="13" t="str">
        <f t="shared" si="1706"/>
        <v>Фото &gt;&gt;</v>
      </c>
      <c r="S3165" s="14" t="s">
        <v>1359</v>
      </c>
      <c r="AK3165">
        <v>0.06</v>
      </c>
      <c r="AL3165">
        <f t="shared" si="1708"/>
        <v>0</v>
      </c>
      <c r="AM3165">
        <f t="shared" si="1709"/>
        <v>0</v>
      </c>
      <c r="AN3165">
        <f t="shared" si="1710"/>
        <v>0</v>
      </c>
      <c r="AO3165" t="s">
        <v>2870</v>
      </c>
      <c r="AV3165" t="str">
        <f>IF(F3165&gt;0,(COUNT($AV$1:AV3164)+1),"")</f>
        <v/>
      </c>
    </row>
    <row r="3166" spans="1:48" ht="15" customHeight="1" x14ac:dyDescent="0.25">
      <c r="A3166" s="1"/>
      <c r="B3166" s="30">
        <v>9997</v>
      </c>
      <c r="C3166" s="149">
        <v>4607176000177</v>
      </c>
      <c r="D3166" s="153" t="s">
        <v>1527</v>
      </c>
      <c r="E3166" s="67">
        <v>30</v>
      </c>
      <c r="F3166" s="222"/>
      <c r="G3166" s="107">
        <v>121.7</v>
      </c>
      <c r="H3166" s="21">
        <v>127</v>
      </c>
      <c r="I3166" s="22">
        <v>137.6</v>
      </c>
      <c r="J3166" s="112" t="s">
        <v>1354</v>
      </c>
      <c r="K3166" s="45" t="s">
        <v>1355</v>
      </c>
      <c r="L3166" s="437"/>
      <c r="M3166" s="474" t="s">
        <v>104</v>
      </c>
      <c r="N3166" s="1013"/>
      <c r="O3166" s="212"/>
      <c r="P3166" s="66" t="s">
        <v>50</v>
      </c>
      <c r="Q3166" s="100">
        <f t="shared" si="1707"/>
        <v>0</v>
      </c>
      <c r="R3166" s="13" t="str">
        <f t="shared" si="1706"/>
        <v>Фото &gt;&gt;</v>
      </c>
      <c r="S3166" s="14" t="s">
        <v>1360</v>
      </c>
      <c r="AK3166">
        <v>0.06</v>
      </c>
      <c r="AL3166">
        <f t="shared" si="1708"/>
        <v>0</v>
      </c>
      <c r="AM3166">
        <f t="shared" si="1709"/>
        <v>0</v>
      </c>
      <c r="AN3166">
        <f t="shared" si="1710"/>
        <v>0</v>
      </c>
      <c r="AO3166" t="s">
        <v>2871</v>
      </c>
      <c r="AV3166" t="str">
        <f>IF(F3166&gt;0,(COUNT($AV$1:AV3165)+1),"")</f>
        <v/>
      </c>
    </row>
    <row r="3167" spans="1:48" ht="15" customHeight="1" x14ac:dyDescent="0.25">
      <c r="A3167" s="1"/>
      <c r="B3167" s="31">
        <v>8961</v>
      </c>
      <c r="C3167" s="148">
        <v>4607176000214</v>
      </c>
      <c r="D3167" s="154" t="s">
        <v>1526</v>
      </c>
      <c r="E3167" s="69">
        <v>30</v>
      </c>
      <c r="F3167" s="222"/>
      <c r="G3167" s="108">
        <v>274.60000000000002</v>
      </c>
      <c r="H3167" s="17">
        <v>287.8</v>
      </c>
      <c r="I3167" s="18">
        <v>303</v>
      </c>
      <c r="J3167" s="113" t="s">
        <v>1354</v>
      </c>
      <c r="K3167" s="44" t="s">
        <v>1355</v>
      </c>
      <c r="L3167" s="442"/>
      <c r="M3167" s="480" t="s">
        <v>104</v>
      </c>
      <c r="N3167" s="1015"/>
      <c r="O3167" s="217"/>
      <c r="P3167" s="68" t="s">
        <v>50</v>
      </c>
      <c r="Q3167" s="100">
        <f t="shared" si="1707"/>
        <v>0</v>
      </c>
      <c r="R3167" s="13" t="str">
        <f t="shared" si="1706"/>
        <v>Фото &gt;&gt;</v>
      </c>
      <c r="S3167" s="14" t="s">
        <v>1361</v>
      </c>
      <c r="AK3167">
        <v>0.06</v>
      </c>
      <c r="AL3167">
        <f t="shared" si="1708"/>
        <v>0</v>
      </c>
      <c r="AM3167">
        <f t="shared" si="1709"/>
        <v>0</v>
      </c>
      <c r="AN3167">
        <f t="shared" si="1710"/>
        <v>0</v>
      </c>
      <c r="AO3167" t="s">
        <v>2872</v>
      </c>
      <c r="AV3167" t="str">
        <f>IF(F3167&gt;0,(COUNT($AV$1:AV3166)+1),"")</f>
        <v/>
      </c>
    </row>
    <row r="3168" spans="1:48" ht="15" customHeight="1" x14ac:dyDescent="0.25">
      <c r="A3168" s="1"/>
      <c r="B3168" s="30">
        <v>8964</v>
      </c>
      <c r="C3168" s="149">
        <v>4607176000658</v>
      </c>
      <c r="D3168" s="153" t="s">
        <v>1485</v>
      </c>
      <c r="E3168" s="67">
        <v>30</v>
      </c>
      <c r="F3168" s="222"/>
      <c r="G3168" s="107">
        <v>166.8</v>
      </c>
      <c r="H3168" s="21">
        <v>175.1</v>
      </c>
      <c r="I3168" s="22">
        <v>184.1</v>
      </c>
      <c r="J3168" s="112" t="s">
        <v>1354</v>
      </c>
      <c r="K3168" s="45" t="s">
        <v>1355</v>
      </c>
      <c r="L3168" s="437"/>
      <c r="M3168" s="474" t="s">
        <v>104</v>
      </c>
      <c r="N3168" s="1013"/>
      <c r="O3168" s="212"/>
      <c r="P3168" s="66" t="s">
        <v>50</v>
      </c>
      <c r="Q3168" s="100">
        <f t="shared" si="1707"/>
        <v>0</v>
      </c>
      <c r="R3168" s="13" t="str">
        <f t="shared" si="1706"/>
        <v>Фото &gt;&gt;</v>
      </c>
      <c r="S3168" s="14" t="s">
        <v>1362</v>
      </c>
      <c r="AK3168">
        <v>0.06</v>
      </c>
      <c r="AL3168">
        <f t="shared" si="1708"/>
        <v>0</v>
      </c>
      <c r="AM3168">
        <f t="shared" si="1709"/>
        <v>0</v>
      </c>
      <c r="AN3168">
        <f t="shared" si="1710"/>
        <v>0</v>
      </c>
      <c r="AO3168" t="s">
        <v>2873</v>
      </c>
      <c r="AV3168" t="str">
        <f>IF(F3168&gt;0,(COUNT($AV$1:AV3167)+1),"")</f>
        <v/>
      </c>
    </row>
    <row r="3169" spans="1:48" ht="15" customHeight="1" x14ac:dyDescent="0.25">
      <c r="A3169" s="1"/>
      <c r="B3169" s="31">
        <v>13513</v>
      </c>
      <c r="C3169" s="148">
        <v>4607176000238</v>
      </c>
      <c r="D3169" s="154" t="s">
        <v>1525</v>
      </c>
      <c r="E3169" s="69">
        <v>30</v>
      </c>
      <c r="F3169" s="222"/>
      <c r="G3169" s="108">
        <v>189.7</v>
      </c>
      <c r="H3169" s="17">
        <v>199.3</v>
      </c>
      <c r="I3169" s="18">
        <v>209.5</v>
      </c>
      <c r="J3169" s="113" t="s">
        <v>1354</v>
      </c>
      <c r="K3169" s="44" t="s">
        <v>1355</v>
      </c>
      <c r="L3169" s="442"/>
      <c r="M3169" s="480" t="s">
        <v>104</v>
      </c>
      <c r="N3169" s="1015"/>
      <c r="O3169" s="217"/>
      <c r="P3169" s="68" t="s">
        <v>50</v>
      </c>
      <c r="Q3169" s="100">
        <f t="shared" si="1707"/>
        <v>0</v>
      </c>
      <c r="R3169" s="13" t="str">
        <f t="shared" si="1706"/>
        <v>Фото &gt;&gt;</v>
      </c>
      <c r="S3169" s="14" t="s">
        <v>1363</v>
      </c>
      <c r="AK3169">
        <v>0.06</v>
      </c>
      <c r="AL3169">
        <f t="shared" si="1708"/>
        <v>0</v>
      </c>
      <c r="AM3169">
        <f t="shared" si="1709"/>
        <v>0</v>
      </c>
      <c r="AN3169">
        <f t="shared" si="1710"/>
        <v>0</v>
      </c>
      <c r="AO3169" t="s">
        <v>2874</v>
      </c>
      <c r="AV3169" t="str">
        <f>IF(F3169&gt;0,(COUNT($AV$1:AV3168)+1),"")</f>
        <v/>
      </c>
    </row>
    <row r="3170" spans="1:48" ht="15" customHeight="1" x14ac:dyDescent="0.25">
      <c r="A3170" s="1"/>
      <c r="B3170" s="30">
        <v>9059</v>
      </c>
      <c r="C3170" s="149">
        <v>4607176000252</v>
      </c>
      <c r="D3170" s="153" t="s">
        <v>1524</v>
      </c>
      <c r="E3170" s="67">
        <v>30</v>
      </c>
      <c r="F3170" s="222"/>
      <c r="G3170" s="107">
        <v>118</v>
      </c>
      <c r="H3170" s="21">
        <v>123.6</v>
      </c>
      <c r="I3170" s="22">
        <v>136.30000000000001</v>
      </c>
      <c r="J3170" s="112" t="s">
        <v>1354</v>
      </c>
      <c r="K3170" s="45" t="s">
        <v>1355</v>
      </c>
      <c r="L3170" s="437"/>
      <c r="M3170" s="474" t="s">
        <v>104</v>
      </c>
      <c r="N3170" s="1013"/>
      <c r="O3170" s="212"/>
      <c r="P3170" s="66" t="s">
        <v>50</v>
      </c>
      <c r="Q3170" s="100">
        <f t="shared" si="1707"/>
        <v>0</v>
      </c>
      <c r="R3170" s="13" t="str">
        <f t="shared" si="1706"/>
        <v>Фото &gt;&gt;</v>
      </c>
      <c r="S3170" s="14" t="s">
        <v>1364</v>
      </c>
      <c r="AK3170">
        <v>0.06</v>
      </c>
      <c r="AL3170">
        <f t="shared" si="1708"/>
        <v>0</v>
      </c>
      <c r="AM3170">
        <f t="shared" si="1709"/>
        <v>0</v>
      </c>
      <c r="AN3170">
        <f t="shared" si="1710"/>
        <v>0</v>
      </c>
      <c r="AO3170" t="s">
        <v>2875</v>
      </c>
      <c r="AV3170" t="str">
        <f>IF(F3170&gt;0,(COUNT($AV$1:AV3169)+1),"")</f>
        <v/>
      </c>
    </row>
    <row r="3171" spans="1:48" ht="15" customHeight="1" x14ac:dyDescent="0.25">
      <c r="A3171" s="1"/>
      <c r="B3171" s="31">
        <v>13514</v>
      </c>
      <c r="C3171" s="148">
        <v>4607176000276</v>
      </c>
      <c r="D3171" s="154" t="s">
        <v>1523</v>
      </c>
      <c r="E3171" s="69">
        <v>30</v>
      </c>
      <c r="F3171" s="222"/>
      <c r="G3171" s="108">
        <v>130.80000000000001</v>
      </c>
      <c r="H3171" s="17">
        <v>137.30000000000001</v>
      </c>
      <c r="I3171" s="18">
        <v>151.5</v>
      </c>
      <c r="J3171" s="113" t="s">
        <v>1354</v>
      </c>
      <c r="K3171" s="44" t="s">
        <v>1355</v>
      </c>
      <c r="L3171" s="442"/>
      <c r="M3171" s="480" t="s">
        <v>104</v>
      </c>
      <c r="N3171" s="1015"/>
      <c r="O3171" s="217"/>
      <c r="P3171" s="68" t="s">
        <v>50</v>
      </c>
      <c r="Q3171" s="100">
        <f t="shared" si="1707"/>
        <v>0</v>
      </c>
      <c r="R3171" s="13" t="str">
        <f t="shared" si="1706"/>
        <v>Фото &gt;&gt;</v>
      </c>
      <c r="S3171" s="14" t="s">
        <v>1365</v>
      </c>
      <c r="AK3171">
        <v>0.06</v>
      </c>
      <c r="AL3171">
        <f t="shared" si="1708"/>
        <v>0</v>
      </c>
      <c r="AM3171">
        <f t="shared" si="1709"/>
        <v>0</v>
      </c>
      <c r="AN3171">
        <f t="shared" si="1710"/>
        <v>0</v>
      </c>
      <c r="AO3171" t="s">
        <v>2876</v>
      </c>
      <c r="AV3171" t="str">
        <f>IF(F3171&gt;0,(COUNT($AV$1:AV3170)+1),"")</f>
        <v/>
      </c>
    </row>
    <row r="3172" spans="1:48" ht="15" customHeight="1" x14ac:dyDescent="0.25">
      <c r="A3172" s="1"/>
      <c r="B3172" s="30">
        <v>13515</v>
      </c>
      <c r="C3172" s="149">
        <v>4607176000290</v>
      </c>
      <c r="D3172" s="153" t="s">
        <v>1522</v>
      </c>
      <c r="E3172" s="67">
        <v>30</v>
      </c>
      <c r="F3172" s="222"/>
      <c r="G3172" s="107">
        <v>274.60000000000002</v>
      </c>
      <c r="H3172" s="21">
        <v>287.8</v>
      </c>
      <c r="I3172" s="22">
        <v>317.3</v>
      </c>
      <c r="J3172" s="112" t="s">
        <v>1354</v>
      </c>
      <c r="K3172" s="45" t="s">
        <v>1355</v>
      </c>
      <c r="L3172" s="437"/>
      <c r="M3172" s="474" t="s">
        <v>104</v>
      </c>
      <c r="N3172" s="1013"/>
      <c r="O3172" s="212"/>
      <c r="P3172" s="66" t="s">
        <v>50</v>
      </c>
      <c r="Q3172" s="100">
        <f t="shared" si="1707"/>
        <v>0</v>
      </c>
      <c r="R3172" s="13" t="str">
        <f t="shared" si="1706"/>
        <v>Фото &gt;&gt;</v>
      </c>
      <c r="S3172" s="14" t="s">
        <v>1366</v>
      </c>
      <c r="AK3172">
        <v>0.06</v>
      </c>
      <c r="AL3172">
        <f t="shared" si="1708"/>
        <v>0</v>
      </c>
      <c r="AM3172">
        <f t="shared" si="1709"/>
        <v>0</v>
      </c>
      <c r="AN3172">
        <f t="shared" si="1710"/>
        <v>0</v>
      </c>
      <c r="AO3172" t="s">
        <v>2877</v>
      </c>
      <c r="AV3172" t="str">
        <f>IF(F3172&gt;0,(COUNT($AV$1:AV3171)+1),"")</f>
        <v/>
      </c>
    </row>
    <row r="3173" spans="1:48" ht="15" customHeight="1" x14ac:dyDescent="0.25">
      <c r="A3173" s="1"/>
      <c r="B3173" s="31">
        <v>13516</v>
      </c>
      <c r="C3173" s="148">
        <v>4607176000313</v>
      </c>
      <c r="D3173" s="154" t="s">
        <v>1521</v>
      </c>
      <c r="E3173" s="69">
        <v>30</v>
      </c>
      <c r="F3173" s="222"/>
      <c r="G3173" s="108">
        <v>188.6</v>
      </c>
      <c r="H3173" s="17">
        <v>196.8</v>
      </c>
      <c r="I3173" s="18">
        <v>205</v>
      </c>
      <c r="J3173" s="113" t="s">
        <v>1354</v>
      </c>
      <c r="K3173" s="44" t="s">
        <v>1355</v>
      </c>
      <c r="L3173" s="442"/>
      <c r="M3173" s="480" t="s">
        <v>104</v>
      </c>
      <c r="N3173" s="1015"/>
      <c r="O3173" s="217"/>
      <c r="P3173" s="68" t="s">
        <v>50</v>
      </c>
      <c r="Q3173" s="100">
        <f t="shared" si="1707"/>
        <v>0</v>
      </c>
      <c r="R3173" s="13" t="str">
        <f t="shared" si="1706"/>
        <v>Фото &gt;&gt;</v>
      </c>
      <c r="S3173" s="14" t="s">
        <v>1367</v>
      </c>
      <c r="AK3173">
        <v>0.06</v>
      </c>
      <c r="AL3173">
        <f t="shared" si="1708"/>
        <v>0</v>
      </c>
      <c r="AM3173">
        <f t="shared" si="1709"/>
        <v>0</v>
      </c>
      <c r="AN3173">
        <f t="shared" si="1710"/>
        <v>0</v>
      </c>
      <c r="AO3173" t="s">
        <v>2878</v>
      </c>
      <c r="AV3173" t="str">
        <f>IF(F3173&gt;0,(COUNT($AV$1:AV3172)+1),"")</f>
        <v/>
      </c>
    </row>
    <row r="3174" spans="1:48" ht="15" customHeight="1" x14ac:dyDescent="0.25">
      <c r="A3174" s="1"/>
      <c r="B3174" s="30">
        <v>13517</v>
      </c>
      <c r="C3174" s="149">
        <v>4607176000399</v>
      </c>
      <c r="D3174" s="153" t="s">
        <v>1520</v>
      </c>
      <c r="E3174" s="67">
        <v>30</v>
      </c>
      <c r="F3174" s="222"/>
      <c r="G3174" s="107">
        <v>294.89999999999998</v>
      </c>
      <c r="H3174" s="21">
        <v>307.10000000000002</v>
      </c>
      <c r="I3174" s="22">
        <v>319.3</v>
      </c>
      <c r="J3174" s="112" t="s">
        <v>1354</v>
      </c>
      <c r="K3174" s="45" t="s">
        <v>1355</v>
      </c>
      <c r="L3174" s="437"/>
      <c r="M3174" s="474" t="s">
        <v>104</v>
      </c>
      <c r="N3174" s="1013"/>
      <c r="O3174" s="212"/>
      <c r="P3174" s="66" t="s">
        <v>50</v>
      </c>
      <c r="Q3174" s="100">
        <f t="shared" si="1707"/>
        <v>0</v>
      </c>
      <c r="R3174" s="13" t="str">
        <f t="shared" si="1706"/>
        <v>Фото &gt;&gt;</v>
      </c>
      <c r="S3174" s="14" t="s">
        <v>1368</v>
      </c>
      <c r="AK3174">
        <v>0.06</v>
      </c>
      <c r="AL3174">
        <f t="shared" si="1708"/>
        <v>0</v>
      </c>
      <c r="AM3174">
        <f t="shared" si="1709"/>
        <v>0</v>
      </c>
      <c r="AN3174">
        <f t="shared" si="1710"/>
        <v>0</v>
      </c>
      <c r="AO3174" t="s">
        <v>2879</v>
      </c>
      <c r="AV3174" t="str">
        <f>IF(F3174&gt;0,(COUNT($AV$1:AV3173)+1),"")</f>
        <v/>
      </c>
    </row>
    <row r="3175" spans="1:48" ht="15" customHeight="1" x14ac:dyDescent="0.25">
      <c r="A3175" s="1"/>
      <c r="B3175" s="31">
        <v>13223</v>
      </c>
      <c r="C3175" s="148">
        <v>4607176000474</v>
      </c>
      <c r="D3175" s="154" t="s">
        <v>1519</v>
      </c>
      <c r="E3175" s="69">
        <v>30</v>
      </c>
      <c r="F3175" s="222"/>
      <c r="G3175" s="108">
        <v>189.7</v>
      </c>
      <c r="H3175" s="17">
        <v>199.3</v>
      </c>
      <c r="I3175" s="18">
        <v>219.6</v>
      </c>
      <c r="J3175" s="113" t="s">
        <v>1354</v>
      </c>
      <c r="K3175" s="44" t="s">
        <v>1355</v>
      </c>
      <c r="L3175" s="442"/>
      <c r="M3175" s="480" t="s">
        <v>104</v>
      </c>
      <c r="N3175" s="1015"/>
      <c r="O3175" s="217"/>
      <c r="P3175" s="68" t="s">
        <v>50</v>
      </c>
      <c r="Q3175" s="100">
        <f t="shared" si="1707"/>
        <v>0</v>
      </c>
      <c r="R3175" s="13" t="str">
        <f t="shared" si="1706"/>
        <v>Фото &gt;&gt;</v>
      </c>
      <c r="S3175" s="14" t="s">
        <v>1369</v>
      </c>
      <c r="AK3175">
        <v>0.06</v>
      </c>
      <c r="AL3175">
        <f t="shared" si="1708"/>
        <v>0</v>
      </c>
      <c r="AM3175">
        <f t="shared" si="1709"/>
        <v>0</v>
      </c>
      <c r="AN3175">
        <f t="shared" si="1710"/>
        <v>0</v>
      </c>
      <c r="AO3175" t="s">
        <v>2880</v>
      </c>
      <c r="AV3175" t="str">
        <f>IF(F3175&gt;0,(COUNT($AV$1:AV3174)+1),"")</f>
        <v/>
      </c>
    </row>
    <row r="3176" spans="1:48" ht="15" customHeight="1" x14ac:dyDescent="0.25">
      <c r="A3176" s="1"/>
      <c r="B3176" s="30">
        <v>8963</v>
      </c>
      <c r="C3176" s="149">
        <v>4607176000610</v>
      </c>
      <c r="D3176" s="153" t="s">
        <v>1518</v>
      </c>
      <c r="E3176" s="67">
        <v>30</v>
      </c>
      <c r="F3176" s="222"/>
      <c r="G3176" s="107">
        <v>131.19999999999999</v>
      </c>
      <c r="H3176" s="21">
        <v>137.30000000000001</v>
      </c>
      <c r="I3176" s="22">
        <v>151.5</v>
      </c>
      <c r="J3176" s="112" t="s">
        <v>1354</v>
      </c>
      <c r="K3176" s="45" t="s">
        <v>1355</v>
      </c>
      <c r="L3176" s="437"/>
      <c r="M3176" s="474" t="s">
        <v>104</v>
      </c>
      <c r="N3176" s="1013"/>
      <c r="O3176" s="212"/>
      <c r="P3176" s="66" t="s">
        <v>50</v>
      </c>
      <c r="Q3176" s="100">
        <f t="shared" si="1707"/>
        <v>0</v>
      </c>
      <c r="R3176" s="13" t="str">
        <f t="shared" si="1706"/>
        <v>Фото &gt;&gt;</v>
      </c>
      <c r="S3176" s="14" t="s">
        <v>1370</v>
      </c>
      <c r="AK3176">
        <v>0.06</v>
      </c>
      <c r="AL3176">
        <f t="shared" si="1708"/>
        <v>0</v>
      </c>
      <c r="AM3176">
        <f t="shared" si="1709"/>
        <v>0</v>
      </c>
      <c r="AN3176">
        <f t="shared" si="1710"/>
        <v>0</v>
      </c>
      <c r="AO3176" t="s">
        <v>2881</v>
      </c>
      <c r="AV3176" t="str">
        <f>IF(F3176&gt;0,(COUNT($AV$1:AV3175)+1),"")</f>
        <v/>
      </c>
    </row>
    <row r="3177" spans="1:48" ht="15" customHeight="1" x14ac:dyDescent="0.25">
      <c r="A3177" s="1"/>
      <c r="B3177" s="31">
        <v>13520</v>
      </c>
      <c r="C3177" s="148">
        <v>4607176000832</v>
      </c>
      <c r="D3177" s="154" t="s">
        <v>1517</v>
      </c>
      <c r="E3177" s="69">
        <v>30</v>
      </c>
      <c r="F3177" s="222"/>
      <c r="G3177" s="108">
        <v>274.60000000000002</v>
      </c>
      <c r="H3177" s="17">
        <v>288.8</v>
      </c>
      <c r="I3177" s="18">
        <v>305.10000000000002</v>
      </c>
      <c r="J3177" s="113" t="s">
        <v>1354</v>
      </c>
      <c r="K3177" s="44" t="s">
        <v>1355</v>
      </c>
      <c r="L3177" s="442"/>
      <c r="M3177" s="480" t="s">
        <v>104</v>
      </c>
      <c r="N3177" s="1015"/>
      <c r="O3177" s="217"/>
      <c r="P3177" s="68" t="s">
        <v>50</v>
      </c>
      <c r="Q3177" s="100">
        <f t="shared" si="1707"/>
        <v>0</v>
      </c>
      <c r="R3177" s="13" t="str">
        <f t="shared" si="1706"/>
        <v>Фото &gt;&gt;</v>
      </c>
      <c r="S3177" s="14" t="s">
        <v>1371</v>
      </c>
      <c r="AK3177">
        <v>0.06</v>
      </c>
      <c r="AL3177">
        <f t="shared" si="1708"/>
        <v>0</v>
      </c>
      <c r="AM3177">
        <f t="shared" si="1709"/>
        <v>0</v>
      </c>
      <c r="AN3177">
        <f t="shared" si="1710"/>
        <v>0</v>
      </c>
      <c r="AO3177" t="s">
        <v>2882</v>
      </c>
      <c r="AV3177" t="str">
        <f>IF(F3177&gt;0,(COUNT($AV$1:AV3176)+1),"")</f>
        <v/>
      </c>
    </row>
    <row r="3178" spans="1:48" ht="15" customHeight="1" x14ac:dyDescent="0.25">
      <c r="A3178" s="1"/>
      <c r="B3178" s="37">
        <v>9090</v>
      </c>
      <c r="C3178" s="152">
        <v>4607176000856</v>
      </c>
      <c r="D3178" s="156" t="s">
        <v>1516</v>
      </c>
      <c r="E3178" s="75">
        <v>30</v>
      </c>
      <c r="F3178" s="223"/>
      <c r="G3178" s="111">
        <v>144.4</v>
      </c>
      <c r="H3178" s="5">
        <v>151.5</v>
      </c>
      <c r="I3178" s="24">
        <v>166.8</v>
      </c>
      <c r="J3178" s="115" t="s">
        <v>1354</v>
      </c>
      <c r="K3178" s="46" t="s">
        <v>1355</v>
      </c>
      <c r="L3178" s="440"/>
      <c r="M3178" s="482" t="s">
        <v>104</v>
      </c>
      <c r="N3178" s="1002"/>
      <c r="O3178" s="214"/>
      <c r="P3178" s="74" t="s">
        <v>50</v>
      </c>
      <c r="Q3178" s="100">
        <f t="shared" si="1707"/>
        <v>0</v>
      </c>
      <c r="R3178" s="13" t="str">
        <f t="shared" si="1706"/>
        <v>Фото &gt;&gt;</v>
      </c>
      <c r="S3178" s="14" t="s">
        <v>1372</v>
      </c>
      <c r="AK3178">
        <v>0.06</v>
      </c>
      <c r="AL3178">
        <f t="shared" si="1708"/>
        <v>0</v>
      </c>
      <c r="AM3178">
        <f t="shared" si="1709"/>
        <v>0</v>
      </c>
      <c r="AN3178">
        <f t="shared" si="1710"/>
        <v>0</v>
      </c>
      <c r="AO3178" t="s">
        <v>2883</v>
      </c>
      <c r="AV3178" t="str">
        <f>IF(F3178&gt;0,(COUNT($AV$1:AV3177)+1),"")</f>
        <v/>
      </c>
    </row>
    <row r="3179" spans="1:48" ht="15" customHeight="1" x14ac:dyDescent="0.25">
      <c r="A3179" s="1"/>
      <c r="B3179" s="1120">
        <v>7493</v>
      </c>
      <c r="C3179" s="1204">
        <v>4607176001938</v>
      </c>
      <c r="D3179" s="1205" t="s">
        <v>1515</v>
      </c>
      <c r="E3179" s="1123">
        <v>30</v>
      </c>
      <c r="F3179" s="673"/>
      <c r="G3179" s="1124">
        <v>130.19999999999999</v>
      </c>
      <c r="H3179" s="1125">
        <v>136.30000000000001</v>
      </c>
      <c r="I3179" s="1126">
        <v>150.5</v>
      </c>
      <c r="J3179" s="1127" t="s">
        <v>1354</v>
      </c>
      <c r="K3179" s="1128" t="s">
        <v>1355</v>
      </c>
      <c r="L3179" s="1141"/>
      <c r="M3179" s="1142" t="s">
        <v>104</v>
      </c>
      <c r="N3179" s="1143"/>
      <c r="O3179" s="1144"/>
      <c r="P3179" s="1133" t="s">
        <v>50</v>
      </c>
      <c r="Q3179" s="100">
        <f t="shared" si="1707"/>
        <v>0</v>
      </c>
      <c r="R3179" s="13" t="str">
        <f t="shared" si="1706"/>
        <v>Фото &gt;&gt;</v>
      </c>
      <c r="S3179" s="14" t="s">
        <v>1373</v>
      </c>
      <c r="AK3179">
        <v>0.03</v>
      </c>
      <c r="AL3179">
        <f t="shared" si="1708"/>
        <v>0</v>
      </c>
      <c r="AM3179">
        <f t="shared" si="1709"/>
        <v>0</v>
      </c>
      <c r="AN3179">
        <f t="shared" si="1710"/>
        <v>0</v>
      </c>
      <c r="AO3179" t="s">
        <v>2884</v>
      </c>
      <c r="AV3179" t="str">
        <f>IF(F3179&gt;0,(COUNT($AV$1:AV3178)+1),"")</f>
        <v/>
      </c>
    </row>
    <row r="3180" spans="1:48" ht="15" customHeight="1" x14ac:dyDescent="0.25">
      <c r="A3180" s="1"/>
      <c r="B3180" s="30">
        <v>7494</v>
      </c>
      <c r="C3180" s="149">
        <v>4607176002331</v>
      </c>
      <c r="D3180" s="153" t="s">
        <v>1514</v>
      </c>
      <c r="E3180" s="67">
        <v>36</v>
      </c>
      <c r="F3180" s="222"/>
      <c r="G3180" s="107">
        <v>176.5</v>
      </c>
      <c r="H3180" s="21">
        <v>185.1</v>
      </c>
      <c r="I3180" s="22">
        <v>204.4</v>
      </c>
      <c r="J3180" s="112" t="s">
        <v>1354</v>
      </c>
      <c r="K3180" s="45" t="s">
        <v>1355</v>
      </c>
      <c r="L3180" s="437"/>
      <c r="M3180" s="474" t="s">
        <v>104</v>
      </c>
      <c r="N3180" s="1013"/>
      <c r="O3180" s="212"/>
      <c r="P3180" s="66" t="s">
        <v>50</v>
      </c>
      <c r="Q3180" s="100">
        <f t="shared" si="1707"/>
        <v>0</v>
      </c>
      <c r="R3180" s="13" t="str">
        <f t="shared" si="1706"/>
        <v>Фото &gt;&gt;</v>
      </c>
      <c r="S3180" s="14" t="s">
        <v>1374</v>
      </c>
      <c r="AK3180">
        <v>0.03</v>
      </c>
      <c r="AL3180">
        <f t="shared" si="1708"/>
        <v>0</v>
      </c>
      <c r="AM3180">
        <f t="shared" si="1709"/>
        <v>0</v>
      </c>
      <c r="AN3180">
        <f t="shared" si="1710"/>
        <v>0</v>
      </c>
      <c r="AO3180" t="s">
        <v>2885</v>
      </c>
      <c r="AV3180" t="str">
        <f>IF(F3180&gt;0,(COUNT($AV$1:AV3179)+1),"")</f>
        <v/>
      </c>
    </row>
    <row r="3181" spans="1:48" ht="15" customHeight="1" x14ac:dyDescent="0.25">
      <c r="A3181" s="1"/>
      <c r="B3181" s="31">
        <v>7614</v>
      </c>
      <c r="C3181" s="148">
        <v>4607176002577</v>
      </c>
      <c r="D3181" s="154" t="s">
        <v>1488</v>
      </c>
      <c r="E3181" s="69">
        <v>30</v>
      </c>
      <c r="F3181" s="222"/>
      <c r="G3181" s="108">
        <v>225.8</v>
      </c>
      <c r="H3181" s="17">
        <v>236.9</v>
      </c>
      <c r="I3181" s="18">
        <v>249.1</v>
      </c>
      <c r="J3181" s="113" t="s">
        <v>1354</v>
      </c>
      <c r="K3181" s="44" t="s">
        <v>1355</v>
      </c>
      <c r="L3181" s="442"/>
      <c r="M3181" s="480" t="s">
        <v>104</v>
      </c>
      <c r="N3181" s="1015"/>
      <c r="O3181" s="217"/>
      <c r="P3181" s="68" t="s">
        <v>50</v>
      </c>
      <c r="Q3181" s="100">
        <f t="shared" si="1707"/>
        <v>0</v>
      </c>
      <c r="R3181" s="13" t="str">
        <f t="shared" si="1706"/>
        <v>Фото &gt;&gt;</v>
      </c>
      <c r="S3181" s="14" t="s">
        <v>1375</v>
      </c>
      <c r="AK3181">
        <v>0.03</v>
      </c>
      <c r="AL3181">
        <f t="shared" si="1708"/>
        <v>0</v>
      </c>
      <c r="AM3181">
        <f t="shared" si="1709"/>
        <v>0</v>
      </c>
      <c r="AN3181">
        <f t="shared" si="1710"/>
        <v>0</v>
      </c>
      <c r="AO3181" t="s">
        <v>2886</v>
      </c>
      <c r="AV3181" t="str">
        <f>IF(F3181&gt;0,(COUNT($AV$1:AV3180)+1),"")</f>
        <v/>
      </c>
    </row>
    <row r="3182" spans="1:48" ht="15" customHeight="1" x14ac:dyDescent="0.25">
      <c r="A3182" s="1"/>
      <c r="B3182" s="30">
        <v>7600</v>
      </c>
      <c r="C3182" s="149">
        <v>4607176002898</v>
      </c>
      <c r="D3182" s="153" t="s">
        <v>1513</v>
      </c>
      <c r="E3182" s="67">
        <v>30</v>
      </c>
      <c r="F3182" s="222"/>
      <c r="G3182" s="107">
        <v>166.8</v>
      </c>
      <c r="H3182" s="21">
        <v>175.1</v>
      </c>
      <c r="I3182" s="22">
        <v>185.1</v>
      </c>
      <c r="J3182" s="112" t="s">
        <v>1354</v>
      </c>
      <c r="K3182" s="45" t="s">
        <v>1355</v>
      </c>
      <c r="L3182" s="437"/>
      <c r="M3182" s="474" t="s">
        <v>104</v>
      </c>
      <c r="N3182" s="1013"/>
      <c r="O3182" s="212"/>
      <c r="P3182" s="66" t="s">
        <v>50</v>
      </c>
      <c r="Q3182" s="100">
        <f t="shared" si="1707"/>
        <v>0</v>
      </c>
      <c r="R3182" s="13" t="str">
        <f t="shared" si="1706"/>
        <v>Фото &gt;&gt;</v>
      </c>
      <c r="S3182" s="14" t="s">
        <v>1376</v>
      </c>
      <c r="AK3182">
        <v>0.03</v>
      </c>
      <c r="AL3182">
        <f t="shared" si="1708"/>
        <v>0</v>
      </c>
      <c r="AM3182">
        <f t="shared" si="1709"/>
        <v>0</v>
      </c>
      <c r="AN3182">
        <f t="shared" si="1710"/>
        <v>0</v>
      </c>
      <c r="AO3182" t="s">
        <v>2887</v>
      </c>
      <c r="AV3182" t="str">
        <f>IF(F3182&gt;0,(COUNT($AV$1:AV3181)+1),"")</f>
        <v/>
      </c>
    </row>
    <row r="3183" spans="1:48" ht="15" customHeight="1" x14ac:dyDescent="0.25">
      <c r="A3183" s="1"/>
      <c r="B3183" s="31">
        <v>7720</v>
      </c>
      <c r="C3183" s="148">
        <v>4607176002973</v>
      </c>
      <c r="D3183" s="154" t="s">
        <v>1512</v>
      </c>
      <c r="E3183" s="69">
        <v>30</v>
      </c>
      <c r="F3183" s="222"/>
      <c r="G3183" s="108">
        <v>139.30000000000001</v>
      </c>
      <c r="H3183" s="17">
        <v>146.5</v>
      </c>
      <c r="I3183" s="18">
        <v>160.69999999999999</v>
      </c>
      <c r="J3183" s="113" t="s">
        <v>1354</v>
      </c>
      <c r="K3183" s="44" t="s">
        <v>1355</v>
      </c>
      <c r="L3183" s="442"/>
      <c r="M3183" s="480" t="s">
        <v>104</v>
      </c>
      <c r="N3183" s="1015"/>
      <c r="O3183" s="217"/>
      <c r="P3183" s="68" t="s">
        <v>50</v>
      </c>
      <c r="Q3183" s="100">
        <f t="shared" si="1707"/>
        <v>0</v>
      </c>
      <c r="R3183" s="13" t="str">
        <f t="shared" si="1706"/>
        <v>Фото &gt;&gt;</v>
      </c>
      <c r="S3183" s="14" t="s">
        <v>1377</v>
      </c>
      <c r="AK3183">
        <v>0.03</v>
      </c>
      <c r="AL3183">
        <f t="shared" si="1708"/>
        <v>0</v>
      </c>
      <c r="AM3183">
        <f t="shared" si="1709"/>
        <v>0</v>
      </c>
      <c r="AN3183">
        <f t="shared" si="1710"/>
        <v>0</v>
      </c>
      <c r="AO3183" t="s">
        <v>2888</v>
      </c>
      <c r="AV3183" t="str">
        <f>IF(F3183&gt;0,(COUNT($AV$1:AV3182)+1),"")</f>
        <v/>
      </c>
    </row>
    <row r="3184" spans="1:48" ht="15" customHeight="1" x14ac:dyDescent="0.25">
      <c r="A3184" s="1"/>
      <c r="B3184" s="30">
        <v>7559</v>
      </c>
      <c r="C3184" s="149">
        <v>4607176003055</v>
      </c>
      <c r="D3184" s="153" t="s">
        <v>1489</v>
      </c>
      <c r="E3184" s="67">
        <v>30</v>
      </c>
      <c r="F3184" s="222"/>
      <c r="G3184" s="107">
        <v>156.6</v>
      </c>
      <c r="H3184" s="21">
        <v>163.69999999999999</v>
      </c>
      <c r="I3184" s="22">
        <v>173.9</v>
      </c>
      <c r="J3184" s="112" t="s">
        <v>1354</v>
      </c>
      <c r="K3184" s="45" t="s">
        <v>1355</v>
      </c>
      <c r="L3184" s="437"/>
      <c r="M3184" s="474" t="s">
        <v>104</v>
      </c>
      <c r="N3184" s="1013"/>
      <c r="O3184" s="212"/>
      <c r="P3184" s="66" t="s">
        <v>50</v>
      </c>
      <c r="Q3184" s="100">
        <f t="shared" si="1707"/>
        <v>0</v>
      </c>
      <c r="R3184" s="13" t="str">
        <f t="shared" si="1706"/>
        <v>Фото &gt;&gt;</v>
      </c>
      <c r="S3184" s="14" t="s">
        <v>1378</v>
      </c>
      <c r="AK3184">
        <v>0.03</v>
      </c>
      <c r="AL3184">
        <f t="shared" si="1708"/>
        <v>0</v>
      </c>
      <c r="AM3184">
        <f t="shared" si="1709"/>
        <v>0</v>
      </c>
      <c r="AN3184">
        <f t="shared" si="1710"/>
        <v>0</v>
      </c>
      <c r="AO3184" t="s">
        <v>2889</v>
      </c>
      <c r="AV3184" t="str">
        <f>IF(F3184&gt;0,(COUNT($AV$1:AV3183)+1),"")</f>
        <v/>
      </c>
    </row>
    <row r="3185" spans="1:48" ht="15" customHeight="1" x14ac:dyDescent="0.25">
      <c r="A3185" s="1"/>
      <c r="B3185" s="31">
        <v>7768</v>
      </c>
      <c r="C3185" s="148">
        <v>4607176003291</v>
      </c>
      <c r="D3185" s="154" t="s">
        <v>1511</v>
      </c>
      <c r="E3185" s="69">
        <v>30</v>
      </c>
      <c r="F3185" s="222"/>
      <c r="G3185" s="108">
        <v>124.3</v>
      </c>
      <c r="H3185" s="17">
        <v>130.5</v>
      </c>
      <c r="I3185" s="18">
        <v>143.4</v>
      </c>
      <c r="J3185" s="113" t="s">
        <v>1354</v>
      </c>
      <c r="K3185" s="44" t="s">
        <v>1355</v>
      </c>
      <c r="L3185" s="442"/>
      <c r="M3185" s="480" t="s">
        <v>104</v>
      </c>
      <c r="N3185" s="1015"/>
      <c r="O3185" s="217"/>
      <c r="P3185" s="68" t="s">
        <v>50</v>
      </c>
      <c r="Q3185" s="100">
        <f t="shared" si="1707"/>
        <v>0</v>
      </c>
      <c r="R3185" s="13" t="str">
        <f t="shared" si="1706"/>
        <v>Фото &gt;&gt;</v>
      </c>
      <c r="S3185" s="14" t="s">
        <v>1379</v>
      </c>
      <c r="AK3185">
        <v>0.03</v>
      </c>
      <c r="AL3185">
        <f t="shared" si="1708"/>
        <v>0</v>
      </c>
      <c r="AM3185">
        <f t="shared" si="1709"/>
        <v>0</v>
      </c>
      <c r="AN3185">
        <f t="shared" si="1710"/>
        <v>0</v>
      </c>
      <c r="AO3185" t="s">
        <v>2890</v>
      </c>
      <c r="AV3185" t="str">
        <f>IF(F3185&gt;0,(COUNT($AV$1:AV3184)+1),"")</f>
        <v/>
      </c>
    </row>
    <row r="3186" spans="1:48" ht="15" customHeight="1" x14ac:dyDescent="0.25">
      <c r="A3186" s="1"/>
      <c r="B3186" s="30">
        <v>7414</v>
      </c>
      <c r="C3186" s="149">
        <v>4607176003376</v>
      </c>
      <c r="D3186" s="153" t="s">
        <v>1490</v>
      </c>
      <c r="E3186" s="67">
        <v>30</v>
      </c>
      <c r="F3186" s="222"/>
      <c r="G3186" s="107">
        <v>274.8</v>
      </c>
      <c r="H3186" s="21">
        <v>288.8</v>
      </c>
      <c r="I3186" s="22">
        <v>302</v>
      </c>
      <c r="J3186" s="112" t="s">
        <v>1354</v>
      </c>
      <c r="K3186" s="45" t="s">
        <v>1355</v>
      </c>
      <c r="L3186" s="437"/>
      <c r="M3186" s="474" t="s">
        <v>104</v>
      </c>
      <c r="N3186" s="1013"/>
      <c r="O3186" s="212"/>
      <c r="P3186" s="66" t="s">
        <v>50</v>
      </c>
      <c r="Q3186" s="100">
        <f t="shared" si="1707"/>
        <v>0</v>
      </c>
      <c r="R3186" s="13" t="str">
        <f t="shared" si="1706"/>
        <v>Фото &gt;&gt;</v>
      </c>
      <c r="S3186" s="14" t="s">
        <v>1380</v>
      </c>
      <c r="AK3186">
        <v>0.03</v>
      </c>
      <c r="AL3186">
        <f t="shared" si="1708"/>
        <v>0</v>
      </c>
      <c r="AM3186">
        <f t="shared" si="1709"/>
        <v>0</v>
      </c>
      <c r="AN3186">
        <f t="shared" si="1710"/>
        <v>0</v>
      </c>
      <c r="AO3186" t="s">
        <v>2891</v>
      </c>
      <c r="AV3186" t="str">
        <f>IF(F3186&gt;0,(COUNT($AV$1:AV3185)+1),"")</f>
        <v/>
      </c>
    </row>
    <row r="3187" spans="1:48" ht="15" customHeight="1" x14ac:dyDescent="0.25">
      <c r="A3187" s="1"/>
      <c r="B3187" s="31">
        <v>7718</v>
      </c>
      <c r="C3187" s="148">
        <v>4607176003451</v>
      </c>
      <c r="D3187" s="154" t="s">
        <v>1510</v>
      </c>
      <c r="E3187" s="69">
        <v>30</v>
      </c>
      <c r="F3187" s="222"/>
      <c r="G3187" s="108">
        <v>215.6</v>
      </c>
      <c r="H3187" s="17">
        <v>226.8</v>
      </c>
      <c r="I3187" s="18">
        <v>249.1</v>
      </c>
      <c r="J3187" s="113" t="s">
        <v>1354</v>
      </c>
      <c r="K3187" s="44" t="s">
        <v>1355</v>
      </c>
      <c r="L3187" s="442"/>
      <c r="M3187" s="480" t="s">
        <v>104</v>
      </c>
      <c r="N3187" s="1015"/>
      <c r="O3187" s="217"/>
      <c r="P3187" s="68" t="s">
        <v>50</v>
      </c>
      <c r="Q3187" s="100">
        <f t="shared" si="1707"/>
        <v>0</v>
      </c>
      <c r="R3187" s="13" t="str">
        <f t="shared" si="1706"/>
        <v>Фото &gt;&gt;</v>
      </c>
      <c r="S3187" s="14" t="s">
        <v>1381</v>
      </c>
      <c r="AK3187">
        <v>0.03</v>
      </c>
      <c r="AL3187">
        <f t="shared" si="1708"/>
        <v>0</v>
      </c>
      <c r="AM3187">
        <f t="shared" si="1709"/>
        <v>0</v>
      </c>
      <c r="AN3187">
        <f t="shared" si="1710"/>
        <v>0</v>
      </c>
      <c r="AO3187" t="s">
        <v>2892</v>
      </c>
      <c r="AV3187" t="str">
        <f>IF(F3187&gt;0,(COUNT($AV$1:AV3186)+1),"")</f>
        <v/>
      </c>
    </row>
    <row r="3188" spans="1:48" ht="15" customHeight="1" x14ac:dyDescent="0.25">
      <c r="A3188" s="1"/>
      <c r="B3188" s="30">
        <v>13766</v>
      </c>
      <c r="C3188" s="149">
        <v>4607176003536</v>
      </c>
      <c r="D3188" s="153" t="s">
        <v>1491</v>
      </c>
      <c r="E3188" s="67">
        <v>50</v>
      </c>
      <c r="F3188" s="222"/>
      <c r="G3188" s="107">
        <v>320.3</v>
      </c>
      <c r="H3188" s="21">
        <v>336.6</v>
      </c>
      <c r="I3188" s="22">
        <v>370.1</v>
      </c>
      <c r="J3188" s="112" t="s">
        <v>1354</v>
      </c>
      <c r="K3188" s="45" t="s">
        <v>1355</v>
      </c>
      <c r="L3188" s="437"/>
      <c r="M3188" s="474" t="s">
        <v>104</v>
      </c>
      <c r="N3188" s="1013"/>
      <c r="O3188" s="212"/>
      <c r="P3188" s="66" t="s">
        <v>50</v>
      </c>
      <c r="Q3188" s="100">
        <f t="shared" si="1707"/>
        <v>0</v>
      </c>
      <c r="R3188" s="13" t="str">
        <f t="shared" si="1706"/>
        <v>Фото &gt;&gt;</v>
      </c>
      <c r="S3188" s="14" t="s">
        <v>1382</v>
      </c>
      <c r="AK3188">
        <v>0.03</v>
      </c>
      <c r="AL3188">
        <f t="shared" si="1708"/>
        <v>0</v>
      </c>
      <c r="AM3188">
        <f t="shared" si="1709"/>
        <v>0</v>
      </c>
      <c r="AN3188">
        <f t="shared" si="1710"/>
        <v>0</v>
      </c>
      <c r="AO3188" t="s">
        <v>2893</v>
      </c>
      <c r="AV3188" t="str">
        <f>IF(F3188&gt;0,(COUNT($AV$1:AV3187)+1),"")</f>
        <v/>
      </c>
    </row>
    <row r="3189" spans="1:48" ht="15" customHeight="1" x14ac:dyDescent="0.25">
      <c r="A3189" s="1"/>
      <c r="B3189" s="31">
        <v>8150</v>
      </c>
      <c r="C3189" s="148">
        <v>4640001812149</v>
      </c>
      <c r="D3189" s="154" t="s">
        <v>1509</v>
      </c>
      <c r="E3189" s="69">
        <v>30</v>
      </c>
      <c r="F3189" s="222"/>
      <c r="G3189" s="108">
        <v>124.1</v>
      </c>
      <c r="H3189" s="17">
        <v>131.19999999999999</v>
      </c>
      <c r="I3189" s="18">
        <v>137.30000000000001</v>
      </c>
      <c r="J3189" s="113" t="s">
        <v>1354</v>
      </c>
      <c r="K3189" s="44" t="s">
        <v>1355</v>
      </c>
      <c r="L3189" s="442"/>
      <c r="M3189" s="480" t="s">
        <v>104</v>
      </c>
      <c r="N3189" s="1015"/>
      <c r="O3189" s="217"/>
      <c r="P3189" s="68" t="s">
        <v>50</v>
      </c>
      <c r="Q3189" s="100">
        <f t="shared" si="1707"/>
        <v>0</v>
      </c>
      <c r="R3189" s="13" t="str">
        <f t="shared" si="1706"/>
        <v>Фото &gt;&gt;</v>
      </c>
      <c r="S3189" s="14" t="s">
        <v>1383</v>
      </c>
      <c r="AK3189">
        <v>0.03</v>
      </c>
      <c r="AL3189">
        <f t="shared" si="1708"/>
        <v>0</v>
      </c>
      <c r="AM3189">
        <f t="shared" si="1709"/>
        <v>0</v>
      </c>
      <c r="AN3189">
        <f t="shared" si="1710"/>
        <v>0</v>
      </c>
      <c r="AO3189" t="s">
        <v>2894</v>
      </c>
      <c r="AV3189" t="str">
        <f>IF(F3189&gt;0,(COUNT($AV$1:AV3188)+1),"")</f>
        <v/>
      </c>
    </row>
    <row r="3190" spans="1:48" ht="15" customHeight="1" x14ac:dyDescent="0.25">
      <c r="A3190" s="1"/>
      <c r="B3190" s="30">
        <v>8023</v>
      </c>
      <c r="C3190" s="149">
        <v>4607176004496</v>
      </c>
      <c r="D3190" s="153" t="s">
        <v>1486</v>
      </c>
      <c r="E3190" s="67">
        <v>36</v>
      </c>
      <c r="F3190" s="222"/>
      <c r="G3190" s="107">
        <v>195.6</v>
      </c>
      <c r="H3190" s="21">
        <v>205.4</v>
      </c>
      <c r="I3190" s="22">
        <v>225.8</v>
      </c>
      <c r="J3190" s="112" t="s">
        <v>1354</v>
      </c>
      <c r="K3190" s="45" t="s">
        <v>1355</v>
      </c>
      <c r="L3190" s="437"/>
      <c r="M3190" s="474" t="s">
        <v>104</v>
      </c>
      <c r="N3190" s="1013"/>
      <c r="O3190" s="212"/>
      <c r="P3190" s="66" t="s">
        <v>50</v>
      </c>
      <c r="Q3190" s="100">
        <f t="shared" si="1707"/>
        <v>0</v>
      </c>
      <c r="R3190" s="13" t="str">
        <f t="shared" si="1706"/>
        <v>Фото &gt;&gt;</v>
      </c>
      <c r="S3190" s="14" t="s">
        <v>1384</v>
      </c>
      <c r="AK3190">
        <v>0.03</v>
      </c>
      <c r="AL3190">
        <f t="shared" si="1708"/>
        <v>0</v>
      </c>
      <c r="AM3190">
        <f t="shared" si="1709"/>
        <v>0</v>
      </c>
      <c r="AN3190">
        <f t="shared" si="1710"/>
        <v>0</v>
      </c>
      <c r="AO3190" t="s">
        <v>2895</v>
      </c>
      <c r="AV3190" t="str">
        <f>IF(F3190&gt;0,(COUNT($AV$1:AV3189)+1),"")</f>
        <v/>
      </c>
    </row>
    <row r="3191" spans="1:48" ht="15" customHeight="1" x14ac:dyDescent="0.25">
      <c r="A3191" s="1"/>
      <c r="B3191" s="31">
        <v>7488</v>
      </c>
      <c r="C3191" s="148">
        <v>4607176004656</v>
      </c>
      <c r="D3191" s="154" t="s">
        <v>1508</v>
      </c>
      <c r="E3191" s="69">
        <v>30</v>
      </c>
      <c r="F3191" s="222"/>
      <c r="G3191" s="108">
        <v>189.7</v>
      </c>
      <c r="H3191" s="17">
        <v>199.3</v>
      </c>
      <c r="I3191" s="18">
        <v>218.6</v>
      </c>
      <c r="J3191" s="113" t="s">
        <v>1354</v>
      </c>
      <c r="K3191" s="44" t="s">
        <v>1355</v>
      </c>
      <c r="L3191" s="442"/>
      <c r="M3191" s="480" t="s">
        <v>104</v>
      </c>
      <c r="N3191" s="1015"/>
      <c r="O3191" s="217"/>
      <c r="P3191" s="68" t="s">
        <v>50</v>
      </c>
      <c r="Q3191" s="100">
        <f t="shared" si="1707"/>
        <v>0</v>
      </c>
      <c r="R3191" s="13" t="str">
        <f t="shared" si="1706"/>
        <v>Фото &gt;&gt;</v>
      </c>
      <c r="S3191" s="14" t="s">
        <v>1385</v>
      </c>
      <c r="AK3191">
        <v>0.03</v>
      </c>
      <c r="AL3191">
        <f t="shared" ref="AL3191:AL3208" si="1711">F3191*G3191</f>
        <v>0</v>
      </c>
      <c r="AM3191">
        <f t="shared" ref="AM3191:AM3208" si="1712">F3191*H3191</f>
        <v>0</v>
      </c>
      <c r="AN3191">
        <f t="shared" si="1710"/>
        <v>0</v>
      </c>
      <c r="AO3191" t="s">
        <v>2896</v>
      </c>
      <c r="AV3191" t="str">
        <f>IF(F3191&gt;0,(COUNT($AV$1:AV3190)+1),"")</f>
        <v/>
      </c>
    </row>
    <row r="3192" spans="1:48" ht="15" customHeight="1" x14ac:dyDescent="0.25">
      <c r="A3192" s="1"/>
      <c r="B3192" s="30">
        <v>7415</v>
      </c>
      <c r="C3192" s="149">
        <v>4607176004977</v>
      </c>
      <c r="D3192" s="153" t="s">
        <v>1492</v>
      </c>
      <c r="E3192" s="67">
        <v>30</v>
      </c>
      <c r="F3192" s="222"/>
      <c r="G3192" s="107">
        <v>235.4</v>
      </c>
      <c r="H3192" s="21">
        <v>247.1</v>
      </c>
      <c r="I3192" s="22">
        <v>271.5</v>
      </c>
      <c r="J3192" s="112" t="s">
        <v>1354</v>
      </c>
      <c r="K3192" s="45" t="s">
        <v>1355</v>
      </c>
      <c r="L3192" s="437"/>
      <c r="M3192" s="474" t="s">
        <v>104</v>
      </c>
      <c r="N3192" s="1013"/>
      <c r="O3192" s="212"/>
      <c r="P3192" s="66" t="s">
        <v>50</v>
      </c>
      <c r="Q3192" s="100">
        <f t="shared" si="1707"/>
        <v>0</v>
      </c>
      <c r="R3192" s="13" t="str">
        <f t="shared" si="1706"/>
        <v>Фото &gt;&gt;</v>
      </c>
      <c r="S3192" s="14" t="s">
        <v>1386</v>
      </c>
      <c r="AK3192">
        <v>0.03</v>
      </c>
      <c r="AL3192">
        <f t="shared" si="1711"/>
        <v>0</v>
      </c>
      <c r="AM3192">
        <f t="shared" si="1712"/>
        <v>0</v>
      </c>
      <c r="AN3192">
        <f t="shared" ref="AN3192:AN3208" si="1713">AK3192*F3192+IF(E3192&gt;1.01,F3192/E3192*0.2,0)</f>
        <v>0</v>
      </c>
      <c r="AO3192" t="s">
        <v>2897</v>
      </c>
      <c r="AV3192" t="str">
        <f>IF(F3192&gt;0,(COUNT($AV$1:AV3191)+1),"")</f>
        <v/>
      </c>
    </row>
    <row r="3193" spans="1:48" ht="15" customHeight="1" x14ac:dyDescent="0.25">
      <c r="A3193" s="1"/>
      <c r="B3193" s="31">
        <v>7495</v>
      </c>
      <c r="C3193" s="148">
        <v>4607176005059</v>
      </c>
      <c r="D3193" s="154" t="s">
        <v>1493</v>
      </c>
      <c r="E3193" s="69">
        <v>30</v>
      </c>
      <c r="F3193" s="222"/>
      <c r="G3193" s="108">
        <v>130.19999999999999</v>
      </c>
      <c r="H3193" s="17">
        <v>136.69999999999999</v>
      </c>
      <c r="I3193" s="18">
        <v>150.5</v>
      </c>
      <c r="J3193" s="113" t="s">
        <v>1354</v>
      </c>
      <c r="K3193" s="44" t="s">
        <v>1355</v>
      </c>
      <c r="L3193" s="442"/>
      <c r="M3193" s="480" t="s">
        <v>104</v>
      </c>
      <c r="N3193" s="1015"/>
      <c r="O3193" s="217"/>
      <c r="P3193" s="68" t="s">
        <v>50</v>
      </c>
      <c r="Q3193" s="100">
        <f t="shared" si="1707"/>
        <v>0</v>
      </c>
      <c r="R3193" s="13" t="str">
        <f t="shared" si="1706"/>
        <v>Фото &gt;&gt;</v>
      </c>
      <c r="S3193" s="14" t="s">
        <v>1387</v>
      </c>
      <c r="AK3193">
        <v>0.03</v>
      </c>
      <c r="AL3193">
        <f t="shared" si="1711"/>
        <v>0</v>
      </c>
      <c r="AM3193">
        <f t="shared" si="1712"/>
        <v>0</v>
      </c>
      <c r="AN3193">
        <f t="shared" si="1713"/>
        <v>0</v>
      </c>
      <c r="AO3193" t="s">
        <v>2898</v>
      </c>
      <c r="AV3193" t="str">
        <f>IF(F3193&gt;0,(COUNT($AV$1:AV3192)+1),"")</f>
        <v/>
      </c>
    </row>
    <row r="3194" spans="1:48" ht="15" customHeight="1" x14ac:dyDescent="0.25">
      <c r="A3194" s="1"/>
      <c r="B3194" s="30">
        <v>13803</v>
      </c>
      <c r="C3194" s="149">
        <v>4607176005370</v>
      </c>
      <c r="D3194" s="153" t="s">
        <v>1494</v>
      </c>
      <c r="E3194" s="67">
        <v>50</v>
      </c>
      <c r="F3194" s="222"/>
      <c r="G3194" s="107">
        <v>151.5</v>
      </c>
      <c r="H3194" s="21">
        <v>158.6</v>
      </c>
      <c r="I3194" s="22">
        <v>174.9</v>
      </c>
      <c r="J3194" s="112" t="s">
        <v>1354</v>
      </c>
      <c r="K3194" s="45" t="s">
        <v>1355</v>
      </c>
      <c r="L3194" s="437"/>
      <c r="M3194" s="474" t="s">
        <v>104</v>
      </c>
      <c r="N3194" s="1013"/>
      <c r="O3194" s="212"/>
      <c r="P3194" s="66" t="s">
        <v>50</v>
      </c>
      <c r="Q3194" s="100">
        <f t="shared" si="1707"/>
        <v>0</v>
      </c>
      <c r="R3194" s="13" t="str">
        <f t="shared" ref="R3194:R3208" si="1714">IF(AO3194&gt;0,HYPERLINK(AO3194,"Фото &gt;&gt;"),"")</f>
        <v>Фото &gt;&gt;</v>
      </c>
      <c r="S3194" s="14" t="s">
        <v>1388</v>
      </c>
      <c r="AK3194">
        <v>0.03</v>
      </c>
      <c r="AL3194">
        <f t="shared" si="1711"/>
        <v>0</v>
      </c>
      <c r="AM3194">
        <f t="shared" si="1712"/>
        <v>0</v>
      </c>
      <c r="AN3194">
        <f t="shared" si="1713"/>
        <v>0</v>
      </c>
      <c r="AO3194" t="s">
        <v>2899</v>
      </c>
      <c r="AV3194" t="str">
        <f>IF(F3194&gt;0,(COUNT($AV$1:AV3193)+1),"")</f>
        <v/>
      </c>
    </row>
    <row r="3195" spans="1:48" ht="15" customHeight="1" x14ac:dyDescent="0.25">
      <c r="A3195" s="1"/>
      <c r="B3195" s="31">
        <v>9649</v>
      </c>
      <c r="C3195" s="148">
        <v>4607176005691</v>
      </c>
      <c r="D3195" s="154" t="s">
        <v>1495</v>
      </c>
      <c r="E3195" s="69">
        <v>30</v>
      </c>
      <c r="F3195" s="222"/>
      <c r="G3195" s="108">
        <v>150.5</v>
      </c>
      <c r="H3195" s="17">
        <v>157.6</v>
      </c>
      <c r="I3195" s="18">
        <v>173.9</v>
      </c>
      <c r="J3195" s="113" t="s">
        <v>1354</v>
      </c>
      <c r="K3195" s="44" t="s">
        <v>1355</v>
      </c>
      <c r="L3195" s="442"/>
      <c r="M3195" s="480" t="s">
        <v>104</v>
      </c>
      <c r="N3195" s="1015"/>
      <c r="O3195" s="217"/>
      <c r="P3195" s="68" t="s">
        <v>50</v>
      </c>
      <c r="Q3195" s="100">
        <f t="shared" si="1707"/>
        <v>0</v>
      </c>
      <c r="R3195" s="13" t="str">
        <f t="shared" si="1714"/>
        <v>Фото &gt;&gt;</v>
      </c>
      <c r="S3195" s="14" t="s">
        <v>1389</v>
      </c>
      <c r="AK3195">
        <v>0.03</v>
      </c>
      <c r="AL3195">
        <f t="shared" si="1711"/>
        <v>0</v>
      </c>
      <c r="AM3195">
        <f t="shared" si="1712"/>
        <v>0</v>
      </c>
      <c r="AN3195">
        <f t="shared" si="1713"/>
        <v>0</v>
      </c>
      <c r="AO3195" t="s">
        <v>2900</v>
      </c>
      <c r="AV3195" t="str">
        <f>IF(F3195&gt;0,(COUNT($AV$1:AV3194)+1),"")</f>
        <v/>
      </c>
    </row>
    <row r="3196" spans="1:48" ht="15" customHeight="1" x14ac:dyDescent="0.25">
      <c r="A3196" s="1"/>
      <c r="B3196" s="30">
        <v>7602</v>
      </c>
      <c r="C3196" s="149">
        <v>4607176006094</v>
      </c>
      <c r="D3196" s="153" t="s">
        <v>1487</v>
      </c>
      <c r="E3196" s="67">
        <v>30</v>
      </c>
      <c r="F3196" s="222"/>
      <c r="G3196" s="107">
        <v>124.3</v>
      </c>
      <c r="H3196" s="21">
        <v>130.5</v>
      </c>
      <c r="I3196" s="22">
        <v>143.4</v>
      </c>
      <c r="J3196" s="112" t="s">
        <v>1354</v>
      </c>
      <c r="K3196" s="45" t="s">
        <v>1355</v>
      </c>
      <c r="L3196" s="437"/>
      <c r="M3196" s="474" t="s">
        <v>104</v>
      </c>
      <c r="N3196" s="1013"/>
      <c r="O3196" s="212"/>
      <c r="P3196" s="66" t="s">
        <v>50</v>
      </c>
      <c r="Q3196" s="100">
        <f t="shared" si="1707"/>
        <v>0</v>
      </c>
      <c r="R3196" s="13" t="str">
        <f t="shared" si="1714"/>
        <v>Фото &gt;&gt;</v>
      </c>
      <c r="S3196" s="14" t="s">
        <v>1390</v>
      </c>
      <c r="AK3196">
        <v>0.03</v>
      </c>
      <c r="AL3196">
        <f t="shared" si="1711"/>
        <v>0</v>
      </c>
      <c r="AM3196">
        <f t="shared" si="1712"/>
        <v>0</v>
      </c>
      <c r="AN3196">
        <f t="shared" si="1713"/>
        <v>0</v>
      </c>
      <c r="AO3196" t="s">
        <v>2901</v>
      </c>
      <c r="AV3196" t="str">
        <f>IF(F3196&gt;0,(COUNT($AV$1:AV3195)+1),"")</f>
        <v/>
      </c>
    </row>
    <row r="3197" spans="1:48" ht="15" customHeight="1" x14ac:dyDescent="0.25">
      <c r="A3197" s="1"/>
      <c r="B3197" s="31">
        <v>7492</v>
      </c>
      <c r="C3197" s="148">
        <v>4640001815935</v>
      </c>
      <c r="D3197" s="154" t="s">
        <v>1496</v>
      </c>
      <c r="E3197" s="69">
        <v>30</v>
      </c>
      <c r="F3197" s="222"/>
      <c r="G3197" s="108">
        <v>156.9</v>
      </c>
      <c r="H3197" s="17">
        <v>164.8</v>
      </c>
      <c r="I3197" s="18">
        <v>181</v>
      </c>
      <c r="J3197" s="113" t="s">
        <v>1354</v>
      </c>
      <c r="K3197" s="44" t="s">
        <v>1355</v>
      </c>
      <c r="L3197" s="442"/>
      <c r="M3197" s="480" t="s">
        <v>104</v>
      </c>
      <c r="N3197" s="1015"/>
      <c r="O3197" s="217"/>
      <c r="P3197" s="68" t="s">
        <v>50</v>
      </c>
      <c r="Q3197" s="100">
        <f t="shared" si="1707"/>
        <v>0</v>
      </c>
      <c r="R3197" s="13" t="str">
        <f t="shared" si="1714"/>
        <v>Фото &gt;&gt;</v>
      </c>
      <c r="S3197" s="14" t="s">
        <v>1391</v>
      </c>
      <c r="AK3197">
        <v>0.03</v>
      </c>
      <c r="AL3197">
        <f t="shared" si="1711"/>
        <v>0</v>
      </c>
      <c r="AM3197">
        <f t="shared" si="1712"/>
        <v>0</v>
      </c>
      <c r="AN3197">
        <f t="shared" si="1713"/>
        <v>0</v>
      </c>
      <c r="AO3197" t="s">
        <v>2902</v>
      </c>
      <c r="AV3197" t="str">
        <f>IF(F3197&gt;0,(COUNT($AV$1:AV3196)+1),"")</f>
        <v/>
      </c>
    </row>
    <row r="3198" spans="1:48" ht="15" customHeight="1" x14ac:dyDescent="0.25">
      <c r="A3198" s="1"/>
      <c r="B3198" s="30">
        <v>7557</v>
      </c>
      <c r="C3198" s="149">
        <v>4607176006414</v>
      </c>
      <c r="D3198" s="153" t="s">
        <v>1497</v>
      </c>
      <c r="E3198" s="67">
        <v>30</v>
      </c>
      <c r="F3198" s="222"/>
      <c r="G3198" s="107">
        <v>248.5</v>
      </c>
      <c r="H3198" s="21">
        <v>260.89999999999998</v>
      </c>
      <c r="I3198" s="22">
        <v>286.7</v>
      </c>
      <c r="J3198" s="112" t="s">
        <v>1354</v>
      </c>
      <c r="K3198" s="45" t="s">
        <v>1355</v>
      </c>
      <c r="L3198" s="437"/>
      <c r="M3198" s="474" t="s">
        <v>104</v>
      </c>
      <c r="N3198" s="1013"/>
      <c r="O3198" s="212"/>
      <c r="P3198" s="66" t="s">
        <v>50</v>
      </c>
      <c r="Q3198" s="100">
        <f t="shared" si="1707"/>
        <v>0</v>
      </c>
      <c r="R3198" s="13" t="str">
        <f t="shared" si="1714"/>
        <v>Фото &gt;&gt;</v>
      </c>
      <c r="S3198" s="14" t="s">
        <v>1392</v>
      </c>
      <c r="AK3198">
        <v>0.03</v>
      </c>
      <c r="AL3198">
        <f t="shared" si="1711"/>
        <v>0</v>
      </c>
      <c r="AM3198">
        <f t="shared" si="1712"/>
        <v>0</v>
      </c>
      <c r="AN3198">
        <f t="shared" si="1713"/>
        <v>0</v>
      </c>
      <c r="AO3198" t="s">
        <v>2903</v>
      </c>
      <c r="AV3198" t="str">
        <f>IF(F3198&gt;0,(COUNT($AV$1:AV3197)+1),"")</f>
        <v/>
      </c>
    </row>
    <row r="3199" spans="1:48" ht="15" customHeight="1" x14ac:dyDescent="0.25">
      <c r="A3199" s="1"/>
      <c r="B3199" s="31">
        <v>7719</v>
      </c>
      <c r="C3199" s="148">
        <v>4607176006650</v>
      </c>
      <c r="D3199" s="154" t="s">
        <v>1498</v>
      </c>
      <c r="E3199" s="69">
        <v>30</v>
      </c>
      <c r="F3199" s="222"/>
      <c r="G3199" s="108">
        <v>260.89999999999998</v>
      </c>
      <c r="H3199" s="17">
        <v>273.89999999999998</v>
      </c>
      <c r="I3199" s="18">
        <v>301</v>
      </c>
      <c r="J3199" s="113" t="s">
        <v>1354</v>
      </c>
      <c r="K3199" s="44" t="s">
        <v>1355</v>
      </c>
      <c r="L3199" s="442"/>
      <c r="M3199" s="480" t="s">
        <v>104</v>
      </c>
      <c r="N3199" s="1015"/>
      <c r="O3199" s="217"/>
      <c r="P3199" s="68" t="s">
        <v>50</v>
      </c>
      <c r="Q3199" s="100">
        <f t="shared" si="1707"/>
        <v>0</v>
      </c>
      <c r="R3199" s="13" t="str">
        <f t="shared" si="1714"/>
        <v>Фото &gt;&gt;</v>
      </c>
      <c r="S3199" s="14" t="s">
        <v>1393</v>
      </c>
      <c r="AK3199">
        <v>0.03</v>
      </c>
      <c r="AL3199">
        <f t="shared" si="1711"/>
        <v>0</v>
      </c>
      <c r="AM3199">
        <f t="shared" si="1712"/>
        <v>0</v>
      </c>
      <c r="AN3199">
        <f t="shared" si="1713"/>
        <v>0</v>
      </c>
      <c r="AO3199" t="s">
        <v>2904</v>
      </c>
      <c r="AV3199" t="str">
        <f>IF(F3199&gt;0,(COUNT($AV$1:AV3198)+1),"")</f>
        <v/>
      </c>
    </row>
    <row r="3200" spans="1:48" ht="15" customHeight="1" x14ac:dyDescent="0.25">
      <c r="A3200" s="1"/>
      <c r="B3200" s="30">
        <v>7603</v>
      </c>
      <c r="C3200" s="149">
        <v>4607176007053</v>
      </c>
      <c r="D3200" s="153" t="s">
        <v>1499</v>
      </c>
      <c r="E3200" s="67">
        <v>30</v>
      </c>
      <c r="F3200" s="222"/>
      <c r="G3200" s="107">
        <v>150.5</v>
      </c>
      <c r="H3200" s="21">
        <v>157.9</v>
      </c>
      <c r="I3200" s="22">
        <v>173.9</v>
      </c>
      <c r="J3200" s="112" t="s">
        <v>1354</v>
      </c>
      <c r="K3200" s="45" t="s">
        <v>1355</v>
      </c>
      <c r="L3200" s="437"/>
      <c r="M3200" s="474" t="s">
        <v>104</v>
      </c>
      <c r="N3200" s="1013"/>
      <c r="O3200" s="212"/>
      <c r="P3200" s="66" t="s">
        <v>50</v>
      </c>
      <c r="Q3200" s="100">
        <f t="shared" si="1707"/>
        <v>0</v>
      </c>
      <c r="R3200" s="13" t="str">
        <f t="shared" si="1714"/>
        <v>Фото &gt;&gt;</v>
      </c>
      <c r="S3200" s="14" t="s">
        <v>1394</v>
      </c>
      <c r="AK3200">
        <v>0.03</v>
      </c>
      <c r="AL3200">
        <f t="shared" si="1711"/>
        <v>0</v>
      </c>
      <c r="AM3200">
        <f t="shared" si="1712"/>
        <v>0</v>
      </c>
      <c r="AN3200">
        <f t="shared" si="1713"/>
        <v>0</v>
      </c>
      <c r="AO3200" t="s">
        <v>2905</v>
      </c>
      <c r="AV3200" t="str">
        <f>IF(F3200&gt;0,(COUNT($AV$1:AV3199)+1),"")</f>
        <v/>
      </c>
    </row>
    <row r="3201" spans="1:48" ht="15" customHeight="1" x14ac:dyDescent="0.25">
      <c r="A3201" s="1"/>
      <c r="B3201" s="31">
        <v>12765</v>
      </c>
      <c r="C3201" s="148">
        <v>4607176007299</v>
      </c>
      <c r="D3201" s="154" t="s">
        <v>1500</v>
      </c>
      <c r="E3201" s="69">
        <v>50</v>
      </c>
      <c r="F3201" s="222"/>
      <c r="G3201" s="108">
        <v>748.3</v>
      </c>
      <c r="H3201" s="17">
        <v>784.9</v>
      </c>
      <c r="I3201" s="18">
        <v>825.6</v>
      </c>
      <c r="J3201" s="113" t="s">
        <v>1354</v>
      </c>
      <c r="K3201" s="44" t="s">
        <v>1355</v>
      </c>
      <c r="L3201" s="442"/>
      <c r="M3201" s="480" t="s">
        <v>104</v>
      </c>
      <c r="N3201" s="1015"/>
      <c r="O3201" s="217"/>
      <c r="P3201" s="68" t="s">
        <v>50</v>
      </c>
      <c r="Q3201" s="100">
        <f t="shared" si="1707"/>
        <v>0</v>
      </c>
      <c r="R3201" s="13" t="str">
        <f t="shared" si="1714"/>
        <v>Фото &gt;&gt;</v>
      </c>
      <c r="S3201" s="14" t="s">
        <v>1395</v>
      </c>
      <c r="AK3201">
        <v>0.03</v>
      </c>
      <c r="AL3201">
        <f t="shared" si="1711"/>
        <v>0</v>
      </c>
      <c r="AM3201">
        <f t="shared" si="1712"/>
        <v>0</v>
      </c>
      <c r="AN3201">
        <f t="shared" si="1713"/>
        <v>0</v>
      </c>
      <c r="AO3201" t="s">
        <v>2906</v>
      </c>
      <c r="AV3201" t="str">
        <f>IF(F3201&gt;0,(COUNT($AV$1:AV3200)+1),"")</f>
        <v/>
      </c>
    </row>
    <row r="3202" spans="1:48" ht="15" customHeight="1" x14ac:dyDescent="0.25">
      <c r="A3202" s="1"/>
      <c r="B3202" s="30">
        <v>7739</v>
      </c>
      <c r="C3202" s="149">
        <v>4607176007374</v>
      </c>
      <c r="D3202" s="153" t="s">
        <v>1501</v>
      </c>
      <c r="E3202" s="67">
        <v>36</v>
      </c>
      <c r="F3202" s="222"/>
      <c r="G3202" s="107">
        <v>143.9</v>
      </c>
      <c r="H3202" s="21">
        <v>151</v>
      </c>
      <c r="I3202" s="22">
        <v>166.2</v>
      </c>
      <c r="J3202" s="112" t="s">
        <v>1354</v>
      </c>
      <c r="K3202" s="45" t="s">
        <v>1355</v>
      </c>
      <c r="L3202" s="437"/>
      <c r="M3202" s="474" t="s">
        <v>104</v>
      </c>
      <c r="N3202" s="1013"/>
      <c r="O3202" s="212"/>
      <c r="P3202" s="66" t="s">
        <v>50</v>
      </c>
      <c r="Q3202" s="100">
        <f t="shared" si="1707"/>
        <v>0</v>
      </c>
      <c r="R3202" s="13" t="str">
        <f t="shared" si="1714"/>
        <v>Фото &gt;&gt;</v>
      </c>
      <c r="S3202" s="14" t="s">
        <v>1396</v>
      </c>
      <c r="AK3202">
        <v>0.03</v>
      </c>
      <c r="AL3202">
        <f t="shared" si="1711"/>
        <v>0</v>
      </c>
      <c r="AM3202">
        <f t="shared" si="1712"/>
        <v>0</v>
      </c>
      <c r="AN3202">
        <f t="shared" si="1713"/>
        <v>0</v>
      </c>
      <c r="AO3202" t="s">
        <v>2907</v>
      </c>
      <c r="AV3202" t="str">
        <f>IF(F3202&gt;0,(COUNT($AV$1:AV3201)+1),"")</f>
        <v/>
      </c>
    </row>
    <row r="3203" spans="1:48" ht="15" customHeight="1" x14ac:dyDescent="0.25">
      <c r="A3203" s="1"/>
      <c r="B3203" s="31">
        <v>8116</v>
      </c>
      <c r="C3203" s="148">
        <v>4607176007459</v>
      </c>
      <c r="D3203" s="154" t="s">
        <v>1502</v>
      </c>
      <c r="E3203" s="69">
        <v>30</v>
      </c>
      <c r="F3203" s="222"/>
      <c r="G3203" s="108">
        <v>293.89999999999998</v>
      </c>
      <c r="H3203" s="17">
        <v>308.10000000000002</v>
      </c>
      <c r="I3203" s="18">
        <v>338.6</v>
      </c>
      <c r="J3203" s="113" t="s">
        <v>1354</v>
      </c>
      <c r="K3203" s="44" t="s">
        <v>1355</v>
      </c>
      <c r="L3203" s="442"/>
      <c r="M3203" s="480" t="s">
        <v>104</v>
      </c>
      <c r="N3203" s="1015"/>
      <c r="O3203" s="217"/>
      <c r="P3203" s="68" t="s">
        <v>50</v>
      </c>
      <c r="Q3203" s="100">
        <f t="shared" si="1707"/>
        <v>0</v>
      </c>
      <c r="R3203" s="13" t="str">
        <f t="shared" si="1714"/>
        <v>Фото &gt;&gt;</v>
      </c>
      <c r="S3203" s="14" t="s">
        <v>1397</v>
      </c>
      <c r="AK3203">
        <v>0.03</v>
      </c>
      <c r="AL3203">
        <f t="shared" si="1711"/>
        <v>0</v>
      </c>
      <c r="AM3203">
        <f t="shared" si="1712"/>
        <v>0</v>
      </c>
      <c r="AN3203">
        <f t="shared" si="1713"/>
        <v>0</v>
      </c>
      <c r="AO3203" t="s">
        <v>2908</v>
      </c>
      <c r="AV3203" t="str">
        <f>IF(F3203&gt;0,(COUNT($AV$1:AV3202)+1),"")</f>
        <v/>
      </c>
    </row>
    <row r="3204" spans="1:48" ht="15" customHeight="1" x14ac:dyDescent="0.25">
      <c r="A3204" s="1"/>
      <c r="B3204" s="30">
        <v>7766</v>
      </c>
      <c r="C3204" s="149">
        <v>4607176007619</v>
      </c>
      <c r="D3204" s="153" t="s">
        <v>1503</v>
      </c>
      <c r="E3204" s="67">
        <v>30</v>
      </c>
      <c r="F3204" s="222"/>
      <c r="G3204" s="107">
        <v>320.3</v>
      </c>
      <c r="H3204" s="21">
        <v>336.6</v>
      </c>
      <c r="I3204" s="22">
        <v>370.1</v>
      </c>
      <c r="J3204" s="112" t="s">
        <v>1354</v>
      </c>
      <c r="K3204" s="45" t="s">
        <v>1355</v>
      </c>
      <c r="L3204" s="437"/>
      <c r="M3204" s="474" t="s">
        <v>104</v>
      </c>
      <c r="N3204" s="1013"/>
      <c r="O3204" s="212"/>
      <c r="P3204" s="66" t="s">
        <v>50</v>
      </c>
      <c r="Q3204" s="100">
        <f t="shared" si="1707"/>
        <v>0</v>
      </c>
      <c r="R3204" s="13" t="str">
        <f t="shared" si="1714"/>
        <v>Фото &gt;&gt;</v>
      </c>
      <c r="S3204" s="14" t="s">
        <v>1398</v>
      </c>
      <c r="AK3204">
        <v>0.03</v>
      </c>
      <c r="AL3204">
        <f t="shared" si="1711"/>
        <v>0</v>
      </c>
      <c r="AM3204">
        <f t="shared" si="1712"/>
        <v>0</v>
      </c>
      <c r="AN3204">
        <f t="shared" si="1713"/>
        <v>0</v>
      </c>
      <c r="AO3204" t="s">
        <v>2909</v>
      </c>
      <c r="AV3204" t="str">
        <f>IF(F3204&gt;0,(COUNT($AV$1:AV3203)+1),"")</f>
        <v/>
      </c>
    </row>
    <row r="3205" spans="1:48" ht="15" customHeight="1" x14ac:dyDescent="0.25">
      <c r="A3205" s="1"/>
      <c r="B3205" s="31">
        <v>7425</v>
      </c>
      <c r="C3205" s="148">
        <v>4607176007855</v>
      </c>
      <c r="D3205" s="154" t="s">
        <v>1504</v>
      </c>
      <c r="E3205" s="69">
        <v>30</v>
      </c>
      <c r="F3205" s="222"/>
      <c r="G3205" s="108">
        <v>130.19999999999999</v>
      </c>
      <c r="H3205" s="17">
        <v>136.69999999999999</v>
      </c>
      <c r="I3205" s="18">
        <v>150.5</v>
      </c>
      <c r="J3205" s="113" t="s">
        <v>1354</v>
      </c>
      <c r="K3205" s="44" t="s">
        <v>1355</v>
      </c>
      <c r="L3205" s="442"/>
      <c r="M3205" s="480" t="s">
        <v>104</v>
      </c>
      <c r="N3205" s="1015"/>
      <c r="O3205" s="217"/>
      <c r="P3205" s="68" t="s">
        <v>50</v>
      </c>
      <c r="Q3205" s="100">
        <f t="shared" si="1707"/>
        <v>0</v>
      </c>
      <c r="R3205" s="13" t="str">
        <f t="shared" si="1714"/>
        <v>Фото &gt;&gt;</v>
      </c>
      <c r="S3205" s="14" t="s">
        <v>1399</v>
      </c>
      <c r="AK3205">
        <v>0.03</v>
      </c>
      <c r="AL3205">
        <f t="shared" si="1711"/>
        <v>0</v>
      </c>
      <c r="AM3205">
        <f t="shared" si="1712"/>
        <v>0</v>
      </c>
      <c r="AN3205">
        <f t="shared" si="1713"/>
        <v>0</v>
      </c>
      <c r="AO3205" t="s">
        <v>2910</v>
      </c>
      <c r="AV3205" t="str">
        <f>IF(F3205&gt;0,(COUNT($AV$1:AV3204)+1),"")</f>
        <v/>
      </c>
    </row>
    <row r="3206" spans="1:48" ht="15" customHeight="1" x14ac:dyDescent="0.25">
      <c r="A3206" s="1"/>
      <c r="B3206" s="30">
        <v>7489</v>
      </c>
      <c r="C3206" s="149">
        <v>4607176008814</v>
      </c>
      <c r="D3206" s="153" t="s">
        <v>1505</v>
      </c>
      <c r="E3206" s="67">
        <v>30</v>
      </c>
      <c r="F3206" s="222"/>
      <c r="G3206" s="107">
        <v>195.5</v>
      </c>
      <c r="H3206" s="21">
        <v>205.4</v>
      </c>
      <c r="I3206" s="22">
        <v>225.8</v>
      </c>
      <c r="J3206" s="112" t="s">
        <v>1354</v>
      </c>
      <c r="K3206" s="45" t="s">
        <v>1355</v>
      </c>
      <c r="L3206" s="437"/>
      <c r="M3206" s="474" t="s">
        <v>104</v>
      </c>
      <c r="N3206" s="1013"/>
      <c r="O3206" s="212"/>
      <c r="P3206" s="66" t="s">
        <v>50</v>
      </c>
      <c r="Q3206" s="100">
        <f t="shared" si="1707"/>
        <v>0</v>
      </c>
      <c r="R3206" s="13" t="str">
        <f t="shared" si="1714"/>
        <v>Фото &gt;&gt;</v>
      </c>
      <c r="S3206" s="14" t="s">
        <v>1400</v>
      </c>
      <c r="AK3206">
        <v>0.03</v>
      </c>
      <c r="AL3206">
        <f t="shared" si="1711"/>
        <v>0</v>
      </c>
      <c r="AM3206">
        <f t="shared" si="1712"/>
        <v>0</v>
      </c>
      <c r="AN3206">
        <f t="shared" si="1713"/>
        <v>0</v>
      </c>
      <c r="AO3206" t="s">
        <v>2911</v>
      </c>
      <c r="AV3206" t="str">
        <f>IF(F3206&gt;0,(COUNT($AV$1:AV3205)+1),"")</f>
        <v/>
      </c>
    </row>
    <row r="3207" spans="1:48" ht="15" customHeight="1" x14ac:dyDescent="0.25">
      <c r="A3207" s="1"/>
      <c r="B3207" s="31">
        <v>7558</v>
      </c>
      <c r="C3207" s="148">
        <v>4607176009057</v>
      </c>
      <c r="D3207" s="154" t="s">
        <v>1506</v>
      </c>
      <c r="E3207" s="69">
        <v>30</v>
      </c>
      <c r="F3207" s="222"/>
      <c r="G3207" s="108">
        <v>339.6</v>
      </c>
      <c r="H3207" s="17">
        <v>356.9</v>
      </c>
      <c r="I3207" s="18">
        <v>392.5</v>
      </c>
      <c r="J3207" s="113" t="s">
        <v>1354</v>
      </c>
      <c r="K3207" s="44" t="s">
        <v>1355</v>
      </c>
      <c r="L3207" s="442"/>
      <c r="M3207" s="480" t="s">
        <v>104</v>
      </c>
      <c r="N3207" s="1015"/>
      <c r="O3207" s="217"/>
      <c r="P3207" s="68" t="s">
        <v>50</v>
      </c>
      <c r="Q3207" s="100">
        <f t="shared" si="1707"/>
        <v>0</v>
      </c>
      <c r="R3207" s="13" t="str">
        <f t="shared" si="1714"/>
        <v>Фото &gt;&gt;</v>
      </c>
      <c r="S3207" s="14" t="s">
        <v>1401</v>
      </c>
      <c r="AK3207">
        <v>0.03</v>
      </c>
      <c r="AL3207">
        <f t="shared" si="1711"/>
        <v>0</v>
      </c>
      <c r="AM3207">
        <f t="shared" si="1712"/>
        <v>0</v>
      </c>
      <c r="AN3207">
        <f t="shared" si="1713"/>
        <v>0</v>
      </c>
      <c r="AO3207" t="s">
        <v>2912</v>
      </c>
      <c r="AV3207" t="str">
        <f>IF(F3207&gt;0,(COUNT($AV$1:AV3206)+1),"")</f>
        <v/>
      </c>
    </row>
    <row r="3208" spans="1:48" ht="15" customHeight="1" x14ac:dyDescent="0.25">
      <c r="A3208" s="1"/>
      <c r="B3208" s="37">
        <v>7490</v>
      </c>
      <c r="C3208" s="152">
        <v>4607176009132</v>
      </c>
      <c r="D3208" s="156" t="s">
        <v>1507</v>
      </c>
      <c r="E3208" s="75">
        <v>30</v>
      </c>
      <c r="F3208" s="223"/>
      <c r="G3208" s="111">
        <v>143.9</v>
      </c>
      <c r="H3208" s="5">
        <v>151</v>
      </c>
      <c r="I3208" s="24">
        <v>166.2</v>
      </c>
      <c r="J3208" s="115" t="s">
        <v>1354</v>
      </c>
      <c r="K3208" s="46" t="s">
        <v>1355</v>
      </c>
      <c r="L3208" s="440"/>
      <c r="M3208" s="482" t="s">
        <v>104</v>
      </c>
      <c r="N3208" s="1002"/>
      <c r="O3208" s="214"/>
      <c r="P3208" s="74" t="s">
        <v>50</v>
      </c>
      <c r="Q3208" s="101">
        <f t="shared" si="1707"/>
        <v>0</v>
      </c>
      <c r="R3208" s="13" t="str">
        <f t="shared" si="1714"/>
        <v>Фото &gt;&gt;</v>
      </c>
      <c r="S3208" s="14" t="s">
        <v>1402</v>
      </c>
      <c r="AK3208">
        <v>0.03</v>
      </c>
      <c r="AL3208">
        <f t="shared" si="1711"/>
        <v>0</v>
      </c>
      <c r="AM3208">
        <f t="shared" si="1712"/>
        <v>0</v>
      </c>
      <c r="AN3208">
        <f t="shared" si="1713"/>
        <v>0</v>
      </c>
      <c r="AO3208" t="s">
        <v>2913</v>
      </c>
      <c r="AV3208" t="str">
        <f>IF(F3208&gt;0,(COUNT($AV$1:AV3207)+1),"")</f>
        <v/>
      </c>
    </row>
    <row r="3209" spans="1:48" ht="15" customHeight="1" x14ac:dyDescent="0.25">
      <c r="B3209" s="386"/>
      <c r="C3209" s="387"/>
      <c r="D3209" s="387"/>
      <c r="E3209" s="388"/>
      <c r="F3209" s="389"/>
      <c r="G3209" s="387"/>
      <c r="H3209" s="387"/>
      <c r="I3209" s="387"/>
      <c r="J3209" s="390"/>
      <c r="K3209" s="391"/>
      <c r="L3209" s="455"/>
      <c r="M3209" s="501"/>
      <c r="N3209" s="472"/>
      <c r="O3209" s="392"/>
      <c r="P3209" s="388"/>
      <c r="Q3209" s="393"/>
      <c r="AV3209" t="str">
        <f>IF(F3209&gt;0,(COUNT($AV$1:AV3208)+1),"")</f>
        <v/>
      </c>
    </row>
    <row r="3210" spans="1:48" ht="15" customHeight="1" x14ac:dyDescent="0.25">
      <c r="AV3210" t="str">
        <f>IF(F3210&gt;0,(COUNT($AV$1:AV3209)+1),"")</f>
        <v/>
      </c>
    </row>
    <row r="3211" spans="1:48" ht="15" customHeight="1" x14ac:dyDescent="0.25">
      <c r="AV3211" t="str">
        <f>IF(F3211&gt;0,(COUNT($AV$1:AV3210)+1),"")</f>
        <v/>
      </c>
    </row>
    <row r="3212" spans="1:48" ht="15" customHeight="1" x14ac:dyDescent="0.25">
      <c r="AV3212" t="str">
        <f>IF(F3212&gt;0,(COUNT($AV$1:AV3211)+1),"")</f>
        <v/>
      </c>
    </row>
  </sheetData>
  <sheetProtection formatCells="0" formatColumns="0" formatRows="0" insertColumns="0" insertRows="0" insertHyperlinks="0" deleteColumns="0" deleteRows="0" sort="0" autoFilter="0" pivotTables="0"/>
  <autoFilter ref="B2:Q3208" xr:uid="{00000000-0001-0000-0000-000000000000}"/>
  <sortState xmlns:xlrd2="http://schemas.microsoft.com/office/spreadsheetml/2017/richdata2" ref="A1787:AZ1797">
    <sortCondition ref="F1787:F1797"/>
    <sortCondition ref="D1787:D1797"/>
  </sortState>
  <mergeCells count="17">
    <mergeCell ref="P112:Q112"/>
    <mergeCell ref="P113:Q113"/>
    <mergeCell ref="P107:Q107"/>
    <mergeCell ref="P108:Q108"/>
    <mergeCell ref="P109:Q109"/>
    <mergeCell ref="P110:Q110"/>
    <mergeCell ref="P111:Q111"/>
    <mergeCell ref="T1:T2"/>
    <mergeCell ref="P101:Q101"/>
    <mergeCell ref="P102:Q102"/>
    <mergeCell ref="P100:Q100"/>
    <mergeCell ref="P103:Q103"/>
    <mergeCell ref="F1:F2"/>
    <mergeCell ref="E1:E2"/>
    <mergeCell ref="P105:Q105"/>
    <mergeCell ref="P106:Q106"/>
    <mergeCell ref="P104:Q104"/>
  </mergeCells>
  <phoneticPr fontId="14" type="noConversion"/>
  <conditionalFormatting sqref="C1013:I1013">
    <cfRule type="expression" dxfId="1229" priority="1889">
      <formula>AP1011=8</formula>
    </cfRule>
  </conditionalFormatting>
  <conditionalFormatting sqref="E236:E351">
    <cfRule type="expression" dxfId="1228" priority="28">
      <formula>AND($AO$234=1,MOD($F236,$E236)&lt;&gt;0)</formula>
    </cfRule>
  </conditionalFormatting>
  <conditionalFormatting sqref="E356:E414">
    <cfRule type="expression" dxfId="1227" priority="26">
      <formula>AND($AO$354=1,MOD($F356,$E356)&lt;&gt;0)</formula>
    </cfRule>
  </conditionalFormatting>
  <conditionalFormatting sqref="E639:E763">
    <cfRule type="expression" dxfId="1226" priority="21">
      <formula>AND($AO$636=1,MOD($F639,$E639)&lt;&gt;0)</formula>
    </cfRule>
  </conditionalFormatting>
  <conditionalFormatting sqref="E835:E955">
    <cfRule type="expression" dxfId="1225" priority="14">
      <formula>AND($AO$833=1,MOD($F835,$E835)&lt;&gt;0)</formula>
    </cfRule>
  </conditionalFormatting>
  <conditionalFormatting sqref="E1254:E1302">
    <cfRule type="expression" dxfId="1224" priority="11">
      <formula>AND($AO$1251=1,MOD($F1254,$E1254)&lt;&gt;0)</formula>
    </cfRule>
  </conditionalFormatting>
  <conditionalFormatting sqref="E1349:E1356">
    <cfRule type="expression" dxfId="1223" priority="8">
      <formula>AND($AO$1342=1,MOD($F1349,$E1349)&lt;&gt;0)</formula>
    </cfRule>
  </conditionalFormatting>
  <conditionalFormatting sqref="E1510:E1521">
    <cfRule type="expression" dxfId="1222" priority="5">
      <formula>AND($AO$1508=1,MOD($F1510,$E1510)&lt;&gt;0)</formula>
    </cfRule>
  </conditionalFormatting>
  <conditionalFormatting sqref="E1531:E1555">
    <cfRule type="expression" dxfId="1221" priority="26643" stopIfTrue="1">
      <formula>AND($AO$1524=1,MOD($F1531,$E1531)&lt;&gt;0)</formula>
    </cfRule>
  </conditionalFormatting>
  <conditionalFormatting sqref="E1578:E1587">
    <cfRule type="expression" dxfId="1220" priority="26646" stopIfTrue="1">
      <formula>AND($AO$1571=1,MOD($F1578,$E1578)&lt;&gt;0)</formula>
    </cfRule>
  </conditionalFormatting>
  <conditionalFormatting sqref="E1656:E1665">
    <cfRule type="expression" dxfId="1219" priority="26649" stopIfTrue="1">
      <formula>AND($AO$1649=1,MOD($F1656,$E1656)&lt;&gt;0)</formula>
    </cfRule>
  </conditionalFormatting>
  <conditionalFormatting sqref="E1734:E1781">
    <cfRule type="expression" dxfId="1218" priority="26652" stopIfTrue="1">
      <formula>AND($AO$1732=1,MOD($F1734,$E1734)&lt;&gt;0)</formula>
    </cfRule>
  </conditionalFormatting>
  <conditionalFormatting sqref="E2260:E2267">
    <cfRule type="expression" dxfId="1217" priority="26655" stopIfTrue="1">
      <formula>AND($AO$2258=1,MOD($F2260,$E2260)&lt;&gt;0)</formula>
    </cfRule>
  </conditionalFormatting>
  <conditionalFormatting sqref="E2303:E2345">
    <cfRule type="expression" dxfId="1216" priority="26658" stopIfTrue="1">
      <formula>AND($AO$2301=1,MOD($F2303,$E2303)&lt;&gt;0)</formula>
    </cfRule>
  </conditionalFormatting>
  <conditionalFormatting sqref="E2373:E2418">
    <cfRule type="expression" dxfId="1215" priority="26661" stopIfTrue="1">
      <formula>AND($AO$2371=1,MOD($F2373,$E2373)&lt;&gt;0)</formula>
    </cfRule>
  </conditionalFormatting>
  <conditionalFormatting sqref="E2528:E2564">
    <cfRule type="expression" dxfId="1214" priority="26664" stopIfTrue="1">
      <formula>AND($AO$2522=1,MOD($F2528,$E2528)&lt;&gt;0)</formula>
    </cfRule>
  </conditionalFormatting>
  <conditionalFormatting sqref="E2611:E2632">
    <cfRule type="expression" dxfId="1213" priority="26667" stopIfTrue="1">
      <formula>AND($AO$2609=1,MOD($F2611,$E2611)&lt;&gt;0)</formula>
    </cfRule>
  </conditionalFormatting>
  <conditionalFormatting sqref="E2835:E2862">
    <cfRule type="expression" dxfId="1212" priority="26670" stopIfTrue="1">
      <formula>AND($AO$2833=1,MOD($F2835,$E2835)&lt;&gt;0)</formula>
    </cfRule>
  </conditionalFormatting>
  <conditionalFormatting sqref="G116 G119:G175 G194:G195 G218:G219 G1891:G1892 G2063:G2064">
    <cfRule type="expression" dxfId="1211" priority="25281">
      <formula>#REF!=1</formula>
    </cfRule>
  </conditionalFormatting>
  <conditionalFormatting sqref="G118 G418:G561 G597 G604 G607 G609 G619 G767">
    <cfRule type="expression" dxfId="1210" priority="843">
      <formula>$AO$417=1</formula>
    </cfRule>
  </conditionalFormatting>
  <conditionalFormatting sqref="G177:G182">
    <cfRule type="expression" dxfId="1209" priority="57">
      <formula>#REF!=1</formula>
    </cfRule>
  </conditionalFormatting>
  <conditionalFormatting sqref="G183:G193">
    <cfRule type="expression" dxfId="1208" priority="50">
      <formula>$AO$176=1</formula>
    </cfRule>
  </conditionalFormatting>
  <conditionalFormatting sqref="G197:G202">
    <cfRule type="expression" dxfId="1207" priority="411">
      <formula>#REF!=1</formula>
    </cfRule>
  </conditionalFormatting>
  <conditionalFormatting sqref="G203:G217">
    <cfRule type="expression" dxfId="1206" priority="403">
      <formula>$AO$196=1</formula>
    </cfRule>
  </conditionalFormatting>
  <conditionalFormatting sqref="G221:G226">
    <cfRule type="expression" dxfId="1205" priority="325">
      <formula>#REF!=1</formula>
    </cfRule>
  </conditionalFormatting>
  <conditionalFormatting sqref="G227:G231">
    <cfRule type="expression" dxfId="1204" priority="318">
      <formula>$AO$220=1</formula>
    </cfRule>
  </conditionalFormatting>
  <conditionalFormatting sqref="G232:G233">
    <cfRule type="expression" dxfId="1203" priority="372">
      <formula>#REF!=1</formula>
    </cfRule>
  </conditionalFormatting>
  <conditionalFormatting sqref="G235">
    <cfRule type="expression" dxfId="1202" priority="301">
      <formula>$AO$417=1</formula>
    </cfRule>
  </conditionalFormatting>
  <conditionalFormatting sqref="G236:G351">
    <cfRule type="expression" dxfId="1201" priority="260">
      <formula>AND($AO$234=1,MOD($F236,$E236)=0)</formula>
    </cfRule>
  </conditionalFormatting>
  <conditionalFormatting sqref="G352:G353">
    <cfRule type="expression" dxfId="1200" priority="269">
      <formula>#REF!=1</formula>
    </cfRule>
  </conditionalFormatting>
  <conditionalFormatting sqref="G355">
    <cfRule type="expression" dxfId="1199" priority="282">
      <formula>$AO$417=1</formula>
    </cfRule>
  </conditionalFormatting>
  <conditionalFormatting sqref="G356:G414">
    <cfRule type="expression" dxfId="1198" priority="24">
      <formula>AND($AO$354=1,MOD($F356,$E356)=0)</formula>
    </cfRule>
  </conditionalFormatting>
  <conditionalFormatting sqref="G415:G416">
    <cfRule type="expression" dxfId="1197" priority="267">
      <formula>#REF!=1</formula>
    </cfRule>
  </conditionalFormatting>
  <conditionalFormatting sqref="G562:G563">
    <cfRule type="expression" dxfId="1196" priority="24812">
      <formula>#REF!=1</formula>
    </cfRule>
  </conditionalFormatting>
  <conditionalFormatting sqref="G565">
    <cfRule type="expression" dxfId="1195" priority="26640">
      <formula>$AO$417=1</formula>
    </cfRule>
  </conditionalFormatting>
  <conditionalFormatting sqref="G566:G596 G608 G615:G618">
    <cfRule type="expression" dxfId="1194" priority="209">
      <formula>$AO$564=1</formula>
    </cfRule>
  </conditionalFormatting>
  <conditionalFormatting sqref="G598:G603">
    <cfRule type="expression" dxfId="1193" priority="12979">
      <formula>$AO$564=1</formula>
    </cfRule>
  </conditionalFormatting>
  <conditionalFormatting sqref="G605:G606">
    <cfRule type="expression" dxfId="1192" priority="653">
      <formula>$AO$564=1</formula>
    </cfRule>
  </conditionalFormatting>
  <conditionalFormatting sqref="G610:G613">
    <cfRule type="expression" dxfId="1191" priority="12452">
      <formula>$AO$564=1</formula>
    </cfRule>
  </conditionalFormatting>
  <conditionalFormatting sqref="G614">
    <cfRule type="expression" dxfId="1190" priority="144">
      <formula>$AO$417=1</formula>
    </cfRule>
  </conditionalFormatting>
  <conditionalFormatting sqref="G620:G630">
    <cfRule type="expression" dxfId="1189" priority="557">
      <formula>$AO$564=1</formula>
    </cfRule>
  </conditionalFormatting>
  <conditionalFormatting sqref="G631">
    <cfRule type="expression" dxfId="1188" priority="8052">
      <formula>$AO$417=1</formula>
    </cfRule>
  </conditionalFormatting>
  <conditionalFormatting sqref="G632:G633">
    <cfRule type="expression" dxfId="1187" priority="2413">
      <formula>$AO$564=1</formula>
    </cfRule>
  </conditionalFormatting>
  <conditionalFormatting sqref="G634:G635">
    <cfRule type="expression" dxfId="1186" priority="24808">
      <formula>#REF!=1</formula>
    </cfRule>
  </conditionalFormatting>
  <conditionalFormatting sqref="G637:G638">
    <cfRule type="expression" dxfId="1185" priority="14709">
      <formula>$AO$417=1</formula>
    </cfRule>
  </conditionalFormatting>
  <conditionalFormatting sqref="G639:G763">
    <cfRule type="expression" dxfId="1184" priority="17">
      <formula>AND($AO$636=1,MOD($F639,$E639)=0)</formula>
    </cfRule>
  </conditionalFormatting>
  <conditionalFormatting sqref="G764:G765">
    <cfRule type="expression" dxfId="1183" priority="24804">
      <formula>#REF!=1</formula>
    </cfRule>
  </conditionalFormatting>
  <conditionalFormatting sqref="G768:G785 G787:G792 G805:G819">
    <cfRule type="expression" dxfId="1182" priority="12299">
      <formula>$AO$766=1</formula>
    </cfRule>
  </conditionalFormatting>
  <conditionalFormatting sqref="G786">
    <cfRule type="expression" dxfId="1181" priority="26584">
      <formula>$AO$417=1</formula>
    </cfRule>
  </conditionalFormatting>
  <conditionalFormatting sqref="G793">
    <cfRule type="expression" dxfId="1180" priority="26580">
      <formula>$AO$417=1</formula>
    </cfRule>
  </conditionalFormatting>
  <conditionalFormatting sqref="G794:G803">
    <cfRule type="expression" dxfId="1179" priority="11304">
      <formula>$AO$766=1</formula>
    </cfRule>
  </conditionalFormatting>
  <conditionalFormatting sqref="G804">
    <cfRule type="expression" dxfId="1178" priority="26572">
      <formula>$AO$417=1</formula>
    </cfRule>
  </conditionalFormatting>
  <conditionalFormatting sqref="G820">
    <cfRule type="expression" dxfId="1177" priority="26568">
      <formula>$AO$417=1</formula>
    </cfRule>
  </conditionalFormatting>
  <conditionalFormatting sqref="G821:G822">
    <cfRule type="expression" dxfId="1176" priority="26596">
      <formula>$AO$766=1</formula>
    </cfRule>
  </conditionalFormatting>
  <conditionalFormatting sqref="G823">
    <cfRule type="expression" dxfId="1175" priority="26564">
      <formula>$AO$417=1</formula>
    </cfRule>
  </conditionalFormatting>
  <conditionalFormatting sqref="G824:G825">
    <cfRule type="expression" dxfId="1174" priority="19543">
      <formula>$AO$766=1</formula>
    </cfRule>
  </conditionalFormatting>
  <conditionalFormatting sqref="G826">
    <cfRule type="expression" dxfId="1173" priority="26560">
      <formula>$AO$417=1</formula>
    </cfRule>
  </conditionalFormatting>
  <conditionalFormatting sqref="G827:G830">
    <cfRule type="expression" dxfId="1172" priority="9368">
      <formula>$AO$766=1</formula>
    </cfRule>
  </conditionalFormatting>
  <conditionalFormatting sqref="G831:G832">
    <cfRule type="expression" dxfId="1171" priority="24800">
      <formula>#REF!=1</formula>
    </cfRule>
  </conditionalFormatting>
  <conditionalFormatting sqref="G834">
    <cfRule type="expression" dxfId="1170" priority="901">
      <formula>$AO$833=1</formula>
    </cfRule>
  </conditionalFormatting>
  <conditionalFormatting sqref="G835:G955">
    <cfRule type="expression" dxfId="1169" priority="15">
      <formula>AND($AO$833=1,MOD($F835,$E835)=0)</formula>
    </cfRule>
  </conditionalFormatting>
  <conditionalFormatting sqref="G956:G957">
    <cfRule type="expression" dxfId="1168" priority="2121">
      <formula>#REF!=1</formula>
    </cfRule>
  </conditionalFormatting>
  <conditionalFormatting sqref="G959">
    <cfRule type="expression" dxfId="1167" priority="1979">
      <formula>#REF!=1</formula>
    </cfRule>
  </conditionalFormatting>
  <conditionalFormatting sqref="G960:G1008">
    <cfRule type="expression" dxfId="1166" priority="727">
      <formula>$AO$958=1</formula>
    </cfRule>
  </conditionalFormatting>
  <conditionalFormatting sqref="G1009:G1010">
    <cfRule type="expression" dxfId="1165" priority="1944">
      <formula>#REF!=1</formula>
    </cfRule>
  </conditionalFormatting>
  <conditionalFormatting sqref="G1012">
    <cfRule type="expression" dxfId="1164" priority="1911">
      <formula>$AO$417=1</formula>
    </cfRule>
  </conditionalFormatting>
  <conditionalFormatting sqref="G1014">
    <cfRule type="expression" dxfId="1163" priority="1902">
      <formula>$AO$417=1</formula>
    </cfRule>
  </conditionalFormatting>
  <conditionalFormatting sqref="G1015:G1102">
    <cfRule type="expression" dxfId="1162" priority="886">
      <formula>Q1015/F1015=G1015</formula>
    </cfRule>
  </conditionalFormatting>
  <conditionalFormatting sqref="G1103:G1104">
    <cfRule type="expression" dxfId="1161" priority="1905">
      <formula>#REF!=1</formula>
    </cfRule>
  </conditionalFormatting>
  <conditionalFormatting sqref="G1106">
    <cfRule type="expression" dxfId="1160" priority="17595">
      <formula>#REF!=1</formula>
    </cfRule>
  </conditionalFormatting>
  <conditionalFormatting sqref="G1107:G1120">
    <cfRule type="expression" dxfId="1159" priority="8016">
      <formula>$AO$1105=1</formula>
    </cfRule>
  </conditionalFormatting>
  <conditionalFormatting sqref="G1121:G1122">
    <cfRule type="expression" dxfId="1158" priority="17584">
      <formula>#REF!=1</formula>
    </cfRule>
  </conditionalFormatting>
  <conditionalFormatting sqref="G1124">
    <cfRule type="expression" dxfId="1157" priority="26593">
      <formula>$AO$417=1</formula>
    </cfRule>
  </conditionalFormatting>
  <conditionalFormatting sqref="G1125:G1136 G1151:G1156">
    <cfRule type="expression" dxfId="1156" priority="22962">
      <formula>$AO$1123=1</formula>
    </cfRule>
  </conditionalFormatting>
  <conditionalFormatting sqref="G1137">
    <cfRule type="expression" dxfId="1155" priority="26556">
      <formula>$AO$417=1</formula>
    </cfRule>
  </conditionalFormatting>
  <conditionalFormatting sqref="G1138:G1143">
    <cfRule type="expression" dxfId="1154" priority="6716">
      <formula>$AO$1123=1</formula>
    </cfRule>
  </conditionalFormatting>
  <conditionalFormatting sqref="G1144">
    <cfRule type="expression" dxfId="1153" priority="26552">
      <formula>$AO$417=1</formula>
    </cfRule>
  </conditionalFormatting>
  <conditionalFormatting sqref="G1145:G1149">
    <cfRule type="expression" dxfId="1152" priority="1387">
      <formula>$AO$1123=1</formula>
    </cfRule>
  </conditionalFormatting>
  <conditionalFormatting sqref="G1150">
    <cfRule type="expression" dxfId="1151" priority="26548">
      <formula>$AO$417=1</formula>
    </cfRule>
  </conditionalFormatting>
  <conditionalFormatting sqref="G1157">
    <cfRule type="expression" dxfId="1150" priority="18625">
      <formula>$AO$417=1</formula>
    </cfRule>
  </conditionalFormatting>
  <conditionalFormatting sqref="G1158:G1161">
    <cfRule type="expression" dxfId="1149" priority="1589">
      <formula>$AO$1123=1</formula>
    </cfRule>
  </conditionalFormatting>
  <conditionalFormatting sqref="G1162:G1163">
    <cfRule type="expression" dxfId="1148" priority="24796">
      <formula>#REF!=1</formula>
    </cfRule>
  </conditionalFormatting>
  <conditionalFormatting sqref="G1165">
    <cfRule type="expression" dxfId="1147" priority="26468">
      <formula>$AO$417=1</formula>
    </cfRule>
  </conditionalFormatting>
  <conditionalFormatting sqref="G1166:G1178 G1180:G1183 G1194:G1230 G1232:G1248">
    <cfRule type="expression" dxfId="1146" priority="1498">
      <formula>$AO$1164=1</formula>
    </cfRule>
  </conditionalFormatting>
  <conditionalFormatting sqref="G1179">
    <cfRule type="expression" dxfId="1145" priority="514">
      <formula>$AO$417=1</formula>
    </cfRule>
  </conditionalFormatting>
  <conditionalFormatting sqref="G1184">
    <cfRule type="expression" dxfId="1144" priority="26462">
      <formula>$AO$417=1</formula>
    </cfRule>
  </conditionalFormatting>
  <conditionalFormatting sqref="G1185">
    <cfRule type="expression" dxfId="1143" priority="11272">
      <formula>$AO$1164=1</formula>
    </cfRule>
  </conditionalFormatting>
  <conditionalFormatting sqref="G1186">
    <cfRule type="expression" dxfId="1142" priority="26458">
      <formula>$AO$417=1</formula>
    </cfRule>
  </conditionalFormatting>
  <conditionalFormatting sqref="G1187">
    <cfRule type="expression" dxfId="1141" priority="2839">
      <formula>$AO$1164=1</formula>
    </cfRule>
  </conditionalFormatting>
  <conditionalFormatting sqref="G1188">
    <cfRule type="expression" dxfId="1140" priority="26454">
      <formula>$AO$417=1</formula>
    </cfRule>
  </conditionalFormatting>
  <conditionalFormatting sqref="G1189:G1190">
    <cfRule type="expression" dxfId="1139" priority="32">
      <formula>$AO$1164=1</formula>
    </cfRule>
  </conditionalFormatting>
  <conditionalFormatting sqref="G1191">
    <cfRule type="expression" dxfId="1138" priority="26450">
      <formula>$AO$417=1</formula>
    </cfRule>
  </conditionalFormatting>
  <conditionalFormatting sqref="G1192">
    <cfRule type="expression" dxfId="1137" priority="3704">
      <formula>$AO$1164=1</formula>
    </cfRule>
  </conditionalFormatting>
  <conditionalFormatting sqref="G1193">
    <cfRule type="expression" dxfId="1136" priority="26438">
      <formula>$AO$417=1</formula>
    </cfRule>
  </conditionalFormatting>
  <conditionalFormatting sqref="G1231">
    <cfRule type="expression" dxfId="1135" priority="26434">
      <formula>$AO$417=1</formula>
    </cfRule>
  </conditionalFormatting>
  <conditionalFormatting sqref="G1249:G1250">
    <cfRule type="expression" dxfId="1134" priority="24784">
      <formula>#REF!=1</formula>
    </cfRule>
  </conditionalFormatting>
  <conditionalFormatting sqref="G1252:G1253 G1303:G1304">
    <cfRule type="expression" dxfId="1133" priority="486">
      <formula>#REF!=1</formula>
    </cfRule>
  </conditionalFormatting>
  <conditionalFormatting sqref="G1254:G1302">
    <cfRule type="expression" dxfId="1132" priority="12">
      <formula>AND($AO$1251=1,MOD($F1254,$E1254)=0)</formula>
    </cfRule>
  </conditionalFormatting>
  <conditionalFormatting sqref="G1306:G1311">
    <cfRule type="expression" dxfId="1131" priority="495">
      <formula>#REF!=1</formula>
    </cfRule>
  </conditionalFormatting>
  <conditionalFormatting sqref="G1312:G1339">
    <cfRule type="expression" dxfId="1130" priority="471">
      <formula>$AO$1305=1</formula>
    </cfRule>
  </conditionalFormatting>
  <conditionalFormatting sqref="G1340:G1341">
    <cfRule type="expression" dxfId="1129" priority="507">
      <formula>#REF!=1</formula>
    </cfRule>
  </conditionalFormatting>
  <conditionalFormatting sqref="G1343:G1348">
    <cfRule type="expression" dxfId="1128" priority="491">
      <formula>#REF!=1</formula>
    </cfRule>
  </conditionalFormatting>
  <conditionalFormatting sqref="G1349:G1356">
    <cfRule type="expression" dxfId="1127" priority="9">
      <formula>AND($AO$1342=1,MOD($F1349,$E1349)=0)</formula>
    </cfRule>
  </conditionalFormatting>
  <conditionalFormatting sqref="G1357:G1358">
    <cfRule type="expression" dxfId="1126" priority="478">
      <formula>#REF!=1</formula>
    </cfRule>
  </conditionalFormatting>
  <conditionalFormatting sqref="G1360">
    <cfRule type="expression" dxfId="1125" priority="3060">
      <formula>$AO$417=1</formula>
    </cfRule>
  </conditionalFormatting>
  <conditionalFormatting sqref="G1361:G1363 G1365:G1369 G1371:G1377">
    <cfRule type="expression" dxfId="1124" priority="2404">
      <formula>$AO$1359=1</formula>
    </cfRule>
  </conditionalFormatting>
  <conditionalFormatting sqref="G1364">
    <cfRule type="expression" dxfId="1123" priority="38">
      <formula>$AO$417=1</formula>
    </cfRule>
  </conditionalFormatting>
  <conditionalFormatting sqref="G1370">
    <cfRule type="expression" dxfId="1122" priority="42">
      <formula>$AO$417=1</formula>
    </cfRule>
  </conditionalFormatting>
  <conditionalFormatting sqref="G1378:G1379">
    <cfRule type="expression" dxfId="1121" priority="3046">
      <formula>#REF!=1</formula>
    </cfRule>
  </conditionalFormatting>
  <conditionalFormatting sqref="G1381">
    <cfRule type="expression" dxfId="1120" priority="26318">
      <formula>$AO$417=1</formula>
    </cfRule>
  </conditionalFormatting>
  <conditionalFormatting sqref="G1382:G1386 G1388:G1393">
    <cfRule type="expression" dxfId="1119" priority="2815">
      <formula>$AO$1380=1</formula>
    </cfRule>
  </conditionalFormatting>
  <conditionalFormatting sqref="G1387">
    <cfRule type="expression" dxfId="1118" priority="26294">
      <formula>$AO$417=1</formula>
    </cfRule>
  </conditionalFormatting>
  <conditionalFormatting sqref="G1394:G1395">
    <cfRule type="expression" dxfId="1117" priority="24768">
      <formula>#REF!=1</formula>
    </cfRule>
  </conditionalFormatting>
  <conditionalFormatting sqref="G1397">
    <cfRule type="expression" dxfId="1116" priority="6593">
      <formula>#REF!=1</formula>
    </cfRule>
  </conditionalFormatting>
  <conditionalFormatting sqref="G1398:G1432">
    <cfRule type="expression" dxfId="1115" priority="3403">
      <formula>$AO$1396=1</formula>
    </cfRule>
  </conditionalFormatting>
  <conditionalFormatting sqref="G1433:G1434">
    <cfRule type="expression" dxfId="1114" priority="10467">
      <formula>#REF!=1</formula>
    </cfRule>
  </conditionalFormatting>
  <conditionalFormatting sqref="G1436">
    <cfRule type="expression" dxfId="1113" priority="7578">
      <formula>#REF!=1</formula>
    </cfRule>
  </conditionalFormatting>
  <conditionalFormatting sqref="G1437:G1449 G1451:G1456">
    <cfRule type="expression" dxfId="1112" priority="6338">
      <formula>$AO$1435=1</formula>
    </cfRule>
  </conditionalFormatting>
  <conditionalFormatting sqref="G1450">
    <cfRule type="expression" dxfId="1111" priority="166">
      <formula>$AO$417=1</formula>
    </cfRule>
  </conditionalFormatting>
  <conditionalFormatting sqref="G1457:G1458">
    <cfRule type="expression" dxfId="1110" priority="7574">
      <formula>#REF!=1</formula>
    </cfRule>
  </conditionalFormatting>
  <conditionalFormatting sqref="G1460">
    <cfRule type="expression" dxfId="1109" priority="26282">
      <formula>$AO$417=1</formula>
    </cfRule>
  </conditionalFormatting>
  <conditionalFormatting sqref="G1461:G1469 G1504:G1505">
    <cfRule type="expression" dxfId="1108" priority="3658">
      <formula>$AO$1459=1</formula>
    </cfRule>
  </conditionalFormatting>
  <conditionalFormatting sqref="G1470">
    <cfRule type="expression" dxfId="1107" priority="26276">
      <formula>$AO$417=1</formula>
    </cfRule>
  </conditionalFormatting>
  <conditionalFormatting sqref="G1471:G1479">
    <cfRule type="expression" dxfId="1106" priority="655">
      <formula>$AO$1459=1</formula>
    </cfRule>
  </conditionalFormatting>
  <conditionalFormatting sqref="G1480">
    <cfRule type="expression" dxfId="1105" priority="26272">
      <formula>$AO$417=1</formula>
    </cfRule>
  </conditionalFormatting>
  <conditionalFormatting sqref="G1481:G1487">
    <cfRule type="expression" dxfId="1104" priority="4134">
      <formula>$AO$1459=1</formula>
    </cfRule>
  </conditionalFormatting>
  <conditionalFormatting sqref="G1488">
    <cfRule type="expression" dxfId="1103" priority="19643">
      <formula>$AO$417=1</formula>
    </cfRule>
  </conditionalFormatting>
  <conditionalFormatting sqref="G1489:G1497">
    <cfRule type="expression" dxfId="1102" priority="1226">
      <formula>$AO$1459=1</formula>
    </cfRule>
  </conditionalFormatting>
  <conditionalFormatting sqref="G1498">
    <cfRule type="expression" dxfId="1101" priority="7815">
      <formula>$AO$417=1</formula>
    </cfRule>
  </conditionalFormatting>
  <conditionalFormatting sqref="G1499:G1502">
    <cfRule type="expression" dxfId="1100" priority="1583">
      <formula>$AO$1459=1</formula>
    </cfRule>
  </conditionalFormatting>
  <conditionalFormatting sqref="G1503">
    <cfRule type="expression" dxfId="1099" priority="3691">
      <formula>$AO$417=1</formula>
    </cfRule>
  </conditionalFormatting>
  <conditionalFormatting sqref="G1506:G1507">
    <cfRule type="expression" dxfId="1098" priority="24764">
      <formula>#REF!=1</formula>
    </cfRule>
  </conditionalFormatting>
  <conditionalFormatting sqref="G1509">
    <cfRule type="expression" dxfId="1097" priority="4951">
      <formula>#REF!=1</formula>
    </cfRule>
  </conditionalFormatting>
  <conditionalFormatting sqref="G1510:G1521">
    <cfRule type="expression" dxfId="1096" priority="6">
      <formula>AND($AO$1508=1,MOD($F1510,$E1510)=0)</formula>
    </cfRule>
  </conditionalFormatting>
  <conditionalFormatting sqref="G1522:G1523">
    <cfRule type="expression" dxfId="1095" priority="13507">
      <formula>#REF!=1</formula>
    </cfRule>
  </conditionalFormatting>
  <conditionalFormatting sqref="G1525:G1530">
    <cfRule type="expression" dxfId="1094" priority="254">
      <formula>#REF!=1</formula>
    </cfRule>
  </conditionalFormatting>
  <conditionalFormatting sqref="G1531:G1555">
    <cfRule type="expression" dxfId="1093" priority="26642" stopIfTrue="1">
      <formula>AND($AO$1524=1,MOD($F1531,$E1531)=0)</formula>
    </cfRule>
  </conditionalFormatting>
  <conditionalFormatting sqref="G1556:G1557">
    <cfRule type="expression" dxfId="1092" priority="256">
      <formula>#REF!=1</formula>
    </cfRule>
  </conditionalFormatting>
  <conditionalFormatting sqref="G1559">
    <cfRule type="expression" dxfId="1091" priority="13537">
      <formula>#REF!=1</formula>
    </cfRule>
  </conditionalFormatting>
  <conditionalFormatting sqref="G1560:G1568">
    <cfRule type="expression" dxfId="1090" priority="785">
      <formula>$AO$1558=1</formula>
    </cfRule>
  </conditionalFormatting>
  <conditionalFormatting sqref="G1569:G1570">
    <cfRule type="expression" dxfId="1089" priority="13533">
      <formula>#REF!=1</formula>
    </cfRule>
  </conditionalFormatting>
  <conditionalFormatting sqref="G1572:G1577">
    <cfRule type="expression" dxfId="1088" priority="99">
      <formula>#REF!=1</formula>
    </cfRule>
  </conditionalFormatting>
  <conditionalFormatting sqref="G1578:G1587">
    <cfRule type="expression" dxfId="1087" priority="26645" stopIfTrue="1">
      <formula>AND($AO$1571=1,MOD($F1578,$E1578)=0)</formula>
    </cfRule>
  </conditionalFormatting>
  <conditionalFormatting sqref="G1588:G1589">
    <cfRule type="expression" dxfId="1086" priority="72">
      <formula>#REF!=1</formula>
    </cfRule>
  </conditionalFormatting>
  <conditionalFormatting sqref="G1591:G1596">
    <cfRule type="expression" dxfId="1085" priority="93">
      <formula>#REF!=1</formula>
    </cfRule>
  </conditionalFormatting>
  <conditionalFormatting sqref="G1597:G1646">
    <cfRule type="expression" dxfId="1084" priority="63">
      <formula>$AO$1590=1</formula>
    </cfRule>
  </conditionalFormatting>
  <conditionalFormatting sqref="G1647:G1648">
    <cfRule type="expression" dxfId="1083" priority="74">
      <formula>#REF!=1</formula>
    </cfRule>
  </conditionalFormatting>
  <conditionalFormatting sqref="G1650:G1655">
    <cfRule type="expression" dxfId="1082" priority="82">
      <formula>#REF!=1</formula>
    </cfRule>
  </conditionalFormatting>
  <conditionalFormatting sqref="G1656:G1665">
    <cfRule type="expression" dxfId="1081" priority="26648" stopIfTrue="1">
      <formula>AND($AO$1649=1,MOD($F1656,$E1656)=0)</formula>
    </cfRule>
  </conditionalFormatting>
  <conditionalFormatting sqref="G1666:G1667">
    <cfRule type="expression" dxfId="1080" priority="76">
      <formula>#REF!=1</formula>
    </cfRule>
  </conditionalFormatting>
  <conditionalFormatting sqref="G1669:G1674">
    <cfRule type="expression" dxfId="1079" priority="123">
      <formula>#REF!=1</formula>
    </cfRule>
  </conditionalFormatting>
  <conditionalFormatting sqref="G1675:G1686">
    <cfRule type="expression" dxfId="1078" priority="103">
      <formula>$AO$1668=1</formula>
    </cfRule>
  </conditionalFormatting>
  <conditionalFormatting sqref="G1687:G1688">
    <cfRule type="expression" dxfId="1077" priority="126">
      <formula>#REF!=1</formula>
    </cfRule>
  </conditionalFormatting>
  <conditionalFormatting sqref="G1690">
    <cfRule type="expression" dxfId="1076" priority="116">
      <formula>#REF!=1</formula>
    </cfRule>
  </conditionalFormatting>
  <conditionalFormatting sqref="G1691:G1729">
    <cfRule type="expression" dxfId="1075" priority="100">
      <formula>$AO$1689=1</formula>
    </cfRule>
  </conditionalFormatting>
  <conditionalFormatting sqref="G1730:G1731">
    <cfRule type="expression" dxfId="1074" priority="107">
      <formula>#REF!=1</formula>
    </cfRule>
  </conditionalFormatting>
  <conditionalFormatting sqref="G1733">
    <cfRule type="expression" dxfId="1073" priority="26221">
      <formula>$AO$417=1</formula>
    </cfRule>
  </conditionalFormatting>
  <conditionalFormatting sqref="G1734:G1781">
    <cfRule type="expression" dxfId="1072" priority="26651" stopIfTrue="1">
      <formula>AND($AO$1732=1,MOD($F1734,$E1734)=0)</formula>
    </cfRule>
  </conditionalFormatting>
  <conditionalFormatting sqref="G1782:G1783">
    <cfRule type="expression" dxfId="1071" priority="24756">
      <formula>#REF!=1</formula>
    </cfRule>
  </conditionalFormatting>
  <conditionalFormatting sqref="G1786">
    <cfRule type="expression" dxfId="1070" priority="26188">
      <formula>$AO$417=1</formula>
    </cfRule>
  </conditionalFormatting>
  <conditionalFormatting sqref="G1787:G1829">
    <cfRule type="expression" dxfId="1069" priority="712">
      <formula>$AO$1784=1</formula>
    </cfRule>
  </conditionalFormatting>
  <conditionalFormatting sqref="G1830:G1831">
    <cfRule type="expression" dxfId="1068" priority="24752">
      <formula>#REF!=1</formula>
    </cfRule>
  </conditionalFormatting>
  <conditionalFormatting sqref="G1833">
    <cfRule type="expression" dxfId="1067" priority="20174">
      <formula>$AO$417=1</formula>
    </cfRule>
  </conditionalFormatting>
  <conditionalFormatting sqref="G1834:G1890">
    <cfRule type="expression" dxfId="1066" priority="3977">
      <formula>$AO$1832=1</formula>
    </cfRule>
  </conditionalFormatting>
  <conditionalFormatting sqref="G1894">
    <cfRule type="expression" dxfId="1065" priority="26151">
      <formula>$AO$417=1</formula>
    </cfRule>
  </conditionalFormatting>
  <conditionalFormatting sqref="G1895:G1913 G1928:G1943">
    <cfRule type="expression" dxfId="1064" priority="3843">
      <formula>$AO$1893=1</formula>
    </cfRule>
  </conditionalFormatting>
  <conditionalFormatting sqref="G1914">
    <cfRule type="expression" dxfId="1063" priority="26135">
      <formula>$AO$1784=1</formula>
    </cfRule>
  </conditionalFormatting>
  <conditionalFormatting sqref="G1915:G1926">
    <cfRule type="expression" dxfId="1062" priority="9544">
      <formula>$AO$1893=1</formula>
    </cfRule>
  </conditionalFormatting>
  <conditionalFormatting sqref="G1927">
    <cfRule type="expression" dxfId="1061" priority="26131">
      <formula>$AO$1784=1</formula>
    </cfRule>
  </conditionalFormatting>
  <conditionalFormatting sqref="G1944">
    <cfRule type="expression" dxfId="1060" priority="26127">
      <formula>$AO$1784=1</formula>
    </cfRule>
  </conditionalFormatting>
  <conditionalFormatting sqref="G1945:G1951">
    <cfRule type="expression" dxfId="1059" priority="12040">
      <formula>$AO$1893=1</formula>
    </cfRule>
  </conditionalFormatting>
  <conditionalFormatting sqref="G1952:G1953">
    <cfRule type="expression" dxfId="1058" priority="24748">
      <formula>#REF!=1</formula>
    </cfRule>
  </conditionalFormatting>
  <conditionalFormatting sqref="G1955">
    <cfRule type="expression" dxfId="1057" priority="22608">
      <formula>$AO$417=1</formula>
    </cfRule>
  </conditionalFormatting>
  <conditionalFormatting sqref="G1956:G2009">
    <cfRule type="expression" dxfId="1056" priority="1230">
      <formula>$AO$1954=1</formula>
    </cfRule>
  </conditionalFormatting>
  <conditionalFormatting sqref="G2010:G2011">
    <cfRule type="expression" dxfId="1055" priority="24744">
      <formula>#REF!=1</formula>
    </cfRule>
  </conditionalFormatting>
  <conditionalFormatting sqref="G2013">
    <cfRule type="expression" dxfId="1054" priority="25266">
      <formula>$AO$417=1</formula>
    </cfRule>
  </conditionalFormatting>
  <conditionalFormatting sqref="G2014:G2030">
    <cfRule type="expression" dxfId="1053" priority="2421">
      <formula>$AO$2012=1</formula>
    </cfRule>
  </conditionalFormatting>
  <conditionalFormatting sqref="G2031:G2032">
    <cfRule type="expression" dxfId="1052" priority="24740">
      <formula>#REF!=1</formula>
    </cfRule>
  </conditionalFormatting>
  <conditionalFormatting sqref="G2034">
    <cfRule type="expression" dxfId="1051" priority="20320">
      <formula>$AO$417=1</formula>
    </cfRule>
  </conditionalFormatting>
  <conditionalFormatting sqref="G2035:G2062">
    <cfRule type="expression" dxfId="1050" priority="1161">
      <formula>$AO$2033=1</formula>
    </cfRule>
  </conditionalFormatting>
  <conditionalFormatting sqref="G2066">
    <cfRule type="expression" dxfId="1049" priority="460">
      <formula>$AO$417=1</formula>
    </cfRule>
  </conditionalFormatting>
  <conditionalFormatting sqref="G2067:G2105">
    <cfRule type="expression" dxfId="1048" priority="451">
      <formula>$AO$2065=1</formula>
    </cfRule>
  </conditionalFormatting>
  <conditionalFormatting sqref="G2106:G2107">
    <cfRule type="expression" dxfId="1047" priority="458">
      <formula>#REF!=1</formula>
    </cfRule>
  </conditionalFormatting>
  <conditionalFormatting sqref="G2109">
    <cfRule type="expression" dxfId="1046" priority="466">
      <formula>$AO$417=1</formula>
    </cfRule>
  </conditionalFormatting>
  <conditionalFormatting sqref="G2110:G2114">
    <cfRule type="expression" dxfId="1045" priority="446">
      <formula>$AO$2108=1</formula>
    </cfRule>
  </conditionalFormatting>
  <conditionalFormatting sqref="G2115:G2116">
    <cfRule type="expression" dxfId="1044" priority="450">
      <formula>#REF!=1</formula>
    </cfRule>
  </conditionalFormatting>
  <conditionalFormatting sqref="G2118">
    <cfRule type="expression" dxfId="1043" priority="26102">
      <formula>$AO$417=1</formula>
    </cfRule>
  </conditionalFormatting>
  <conditionalFormatting sqref="G2119:G2162">
    <cfRule type="expression" dxfId="1042" priority="3987">
      <formula>$AO$2117=1</formula>
    </cfRule>
  </conditionalFormatting>
  <conditionalFormatting sqref="G2163:G2164">
    <cfRule type="expression" dxfId="1041" priority="24736">
      <formula>#REF!=1</formula>
    </cfRule>
  </conditionalFormatting>
  <conditionalFormatting sqref="G2166">
    <cfRule type="expression" dxfId="1040" priority="26085">
      <formula>$AO$417=1</formula>
    </cfRule>
  </conditionalFormatting>
  <conditionalFormatting sqref="G2167:G2181 G2224:G2232">
    <cfRule type="expression" dxfId="1039" priority="767">
      <formula>$AO$2165=1</formula>
    </cfRule>
  </conditionalFormatting>
  <conditionalFormatting sqref="G2182">
    <cfRule type="expression" dxfId="1038" priority="26067">
      <formula>$AO$2117=1</formula>
    </cfRule>
  </conditionalFormatting>
  <conditionalFormatting sqref="G2183:G2187">
    <cfRule type="expression" dxfId="1037" priority="1682">
      <formula>$AO$2165=1</formula>
    </cfRule>
  </conditionalFormatting>
  <conditionalFormatting sqref="G2188">
    <cfRule type="expression" dxfId="1036" priority="26059">
      <formula>$AO$2117=1</formula>
    </cfRule>
  </conditionalFormatting>
  <conditionalFormatting sqref="G2189:G2205">
    <cfRule type="expression" dxfId="1035" priority="18905">
      <formula>$AO$2165=1</formula>
    </cfRule>
  </conditionalFormatting>
  <conditionalFormatting sqref="G2206">
    <cfRule type="expression" dxfId="1034" priority="26055">
      <formula>$AO$2117=1</formula>
    </cfRule>
  </conditionalFormatting>
  <conditionalFormatting sqref="G2207:G2210">
    <cfRule type="expression" dxfId="1033" priority="7655">
      <formula>$AO$2165=1</formula>
    </cfRule>
  </conditionalFormatting>
  <conditionalFormatting sqref="G2211">
    <cfRule type="expression" dxfId="1032" priority="26051">
      <formula>$AO$2117=1</formula>
    </cfRule>
  </conditionalFormatting>
  <conditionalFormatting sqref="G2212:G2222">
    <cfRule type="expression" dxfId="1031" priority="5613">
      <formula>$AO$2165=1</formula>
    </cfRule>
  </conditionalFormatting>
  <conditionalFormatting sqref="G2223">
    <cfRule type="expression" dxfId="1030" priority="26047">
      <formula>$AO$2117=1</formula>
    </cfRule>
  </conditionalFormatting>
  <conditionalFormatting sqref="G2233:G2234">
    <cfRule type="expression" dxfId="1029" priority="24732">
      <formula>#REF!=1</formula>
    </cfRule>
  </conditionalFormatting>
  <conditionalFormatting sqref="G2236:G2240">
    <cfRule type="expression" dxfId="1028" priority="5961">
      <formula>#REF!=1</formula>
    </cfRule>
  </conditionalFormatting>
  <conditionalFormatting sqref="G2241">
    <cfRule type="expression" dxfId="1027" priority="2951">
      <formula>$AO$2301=1</formula>
    </cfRule>
  </conditionalFormatting>
  <conditionalFormatting sqref="G2242:G2255">
    <cfRule type="expression" dxfId="1026" priority="1638">
      <formula>$AO$2235=1</formula>
    </cfRule>
  </conditionalFormatting>
  <conditionalFormatting sqref="G2256:G2257">
    <cfRule type="expression" dxfId="1025" priority="5954">
      <formula>#REF!=1</formula>
    </cfRule>
  </conditionalFormatting>
  <conditionalFormatting sqref="G2259">
    <cfRule type="expression" dxfId="1024" priority="18093">
      <formula>#REF!=1</formula>
    </cfRule>
  </conditionalFormatting>
  <conditionalFormatting sqref="G2260:G2267">
    <cfRule type="expression" dxfId="1023" priority="26654" stopIfTrue="1">
      <formula>AND($AO$2258=1,MOD($F2260,$E2260)=0)</formula>
    </cfRule>
  </conditionalFormatting>
  <conditionalFormatting sqref="G2268:G2269">
    <cfRule type="expression" dxfId="1022" priority="18089">
      <formula>#REF!=1</formula>
    </cfRule>
  </conditionalFormatting>
  <conditionalFormatting sqref="G2272:G2287">
    <cfRule type="expression" dxfId="1021" priority="3189">
      <formula>$AO$2270=1</formula>
    </cfRule>
  </conditionalFormatting>
  <conditionalFormatting sqref="G2288:G2289">
    <cfRule type="expression" dxfId="1020" priority="18099">
      <formula>#REF!=1</formula>
    </cfRule>
  </conditionalFormatting>
  <conditionalFormatting sqref="G2292:G2298">
    <cfRule type="expression" dxfId="1019" priority="1476">
      <formula>$AO$2290=1</formula>
    </cfRule>
  </conditionalFormatting>
  <conditionalFormatting sqref="G2299:G2300">
    <cfRule type="expression" dxfId="1018" priority="18064">
      <formula>#REF!=1</formula>
    </cfRule>
  </conditionalFormatting>
  <conditionalFormatting sqref="G2302">
    <cfRule type="expression" dxfId="1017" priority="18130">
      <formula>$AO$2301=1</formula>
    </cfRule>
  </conditionalFormatting>
  <conditionalFormatting sqref="G2303:G2345">
    <cfRule type="expression" dxfId="1016" priority="26657" stopIfTrue="1">
      <formula>AND($AO$2301=1,MOD($F2303,$E2303)=0)</formula>
    </cfRule>
  </conditionalFormatting>
  <conditionalFormatting sqref="G2346:G2347">
    <cfRule type="expression" dxfId="1015" priority="24728">
      <formula>#REF!=1</formula>
    </cfRule>
  </conditionalFormatting>
  <conditionalFormatting sqref="G2349">
    <cfRule type="expression" dxfId="1014" priority="26029">
      <formula>$AO$417=1</formula>
    </cfRule>
  </conditionalFormatting>
  <conditionalFormatting sqref="G2350:G2368">
    <cfRule type="expression" dxfId="1013" priority="18652">
      <formula>$AO$2348=1</formula>
    </cfRule>
  </conditionalFormatting>
  <conditionalFormatting sqref="G2369:G2370">
    <cfRule type="expression" dxfId="1012" priority="24724">
      <formula>#REF!=1</formula>
    </cfRule>
  </conditionalFormatting>
  <conditionalFormatting sqref="G2372">
    <cfRule type="expression" dxfId="1011" priority="4">
      <formula>$AO$417=1</formula>
    </cfRule>
  </conditionalFormatting>
  <conditionalFormatting sqref="G2373:G2418">
    <cfRule type="expression" dxfId="1010" priority="26660" stopIfTrue="1">
      <formula>AND($AO$2371=1,MOD($F2373,$E2373)=0)</formula>
    </cfRule>
  </conditionalFormatting>
  <conditionalFormatting sqref="G2419:G2420">
    <cfRule type="expression" dxfId="1009" priority="24720">
      <formula>#REF!=1</formula>
    </cfRule>
  </conditionalFormatting>
  <conditionalFormatting sqref="G2422">
    <cfRule type="expression" dxfId="1008" priority="26001">
      <formula>$AO$417=1</formula>
    </cfRule>
  </conditionalFormatting>
  <conditionalFormatting sqref="G2423:G2455">
    <cfRule type="expression" dxfId="1007" priority="3258">
      <formula>$AO$2421=1</formula>
    </cfRule>
  </conditionalFormatting>
  <conditionalFormatting sqref="G2456:G2457">
    <cfRule type="expression" dxfId="1006" priority="24716">
      <formula>#REF!=1</formula>
    </cfRule>
  </conditionalFormatting>
  <conditionalFormatting sqref="G2459">
    <cfRule type="expression" dxfId="1005" priority="25974">
      <formula>$AO$417=1</formula>
    </cfRule>
  </conditionalFormatting>
  <conditionalFormatting sqref="G2460:G2463">
    <cfRule type="expression" dxfId="1004" priority="621">
      <formula>$AO$2458=1</formula>
    </cfRule>
  </conditionalFormatting>
  <conditionalFormatting sqref="G2464:G2465">
    <cfRule type="expression" dxfId="1003" priority="24712">
      <formula>#REF!=1</formula>
    </cfRule>
  </conditionalFormatting>
  <conditionalFormatting sqref="G2467">
    <cfRule type="expression" dxfId="1002" priority="25961">
      <formula>$AO$417=1</formula>
    </cfRule>
  </conditionalFormatting>
  <conditionalFormatting sqref="G2468:G2473 G2475:G2494">
    <cfRule type="expression" dxfId="1001" priority="8317">
      <formula>$AO$2466=1</formula>
    </cfRule>
  </conditionalFormatting>
  <conditionalFormatting sqref="G2474">
    <cfRule type="expression" dxfId="1000" priority="10388">
      <formula>$AO$2421=1</formula>
    </cfRule>
  </conditionalFormatting>
  <conditionalFormatting sqref="G2495:G2496">
    <cfRule type="expression" dxfId="999" priority="24704">
      <formula>#REF!=1</formula>
    </cfRule>
  </conditionalFormatting>
  <conditionalFormatting sqref="G2498">
    <cfRule type="expression" dxfId="998" priority="25955">
      <formula>$AO$417=1</formula>
    </cfRule>
  </conditionalFormatting>
  <conditionalFormatting sqref="G2499:G2517">
    <cfRule type="expression" dxfId="997" priority="8909">
      <formula>$AO$2497=1</formula>
    </cfRule>
  </conditionalFormatting>
  <conditionalFormatting sqref="G2518">
    <cfRule type="expression" dxfId="996" priority="25934">
      <formula>$AO$2421=1</formula>
    </cfRule>
  </conditionalFormatting>
  <conditionalFormatting sqref="G2519">
    <cfRule type="expression" dxfId="995" priority="10412">
      <formula>$AO$2497=1</formula>
    </cfRule>
  </conditionalFormatting>
  <conditionalFormatting sqref="G2520:G2521">
    <cfRule type="expression" dxfId="994" priority="24700">
      <formula>#REF!=1</formula>
    </cfRule>
  </conditionalFormatting>
  <conditionalFormatting sqref="G2523:G2527">
    <cfRule type="expression" dxfId="993" priority="4678">
      <formula>#REF!=1</formula>
    </cfRule>
  </conditionalFormatting>
  <conditionalFormatting sqref="G2528:G2564">
    <cfRule type="expression" dxfId="992" priority="26663" stopIfTrue="1">
      <formula>AND($AO$2522=1,MOD($F2528,$E2528)=0)</formula>
    </cfRule>
  </conditionalFormatting>
  <conditionalFormatting sqref="G2565:G2566">
    <cfRule type="expression" dxfId="991" priority="4681">
      <formula>#REF!=1</formula>
    </cfRule>
  </conditionalFormatting>
  <conditionalFormatting sqref="G2568">
    <cfRule type="expression" dxfId="990" priority="25918">
      <formula>$AO$2421=1</formula>
    </cfRule>
  </conditionalFormatting>
  <conditionalFormatting sqref="G2569 G2571:G2576">
    <cfRule type="expression" dxfId="989" priority="422">
      <formula>$AO$2567=1</formula>
    </cfRule>
  </conditionalFormatting>
  <conditionalFormatting sqref="G2570">
    <cfRule type="expression" dxfId="988" priority="138">
      <formula>$AO$2421=1</formula>
    </cfRule>
  </conditionalFormatting>
  <conditionalFormatting sqref="G2577:G2578">
    <cfRule type="expression" dxfId="987" priority="24692">
      <formula>#REF!=1</formula>
    </cfRule>
  </conditionalFormatting>
  <conditionalFormatting sqref="G2580">
    <cfRule type="expression" dxfId="986" priority="25913">
      <formula>$AO$417=1</formula>
    </cfRule>
  </conditionalFormatting>
  <conditionalFormatting sqref="G2581:G2606">
    <cfRule type="expression" dxfId="985" priority="3820">
      <formula>$AO$2579=1</formula>
    </cfRule>
  </conditionalFormatting>
  <conditionalFormatting sqref="G2585">
    <cfRule type="expression" dxfId="984" priority="12161">
      <formula>$AO$2421=1</formula>
    </cfRule>
  </conditionalFormatting>
  <conditionalFormatting sqref="G2595">
    <cfRule type="expression" dxfId="983" priority="12146">
      <formula>$AO$2421=1</formula>
    </cfRule>
  </conditionalFormatting>
  <conditionalFormatting sqref="G2598">
    <cfRule type="expression" dxfId="982" priority="12137">
      <formula>$AO$2421=1</formula>
    </cfRule>
  </conditionalFormatting>
  <conditionalFormatting sqref="G2601">
    <cfRule type="expression" dxfId="981" priority="12128">
      <formula>$AO$2421=1</formula>
    </cfRule>
  </conditionalFormatting>
  <conditionalFormatting sqref="G2605">
    <cfRule type="expression" dxfId="980" priority="8153">
      <formula>$AO$2421=1</formula>
    </cfRule>
  </conditionalFormatting>
  <conditionalFormatting sqref="G2607:G2608">
    <cfRule type="expression" dxfId="979" priority="24688">
      <formula>#REF!=1</formula>
    </cfRule>
  </conditionalFormatting>
  <conditionalFormatting sqref="G2610">
    <cfRule type="expression" dxfId="978" priority="25888">
      <formula>$AO$417=1</formula>
    </cfRule>
  </conditionalFormatting>
  <conditionalFormatting sqref="G2611:G2632">
    <cfRule type="expression" dxfId="977" priority="26666" stopIfTrue="1">
      <formula>AND($AO$2609=1,MOD($F2611,$E2611)=0)</formula>
    </cfRule>
  </conditionalFormatting>
  <conditionalFormatting sqref="G2633:G2634">
    <cfRule type="expression" dxfId="976" priority="24684">
      <formula>#REF!=1</formula>
    </cfRule>
  </conditionalFormatting>
  <conditionalFormatting sqref="G2636">
    <cfRule type="expression" dxfId="975" priority="25875">
      <formula>$AO$417=1</formula>
    </cfRule>
  </conditionalFormatting>
  <conditionalFormatting sqref="G2637:G2642">
    <cfRule type="expression" dxfId="974" priority="1021">
      <formula>$AO$2635=1</formula>
    </cfRule>
  </conditionalFormatting>
  <conditionalFormatting sqref="G2643">
    <cfRule type="expression" dxfId="973" priority="1032">
      <formula>$AO$2579=1</formula>
    </cfRule>
    <cfRule type="expression" dxfId="972" priority="1035">
      <formula>$AO$2421=1</formula>
    </cfRule>
  </conditionalFormatting>
  <conditionalFormatting sqref="G2644:G2649">
    <cfRule type="expression" dxfId="971" priority="3983">
      <formula>$AO$2635=1</formula>
    </cfRule>
  </conditionalFormatting>
  <conditionalFormatting sqref="G2650">
    <cfRule type="expression" dxfId="970" priority="25866">
      <formula>$AO$2421=1</formula>
    </cfRule>
    <cfRule type="expression" dxfId="969" priority="25863">
      <formula>$AO$2579=1</formula>
    </cfRule>
  </conditionalFormatting>
  <conditionalFormatting sqref="G2651:G2654">
    <cfRule type="expression" dxfId="968" priority="23040">
      <formula>$AO$2635=1</formula>
    </cfRule>
  </conditionalFormatting>
  <conditionalFormatting sqref="G2655">
    <cfRule type="expression" dxfId="967" priority="25831">
      <formula>$AO$2421=1</formula>
    </cfRule>
    <cfRule type="expression" dxfId="966" priority="25828">
      <formula>$AO$2579=1</formula>
    </cfRule>
  </conditionalFormatting>
  <conditionalFormatting sqref="G2656:G2657">
    <cfRule type="expression" dxfId="965" priority="25870">
      <formula>$AO$2635=1</formula>
    </cfRule>
  </conditionalFormatting>
  <conditionalFormatting sqref="G2658:G2659">
    <cfRule type="expression" dxfId="964" priority="24680">
      <formula>#REF!=1</formula>
    </cfRule>
  </conditionalFormatting>
  <conditionalFormatting sqref="G2661">
    <cfRule type="expression" dxfId="963" priority="25792">
      <formula>$AO$417=1</formula>
    </cfRule>
  </conditionalFormatting>
  <conditionalFormatting sqref="G2662:G2681">
    <cfRule type="expression" dxfId="962" priority="1346">
      <formula>$AO$2660=1</formula>
    </cfRule>
  </conditionalFormatting>
  <conditionalFormatting sqref="G2682">
    <cfRule type="expression" dxfId="961" priority="6134">
      <formula>$AO$2421=1</formula>
    </cfRule>
    <cfRule type="expression" dxfId="960" priority="6131">
      <formula>$AO$2579=1</formula>
    </cfRule>
  </conditionalFormatting>
  <conditionalFormatting sqref="G2683:G2688">
    <cfRule type="expression" dxfId="959" priority="3947">
      <formula>$AO$2660=1</formula>
    </cfRule>
  </conditionalFormatting>
  <conditionalFormatting sqref="G2689">
    <cfRule type="expression" dxfId="958" priority="13115">
      <formula>$AO$2579=1</formula>
    </cfRule>
    <cfRule type="expression" dxfId="957" priority="13118">
      <formula>$AO$2421=1</formula>
    </cfRule>
  </conditionalFormatting>
  <conditionalFormatting sqref="G2690">
    <cfRule type="expression" dxfId="956" priority="12236">
      <formula>$AO$2660=1</formula>
    </cfRule>
  </conditionalFormatting>
  <conditionalFormatting sqref="G2691">
    <cfRule type="expression" dxfId="955" priority="25773">
      <formula>$AO$2579=1</formula>
    </cfRule>
    <cfRule type="expression" dxfId="954" priority="25776">
      <formula>$AO$2421=1</formula>
    </cfRule>
  </conditionalFormatting>
  <conditionalFormatting sqref="G2692:G2696">
    <cfRule type="expression" dxfId="953" priority="8631">
      <formula>$AO$2660=1</formula>
    </cfRule>
  </conditionalFormatting>
  <conditionalFormatting sqref="G2697:G2698">
    <cfRule type="expression" dxfId="952" priority="24668">
      <formula>#REF!=1</formula>
    </cfRule>
  </conditionalFormatting>
  <conditionalFormatting sqref="G2700">
    <cfRule type="expression" dxfId="951" priority="25763">
      <formula>$AO$417=1</formula>
    </cfRule>
  </conditionalFormatting>
  <conditionalFormatting sqref="G2701:G2709 G2711:G2713">
    <cfRule type="expression" dxfId="950" priority="2660">
      <formula>$AO$2699=1</formula>
    </cfRule>
  </conditionalFormatting>
  <conditionalFormatting sqref="G2710">
    <cfRule type="expression" dxfId="949" priority="25744">
      <formula>$AO$2579=1</formula>
    </cfRule>
    <cfRule type="expression" dxfId="948" priority="25747">
      <formula>$AO$2421=1</formula>
    </cfRule>
  </conditionalFormatting>
  <conditionalFormatting sqref="G2714:G2715">
    <cfRule type="expression" dxfId="947" priority="24656">
      <formula>#REF!=1</formula>
    </cfRule>
  </conditionalFormatting>
  <conditionalFormatting sqref="G2717:G2720">
    <cfRule type="expression" dxfId="946" priority="4770">
      <formula>#REF!=1</formula>
    </cfRule>
  </conditionalFormatting>
  <conditionalFormatting sqref="G2721">
    <cfRule type="expression" dxfId="945" priority="4774">
      <formula>$AO$417=1</formula>
    </cfRule>
  </conditionalFormatting>
  <conditionalFormatting sqref="G2722:G2728">
    <cfRule type="expression" dxfId="944" priority="4758">
      <formula>$AO$2716=1</formula>
    </cfRule>
  </conditionalFormatting>
  <conditionalFormatting sqref="G2729:G2730">
    <cfRule type="expression" dxfId="943" priority="4766">
      <formula>#REF!=1</formula>
    </cfRule>
  </conditionalFormatting>
  <conditionalFormatting sqref="G2732">
    <cfRule type="expression" dxfId="942" priority="25734">
      <formula>$AO$417=1</formula>
    </cfRule>
  </conditionalFormatting>
  <conditionalFormatting sqref="G2733:G2739 G2741:G2747">
    <cfRule type="expression" dxfId="941" priority="3648">
      <formula>$AO$2731=1</formula>
    </cfRule>
  </conditionalFormatting>
  <conditionalFormatting sqref="G2740">
    <cfRule type="expression" dxfId="940" priority="25716">
      <formula>$AO$2579=1</formula>
    </cfRule>
    <cfRule type="expression" dxfId="939" priority="25719">
      <formula>$AO$2421=1</formula>
    </cfRule>
  </conditionalFormatting>
  <conditionalFormatting sqref="G2748">
    <cfRule type="expression" dxfId="938" priority="21314">
      <formula>$AO$2579=1</formula>
    </cfRule>
    <cfRule type="expression" dxfId="937" priority="21317">
      <formula>$AO$2421=1</formula>
    </cfRule>
  </conditionalFormatting>
  <conditionalFormatting sqref="G2749:G2757">
    <cfRule type="expression" dxfId="936" priority="159">
      <formula>$AO$2731=1</formula>
    </cfRule>
  </conditionalFormatting>
  <conditionalFormatting sqref="G2758:G2759">
    <cfRule type="expression" dxfId="935" priority="24648">
      <formula>#REF!=1</formula>
    </cfRule>
  </conditionalFormatting>
  <conditionalFormatting sqref="G2761">
    <cfRule type="expression" dxfId="934" priority="8537">
      <formula>$AO$2579=1</formula>
    </cfRule>
    <cfRule type="expression" dxfId="933" priority="8540">
      <formula>$AO$2421=1</formula>
    </cfRule>
  </conditionalFormatting>
  <conditionalFormatting sqref="G2762:G2774 G2776:G2787">
    <cfRule type="expression" dxfId="932" priority="3374">
      <formula>$AO$2760=1</formula>
    </cfRule>
  </conditionalFormatting>
  <conditionalFormatting sqref="G2775">
    <cfRule type="expression" dxfId="931" priority="25675">
      <formula>$AO$2579=1</formula>
    </cfRule>
    <cfRule type="expression" dxfId="930" priority="25678">
      <formula>$AO$2421=1</formula>
    </cfRule>
  </conditionalFormatting>
  <conditionalFormatting sqref="G2788">
    <cfRule type="expression" dxfId="929" priority="25668">
      <formula>$AO$2579=1</formula>
    </cfRule>
    <cfRule type="expression" dxfId="928" priority="25671">
      <formula>$AO$2421=1</formula>
    </cfRule>
  </conditionalFormatting>
  <conditionalFormatting sqref="G2789">
    <cfRule type="expression" dxfId="927" priority="7717">
      <formula>$AO$2760=1</formula>
    </cfRule>
  </conditionalFormatting>
  <conditionalFormatting sqref="G2790:G2791">
    <cfRule type="expression" dxfId="926" priority="24644">
      <formula>#REF!=1</formula>
    </cfRule>
  </conditionalFormatting>
  <conditionalFormatting sqref="G2793">
    <cfRule type="expression" dxfId="925" priority="25667">
      <formula>$AO$417=1</formula>
    </cfRule>
  </conditionalFormatting>
  <conditionalFormatting sqref="G2794:G2799">
    <cfRule type="expression" dxfId="924" priority="1472">
      <formula>$AO$2792=1</formula>
    </cfRule>
  </conditionalFormatting>
  <conditionalFormatting sqref="G2800:G2801">
    <cfRule type="expression" dxfId="923" priority="24640">
      <formula>#REF!=1</formula>
    </cfRule>
  </conditionalFormatting>
  <conditionalFormatting sqref="G2803:G2806">
    <cfRule type="expression" dxfId="922" priority="4731">
      <formula>#REF!=1</formula>
    </cfRule>
  </conditionalFormatting>
  <conditionalFormatting sqref="G2807">
    <cfRule type="expression" dxfId="921" priority="4755">
      <formula>$AO$417=1</formula>
    </cfRule>
  </conditionalFormatting>
  <conditionalFormatting sqref="G2808:G2815">
    <cfRule type="expression" dxfId="920" priority="4714">
      <formula>$AO$2802=1</formula>
    </cfRule>
  </conditionalFormatting>
  <conditionalFormatting sqref="G2816:G2817">
    <cfRule type="expression" dxfId="919" priority="4752">
      <formula>#REF!=1</formula>
    </cfRule>
  </conditionalFormatting>
  <conditionalFormatting sqref="G2819">
    <cfRule type="expression" dxfId="918" priority="25637">
      <formula>$AO$417=1</formula>
    </cfRule>
  </conditionalFormatting>
  <conditionalFormatting sqref="G2820:G2830">
    <cfRule type="expression" dxfId="917" priority="8860">
      <formula>$AO$2818=1</formula>
    </cfRule>
  </conditionalFormatting>
  <conditionalFormatting sqref="G2831:G2832">
    <cfRule type="expression" dxfId="916" priority="24636">
      <formula>#REF!=1</formula>
    </cfRule>
  </conditionalFormatting>
  <conditionalFormatting sqref="G2834">
    <cfRule type="expression" dxfId="915" priority="16532">
      <formula>$AO$2421=1</formula>
    </cfRule>
    <cfRule type="expression" dxfId="914" priority="16529">
      <formula>$AO$2579=1</formula>
    </cfRule>
  </conditionalFormatting>
  <conditionalFormatting sqref="G2835:G2862">
    <cfRule type="expression" dxfId="913" priority="26669" stopIfTrue="1">
      <formula>AND($AO$2833=1,MOD($F2835,$E2835)=0)</formula>
    </cfRule>
  </conditionalFormatting>
  <conditionalFormatting sqref="G2863:G2864">
    <cfRule type="expression" dxfId="912" priority="24628">
      <formula>#REF!=1</formula>
    </cfRule>
  </conditionalFormatting>
  <conditionalFormatting sqref="G2866">
    <cfRule type="expression" dxfId="911" priority="25606">
      <formula>$AO$417=1</formula>
    </cfRule>
  </conditionalFormatting>
  <conditionalFormatting sqref="G2867:G2869">
    <cfRule type="expression" dxfId="910" priority="25601">
      <formula>$AO$2865=1</formula>
    </cfRule>
  </conditionalFormatting>
  <conditionalFormatting sqref="G2870:G2871">
    <cfRule type="expression" dxfId="909" priority="24624">
      <formula>#REF!=1</formula>
    </cfRule>
  </conditionalFormatting>
  <conditionalFormatting sqref="G2873">
    <cfRule type="expression" dxfId="908" priority="25573">
      <formula>$AO$417=1</formula>
    </cfRule>
  </conditionalFormatting>
  <conditionalFormatting sqref="G2874:G2889">
    <cfRule type="expression" dxfId="907" priority="1276">
      <formula>$AO$2872=1</formula>
    </cfRule>
  </conditionalFormatting>
  <conditionalFormatting sqref="G2890:G2891">
    <cfRule type="expression" dxfId="906" priority="24616">
      <formula>#REF!=1</formula>
    </cfRule>
  </conditionalFormatting>
  <conditionalFormatting sqref="G2893">
    <cfRule type="expression" dxfId="905" priority="25560">
      <formula>$AO$417=1</formula>
    </cfRule>
  </conditionalFormatting>
  <conditionalFormatting sqref="G2894:G2896">
    <cfRule type="expression" dxfId="904" priority="12838">
      <formula>$AO$2892=1</formula>
    </cfRule>
  </conditionalFormatting>
  <conditionalFormatting sqref="G2897:G2898">
    <cfRule type="expression" dxfId="903" priority="24612">
      <formula>#REF!=1</formula>
    </cfRule>
  </conditionalFormatting>
  <conditionalFormatting sqref="G2900">
    <cfRule type="expression" dxfId="902" priority="25541">
      <formula>$AO$417=1</formula>
    </cfRule>
  </conditionalFormatting>
  <conditionalFormatting sqref="G2901:G2906">
    <cfRule type="expression" dxfId="901" priority="5487">
      <formula>$AO$2899=1</formula>
    </cfRule>
  </conditionalFormatting>
  <conditionalFormatting sqref="G2907:G2908">
    <cfRule type="expression" dxfId="900" priority="24604">
      <formula>#REF!=1</formula>
    </cfRule>
  </conditionalFormatting>
  <conditionalFormatting sqref="G2910">
    <cfRule type="expression" dxfId="899" priority="25500">
      <formula>$AO$417=1</formula>
    </cfRule>
  </conditionalFormatting>
  <conditionalFormatting sqref="G2911:G2927">
    <cfRule type="expression" dxfId="898" priority="11538">
      <formula>$AO$2909=1</formula>
    </cfRule>
  </conditionalFormatting>
  <conditionalFormatting sqref="G2928">
    <cfRule type="expression" dxfId="897" priority="169">
      <formula>$AO$417=1</formula>
    </cfRule>
  </conditionalFormatting>
  <conditionalFormatting sqref="G2929:G2934">
    <cfRule type="expression" dxfId="896" priority="25502">
      <formula>$AO$2909=1</formula>
    </cfRule>
  </conditionalFormatting>
  <conditionalFormatting sqref="G2935:G2936">
    <cfRule type="expression" dxfId="895" priority="24596">
      <formula>#REF!=1</formula>
    </cfRule>
  </conditionalFormatting>
  <conditionalFormatting sqref="G2938">
    <cfRule type="expression" dxfId="894" priority="25480">
      <formula>$AO$417=1</formula>
    </cfRule>
  </conditionalFormatting>
  <conditionalFormatting sqref="G2939:G2942">
    <cfRule type="expression" dxfId="893" priority="25130">
      <formula>$AO$2937=1</formula>
    </cfRule>
  </conditionalFormatting>
  <conditionalFormatting sqref="G2943:G2944">
    <cfRule type="expression" dxfId="892" priority="24588">
      <formula>#REF!=1</formula>
    </cfRule>
  </conditionalFormatting>
  <conditionalFormatting sqref="G2946">
    <cfRule type="expression" dxfId="891" priority="25468">
      <formula>$AO$417=1</formula>
    </cfRule>
  </conditionalFormatting>
  <conditionalFormatting sqref="G2947:G2956">
    <cfRule type="expression" dxfId="890" priority="25464">
      <formula>$AO$2945=1</formula>
    </cfRule>
  </conditionalFormatting>
  <conditionalFormatting sqref="G2957:G2958">
    <cfRule type="expression" dxfId="889" priority="24580">
      <formula>#REF!=1</formula>
    </cfRule>
  </conditionalFormatting>
  <conditionalFormatting sqref="G2960">
    <cfRule type="expression" dxfId="888" priority="25318">
      <formula>$AO$417=1</formula>
    </cfRule>
  </conditionalFormatting>
  <conditionalFormatting sqref="G2961:G2979">
    <cfRule type="expression" dxfId="887" priority="2784">
      <formula>$AO$2959=1</formula>
    </cfRule>
  </conditionalFormatting>
  <conditionalFormatting sqref="G2980:G2981">
    <cfRule type="expression" dxfId="886" priority="24560">
      <formula>#REF!=1</formula>
    </cfRule>
  </conditionalFormatting>
  <conditionalFormatting sqref="G2983">
    <cfRule type="expression" dxfId="885" priority="25444">
      <formula>$AO$417=1</formula>
    </cfRule>
  </conditionalFormatting>
  <conditionalFormatting sqref="G2984:G2987">
    <cfRule type="expression" dxfId="884" priority="7703">
      <formula>$AO$2982=1</formula>
    </cfRule>
  </conditionalFormatting>
  <conditionalFormatting sqref="G2988:G2989">
    <cfRule type="expression" dxfId="883" priority="24556">
      <formula>#REF!=1</formula>
    </cfRule>
  </conditionalFormatting>
  <conditionalFormatting sqref="G2991">
    <cfRule type="expression" dxfId="882" priority="25438">
      <formula>$AO$417=1</formula>
    </cfRule>
  </conditionalFormatting>
  <conditionalFormatting sqref="G3004:G3005">
    <cfRule type="expression" dxfId="881" priority="24552">
      <formula>#REF!=1</formula>
    </cfRule>
  </conditionalFormatting>
  <conditionalFormatting sqref="G3007">
    <cfRule type="expression" dxfId="880" priority="25408">
      <formula>$AO$417=1</formula>
    </cfRule>
  </conditionalFormatting>
  <conditionalFormatting sqref="G3008:G3017">
    <cfRule type="expression" dxfId="879" priority="18634">
      <formula>$AO$3006=1</formula>
    </cfRule>
  </conditionalFormatting>
  <conditionalFormatting sqref="G3018:G3019">
    <cfRule type="expression" dxfId="878" priority="24540">
      <formula>#REF!=1</formula>
    </cfRule>
  </conditionalFormatting>
  <conditionalFormatting sqref="G3021">
    <cfRule type="expression" dxfId="877" priority="25384">
      <formula>$AO$417=1</formula>
    </cfRule>
  </conditionalFormatting>
  <conditionalFormatting sqref="G3022:G3027 G3029:G3037">
    <cfRule type="expression" dxfId="876" priority="25379">
      <formula>$AO$3020=1</formula>
    </cfRule>
  </conditionalFormatting>
  <conditionalFormatting sqref="G3028">
    <cfRule type="expression" dxfId="875" priority="25373">
      <formula>#REF!=1</formula>
    </cfRule>
  </conditionalFormatting>
  <conditionalFormatting sqref="G3038:G3039">
    <cfRule type="expression" dxfId="874" priority="24528">
      <formula>#REF!=1</formula>
    </cfRule>
  </conditionalFormatting>
  <conditionalFormatting sqref="G3041">
    <cfRule type="expression" dxfId="873" priority="25378">
      <formula>$AO$417=1</formula>
    </cfRule>
  </conditionalFormatting>
  <conditionalFormatting sqref="G3042:G3062">
    <cfRule type="expression" dxfId="872" priority="7037">
      <formula>$AO$3040=1</formula>
    </cfRule>
  </conditionalFormatting>
  <conditionalFormatting sqref="G3063:G3064">
    <cfRule type="expression" dxfId="871" priority="24524">
      <formula>#REF!=1</formula>
    </cfRule>
  </conditionalFormatting>
  <conditionalFormatting sqref="G3066">
    <cfRule type="expression" dxfId="870" priority="25365">
      <formula>$AO$417=1</formula>
    </cfRule>
  </conditionalFormatting>
  <conditionalFormatting sqref="G3067:G3068">
    <cfRule type="expression" dxfId="869" priority="14398">
      <formula>$AO$3065=1</formula>
    </cfRule>
  </conditionalFormatting>
  <conditionalFormatting sqref="G3069:G3070">
    <cfRule type="expression" dxfId="868" priority="24520">
      <formula>#REF!=1</formula>
    </cfRule>
  </conditionalFormatting>
  <conditionalFormatting sqref="G3072">
    <cfRule type="expression" dxfId="867" priority="25359">
      <formula>$AO$417=1</formula>
    </cfRule>
  </conditionalFormatting>
  <conditionalFormatting sqref="G3073:G3112">
    <cfRule type="expression" dxfId="866" priority="25354">
      <formula>$AO$3071=1</formula>
    </cfRule>
  </conditionalFormatting>
  <conditionalFormatting sqref="G3113:G3114">
    <cfRule type="expression" dxfId="865" priority="24516">
      <formula>#REF!=1</formula>
    </cfRule>
  </conditionalFormatting>
  <conditionalFormatting sqref="G3116">
    <cfRule type="expression" dxfId="864" priority="25346">
      <formula>$AO$417=1</formula>
    </cfRule>
  </conditionalFormatting>
  <conditionalFormatting sqref="G3117:G3124 G3126:G3157">
    <cfRule type="expression" dxfId="863" priority="25341">
      <formula>$AO$3115=1</formula>
    </cfRule>
  </conditionalFormatting>
  <conditionalFormatting sqref="G3125">
    <cfRule type="expression" dxfId="862" priority="25330">
      <formula>#REF!=1</formula>
    </cfRule>
  </conditionalFormatting>
  <conditionalFormatting sqref="G3158:G3159">
    <cfRule type="expression" dxfId="861" priority="24512">
      <formula>#REF!=1</formula>
    </cfRule>
  </conditionalFormatting>
  <conditionalFormatting sqref="G3161">
    <cfRule type="expression" dxfId="860" priority="25324">
      <formula>$AO$417=1</formula>
    </cfRule>
  </conditionalFormatting>
  <conditionalFormatting sqref="G3162:G3208">
    <cfRule type="expression" dxfId="859" priority="6513">
      <formula>$AO$3160=1</formula>
    </cfRule>
  </conditionalFormatting>
  <conditionalFormatting sqref="H116 H119:H175 H194:H195 H218:H219 H1891:H1892 H2063:H2064">
    <cfRule type="expression" dxfId="858" priority="25280">
      <formula>#REF!=2</formula>
    </cfRule>
  </conditionalFormatting>
  <conditionalFormatting sqref="H118 H418:H561 H597 H604 H607 H609 H619 H767">
    <cfRule type="expression" dxfId="857" priority="842">
      <formula>$AO$417=2</formula>
    </cfRule>
  </conditionalFormatting>
  <conditionalFormatting sqref="H177:H182">
    <cfRule type="expression" dxfId="856" priority="56">
      <formula>#REF!=2</formula>
    </cfRule>
  </conditionalFormatting>
  <conditionalFormatting sqref="H183:H193">
    <cfRule type="expression" dxfId="855" priority="51">
      <formula>$AO$176=2</formula>
    </cfRule>
  </conditionalFormatting>
  <conditionalFormatting sqref="H197:H202">
    <cfRule type="expression" dxfId="854" priority="410">
      <formula>#REF!=2</formula>
    </cfRule>
  </conditionalFormatting>
  <conditionalFormatting sqref="H203:H217">
    <cfRule type="expression" dxfId="853" priority="404">
      <formula>$AO$196=2</formula>
    </cfRule>
  </conditionalFormatting>
  <conditionalFormatting sqref="H221:H226">
    <cfRule type="expression" dxfId="852" priority="324">
      <formula>#REF!=2</formula>
    </cfRule>
  </conditionalFormatting>
  <conditionalFormatting sqref="H227:H231">
    <cfRule type="expression" dxfId="851" priority="319">
      <formula>$AO$220=2</formula>
    </cfRule>
  </conditionalFormatting>
  <conditionalFormatting sqref="H232:H233">
    <cfRule type="expression" dxfId="850" priority="371">
      <formula>#REF!=2</formula>
    </cfRule>
  </conditionalFormatting>
  <conditionalFormatting sqref="H235">
    <cfRule type="expression" dxfId="849" priority="300">
      <formula>$AO$417=2</formula>
    </cfRule>
  </conditionalFormatting>
  <conditionalFormatting sqref="H236:H351">
    <cfRule type="expression" dxfId="848" priority="261">
      <formula>OR($AO$234=2,AND($AO$234=1,MOD($F236,$E236)&lt;&gt;0))</formula>
    </cfRule>
  </conditionalFormatting>
  <conditionalFormatting sqref="H352:H353">
    <cfRule type="expression" dxfId="847" priority="268">
      <formula>#REF!=2</formula>
    </cfRule>
  </conditionalFormatting>
  <conditionalFormatting sqref="H355">
    <cfRule type="expression" dxfId="846" priority="281">
      <formula>$AO$417=2</formula>
    </cfRule>
  </conditionalFormatting>
  <conditionalFormatting sqref="H356:H414">
    <cfRule type="expression" dxfId="845" priority="25">
      <formula>OR($AO$354=2,AND($AO$354=1,MOD($F356,$E356)&lt;&gt;0))</formula>
    </cfRule>
  </conditionalFormatting>
  <conditionalFormatting sqref="H415:H416">
    <cfRule type="expression" dxfId="844" priority="266">
      <formula>#REF!=2</formula>
    </cfRule>
  </conditionalFormatting>
  <conditionalFormatting sqref="H562:H563">
    <cfRule type="expression" dxfId="843" priority="24811">
      <formula>#REF!=2</formula>
    </cfRule>
  </conditionalFormatting>
  <conditionalFormatting sqref="H565">
    <cfRule type="expression" dxfId="842" priority="26639">
      <formula>$AO$417=2</formula>
    </cfRule>
  </conditionalFormatting>
  <conditionalFormatting sqref="H566:H596 H608 H615:H618">
    <cfRule type="expression" dxfId="841" priority="208">
      <formula>$AO$564=2</formula>
    </cfRule>
  </conditionalFormatting>
  <conditionalFormatting sqref="H598:H603">
    <cfRule type="expression" dxfId="840" priority="12978">
      <formula>$AO$564=2</formula>
    </cfRule>
  </conditionalFormatting>
  <conditionalFormatting sqref="H605:H606">
    <cfRule type="expression" dxfId="839" priority="652">
      <formula>$AO$564=2</formula>
    </cfRule>
  </conditionalFormatting>
  <conditionalFormatting sqref="H610:H613">
    <cfRule type="expression" dxfId="838" priority="12451">
      <formula>$AO$564=2</formula>
    </cfRule>
  </conditionalFormatting>
  <conditionalFormatting sqref="H614">
    <cfRule type="expression" dxfId="837" priority="143">
      <formula>$AO$417=2</formula>
    </cfRule>
  </conditionalFormatting>
  <conditionalFormatting sqref="H620:H630">
    <cfRule type="expression" dxfId="836" priority="556">
      <formula>$AO$564=2</formula>
    </cfRule>
  </conditionalFormatting>
  <conditionalFormatting sqref="H631">
    <cfRule type="expression" dxfId="835" priority="8051">
      <formula>$AO$417=2</formula>
    </cfRule>
  </conditionalFormatting>
  <conditionalFormatting sqref="H632:H633">
    <cfRule type="expression" dxfId="834" priority="2412">
      <formula>$AO$564=2</formula>
    </cfRule>
  </conditionalFormatting>
  <conditionalFormatting sqref="H634:H635">
    <cfRule type="expression" dxfId="833" priority="24807">
      <formula>#REF!=2</formula>
    </cfRule>
  </conditionalFormatting>
  <conditionalFormatting sqref="H637:H638">
    <cfRule type="expression" dxfId="832" priority="14708">
      <formula>$AO$417=2</formula>
    </cfRule>
  </conditionalFormatting>
  <conditionalFormatting sqref="H639:H763">
    <cfRule type="expression" dxfId="831" priority="18">
      <formula>OR($AO$636=2,AND($AO$636=1,MOD($F639,$E639)&lt;&gt;0))</formula>
    </cfRule>
  </conditionalFormatting>
  <conditionalFormatting sqref="H764:H765">
    <cfRule type="expression" dxfId="830" priority="24803">
      <formula>#REF!=2</formula>
    </cfRule>
  </conditionalFormatting>
  <conditionalFormatting sqref="H768:H785 H787:H792 H805:H819">
    <cfRule type="expression" dxfId="829" priority="12298">
      <formula>$AO$766=2</formula>
    </cfRule>
  </conditionalFormatting>
  <conditionalFormatting sqref="H786">
    <cfRule type="expression" dxfId="828" priority="26583">
      <formula>$AO$417=2</formula>
    </cfRule>
  </conditionalFormatting>
  <conditionalFormatting sqref="H793">
    <cfRule type="expression" dxfId="827" priority="26579">
      <formula>$AO$417=2</formula>
    </cfRule>
  </conditionalFormatting>
  <conditionalFormatting sqref="H794:H803">
    <cfRule type="expression" dxfId="826" priority="11303">
      <formula>$AO$766=2</formula>
    </cfRule>
  </conditionalFormatting>
  <conditionalFormatting sqref="H804">
    <cfRule type="expression" dxfId="825" priority="26571">
      <formula>$AO$417=2</formula>
    </cfRule>
  </conditionalFormatting>
  <conditionalFormatting sqref="H820">
    <cfRule type="expression" dxfId="824" priority="26567">
      <formula>$AO$417=2</formula>
    </cfRule>
  </conditionalFormatting>
  <conditionalFormatting sqref="H821:H822">
    <cfRule type="expression" dxfId="823" priority="26595">
      <formula>$AO$766=2</formula>
    </cfRule>
  </conditionalFormatting>
  <conditionalFormatting sqref="H823">
    <cfRule type="expression" dxfId="822" priority="26563">
      <formula>$AO$417=2</formula>
    </cfRule>
  </conditionalFormatting>
  <conditionalFormatting sqref="H824:H825">
    <cfRule type="expression" dxfId="821" priority="19542">
      <formula>$AO$766=2</formula>
    </cfRule>
  </conditionalFormatting>
  <conditionalFormatting sqref="H826">
    <cfRule type="expression" dxfId="820" priority="26559">
      <formula>$AO$417=2</formula>
    </cfRule>
  </conditionalFormatting>
  <conditionalFormatting sqref="H827:H830">
    <cfRule type="expression" dxfId="819" priority="9367">
      <formula>$AO$766=2</formula>
    </cfRule>
  </conditionalFormatting>
  <conditionalFormatting sqref="H831:H832">
    <cfRule type="expression" dxfId="818" priority="24799">
      <formula>#REF!=2</formula>
    </cfRule>
  </conditionalFormatting>
  <conditionalFormatting sqref="H834">
    <cfRule type="expression" dxfId="817" priority="902">
      <formula>$AO$833=2</formula>
    </cfRule>
  </conditionalFormatting>
  <conditionalFormatting sqref="H835:H955">
    <cfRule type="expression" dxfId="816" priority="16">
      <formula>OR($AO$833=2,AND($AO$833=1,MOD($F835,$E835)&lt;&gt;0))</formula>
    </cfRule>
  </conditionalFormatting>
  <conditionalFormatting sqref="H956:H957">
    <cfRule type="expression" dxfId="815" priority="2120">
      <formula>#REF!=2</formula>
    </cfRule>
  </conditionalFormatting>
  <conditionalFormatting sqref="H959">
    <cfRule type="expression" dxfId="814" priority="1978">
      <formula>#REF!=2</formula>
    </cfRule>
  </conditionalFormatting>
  <conditionalFormatting sqref="H960:H1008">
    <cfRule type="expression" dxfId="813" priority="728">
      <formula>$AO$958=2</formula>
    </cfRule>
  </conditionalFormatting>
  <conditionalFormatting sqref="H1009:H1010">
    <cfRule type="expression" dxfId="812" priority="1943">
      <formula>#REF!=2</formula>
    </cfRule>
  </conditionalFormatting>
  <conditionalFormatting sqref="H1012">
    <cfRule type="expression" dxfId="811" priority="1910">
      <formula>$AO$417=2</formula>
    </cfRule>
  </conditionalFormatting>
  <conditionalFormatting sqref="H1014">
    <cfRule type="expression" dxfId="810" priority="1901">
      <formula>$AO$417=2</formula>
    </cfRule>
  </conditionalFormatting>
  <conditionalFormatting sqref="H1015:H1102">
    <cfRule type="expression" dxfId="809" priority="887">
      <formula>Q1015/F1015=H1015</formula>
    </cfRule>
  </conditionalFormatting>
  <conditionalFormatting sqref="H1103:H1104">
    <cfRule type="expression" dxfId="808" priority="1904">
      <formula>#REF!=2</formula>
    </cfRule>
  </conditionalFormatting>
  <conditionalFormatting sqref="H1106">
    <cfRule type="expression" dxfId="807" priority="17594">
      <formula>#REF!=2</formula>
    </cfRule>
  </conditionalFormatting>
  <conditionalFormatting sqref="H1107:H1120">
    <cfRule type="expression" dxfId="806" priority="8017">
      <formula>$AO$1105=2</formula>
    </cfRule>
  </conditionalFormatting>
  <conditionalFormatting sqref="H1121:H1122">
    <cfRule type="expression" dxfId="805" priority="17583">
      <formula>#REF!=2</formula>
    </cfRule>
  </conditionalFormatting>
  <conditionalFormatting sqref="H1124">
    <cfRule type="expression" dxfId="804" priority="26592">
      <formula>$AO$417=2</formula>
    </cfRule>
  </conditionalFormatting>
  <conditionalFormatting sqref="H1125:H1136 H1151:H1156">
    <cfRule type="expression" dxfId="803" priority="22963">
      <formula>$AO$1123=2</formula>
    </cfRule>
  </conditionalFormatting>
  <conditionalFormatting sqref="H1137">
    <cfRule type="expression" dxfId="802" priority="26555">
      <formula>$AO$417=2</formula>
    </cfRule>
  </conditionalFormatting>
  <conditionalFormatting sqref="H1138:H1143">
    <cfRule type="expression" dxfId="801" priority="6717">
      <formula>$AO$1123=2</formula>
    </cfRule>
  </conditionalFormatting>
  <conditionalFormatting sqref="H1144">
    <cfRule type="expression" dxfId="800" priority="26551">
      <formula>$AO$417=2</formula>
    </cfRule>
  </conditionalFormatting>
  <conditionalFormatting sqref="H1145:H1149">
    <cfRule type="expression" dxfId="799" priority="1388">
      <formula>$AO$1123=2</formula>
    </cfRule>
  </conditionalFormatting>
  <conditionalFormatting sqref="H1150">
    <cfRule type="expression" dxfId="798" priority="26547">
      <formula>$AO$417=2</formula>
    </cfRule>
  </conditionalFormatting>
  <conditionalFormatting sqref="H1157">
    <cfRule type="expression" dxfId="797" priority="18624">
      <formula>$AO$417=2</formula>
    </cfRule>
  </conditionalFormatting>
  <conditionalFormatting sqref="H1158:H1161">
    <cfRule type="expression" dxfId="796" priority="1590">
      <formula>$AO$1123=2</formula>
    </cfRule>
  </conditionalFormatting>
  <conditionalFormatting sqref="H1162:H1163">
    <cfRule type="expression" dxfId="795" priority="24795">
      <formula>#REF!=2</formula>
    </cfRule>
  </conditionalFormatting>
  <conditionalFormatting sqref="H1165">
    <cfRule type="expression" dxfId="794" priority="26467">
      <formula>$AO$417=2</formula>
    </cfRule>
  </conditionalFormatting>
  <conditionalFormatting sqref="H1166:H1178 H1180:H1183 H1194:H1230 H1232:H1248">
    <cfRule type="expression" dxfId="793" priority="1499">
      <formula>$AO$1164=2</formula>
    </cfRule>
  </conditionalFormatting>
  <conditionalFormatting sqref="H1179">
    <cfRule type="expression" dxfId="792" priority="513">
      <formula>$AO$417=2</formula>
    </cfRule>
  </conditionalFormatting>
  <conditionalFormatting sqref="H1184">
    <cfRule type="expression" dxfId="791" priority="26461">
      <formula>$AO$417=2</formula>
    </cfRule>
  </conditionalFormatting>
  <conditionalFormatting sqref="H1185">
    <cfRule type="expression" dxfId="790" priority="11273">
      <formula>$AO$1164=2</formula>
    </cfRule>
  </conditionalFormatting>
  <conditionalFormatting sqref="H1186">
    <cfRule type="expression" dxfId="789" priority="26457">
      <formula>$AO$417=2</formula>
    </cfRule>
  </conditionalFormatting>
  <conditionalFormatting sqref="H1187">
    <cfRule type="expression" dxfId="788" priority="2840">
      <formula>$AO$1164=2</formula>
    </cfRule>
  </conditionalFormatting>
  <conditionalFormatting sqref="H1188">
    <cfRule type="expression" dxfId="787" priority="26453">
      <formula>$AO$417=2</formula>
    </cfRule>
  </conditionalFormatting>
  <conditionalFormatting sqref="H1189:H1190">
    <cfRule type="expression" dxfId="786" priority="33">
      <formula>$AO$1164=2</formula>
    </cfRule>
  </conditionalFormatting>
  <conditionalFormatting sqref="H1191">
    <cfRule type="expression" dxfId="785" priority="26449">
      <formula>$AO$417=2</formula>
    </cfRule>
  </conditionalFormatting>
  <conditionalFormatting sqref="H1192">
    <cfRule type="expression" dxfId="784" priority="3705">
      <formula>$AO$1164=2</formula>
    </cfRule>
  </conditionalFormatting>
  <conditionalFormatting sqref="H1193">
    <cfRule type="expression" dxfId="783" priority="26437">
      <formula>$AO$417=2</formula>
    </cfRule>
  </conditionalFormatting>
  <conditionalFormatting sqref="H1231">
    <cfRule type="expression" dxfId="782" priority="26433">
      <formula>$AO$417=2</formula>
    </cfRule>
  </conditionalFormatting>
  <conditionalFormatting sqref="H1249:H1250">
    <cfRule type="expression" dxfId="781" priority="24783">
      <formula>#REF!=2</formula>
    </cfRule>
  </conditionalFormatting>
  <conditionalFormatting sqref="H1252:H1253">
    <cfRule type="expression" dxfId="780" priority="500">
      <formula>#REF!=2</formula>
    </cfRule>
  </conditionalFormatting>
  <conditionalFormatting sqref="H1254:H1302">
    <cfRule type="expression" dxfId="779" priority="13">
      <formula>OR($AO$1251=2,AND($AO$1251=1,MOD($F1254,$E1254)&lt;&gt;0))</formula>
    </cfRule>
  </conditionalFormatting>
  <conditionalFormatting sqref="H1303:H1304 H1340:H1341">
    <cfRule type="expression" dxfId="778" priority="506">
      <formula>#REF!=2</formula>
    </cfRule>
  </conditionalFormatting>
  <conditionalFormatting sqref="H1306:H1311">
    <cfRule type="expression" dxfId="777" priority="494">
      <formula>#REF!=2</formula>
    </cfRule>
  </conditionalFormatting>
  <conditionalFormatting sqref="H1312:H1339">
    <cfRule type="expression" dxfId="776" priority="472">
      <formula>$AO$1305=2</formula>
    </cfRule>
  </conditionalFormatting>
  <conditionalFormatting sqref="H1343:H1348">
    <cfRule type="expression" dxfId="775" priority="490">
      <formula>#REF!=2</formula>
    </cfRule>
  </conditionalFormatting>
  <conditionalFormatting sqref="H1349:H1356">
    <cfRule type="expression" dxfId="774" priority="10">
      <formula>OR($AO$1342=2,AND($AO$1342=1,MOD($F1349,$E1349)&lt;&gt;0))</formula>
    </cfRule>
  </conditionalFormatting>
  <conditionalFormatting sqref="H1357:H1358">
    <cfRule type="expression" dxfId="773" priority="477">
      <formula>#REF!=2</formula>
    </cfRule>
  </conditionalFormatting>
  <conditionalFormatting sqref="H1360">
    <cfRule type="expression" dxfId="772" priority="3059">
      <formula>$AO$417=2</formula>
    </cfRule>
  </conditionalFormatting>
  <conditionalFormatting sqref="H1361:H1363 H1365:H1369 H1371:H1377">
    <cfRule type="expression" dxfId="771" priority="2405">
      <formula>$AO$1359=2</formula>
    </cfRule>
  </conditionalFormatting>
  <conditionalFormatting sqref="H1364">
    <cfRule type="expression" dxfId="770" priority="37">
      <formula>$AO$417=2</formula>
    </cfRule>
  </conditionalFormatting>
  <conditionalFormatting sqref="H1370">
    <cfRule type="expression" dxfId="769" priority="41">
      <formula>$AO$417=2</formula>
    </cfRule>
  </conditionalFormatting>
  <conditionalFormatting sqref="H1378:H1379">
    <cfRule type="expression" dxfId="768" priority="3045">
      <formula>#REF!=2</formula>
    </cfRule>
  </conditionalFormatting>
  <conditionalFormatting sqref="H1381">
    <cfRule type="expression" dxfId="767" priority="26317">
      <formula>$AO$417=2</formula>
    </cfRule>
  </conditionalFormatting>
  <conditionalFormatting sqref="H1382:H1386 H1388:H1393">
    <cfRule type="expression" dxfId="766" priority="2816">
      <formula>$AO$1380=2</formula>
    </cfRule>
  </conditionalFormatting>
  <conditionalFormatting sqref="H1387">
    <cfRule type="expression" dxfId="765" priority="26293">
      <formula>$AO$417=2</formula>
    </cfRule>
  </conditionalFormatting>
  <conditionalFormatting sqref="H1394:H1395">
    <cfRule type="expression" dxfId="764" priority="24767">
      <formula>#REF!=2</formula>
    </cfRule>
  </conditionalFormatting>
  <conditionalFormatting sqref="H1397">
    <cfRule type="expression" dxfId="763" priority="6594">
      <formula>#REF!=2</formula>
    </cfRule>
  </conditionalFormatting>
  <conditionalFormatting sqref="H1398:H1432">
    <cfRule type="expression" dxfId="762" priority="3404">
      <formula>$AO$1396=2</formula>
    </cfRule>
  </conditionalFormatting>
  <conditionalFormatting sqref="H1433:H1434">
    <cfRule type="expression" dxfId="761" priority="10466">
      <formula>#REF!=2</formula>
    </cfRule>
  </conditionalFormatting>
  <conditionalFormatting sqref="H1436">
    <cfRule type="expression" dxfId="760" priority="7577">
      <formula>#REF!=2</formula>
    </cfRule>
  </conditionalFormatting>
  <conditionalFormatting sqref="H1437:H1449 H1451:H1456">
    <cfRule type="expression" dxfId="759" priority="6339">
      <formula>$AO$1435=2</formula>
    </cfRule>
  </conditionalFormatting>
  <conditionalFormatting sqref="H1450">
    <cfRule type="expression" dxfId="758" priority="165">
      <formula>$AO$417=2</formula>
    </cfRule>
  </conditionalFormatting>
  <conditionalFormatting sqref="H1457:H1458">
    <cfRule type="expression" dxfId="757" priority="7573">
      <formula>#REF!=2</formula>
    </cfRule>
  </conditionalFormatting>
  <conditionalFormatting sqref="H1460">
    <cfRule type="expression" dxfId="756" priority="26281">
      <formula>$AO$417=2</formula>
    </cfRule>
  </conditionalFormatting>
  <conditionalFormatting sqref="H1461:H1469 H1504:H1505">
    <cfRule type="expression" dxfId="755" priority="3659">
      <formula>$AO$1459=2</formula>
    </cfRule>
  </conditionalFormatting>
  <conditionalFormatting sqref="H1470">
    <cfRule type="expression" dxfId="754" priority="26275">
      <formula>$AO$417=2</formula>
    </cfRule>
  </conditionalFormatting>
  <conditionalFormatting sqref="H1471:H1479">
    <cfRule type="expression" dxfId="753" priority="656">
      <formula>$AO$1459=2</formula>
    </cfRule>
  </conditionalFormatting>
  <conditionalFormatting sqref="H1480">
    <cfRule type="expression" dxfId="752" priority="26271">
      <formula>$AO$417=2</formula>
    </cfRule>
  </conditionalFormatting>
  <conditionalFormatting sqref="H1481:H1487">
    <cfRule type="expression" dxfId="751" priority="4135">
      <formula>$AO$1459=2</formula>
    </cfRule>
  </conditionalFormatting>
  <conditionalFormatting sqref="H1488">
    <cfRule type="expression" dxfId="750" priority="19642">
      <formula>$AO$417=2</formula>
    </cfRule>
  </conditionalFormatting>
  <conditionalFormatting sqref="H1489:H1497">
    <cfRule type="expression" dxfId="749" priority="1227">
      <formula>$AO$1459=2</formula>
    </cfRule>
  </conditionalFormatting>
  <conditionalFormatting sqref="H1498">
    <cfRule type="expression" dxfId="748" priority="7814">
      <formula>$AO$417=2</formula>
    </cfRule>
  </conditionalFormatting>
  <conditionalFormatting sqref="H1499:H1502">
    <cfRule type="expression" dxfId="747" priority="1584">
      <formula>$AO$1459=2</formula>
    </cfRule>
  </conditionalFormatting>
  <conditionalFormatting sqref="H1503">
    <cfRule type="expression" dxfId="746" priority="3690">
      <formula>$AO$417=2</formula>
    </cfRule>
  </conditionalFormatting>
  <conditionalFormatting sqref="H1506:H1507">
    <cfRule type="expression" dxfId="745" priority="24763">
      <formula>#REF!=2</formula>
    </cfRule>
  </conditionalFormatting>
  <conditionalFormatting sqref="H1509">
    <cfRule type="expression" dxfId="744" priority="4950">
      <formula>#REF!=2</formula>
    </cfRule>
  </conditionalFormatting>
  <conditionalFormatting sqref="H1510:H1521">
    <cfRule type="expression" dxfId="743" priority="7">
      <formula>OR($AO$1508=2,AND($AO$1508=1,MOD($F1510,$E1510)&lt;&gt;0))</formula>
    </cfRule>
  </conditionalFormatting>
  <conditionalFormatting sqref="H1522:H1523">
    <cfRule type="expression" dxfId="742" priority="13506">
      <formula>#REF!=2</formula>
    </cfRule>
  </conditionalFormatting>
  <conditionalFormatting sqref="H1525:H1530">
    <cfRule type="expression" dxfId="741" priority="253">
      <formula>#REF!=2</formula>
    </cfRule>
  </conditionalFormatting>
  <conditionalFormatting sqref="H1531:H1555">
    <cfRule type="expression" dxfId="740" priority="26641" stopIfTrue="1">
      <formula>OR($AO$1524=2,AND($AO$1524=1,MOD($F1531,$E1531)&lt;&gt;0))</formula>
    </cfRule>
  </conditionalFormatting>
  <conditionalFormatting sqref="H1556:H1557">
    <cfRule type="expression" dxfId="739" priority="255">
      <formula>#REF!=2</formula>
    </cfRule>
  </conditionalFormatting>
  <conditionalFormatting sqref="H1559">
    <cfRule type="expression" dxfId="738" priority="13536">
      <formula>#REF!=2</formula>
    </cfRule>
  </conditionalFormatting>
  <conditionalFormatting sqref="H1560:H1568">
    <cfRule type="expression" dxfId="737" priority="786">
      <formula>$AO$1558=2</formula>
    </cfRule>
  </conditionalFormatting>
  <conditionalFormatting sqref="H1569:H1570">
    <cfRule type="expression" dxfId="736" priority="13532">
      <formula>#REF!=2</formula>
    </cfRule>
  </conditionalFormatting>
  <conditionalFormatting sqref="H1572:H1577">
    <cfRule type="expression" dxfId="735" priority="98">
      <formula>#REF!=2</formula>
    </cfRule>
  </conditionalFormatting>
  <conditionalFormatting sqref="H1578:H1587">
    <cfRule type="expression" dxfId="734" priority="26644" stopIfTrue="1">
      <formula>OR($AO$1571=2,AND($AO$1571=1,MOD($F1578,$E1578)&lt;&gt;0))</formula>
    </cfRule>
  </conditionalFormatting>
  <conditionalFormatting sqref="H1588:H1589">
    <cfRule type="expression" dxfId="733" priority="71">
      <formula>#REF!=2</formula>
    </cfRule>
  </conditionalFormatting>
  <conditionalFormatting sqref="H1591:H1596">
    <cfRule type="expression" dxfId="732" priority="92">
      <formula>#REF!=2</formula>
    </cfRule>
  </conditionalFormatting>
  <conditionalFormatting sqref="H1597:H1646">
    <cfRule type="expression" dxfId="731" priority="64">
      <formula>$AO$1590=2</formula>
    </cfRule>
  </conditionalFormatting>
  <conditionalFormatting sqref="H1647:H1648">
    <cfRule type="expression" dxfId="730" priority="73">
      <formula>#REF!=2</formula>
    </cfRule>
  </conditionalFormatting>
  <conditionalFormatting sqref="H1650:H1655">
    <cfRule type="expression" dxfId="729" priority="81">
      <formula>#REF!=2</formula>
    </cfRule>
  </conditionalFormatting>
  <conditionalFormatting sqref="H1656:H1665">
    <cfRule type="expression" dxfId="728" priority="26647" stopIfTrue="1">
      <formula>OR($AO$1649=2,AND($AO$1649=1,MOD($F1656,$E1656)&lt;&gt;0))</formula>
    </cfRule>
  </conditionalFormatting>
  <conditionalFormatting sqref="H1666:H1667">
    <cfRule type="expression" dxfId="727" priority="75">
      <formula>#REF!=2</formula>
    </cfRule>
  </conditionalFormatting>
  <conditionalFormatting sqref="H1669:H1674">
    <cfRule type="expression" dxfId="726" priority="122">
      <formula>#REF!=2</formula>
    </cfRule>
  </conditionalFormatting>
  <conditionalFormatting sqref="H1675:H1686">
    <cfRule type="expression" dxfId="725" priority="104">
      <formula>$AO$1668=2</formula>
    </cfRule>
  </conditionalFormatting>
  <conditionalFormatting sqref="H1687:H1688">
    <cfRule type="expression" dxfId="724" priority="125">
      <formula>#REF!=2</formula>
    </cfRule>
  </conditionalFormatting>
  <conditionalFormatting sqref="H1690">
    <cfRule type="expression" dxfId="723" priority="117">
      <formula>#REF!=2</formula>
    </cfRule>
  </conditionalFormatting>
  <conditionalFormatting sqref="H1691:H1729">
    <cfRule type="expression" dxfId="722" priority="101">
      <formula>$AO$1689=2</formula>
    </cfRule>
  </conditionalFormatting>
  <conditionalFormatting sqref="H1730:H1731">
    <cfRule type="expression" dxfId="721" priority="106">
      <formula>#REF!=2</formula>
    </cfRule>
  </conditionalFormatting>
  <conditionalFormatting sqref="H1733">
    <cfRule type="expression" dxfId="720" priority="26220">
      <formula>$AO$417=2</formula>
    </cfRule>
  </conditionalFormatting>
  <conditionalFormatting sqref="H1734:H1781">
    <cfRule type="expression" dxfId="719" priority="26650" stopIfTrue="1">
      <formula>OR($AO$1732=2,AND($AO$1732=1,MOD($F1734,$E1734)&lt;&gt;0))</formula>
    </cfRule>
  </conditionalFormatting>
  <conditionalFormatting sqref="H1782:H1783">
    <cfRule type="expression" dxfId="718" priority="24755">
      <formula>#REF!=2</formula>
    </cfRule>
  </conditionalFormatting>
  <conditionalFormatting sqref="H1786">
    <cfRule type="expression" dxfId="717" priority="26187">
      <formula>$AO$417=2</formula>
    </cfRule>
  </conditionalFormatting>
  <conditionalFormatting sqref="H1787:H1829">
    <cfRule type="expression" dxfId="716" priority="713">
      <formula>$AO$1784=2</formula>
    </cfRule>
  </conditionalFormatting>
  <conditionalFormatting sqref="H1830:H1831">
    <cfRule type="expression" dxfId="715" priority="24751">
      <formula>#REF!=2</formula>
    </cfRule>
  </conditionalFormatting>
  <conditionalFormatting sqref="H1833">
    <cfRule type="expression" dxfId="714" priority="20173">
      <formula>$AO$417=2</formula>
    </cfRule>
  </conditionalFormatting>
  <conditionalFormatting sqref="H1834:H1890">
    <cfRule type="expression" dxfId="713" priority="3978">
      <formula>$AO$1832=2</formula>
    </cfRule>
  </conditionalFormatting>
  <conditionalFormatting sqref="H1894">
    <cfRule type="expression" dxfId="712" priority="26150">
      <formula>$AO$417=2</formula>
    </cfRule>
  </conditionalFormatting>
  <conditionalFormatting sqref="H1895:H1913 H1928:H1943">
    <cfRule type="expression" dxfId="711" priority="3844">
      <formula>$AO$1893=2</formula>
    </cfRule>
  </conditionalFormatting>
  <conditionalFormatting sqref="H1914">
    <cfRule type="expression" dxfId="710" priority="26136">
      <formula>$AO$1784=2</formula>
    </cfRule>
  </conditionalFormatting>
  <conditionalFormatting sqref="H1915:H1926">
    <cfRule type="expression" dxfId="709" priority="9545">
      <formula>$AO$1893=2</formula>
    </cfRule>
  </conditionalFormatting>
  <conditionalFormatting sqref="H1927">
    <cfRule type="expression" dxfId="708" priority="26132">
      <formula>$AO$1784=2</formula>
    </cfRule>
  </conditionalFormatting>
  <conditionalFormatting sqref="H1944">
    <cfRule type="expression" dxfId="707" priority="26128">
      <formula>$AO$1784=2</formula>
    </cfRule>
  </conditionalFormatting>
  <conditionalFormatting sqref="H1945:H1951">
    <cfRule type="expression" dxfId="706" priority="12041">
      <formula>$AO$1893=2</formula>
    </cfRule>
  </conditionalFormatting>
  <conditionalFormatting sqref="H1952:H1953">
    <cfRule type="expression" dxfId="705" priority="24747">
      <formula>#REF!=2</formula>
    </cfRule>
  </conditionalFormatting>
  <conditionalFormatting sqref="H1955">
    <cfRule type="expression" dxfId="704" priority="22607">
      <formula>$AO$417=2</formula>
    </cfRule>
  </conditionalFormatting>
  <conditionalFormatting sqref="H1956:H2009">
    <cfRule type="expression" dxfId="703" priority="1231">
      <formula>$AO$1954=2</formula>
    </cfRule>
  </conditionalFormatting>
  <conditionalFormatting sqref="H2010:H2011">
    <cfRule type="expression" dxfId="702" priority="24743">
      <formula>#REF!=2</formula>
    </cfRule>
  </conditionalFormatting>
  <conditionalFormatting sqref="H2013">
    <cfRule type="expression" dxfId="701" priority="25265">
      <formula>$AO$417=2</formula>
    </cfRule>
  </conditionalFormatting>
  <conditionalFormatting sqref="H2014:H2030">
    <cfRule type="expression" dxfId="700" priority="2422">
      <formula>$AO$2012=2</formula>
    </cfRule>
  </conditionalFormatting>
  <conditionalFormatting sqref="H2031:H2032">
    <cfRule type="expression" dxfId="699" priority="24739">
      <formula>#REF!=2</formula>
    </cfRule>
  </conditionalFormatting>
  <conditionalFormatting sqref="H2034">
    <cfRule type="expression" dxfId="698" priority="20319">
      <formula>$AO$417=2</formula>
    </cfRule>
  </conditionalFormatting>
  <conditionalFormatting sqref="H2035:H2062">
    <cfRule type="expression" dxfId="697" priority="1162">
      <formula>$AO$2033=2</formula>
    </cfRule>
  </conditionalFormatting>
  <conditionalFormatting sqref="H2066">
    <cfRule type="expression" dxfId="696" priority="459">
      <formula>$AO$417=2</formula>
    </cfRule>
  </conditionalFormatting>
  <conditionalFormatting sqref="H2067:H2105">
    <cfRule type="expression" dxfId="695" priority="452">
      <formula>$AO$2065=2</formula>
    </cfRule>
  </conditionalFormatting>
  <conditionalFormatting sqref="H2106:H2107">
    <cfRule type="expression" dxfId="694" priority="457">
      <formula>#REF!=2</formula>
    </cfRule>
  </conditionalFormatting>
  <conditionalFormatting sqref="H2109">
    <cfRule type="expression" dxfId="693" priority="465">
      <formula>$AO$417=2</formula>
    </cfRule>
  </conditionalFormatting>
  <conditionalFormatting sqref="H2110:H2114">
    <cfRule type="expression" dxfId="692" priority="447">
      <formula>$AO$2108=2</formula>
    </cfRule>
  </conditionalFormatting>
  <conditionalFormatting sqref="H2115:H2116">
    <cfRule type="expression" dxfId="691" priority="449">
      <formula>#REF!=2</formula>
    </cfRule>
  </conditionalFormatting>
  <conditionalFormatting sqref="H2118">
    <cfRule type="expression" dxfId="690" priority="26101">
      <formula>$AO$417=2</formula>
    </cfRule>
  </conditionalFormatting>
  <conditionalFormatting sqref="H2119:H2162">
    <cfRule type="expression" dxfId="689" priority="3988">
      <formula>$AO$2117=2</formula>
    </cfRule>
  </conditionalFormatting>
  <conditionalFormatting sqref="H2163:H2164">
    <cfRule type="expression" dxfId="688" priority="24735">
      <formula>#REF!=2</formula>
    </cfRule>
  </conditionalFormatting>
  <conditionalFormatting sqref="H2166">
    <cfRule type="expression" dxfId="687" priority="26084">
      <formula>$AO$417=2</formula>
    </cfRule>
  </conditionalFormatting>
  <conditionalFormatting sqref="H2167:H2181 H2224:H2232">
    <cfRule type="expression" dxfId="686" priority="768">
      <formula>$AO$2165=2</formula>
    </cfRule>
  </conditionalFormatting>
  <conditionalFormatting sqref="H2182">
    <cfRule type="expression" dxfId="685" priority="26068">
      <formula>$AO$2117=2</formula>
    </cfRule>
  </conditionalFormatting>
  <conditionalFormatting sqref="H2183:H2187">
    <cfRule type="expression" dxfId="684" priority="1683">
      <formula>$AO$2165=2</formula>
    </cfRule>
  </conditionalFormatting>
  <conditionalFormatting sqref="H2188">
    <cfRule type="expression" dxfId="683" priority="26060">
      <formula>$AO$2117=2</formula>
    </cfRule>
  </conditionalFormatting>
  <conditionalFormatting sqref="H2189:H2205">
    <cfRule type="expression" dxfId="682" priority="18906">
      <formula>$AO$2165=2</formula>
    </cfRule>
  </conditionalFormatting>
  <conditionalFormatting sqref="H2206">
    <cfRule type="expression" dxfId="681" priority="26056">
      <formula>$AO$2117=2</formula>
    </cfRule>
  </conditionalFormatting>
  <conditionalFormatting sqref="H2207:H2210">
    <cfRule type="expression" dxfId="680" priority="7656">
      <formula>$AO$2165=2</formula>
    </cfRule>
  </conditionalFormatting>
  <conditionalFormatting sqref="H2211">
    <cfRule type="expression" dxfId="679" priority="26052">
      <formula>$AO$2117=2</formula>
    </cfRule>
  </conditionalFormatting>
  <conditionalFormatting sqref="H2212:H2222">
    <cfRule type="expression" dxfId="678" priority="5614">
      <formula>$AO$2165=2</formula>
    </cfRule>
  </conditionalFormatting>
  <conditionalFormatting sqref="H2223">
    <cfRule type="expression" dxfId="677" priority="26048">
      <formula>$AO$2117=2</formula>
    </cfRule>
  </conditionalFormatting>
  <conditionalFormatting sqref="H2233:H2234">
    <cfRule type="expression" dxfId="676" priority="24731">
      <formula>#REF!=2</formula>
    </cfRule>
  </conditionalFormatting>
  <conditionalFormatting sqref="H2236:H2240">
    <cfRule type="expression" dxfId="675" priority="5960">
      <formula>#REF!=2</formula>
    </cfRule>
  </conditionalFormatting>
  <conditionalFormatting sqref="H2241">
    <cfRule type="expression" dxfId="674" priority="2952">
      <formula>$AO$2301=2</formula>
    </cfRule>
  </conditionalFormatting>
  <conditionalFormatting sqref="H2242:H2255">
    <cfRule type="expression" dxfId="673" priority="1639">
      <formula>$AO$2235=2</formula>
    </cfRule>
  </conditionalFormatting>
  <conditionalFormatting sqref="H2256:H2257">
    <cfRule type="expression" dxfId="672" priority="5953">
      <formula>#REF!=2</formula>
    </cfRule>
  </conditionalFormatting>
  <conditionalFormatting sqref="H2259">
    <cfRule type="expression" dxfId="671" priority="18092">
      <formula>#REF!=2</formula>
    </cfRule>
  </conditionalFormatting>
  <conditionalFormatting sqref="H2260:H2267">
    <cfRule type="expression" dxfId="670" priority="26653" stopIfTrue="1">
      <formula>OR($AO$2258=2,AND($AO$2258=1,MOD($F2260,$E2260)&lt;&gt;0))</formula>
    </cfRule>
  </conditionalFormatting>
  <conditionalFormatting sqref="H2268:H2269">
    <cfRule type="expression" dxfId="669" priority="18088">
      <formula>#REF!=2</formula>
    </cfRule>
  </conditionalFormatting>
  <conditionalFormatting sqref="H2272:H2287">
    <cfRule type="expression" dxfId="668" priority="3190">
      <formula>$AO$2270=2</formula>
    </cfRule>
  </conditionalFormatting>
  <conditionalFormatting sqref="H2288:H2289">
    <cfRule type="expression" dxfId="667" priority="18098">
      <formula>#REF!=2</formula>
    </cfRule>
  </conditionalFormatting>
  <conditionalFormatting sqref="H2292:H2298">
    <cfRule type="expression" dxfId="666" priority="1477">
      <formula>$AO$2290=2</formula>
    </cfRule>
  </conditionalFormatting>
  <conditionalFormatting sqref="H2299:H2300">
    <cfRule type="expression" dxfId="665" priority="18063">
      <formula>#REF!=2</formula>
    </cfRule>
  </conditionalFormatting>
  <conditionalFormatting sqref="H2302">
    <cfRule type="expression" dxfId="664" priority="18131">
      <formula>$AO$2301=2</formula>
    </cfRule>
  </conditionalFormatting>
  <conditionalFormatting sqref="H2303:H2345">
    <cfRule type="expression" dxfId="663" priority="26656" stopIfTrue="1">
      <formula>OR($AO$2301=2,AND($AO$2301=1,MOD($F2303,$E2303)&lt;&gt;0))</formula>
    </cfRule>
  </conditionalFormatting>
  <conditionalFormatting sqref="H2346:H2347">
    <cfRule type="expression" dxfId="662" priority="24727">
      <formula>#REF!=2</formula>
    </cfRule>
  </conditionalFormatting>
  <conditionalFormatting sqref="H2349">
    <cfRule type="expression" dxfId="661" priority="26028">
      <formula>$AO$417=2</formula>
    </cfRule>
  </conditionalFormatting>
  <conditionalFormatting sqref="H2350:H2368">
    <cfRule type="expression" dxfId="660" priority="18653">
      <formula>$AO$2348=2</formula>
    </cfRule>
  </conditionalFormatting>
  <conditionalFormatting sqref="H2369:H2370">
    <cfRule type="expression" dxfId="659" priority="24723">
      <formula>#REF!=2</formula>
    </cfRule>
  </conditionalFormatting>
  <conditionalFormatting sqref="H2372">
    <cfRule type="expression" dxfId="658" priority="26018">
      <formula>$AO$417=2</formula>
    </cfRule>
  </conditionalFormatting>
  <conditionalFormatting sqref="H2373:H2418">
    <cfRule type="expression" dxfId="657" priority="26659" stopIfTrue="1">
      <formula>OR($AO$2371=2,AND($AO$2371=1,MOD($F2373,$E2373)&lt;&gt;0))</formula>
    </cfRule>
  </conditionalFormatting>
  <conditionalFormatting sqref="H2419:H2420">
    <cfRule type="expression" dxfId="656" priority="24719">
      <formula>#REF!=2</formula>
    </cfRule>
  </conditionalFormatting>
  <conditionalFormatting sqref="H2422">
    <cfRule type="expression" dxfId="655" priority="26000">
      <formula>$AO$417=2</formula>
    </cfRule>
  </conditionalFormatting>
  <conditionalFormatting sqref="H2423:H2455">
    <cfRule type="expression" dxfId="654" priority="3259">
      <formula>$AO$2421=2</formula>
    </cfRule>
  </conditionalFormatting>
  <conditionalFormatting sqref="H2456:H2457">
    <cfRule type="expression" dxfId="653" priority="24715">
      <formula>#REF!=2</formula>
    </cfRule>
  </conditionalFormatting>
  <conditionalFormatting sqref="H2459">
    <cfRule type="expression" dxfId="652" priority="25973">
      <formula>$AO$417=2</formula>
    </cfRule>
  </conditionalFormatting>
  <conditionalFormatting sqref="H2460:H2463">
    <cfRule type="expression" dxfId="651" priority="622">
      <formula>$AO$2458=2</formula>
    </cfRule>
  </conditionalFormatting>
  <conditionalFormatting sqref="H2464:H2465">
    <cfRule type="expression" dxfId="650" priority="24711">
      <formula>#REF!=2</formula>
    </cfRule>
  </conditionalFormatting>
  <conditionalFormatting sqref="H2467">
    <cfRule type="expression" dxfId="649" priority="25960">
      <formula>$AO$417=2</formula>
    </cfRule>
  </conditionalFormatting>
  <conditionalFormatting sqref="H2468:H2473 H2475:H2494">
    <cfRule type="expression" dxfId="648" priority="8316">
      <formula>$AO$2466=2</formula>
    </cfRule>
  </conditionalFormatting>
  <conditionalFormatting sqref="H2474">
    <cfRule type="expression" dxfId="647" priority="10389">
      <formula>$AO$2421=2</formula>
    </cfRule>
  </conditionalFormatting>
  <conditionalFormatting sqref="H2495:H2496">
    <cfRule type="expression" dxfId="646" priority="24703">
      <formula>#REF!=2</formula>
    </cfRule>
  </conditionalFormatting>
  <conditionalFormatting sqref="H2498">
    <cfRule type="expression" dxfId="645" priority="25954">
      <formula>$AO$417=2</formula>
    </cfRule>
  </conditionalFormatting>
  <conditionalFormatting sqref="H2499:H2517">
    <cfRule type="expression" dxfId="644" priority="8908">
      <formula>$AO$2497=2</formula>
    </cfRule>
  </conditionalFormatting>
  <conditionalFormatting sqref="H2518">
    <cfRule type="expression" dxfId="643" priority="25935">
      <formula>$AO$2421=2</formula>
    </cfRule>
  </conditionalFormatting>
  <conditionalFormatting sqref="H2519">
    <cfRule type="expression" dxfId="642" priority="10411">
      <formula>$AO$2497=2</formula>
    </cfRule>
  </conditionalFormatting>
  <conditionalFormatting sqref="H2520:H2521">
    <cfRule type="expression" dxfId="641" priority="24699">
      <formula>#REF!=2</formula>
    </cfRule>
  </conditionalFormatting>
  <conditionalFormatting sqref="H2523:H2527">
    <cfRule type="expression" dxfId="640" priority="4677">
      <formula>#REF!=2</formula>
    </cfRule>
  </conditionalFormatting>
  <conditionalFormatting sqref="H2528:H2564">
    <cfRule type="expression" dxfId="639" priority="26662" stopIfTrue="1">
      <formula>OR($AO$2522=2,AND($AO$2522=1,MOD($F2528,$E2528)&lt;&gt;0))</formula>
    </cfRule>
  </conditionalFormatting>
  <conditionalFormatting sqref="H2565:H2566">
    <cfRule type="expression" dxfId="638" priority="4680">
      <formula>#REF!=2</formula>
    </cfRule>
  </conditionalFormatting>
  <conditionalFormatting sqref="H2568">
    <cfRule type="expression" dxfId="637" priority="25919">
      <formula>$AO$2421=2</formula>
    </cfRule>
  </conditionalFormatting>
  <conditionalFormatting sqref="H2569 H2571:H2576">
    <cfRule type="expression" dxfId="636" priority="421">
      <formula>$AO$2567=2</formula>
    </cfRule>
  </conditionalFormatting>
  <conditionalFormatting sqref="H2570">
    <cfRule type="expression" dxfId="635" priority="139">
      <formula>$AO$2421=2</formula>
    </cfRule>
  </conditionalFormatting>
  <conditionalFormatting sqref="H2577:H2578">
    <cfRule type="expression" dxfId="634" priority="24691">
      <formula>#REF!=2</formula>
    </cfRule>
  </conditionalFormatting>
  <conditionalFormatting sqref="H2580">
    <cfRule type="expression" dxfId="633" priority="25912">
      <formula>$AO$417=2</formula>
    </cfRule>
  </conditionalFormatting>
  <conditionalFormatting sqref="H2581:H2606">
    <cfRule type="expression" dxfId="632" priority="3821">
      <formula>$AO$2579=2</formula>
    </cfRule>
  </conditionalFormatting>
  <conditionalFormatting sqref="H2585">
    <cfRule type="expression" dxfId="631" priority="12162">
      <formula>$AO$2421=2</formula>
    </cfRule>
  </conditionalFormatting>
  <conditionalFormatting sqref="H2595">
    <cfRule type="expression" dxfId="630" priority="12147">
      <formula>$AO$2421=2</formula>
    </cfRule>
  </conditionalFormatting>
  <conditionalFormatting sqref="H2598">
    <cfRule type="expression" dxfId="629" priority="12138">
      <formula>$AO$2421=2</formula>
    </cfRule>
  </conditionalFormatting>
  <conditionalFormatting sqref="H2601">
    <cfRule type="expression" dxfId="628" priority="12129">
      <formula>$AO$2421=2</formula>
    </cfRule>
  </conditionalFormatting>
  <conditionalFormatting sqref="H2605">
    <cfRule type="expression" dxfId="627" priority="8154">
      <formula>$AO$2421=2</formula>
    </cfRule>
  </conditionalFormatting>
  <conditionalFormatting sqref="H2607:H2608">
    <cfRule type="expression" dxfId="626" priority="24687">
      <formula>#REF!=2</formula>
    </cfRule>
  </conditionalFormatting>
  <conditionalFormatting sqref="H2610">
    <cfRule type="expression" dxfId="625" priority="25887">
      <formula>$AO$417=2</formula>
    </cfRule>
  </conditionalFormatting>
  <conditionalFormatting sqref="H2611:H2632">
    <cfRule type="expression" dxfId="624" priority="26665" stopIfTrue="1">
      <formula>OR($AO$2609=2,AND($AO$2609=1,MOD($F2611,$E2611)&lt;&gt;0))</formula>
    </cfRule>
  </conditionalFormatting>
  <conditionalFormatting sqref="H2633:H2634">
    <cfRule type="expression" dxfId="623" priority="24683">
      <formula>#REF!=2</formula>
    </cfRule>
  </conditionalFormatting>
  <conditionalFormatting sqref="H2636">
    <cfRule type="expression" dxfId="622" priority="25874">
      <formula>$AO$417=2</formula>
    </cfRule>
  </conditionalFormatting>
  <conditionalFormatting sqref="H2637:H2642">
    <cfRule type="expression" dxfId="621" priority="1022">
      <formula>$AO$2635=2</formula>
    </cfRule>
  </conditionalFormatting>
  <conditionalFormatting sqref="H2643">
    <cfRule type="expression" dxfId="620" priority="1033">
      <formula>$AO$2579=2</formula>
    </cfRule>
    <cfRule type="expression" dxfId="619" priority="1036">
      <formula>$AO$2421=2</formula>
    </cfRule>
  </conditionalFormatting>
  <conditionalFormatting sqref="H2644:H2649">
    <cfRule type="expression" dxfId="618" priority="3984">
      <formula>$AO$2635=2</formula>
    </cfRule>
  </conditionalFormatting>
  <conditionalFormatting sqref="H2650">
    <cfRule type="expression" dxfId="617" priority="25864">
      <formula>$AO$2579=2</formula>
    </cfRule>
    <cfRule type="expression" dxfId="616" priority="25867">
      <formula>$AO$2421=2</formula>
    </cfRule>
  </conditionalFormatting>
  <conditionalFormatting sqref="H2651:H2654">
    <cfRule type="expression" dxfId="615" priority="23041">
      <formula>$AO$2635=2</formula>
    </cfRule>
  </conditionalFormatting>
  <conditionalFormatting sqref="H2655">
    <cfRule type="expression" dxfId="614" priority="25832">
      <formula>$AO$2421=2</formula>
    </cfRule>
    <cfRule type="expression" dxfId="613" priority="25829">
      <formula>$AO$2579=2</formula>
    </cfRule>
  </conditionalFormatting>
  <conditionalFormatting sqref="H2656:H2657">
    <cfRule type="expression" dxfId="612" priority="25871">
      <formula>$AO$2635=2</formula>
    </cfRule>
  </conditionalFormatting>
  <conditionalFormatting sqref="H2658:H2659">
    <cfRule type="expression" dxfId="611" priority="24679">
      <formula>#REF!=2</formula>
    </cfRule>
  </conditionalFormatting>
  <conditionalFormatting sqref="H2661">
    <cfRule type="expression" dxfId="610" priority="25791">
      <formula>$AO$417=2</formula>
    </cfRule>
  </conditionalFormatting>
  <conditionalFormatting sqref="H2662:H2681">
    <cfRule type="expression" dxfId="609" priority="1347">
      <formula>$AO$2660=2</formula>
    </cfRule>
  </conditionalFormatting>
  <conditionalFormatting sqref="H2682">
    <cfRule type="expression" dxfId="608" priority="6135">
      <formula>$AO$2421=2</formula>
    </cfRule>
    <cfRule type="expression" dxfId="607" priority="6132">
      <formula>$AO$2579=2</formula>
    </cfRule>
  </conditionalFormatting>
  <conditionalFormatting sqref="H2683:H2688">
    <cfRule type="expression" dxfId="606" priority="3948">
      <formula>$AO$2660=2</formula>
    </cfRule>
  </conditionalFormatting>
  <conditionalFormatting sqref="H2689">
    <cfRule type="expression" dxfId="605" priority="13119">
      <formula>$AO$2421=2</formula>
    </cfRule>
    <cfRule type="expression" dxfId="604" priority="13116">
      <formula>$AO$2579=2</formula>
    </cfRule>
  </conditionalFormatting>
  <conditionalFormatting sqref="H2690">
    <cfRule type="expression" dxfId="603" priority="12237">
      <formula>$AO$2660=2</formula>
    </cfRule>
  </conditionalFormatting>
  <conditionalFormatting sqref="H2691">
    <cfRule type="expression" dxfId="602" priority="25774">
      <formula>$AO$2579=2</formula>
    </cfRule>
    <cfRule type="expression" dxfId="601" priority="25777">
      <formula>$AO$2421=2</formula>
    </cfRule>
  </conditionalFormatting>
  <conditionalFormatting sqref="H2692:H2696">
    <cfRule type="expression" dxfId="600" priority="8632">
      <formula>$AO$2660=2</formula>
    </cfRule>
  </conditionalFormatting>
  <conditionalFormatting sqref="H2697:H2698">
    <cfRule type="expression" dxfId="599" priority="24667">
      <formula>#REF!=2</formula>
    </cfRule>
  </conditionalFormatting>
  <conditionalFormatting sqref="H2700">
    <cfRule type="expression" dxfId="598" priority="25762">
      <formula>$AO$417=2</formula>
    </cfRule>
  </conditionalFormatting>
  <conditionalFormatting sqref="H2701:H2709 H2711:H2713">
    <cfRule type="expression" dxfId="597" priority="2661">
      <formula>$AO$2699=2</formula>
    </cfRule>
  </conditionalFormatting>
  <conditionalFormatting sqref="H2710">
    <cfRule type="expression" dxfId="596" priority="25748">
      <formula>$AO$2421=2</formula>
    </cfRule>
    <cfRule type="expression" dxfId="595" priority="25745">
      <formula>$AO$2579=2</formula>
    </cfRule>
  </conditionalFormatting>
  <conditionalFormatting sqref="H2714:H2715">
    <cfRule type="expression" dxfId="594" priority="24655">
      <formula>#REF!=2</formula>
    </cfRule>
  </conditionalFormatting>
  <conditionalFormatting sqref="H2717:H2720">
    <cfRule type="expression" dxfId="593" priority="4769">
      <formula>#REF!=2</formula>
    </cfRule>
  </conditionalFormatting>
  <conditionalFormatting sqref="H2721">
    <cfRule type="expression" dxfId="592" priority="4773">
      <formula>$AO$417=2</formula>
    </cfRule>
  </conditionalFormatting>
  <conditionalFormatting sqref="H2722:H2728">
    <cfRule type="expression" dxfId="591" priority="4759">
      <formula>$AO$2716=2</formula>
    </cfRule>
  </conditionalFormatting>
  <conditionalFormatting sqref="H2729:H2730">
    <cfRule type="expression" dxfId="590" priority="4765">
      <formula>#REF!=2</formula>
    </cfRule>
  </conditionalFormatting>
  <conditionalFormatting sqref="H2732">
    <cfRule type="expression" dxfId="589" priority="25733">
      <formula>$AO$417=2</formula>
    </cfRule>
  </conditionalFormatting>
  <conditionalFormatting sqref="H2733:H2739 H2741:H2747">
    <cfRule type="expression" dxfId="588" priority="3649">
      <formula>$AO$2731=2</formula>
    </cfRule>
  </conditionalFormatting>
  <conditionalFormatting sqref="H2740">
    <cfRule type="expression" dxfId="587" priority="25717">
      <formula>$AO$2579=2</formula>
    </cfRule>
    <cfRule type="expression" dxfId="586" priority="25720">
      <formula>$AO$2421=2</formula>
    </cfRule>
  </conditionalFormatting>
  <conditionalFormatting sqref="H2748">
    <cfRule type="expression" dxfId="585" priority="21315">
      <formula>$AO$2579=2</formula>
    </cfRule>
    <cfRule type="expression" dxfId="584" priority="21318">
      <formula>$AO$2421=2</formula>
    </cfRule>
  </conditionalFormatting>
  <conditionalFormatting sqref="H2749:H2757">
    <cfRule type="expression" dxfId="583" priority="160">
      <formula>$AO$2731=2</formula>
    </cfRule>
  </conditionalFormatting>
  <conditionalFormatting sqref="H2758:H2759">
    <cfRule type="expression" dxfId="582" priority="24647">
      <formula>#REF!=2</formula>
    </cfRule>
  </conditionalFormatting>
  <conditionalFormatting sqref="H2761">
    <cfRule type="expression" dxfId="581" priority="8541">
      <formula>$AO$2421=2</formula>
    </cfRule>
    <cfRule type="expression" dxfId="580" priority="8538">
      <formula>$AO$2579=2</formula>
    </cfRule>
  </conditionalFormatting>
  <conditionalFormatting sqref="H2762:H2774 H2776:H2787">
    <cfRule type="expression" dxfId="579" priority="3375">
      <formula>$AO$2760=2</formula>
    </cfRule>
  </conditionalFormatting>
  <conditionalFormatting sqref="H2775">
    <cfRule type="expression" dxfId="578" priority="25676">
      <formula>$AO$2579=2</formula>
    </cfRule>
    <cfRule type="expression" dxfId="577" priority="25679">
      <formula>$AO$2421=2</formula>
    </cfRule>
  </conditionalFormatting>
  <conditionalFormatting sqref="H2788">
    <cfRule type="expression" dxfId="576" priority="25672">
      <formula>$AO$2421=2</formula>
    </cfRule>
    <cfRule type="expression" dxfId="575" priority="25669">
      <formula>$AO$2579=2</formula>
    </cfRule>
  </conditionalFormatting>
  <conditionalFormatting sqref="H2789">
    <cfRule type="expression" dxfId="574" priority="7718">
      <formula>$AO$2760=2</formula>
    </cfRule>
  </conditionalFormatting>
  <conditionalFormatting sqref="H2790:H2791">
    <cfRule type="expression" dxfId="573" priority="24643">
      <formula>#REF!=2</formula>
    </cfRule>
  </conditionalFormatting>
  <conditionalFormatting sqref="H2793">
    <cfRule type="expression" dxfId="572" priority="25666">
      <formula>$AO$417=2</formula>
    </cfRule>
  </conditionalFormatting>
  <conditionalFormatting sqref="H2794:H2799">
    <cfRule type="expression" dxfId="571" priority="1473">
      <formula>$AO$2792=2</formula>
    </cfRule>
  </conditionalFormatting>
  <conditionalFormatting sqref="H2800:H2801">
    <cfRule type="expression" dxfId="570" priority="24639">
      <formula>#REF!=2</formula>
    </cfRule>
  </conditionalFormatting>
  <conditionalFormatting sqref="H2803:H2806">
    <cfRule type="expression" dxfId="569" priority="4730">
      <formula>#REF!=2</formula>
    </cfRule>
  </conditionalFormatting>
  <conditionalFormatting sqref="H2807">
    <cfRule type="expression" dxfId="568" priority="4754">
      <formula>$AO$417=2</formula>
    </cfRule>
  </conditionalFormatting>
  <conditionalFormatting sqref="H2808:H2815">
    <cfRule type="expression" dxfId="567" priority="4715">
      <formula>$AO$2802=2</formula>
    </cfRule>
  </conditionalFormatting>
  <conditionalFormatting sqref="H2816:H2817">
    <cfRule type="expression" dxfId="566" priority="4751">
      <formula>#REF!=2</formula>
    </cfRule>
  </conditionalFormatting>
  <conditionalFormatting sqref="H2819">
    <cfRule type="expression" dxfId="565" priority="25636">
      <formula>$AO$417=2</formula>
    </cfRule>
  </conditionalFormatting>
  <conditionalFormatting sqref="H2820:H2830">
    <cfRule type="expression" dxfId="564" priority="8861">
      <formula>$AO$2818=2</formula>
    </cfRule>
  </conditionalFormatting>
  <conditionalFormatting sqref="H2831:H2832">
    <cfRule type="expression" dxfId="563" priority="24635">
      <formula>#REF!=2</formula>
    </cfRule>
  </conditionalFormatting>
  <conditionalFormatting sqref="H2834">
    <cfRule type="expression" dxfId="562" priority="16530">
      <formula>$AO$2579=2</formula>
    </cfRule>
    <cfRule type="expression" dxfId="561" priority="16533">
      <formula>$AO$2421=2</formula>
    </cfRule>
  </conditionalFormatting>
  <conditionalFormatting sqref="H2835:H2862">
    <cfRule type="expression" dxfId="560" priority="26668" stopIfTrue="1">
      <formula>OR($AO$2833=2,AND($AO$2833=1,MOD($F2835,$E2835)&lt;&gt;0))</formula>
    </cfRule>
  </conditionalFormatting>
  <conditionalFormatting sqref="H2863:H2864">
    <cfRule type="expression" dxfId="559" priority="24627">
      <formula>#REF!=2</formula>
    </cfRule>
  </conditionalFormatting>
  <conditionalFormatting sqref="H2866">
    <cfRule type="expression" dxfId="558" priority="25605">
      <formula>$AO$417=2</formula>
    </cfRule>
  </conditionalFormatting>
  <conditionalFormatting sqref="H2867:H2869">
    <cfRule type="expression" dxfId="557" priority="25602">
      <formula>$AO$2865=2</formula>
    </cfRule>
  </conditionalFormatting>
  <conditionalFormatting sqref="H2870:H2871">
    <cfRule type="expression" dxfId="556" priority="24623">
      <formula>#REF!=2</formula>
    </cfRule>
  </conditionalFormatting>
  <conditionalFormatting sqref="H2873">
    <cfRule type="expression" dxfId="555" priority="25572">
      <formula>$AO$417=2</formula>
    </cfRule>
  </conditionalFormatting>
  <conditionalFormatting sqref="H2874:H2889">
    <cfRule type="expression" dxfId="554" priority="1277">
      <formula>$AO$2872=2</formula>
    </cfRule>
  </conditionalFormatting>
  <conditionalFormatting sqref="H2890:H2891">
    <cfRule type="expression" dxfId="553" priority="24615">
      <formula>#REF!=2</formula>
    </cfRule>
  </conditionalFormatting>
  <conditionalFormatting sqref="H2893">
    <cfRule type="expression" dxfId="552" priority="25559">
      <formula>$AO$417=2</formula>
    </cfRule>
  </conditionalFormatting>
  <conditionalFormatting sqref="H2894:H2896">
    <cfRule type="expression" dxfId="551" priority="12839">
      <formula>$AO$2892=2</formula>
    </cfRule>
  </conditionalFormatting>
  <conditionalFormatting sqref="H2897:H2898">
    <cfRule type="expression" dxfId="550" priority="24611">
      <formula>#REF!=2</formula>
    </cfRule>
  </conditionalFormatting>
  <conditionalFormatting sqref="H2900">
    <cfRule type="expression" dxfId="549" priority="25540">
      <formula>$AO$417=2</formula>
    </cfRule>
  </conditionalFormatting>
  <conditionalFormatting sqref="H2901:H2906">
    <cfRule type="expression" dxfId="548" priority="5488">
      <formula>$AO$2899=2</formula>
    </cfRule>
  </conditionalFormatting>
  <conditionalFormatting sqref="H2907:H2908">
    <cfRule type="expression" dxfId="547" priority="24603">
      <formula>#REF!=2</formula>
    </cfRule>
  </conditionalFormatting>
  <conditionalFormatting sqref="H2910">
    <cfRule type="expression" dxfId="546" priority="25499">
      <formula>$AO$417=2</formula>
    </cfRule>
  </conditionalFormatting>
  <conditionalFormatting sqref="H2911:H2927">
    <cfRule type="expression" dxfId="545" priority="11537">
      <formula>$AO$2909=2</formula>
    </cfRule>
  </conditionalFormatting>
  <conditionalFormatting sqref="H2928">
    <cfRule type="expression" dxfId="544" priority="168">
      <formula>$AO$417=2</formula>
    </cfRule>
  </conditionalFormatting>
  <conditionalFormatting sqref="H2929:H2934">
    <cfRule type="expression" dxfId="543" priority="25501">
      <formula>$AO$2909=2</formula>
    </cfRule>
  </conditionalFormatting>
  <conditionalFormatting sqref="H2935:H2936">
    <cfRule type="expression" dxfId="542" priority="24595">
      <formula>#REF!=2</formula>
    </cfRule>
  </conditionalFormatting>
  <conditionalFormatting sqref="H2938">
    <cfRule type="expression" dxfId="541" priority="25479">
      <formula>$AO$417=2</formula>
    </cfRule>
  </conditionalFormatting>
  <conditionalFormatting sqref="H2939:H2942">
    <cfRule type="expression" dxfId="540" priority="25129">
      <formula>$AO$2937=2</formula>
    </cfRule>
  </conditionalFormatting>
  <conditionalFormatting sqref="H2943:H2944">
    <cfRule type="expression" dxfId="539" priority="24587">
      <formula>#REF!=2</formula>
    </cfRule>
  </conditionalFormatting>
  <conditionalFormatting sqref="H2946">
    <cfRule type="expression" dxfId="538" priority="25467">
      <formula>$AO$417=2</formula>
    </cfRule>
  </conditionalFormatting>
  <conditionalFormatting sqref="H2947:H2956">
    <cfRule type="expression" dxfId="537" priority="25463">
      <formula>$AO$2945=2</formula>
    </cfRule>
  </conditionalFormatting>
  <conditionalFormatting sqref="H2957:H2958">
    <cfRule type="expression" dxfId="536" priority="24579">
      <formula>#REF!=2</formula>
    </cfRule>
  </conditionalFormatting>
  <conditionalFormatting sqref="H2960">
    <cfRule type="expression" dxfId="535" priority="25317">
      <formula>$AO$417=2</formula>
    </cfRule>
  </conditionalFormatting>
  <conditionalFormatting sqref="H2961:H2979">
    <cfRule type="expression" dxfId="534" priority="2785">
      <formula>$AO$2959=2</formula>
    </cfRule>
  </conditionalFormatting>
  <conditionalFormatting sqref="H2980:H2981">
    <cfRule type="expression" dxfId="533" priority="24559">
      <formula>#REF!=2</formula>
    </cfRule>
  </conditionalFormatting>
  <conditionalFormatting sqref="H2983">
    <cfRule type="expression" dxfId="532" priority="25443">
      <formula>$AO$417=2</formula>
    </cfRule>
  </conditionalFormatting>
  <conditionalFormatting sqref="H2984:H2987">
    <cfRule type="expression" dxfId="531" priority="7702">
      <formula>$AO$2982=2</formula>
    </cfRule>
  </conditionalFormatting>
  <conditionalFormatting sqref="H2988:H2989">
    <cfRule type="expression" dxfId="530" priority="24555">
      <formula>#REF!=2</formula>
    </cfRule>
  </conditionalFormatting>
  <conditionalFormatting sqref="H2991">
    <cfRule type="expression" dxfId="529" priority="25437">
      <formula>$AO$417=2</formula>
    </cfRule>
  </conditionalFormatting>
  <conditionalFormatting sqref="H3004:H3005">
    <cfRule type="expression" dxfId="528" priority="24551">
      <formula>#REF!=2</formula>
    </cfRule>
  </conditionalFormatting>
  <conditionalFormatting sqref="H3007">
    <cfRule type="expression" dxfId="527" priority="25407">
      <formula>$AO$417=2</formula>
    </cfRule>
  </conditionalFormatting>
  <conditionalFormatting sqref="H3008:H3017">
    <cfRule type="expression" dxfId="526" priority="18635">
      <formula>$AO$3006=2</formula>
    </cfRule>
  </conditionalFormatting>
  <conditionalFormatting sqref="H3018:H3019">
    <cfRule type="expression" dxfId="525" priority="24539">
      <formula>#REF!=2</formula>
    </cfRule>
  </conditionalFormatting>
  <conditionalFormatting sqref="H3021">
    <cfRule type="expression" dxfId="524" priority="25383">
      <formula>$AO$417=2</formula>
    </cfRule>
  </conditionalFormatting>
  <conditionalFormatting sqref="H3022:H3027 H3029:H3037">
    <cfRule type="expression" dxfId="523" priority="25380">
      <formula>$AO$3020=2</formula>
    </cfRule>
  </conditionalFormatting>
  <conditionalFormatting sqref="H3028">
    <cfRule type="expression" dxfId="522" priority="25372">
      <formula>#REF!=2</formula>
    </cfRule>
  </conditionalFormatting>
  <conditionalFormatting sqref="H3038:H3039">
    <cfRule type="expression" dxfId="521" priority="24527">
      <formula>#REF!=2</formula>
    </cfRule>
  </conditionalFormatting>
  <conditionalFormatting sqref="H3041">
    <cfRule type="expression" dxfId="520" priority="25377">
      <formula>$AO$417=2</formula>
    </cfRule>
  </conditionalFormatting>
  <conditionalFormatting sqref="H3042:H3062">
    <cfRule type="expression" dxfId="519" priority="7038">
      <formula>$AO$3040=2</formula>
    </cfRule>
  </conditionalFormatting>
  <conditionalFormatting sqref="H3063:H3064">
    <cfRule type="expression" dxfId="518" priority="24523">
      <formula>#REF!=2</formula>
    </cfRule>
  </conditionalFormatting>
  <conditionalFormatting sqref="H3066">
    <cfRule type="expression" dxfId="517" priority="25364">
      <formula>$AO$417=2</formula>
    </cfRule>
  </conditionalFormatting>
  <conditionalFormatting sqref="H3067:H3068">
    <cfRule type="expression" dxfId="516" priority="14399">
      <formula>$AO$3065=2</formula>
    </cfRule>
  </conditionalFormatting>
  <conditionalFormatting sqref="H3069:H3070">
    <cfRule type="expression" dxfId="515" priority="24519">
      <formula>#REF!=2</formula>
    </cfRule>
  </conditionalFormatting>
  <conditionalFormatting sqref="H3072">
    <cfRule type="expression" dxfId="514" priority="25358">
      <formula>$AO$417=2</formula>
    </cfRule>
  </conditionalFormatting>
  <conditionalFormatting sqref="H3073:H3112">
    <cfRule type="expression" dxfId="513" priority="25355">
      <formula>$AO$3071=2</formula>
    </cfRule>
  </conditionalFormatting>
  <conditionalFormatting sqref="H3113:H3114">
    <cfRule type="expression" dxfId="512" priority="24515">
      <formula>#REF!=2</formula>
    </cfRule>
  </conditionalFormatting>
  <conditionalFormatting sqref="H3116">
    <cfRule type="expression" dxfId="511" priority="25345">
      <formula>$AO$417=2</formula>
    </cfRule>
  </conditionalFormatting>
  <conditionalFormatting sqref="H3117:H3124 H3126:H3157">
    <cfRule type="expression" dxfId="510" priority="25342">
      <formula>$AO$3115=2</formula>
    </cfRule>
  </conditionalFormatting>
  <conditionalFormatting sqref="H3125">
    <cfRule type="expression" dxfId="509" priority="25329">
      <formula>#REF!=2</formula>
    </cfRule>
  </conditionalFormatting>
  <conditionalFormatting sqref="H3158:H3159">
    <cfRule type="expression" dxfId="508" priority="24511">
      <formula>#REF!=2</formula>
    </cfRule>
  </conditionalFormatting>
  <conditionalFormatting sqref="H3161">
    <cfRule type="expression" dxfId="507" priority="25323">
      <formula>$AO$417=2</formula>
    </cfRule>
  </conditionalFormatting>
  <conditionalFormatting sqref="H3162:H3208">
    <cfRule type="expression" dxfId="506" priority="6514">
      <formula>$AO$3160=2</formula>
    </cfRule>
  </conditionalFormatting>
  <conditionalFormatting sqref="I183:I193">
    <cfRule type="expression" dxfId="505" priority="52">
      <formula>$AO$176=3</formula>
    </cfRule>
  </conditionalFormatting>
  <conditionalFormatting sqref="I203:I217">
    <cfRule type="expression" dxfId="504" priority="405">
      <formula>$AO$196=3</formula>
    </cfRule>
  </conditionalFormatting>
  <conditionalFormatting sqref="I227:I231">
    <cfRule type="expression" dxfId="503" priority="320">
      <formula>$AO$220=3</formula>
    </cfRule>
  </conditionalFormatting>
  <conditionalFormatting sqref="I236:I351">
    <cfRule type="expression" dxfId="502" priority="262">
      <formula>$AO$234=3</formula>
    </cfRule>
  </conditionalFormatting>
  <conditionalFormatting sqref="I356:I414">
    <cfRule type="expression" dxfId="501" priority="259">
      <formula>$AO$354=3</formula>
    </cfRule>
  </conditionalFormatting>
  <conditionalFormatting sqref="I418:I561 I604 I607 I609 I619 I686 I696 I726 I735">
    <cfRule type="expression" dxfId="500" priority="669">
      <formula>$AO$417=3</formula>
    </cfRule>
  </conditionalFormatting>
  <conditionalFormatting sqref="I566:I596 I608 I615:I618">
    <cfRule type="expression" dxfId="499" priority="207">
      <formula>$AO$564=3</formula>
    </cfRule>
  </conditionalFormatting>
  <conditionalFormatting sqref="I597">
    <cfRule type="expression" dxfId="498" priority="26638">
      <formula>$AO$417=3</formula>
    </cfRule>
  </conditionalFormatting>
  <conditionalFormatting sqref="I598:I603">
    <cfRule type="expression" dxfId="497" priority="12977">
      <formula>$AO$564=3</formula>
    </cfRule>
  </conditionalFormatting>
  <conditionalFormatting sqref="I605:I606">
    <cfRule type="expression" dxfId="496" priority="651">
      <formula>$AO$564=3</formula>
    </cfRule>
  </conditionalFormatting>
  <conditionalFormatting sqref="I610:I613">
    <cfRule type="expression" dxfId="495" priority="12450">
      <formula>$AO$564=3</formula>
    </cfRule>
  </conditionalFormatting>
  <conditionalFormatting sqref="I614">
    <cfRule type="expression" dxfId="494" priority="142">
      <formula>$AO$417=3</formula>
    </cfRule>
  </conditionalFormatting>
  <conditionalFormatting sqref="I620:I630">
    <cfRule type="expression" dxfId="493" priority="555">
      <formula>$AO$564=3</formula>
    </cfRule>
  </conditionalFormatting>
  <conditionalFormatting sqref="I631">
    <cfRule type="expression" dxfId="492" priority="8050">
      <formula>$AO$417=3</formula>
    </cfRule>
  </conditionalFormatting>
  <conditionalFormatting sqref="I632:I633">
    <cfRule type="expression" dxfId="491" priority="2411">
      <formula>$AO$564=3</formula>
    </cfRule>
  </conditionalFormatting>
  <conditionalFormatting sqref="I638">
    <cfRule type="expression" dxfId="490" priority="14707">
      <formula>$AO$417=3</formula>
    </cfRule>
  </conditionalFormatting>
  <conditionalFormatting sqref="I639:I640 I653:I685 I711:I720 I727:I732 I736:I763">
    <cfRule type="expression" dxfId="489" priority="2528">
      <formula>$AO$636=3</formula>
    </cfRule>
  </conditionalFormatting>
  <conditionalFormatting sqref="I641">
    <cfRule type="expression" dxfId="488" priority="536">
      <formula>$AO$417=3</formula>
    </cfRule>
  </conditionalFormatting>
  <conditionalFormatting sqref="I642:I643">
    <cfRule type="expression" dxfId="487" priority="532">
      <formula>$AO$636=3</formula>
    </cfRule>
  </conditionalFormatting>
  <conditionalFormatting sqref="I644">
    <cfRule type="expression" dxfId="486" priority="2533">
      <formula>$AO$417=3</formula>
    </cfRule>
  </conditionalFormatting>
  <conditionalFormatting sqref="I645:I651">
    <cfRule type="expression" dxfId="485" priority="2537">
      <formula>$AO$636=3</formula>
    </cfRule>
  </conditionalFormatting>
  <conditionalFormatting sqref="I652">
    <cfRule type="expression" dxfId="484" priority="18709">
      <formula>$AO$417=3</formula>
    </cfRule>
  </conditionalFormatting>
  <conditionalFormatting sqref="I687:I695">
    <cfRule type="expression" dxfId="483" priority="8876">
      <formula>$AO$636=3</formula>
    </cfRule>
  </conditionalFormatting>
  <conditionalFormatting sqref="I697:I709">
    <cfRule type="expression" dxfId="482" priority="1219">
      <formula>$AO$636=3</formula>
    </cfRule>
  </conditionalFormatting>
  <conditionalFormatting sqref="I710">
    <cfRule type="expression" dxfId="481" priority="19612">
      <formula>$AO$417=3</formula>
    </cfRule>
  </conditionalFormatting>
  <conditionalFormatting sqref="I721">
    <cfRule type="expression" dxfId="480" priority="185">
      <formula>$AO$417=3</formula>
    </cfRule>
  </conditionalFormatting>
  <conditionalFormatting sqref="I722:I725">
    <cfRule type="expression" dxfId="479" priority="2989">
      <formula>$AO$636=3</formula>
    </cfRule>
  </conditionalFormatting>
  <conditionalFormatting sqref="I733">
    <cfRule type="expression" dxfId="478" priority="23470">
      <formula>$AO$417=3</formula>
    </cfRule>
  </conditionalFormatting>
  <conditionalFormatting sqref="I734">
    <cfRule type="expression" dxfId="477" priority="9188">
      <formula>$AO$636=3</formula>
    </cfRule>
  </conditionalFormatting>
  <conditionalFormatting sqref="I768:I785 I787:I792 I805:I819">
    <cfRule type="expression" dxfId="476" priority="12297">
      <formula>$AO$766=3</formula>
    </cfRule>
  </conditionalFormatting>
  <conditionalFormatting sqref="I786">
    <cfRule type="expression" dxfId="475" priority="26582">
      <formula>$AO$417=3</formula>
    </cfRule>
  </conditionalFormatting>
  <conditionalFormatting sqref="I793">
    <cfRule type="expression" dxfId="474" priority="26578">
      <formula>$AO$417=3</formula>
    </cfRule>
  </conditionalFormatting>
  <conditionalFormatting sqref="I794:I803">
    <cfRule type="expression" dxfId="473" priority="11302">
      <formula>$AO$766=3</formula>
    </cfRule>
  </conditionalFormatting>
  <conditionalFormatting sqref="I804">
    <cfRule type="expression" dxfId="472" priority="26570">
      <formula>$AO$417=3</formula>
    </cfRule>
  </conditionalFormatting>
  <conditionalFormatting sqref="I820">
    <cfRule type="expression" dxfId="471" priority="26566">
      <formula>$AO$417=3</formula>
    </cfRule>
  </conditionalFormatting>
  <conditionalFormatting sqref="I821:I822">
    <cfRule type="expression" dxfId="470" priority="26594">
      <formula>$AO$766=3</formula>
    </cfRule>
  </conditionalFormatting>
  <conditionalFormatting sqref="I823">
    <cfRule type="expression" dxfId="469" priority="26562">
      <formula>$AO$417=3</formula>
    </cfRule>
  </conditionalFormatting>
  <conditionalFormatting sqref="I824:I825">
    <cfRule type="expression" dxfId="468" priority="19541">
      <formula>$AO$766=3</formula>
    </cfRule>
  </conditionalFormatting>
  <conditionalFormatting sqref="I826">
    <cfRule type="expression" dxfId="467" priority="26558">
      <formula>$AO$417=3</formula>
    </cfRule>
  </conditionalFormatting>
  <conditionalFormatting sqref="I827:I830">
    <cfRule type="expression" dxfId="466" priority="9366">
      <formula>$AO$766=3</formula>
    </cfRule>
  </conditionalFormatting>
  <conditionalFormatting sqref="I834:I955">
    <cfRule type="expression" dxfId="465" priority="903">
      <formula>$AO$833=3</formula>
    </cfRule>
  </conditionalFormatting>
  <conditionalFormatting sqref="I959">
    <cfRule type="expression" dxfId="464" priority="1977">
      <formula>#REF!=3</formula>
    </cfRule>
  </conditionalFormatting>
  <conditionalFormatting sqref="I960:I1008">
    <cfRule type="expression" dxfId="463" priority="729">
      <formula>$AO$958=3</formula>
    </cfRule>
  </conditionalFormatting>
  <conditionalFormatting sqref="I1014">
    <cfRule type="expression" dxfId="462" priority="1900">
      <formula>$AO$417=3</formula>
    </cfRule>
  </conditionalFormatting>
  <conditionalFormatting sqref="I1015:I1102">
    <cfRule type="expression" dxfId="461" priority="888">
      <formula>Q1015/F1015=I1015</formula>
    </cfRule>
  </conditionalFormatting>
  <conditionalFormatting sqref="I1107:I1120">
    <cfRule type="expression" dxfId="460" priority="8018">
      <formula>$AO$1105=3</formula>
    </cfRule>
  </conditionalFormatting>
  <conditionalFormatting sqref="I1125:I1136 I1151:I1156">
    <cfRule type="expression" dxfId="459" priority="22964">
      <formula>$AO$1123=3</formula>
    </cfRule>
  </conditionalFormatting>
  <conditionalFormatting sqref="I1137">
    <cfRule type="expression" dxfId="458" priority="26554">
      <formula>$AO$417=3</formula>
    </cfRule>
  </conditionalFormatting>
  <conditionalFormatting sqref="I1138:I1143">
    <cfRule type="expression" dxfId="457" priority="6718">
      <formula>$AO$1123=3</formula>
    </cfRule>
  </conditionalFormatting>
  <conditionalFormatting sqref="I1144">
    <cfRule type="expression" dxfId="456" priority="26550">
      <formula>$AO$417=3</formula>
    </cfRule>
  </conditionalFormatting>
  <conditionalFormatting sqref="I1145:I1149">
    <cfRule type="expression" dxfId="455" priority="1389">
      <formula>$AO$1123=3</formula>
    </cfRule>
  </conditionalFormatting>
  <conditionalFormatting sqref="I1150">
    <cfRule type="expression" dxfId="454" priority="26546">
      <formula>$AO$417=3</formula>
    </cfRule>
  </conditionalFormatting>
  <conditionalFormatting sqref="I1157">
    <cfRule type="expression" dxfId="453" priority="18623">
      <formula>$AO$417=3</formula>
    </cfRule>
  </conditionalFormatting>
  <conditionalFormatting sqref="I1158:I1161">
    <cfRule type="expression" dxfId="452" priority="1591">
      <formula>$AO$1123=3</formula>
    </cfRule>
  </conditionalFormatting>
  <conditionalFormatting sqref="I1166:I1178 I1180:I1183 I1194:I1230 I1232:I1248">
    <cfRule type="expression" dxfId="451" priority="1500">
      <formula>$AO$1164=3</formula>
    </cfRule>
  </conditionalFormatting>
  <conditionalFormatting sqref="I1179">
    <cfRule type="expression" dxfId="450" priority="512">
      <formula>$AO$417=3</formula>
    </cfRule>
  </conditionalFormatting>
  <conditionalFormatting sqref="I1184">
    <cfRule type="expression" dxfId="449" priority="26460">
      <formula>$AO$417=3</formula>
    </cfRule>
  </conditionalFormatting>
  <conditionalFormatting sqref="I1185">
    <cfRule type="expression" dxfId="448" priority="11274">
      <formula>$AO$1164=3</formula>
    </cfRule>
  </conditionalFormatting>
  <conditionalFormatting sqref="I1186">
    <cfRule type="expression" dxfId="447" priority="26456">
      <formula>$AO$417=3</formula>
    </cfRule>
  </conditionalFormatting>
  <conditionalFormatting sqref="I1187">
    <cfRule type="expression" dxfId="446" priority="2841">
      <formula>$AO$1164=3</formula>
    </cfRule>
  </conditionalFormatting>
  <conditionalFormatting sqref="I1188">
    <cfRule type="expression" dxfId="445" priority="26452">
      <formula>$AO$417=3</formula>
    </cfRule>
  </conditionalFormatting>
  <conditionalFormatting sqref="I1189:I1190">
    <cfRule type="expression" dxfId="444" priority="34">
      <formula>$AO$1164=3</formula>
    </cfRule>
  </conditionalFormatting>
  <conditionalFormatting sqref="I1191">
    <cfRule type="expression" dxfId="443" priority="26448">
      <formula>$AO$417=3</formula>
    </cfRule>
  </conditionalFormatting>
  <conditionalFormatting sqref="I1192">
    <cfRule type="expression" dxfId="442" priority="3706">
      <formula>$AO$1164=3</formula>
    </cfRule>
  </conditionalFormatting>
  <conditionalFormatting sqref="I1193">
    <cfRule type="expression" dxfId="441" priority="26436">
      <formula>$AO$417=3</formula>
    </cfRule>
  </conditionalFormatting>
  <conditionalFormatting sqref="I1231">
    <cfRule type="expression" dxfId="440" priority="26432">
      <formula>$AO$417=3</formula>
    </cfRule>
  </conditionalFormatting>
  <conditionalFormatting sqref="I1252:I1253">
    <cfRule type="expression" dxfId="439" priority="501">
      <formula>#REF!=3</formula>
    </cfRule>
  </conditionalFormatting>
  <conditionalFormatting sqref="I1254:I1302">
    <cfRule type="expression" dxfId="438" priority="470">
      <formula>$AO$1251=3</formula>
    </cfRule>
  </conditionalFormatting>
  <conditionalFormatting sqref="I1312:I1339">
    <cfRule type="expression" dxfId="437" priority="473">
      <formula>$AO$1305=3</formula>
    </cfRule>
  </conditionalFormatting>
  <conditionalFormatting sqref="I1349:I1356">
    <cfRule type="expression" dxfId="436" priority="476">
      <formula>$AO$1342=3</formula>
    </cfRule>
  </conditionalFormatting>
  <conditionalFormatting sqref="I1361:I1363 I1365:I1369 I1371:I1377">
    <cfRule type="expression" dxfId="435" priority="2406">
      <formula>$AO$1359=3</formula>
    </cfRule>
  </conditionalFormatting>
  <conditionalFormatting sqref="I1364">
    <cfRule type="expression" dxfId="434" priority="36">
      <formula>$AO$417=3</formula>
    </cfRule>
  </conditionalFormatting>
  <conditionalFormatting sqref="I1370">
    <cfRule type="expression" dxfId="433" priority="40">
      <formula>$AO$417=3</formula>
    </cfRule>
  </conditionalFormatting>
  <conditionalFormatting sqref="I1382:I1386 I1388:I1393">
    <cfRule type="expression" dxfId="432" priority="2817">
      <formula>$AO$1380=3</formula>
    </cfRule>
  </conditionalFormatting>
  <conditionalFormatting sqref="I1387">
    <cfRule type="expression" dxfId="431" priority="26292">
      <formula>$AO$417=3</formula>
    </cfRule>
  </conditionalFormatting>
  <conditionalFormatting sqref="I1397">
    <cfRule type="expression" dxfId="430" priority="6595">
      <formula>#REF!=3</formula>
    </cfRule>
  </conditionalFormatting>
  <conditionalFormatting sqref="I1398:I1432">
    <cfRule type="expression" dxfId="429" priority="3405">
      <formula>$AO$1396=3</formula>
    </cfRule>
  </conditionalFormatting>
  <conditionalFormatting sqref="I1437:I1449 I1451:I1456">
    <cfRule type="expression" dxfId="428" priority="6340">
      <formula>$AO$1435=3</formula>
    </cfRule>
  </conditionalFormatting>
  <conditionalFormatting sqref="I1450">
    <cfRule type="expression" dxfId="427" priority="164">
      <formula>$AO$417=3</formula>
    </cfRule>
  </conditionalFormatting>
  <conditionalFormatting sqref="I1461:I1469 I1504:I1505">
    <cfRule type="expression" dxfId="426" priority="3660">
      <formula>$AO$1459=3</formula>
    </cfRule>
  </conditionalFormatting>
  <conditionalFormatting sqref="I1470">
    <cfRule type="expression" dxfId="425" priority="26274">
      <formula>$AO$417=3</formula>
    </cfRule>
  </conditionalFormatting>
  <conditionalFormatting sqref="I1471:I1479">
    <cfRule type="expression" dxfId="424" priority="657">
      <formula>$AO$1459=3</formula>
    </cfRule>
  </conditionalFormatting>
  <conditionalFormatting sqref="I1480">
    <cfRule type="expression" dxfId="423" priority="26270">
      <formula>$AO$417=3</formula>
    </cfRule>
  </conditionalFormatting>
  <conditionalFormatting sqref="I1481:I1487">
    <cfRule type="expression" dxfId="422" priority="4136">
      <formula>$AO$1459=3</formula>
    </cfRule>
  </conditionalFormatting>
  <conditionalFormatting sqref="I1488">
    <cfRule type="expression" dxfId="421" priority="19641">
      <formula>$AO$417=3</formula>
    </cfRule>
  </conditionalFormatting>
  <conditionalFormatting sqref="I1489:I1497">
    <cfRule type="expression" dxfId="420" priority="1228">
      <formula>$AO$1459=3</formula>
    </cfRule>
  </conditionalFormatting>
  <conditionalFormatting sqref="I1498">
    <cfRule type="expression" dxfId="419" priority="7813">
      <formula>$AO$417=3</formula>
    </cfRule>
  </conditionalFormatting>
  <conditionalFormatting sqref="I1499:I1502">
    <cfRule type="expression" dxfId="418" priority="1585">
      <formula>$AO$1459=3</formula>
    </cfRule>
  </conditionalFormatting>
  <conditionalFormatting sqref="I1503">
    <cfRule type="expression" dxfId="417" priority="3689">
      <formula>$AO$417=3</formula>
    </cfRule>
  </conditionalFormatting>
  <conditionalFormatting sqref="I1510:I1521">
    <cfRule type="expression" dxfId="416" priority="8653">
      <formula>$AO$1508=3</formula>
    </cfRule>
  </conditionalFormatting>
  <conditionalFormatting sqref="I1531:I1555">
    <cfRule type="expression" dxfId="415" priority="248">
      <formula>$AO$1524=3</formula>
    </cfRule>
  </conditionalFormatting>
  <conditionalFormatting sqref="I1560:I1568">
    <cfRule type="expression" dxfId="414" priority="787">
      <formula>$AO$1558=3</formula>
    </cfRule>
  </conditionalFormatting>
  <conditionalFormatting sqref="I1578:I1587">
    <cfRule type="expression" dxfId="413" priority="70">
      <formula>$AO$1571=3</formula>
    </cfRule>
  </conditionalFormatting>
  <conditionalFormatting sqref="I1597:I1646">
    <cfRule type="expression" dxfId="412" priority="65">
      <formula>$AO$1590=3</formula>
    </cfRule>
  </conditionalFormatting>
  <conditionalFormatting sqref="I1656:I1665">
    <cfRule type="expression" dxfId="411" priority="62">
      <formula>$AO$1649=3</formula>
    </cfRule>
  </conditionalFormatting>
  <conditionalFormatting sqref="I1675:I1686">
    <cfRule type="expression" dxfId="410" priority="105">
      <formula>$AO$1668=3</formula>
    </cfRule>
  </conditionalFormatting>
  <conditionalFormatting sqref="I1690">
    <cfRule type="expression" dxfId="409" priority="118">
      <formula>#REF!=3</formula>
    </cfRule>
  </conditionalFormatting>
  <conditionalFormatting sqref="I1691:I1729">
    <cfRule type="expression" dxfId="408" priority="102">
      <formula>$AO$1689=3</formula>
    </cfRule>
  </conditionalFormatting>
  <conditionalFormatting sqref="I1734:I1781">
    <cfRule type="expression" dxfId="407" priority="2696">
      <formula>$AO$1732=3</formula>
    </cfRule>
  </conditionalFormatting>
  <conditionalFormatting sqref="I1787:I1829">
    <cfRule type="expression" dxfId="406" priority="714">
      <formula>$AO$1784=3</formula>
    </cfRule>
  </conditionalFormatting>
  <conditionalFormatting sqref="I1834:I1890">
    <cfRule type="expression" dxfId="405" priority="3979">
      <formula>$AO$1832=3</formula>
    </cfRule>
  </conditionalFormatting>
  <conditionalFormatting sqref="I1895:I1913 I1928:I1943">
    <cfRule type="expression" dxfId="404" priority="3845">
      <formula>$AO$1893=3</formula>
    </cfRule>
  </conditionalFormatting>
  <conditionalFormatting sqref="I1914">
    <cfRule type="expression" dxfId="403" priority="26137">
      <formula>$AO$1784=3</formula>
    </cfRule>
  </conditionalFormatting>
  <conditionalFormatting sqref="I1915:I1926">
    <cfRule type="expression" dxfId="402" priority="9546">
      <formula>$AO$1893=3</formula>
    </cfRule>
  </conditionalFormatting>
  <conditionalFormatting sqref="I1927">
    <cfRule type="expression" dxfId="401" priority="26133">
      <formula>$AO$1784=3</formula>
    </cfRule>
  </conditionalFormatting>
  <conditionalFormatting sqref="I1944">
    <cfRule type="expression" dxfId="400" priority="26129">
      <formula>$AO$1784=3</formula>
    </cfRule>
  </conditionalFormatting>
  <conditionalFormatting sqref="I1945:I1951">
    <cfRule type="expression" dxfId="399" priority="12042">
      <formula>$AO$1893=3</formula>
    </cfRule>
  </conditionalFormatting>
  <conditionalFormatting sqref="I1956:I2009">
    <cfRule type="expression" dxfId="398" priority="1232">
      <formula>$AO$1954=3</formula>
    </cfRule>
  </conditionalFormatting>
  <conditionalFormatting sqref="I2014:I2030">
    <cfRule type="expression" dxfId="397" priority="2423">
      <formula>$AO$2012=3</formula>
    </cfRule>
  </conditionalFormatting>
  <conditionalFormatting sqref="I2035:I2062">
    <cfRule type="expression" dxfId="396" priority="1163">
      <formula>$AO$2033=3</formula>
    </cfRule>
  </conditionalFormatting>
  <conditionalFormatting sqref="I2067:I2105">
    <cfRule type="expression" dxfId="395" priority="453">
      <formula>$AO$2065=3</formula>
    </cfRule>
  </conditionalFormatting>
  <conditionalFormatting sqref="I2110:I2114">
    <cfRule type="expression" dxfId="394" priority="448">
      <formula>$AO$2108=3</formula>
    </cfRule>
  </conditionalFormatting>
  <conditionalFormatting sqref="I2119:I2162">
    <cfRule type="expression" dxfId="393" priority="3989">
      <formula>$AO$2117=3</formula>
    </cfRule>
  </conditionalFormatting>
  <conditionalFormatting sqref="I2167:I2181 I2224:I2232">
    <cfRule type="expression" dxfId="392" priority="769">
      <formula>$AO$2165=3</formula>
    </cfRule>
  </conditionalFormatting>
  <conditionalFormatting sqref="I2182">
    <cfRule type="expression" dxfId="391" priority="26069">
      <formula>$AO$2117=3</formula>
    </cfRule>
  </conditionalFormatting>
  <conditionalFormatting sqref="I2183:I2187">
    <cfRule type="expression" dxfId="390" priority="1684">
      <formula>$AO$2165=3</formula>
    </cfRule>
  </conditionalFormatting>
  <conditionalFormatting sqref="I2188">
    <cfRule type="expression" dxfId="389" priority="26061">
      <formula>$AO$2117=3</formula>
    </cfRule>
  </conditionalFormatting>
  <conditionalFormatting sqref="I2189:I2205">
    <cfRule type="expression" dxfId="388" priority="18907">
      <formula>$AO$2165=3</formula>
    </cfRule>
  </conditionalFormatting>
  <conditionalFormatting sqref="I2206">
    <cfRule type="expression" dxfId="387" priority="26057">
      <formula>$AO$2117=3</formula>
    </cfRule>
  </conditionalFormatting>
  <conditionalFormatting sqref="I2207:I2210">
    <cfRule type="expression" dxfId="386" priority="7657">
      <formula>$AO$2165=3</formula>
    </cfRule>
  </conditionalFormatting>
  <conditionalFormatting sqref="I2211">
    <cfRule type="expression" dxfId="385" priority="26053">
      <formula>$AO$2117=3</formula>
    </cfRule>
  </conditionalFormatting>
  <conditionalFormatting sqref="I2212:I2222">
    <cfRule type="expression" dxfId="384" priority="5615">
      <formula>$AO$2165=3</formula>
    </cfRule>
  </conditionalFormatting>
  <conditionalFormatting sqref="I2223">
    <cfRule type="expression" dxfId="383" priority="26049">
      <formula>$AO$2117=3</formula>
    </cfRule>
  </conditionalFormatting>
  <conditionalFormatting sqref="I2241">
    <cfRule type="expression" dxfId="382" priority="2953">
      <formula>$AO$2301=3</formula>
    </cfRule>
  </conditionalFormatting>
  <conditionalFormatting sqref="I2242:I2255">
    <cfRule type="expression" dxfId="381" priority="1640">
      <formula>$AO$2235=3</formula>
    </cfRule>
  </conditionalFormatting>
  <conditionalFormatting sqref="I2260:I2267">
    <cfRule type="expression" dxfId="380" priority="870">
      <formula>$AO$2258=3</formula>
    </cfRule>
  </conditionalFormatting>
  <conditionalFormatting sqref="I2272:I2287">
    <cfRule type="expression" dxfId="379" priority="3191">
      <formula>$AO$2270=3</formula>
    </cfRule>
  </conditionalFormatting>
  <conditionalFormatting sqref="I2292:I2298">
    <cfRule type="expression" dxfId="378" priority="1478">
      <formula>$AO$2290=3</formula>
    </cfRule>
  </conditionalFormatting>
  <conditionalFormatting sqref="I2302">
    <cfRule type="expression" dxfId="377" priority="18132">
      <formula>$AO$2301=3</formula>
    </cfRule>
  </conditionalFormatting>
  <conditionalFormatting sqref="I2308">
    <cfRule type="expression" dxfId="376" priority="548">
      <formula>$AO$2301=3</formula>
    </cfRule>
  </conditionalFormatting>
  <conditionalFormatting sqref="I2328:I2345">
    <cfRule type="expression" dxfId="375" priority="643">
      <formula>$AO$2301=3</formula>
    </cfRule>
  </conditionalFormatting>
  <conditionalFormatting sqref="I2350:I2368">
    <cfRule type="expression" dxfId="374" priority="18654">
      <formula>$AO$2348=3</formula>
    </cfRule>
  </conditionalFormatting>
  <conditionalFormatting sqref="I2373:I2377 I2379:I2392">
    <cfRule type="expression" dxfId="373" priority="18663">
      <formula>$AO$2371=3</formula>
    </cfRule>
  </conditionalFormatting>
  <conditionalFormatting sqref="I2378">
    <cfRule type="expression" dxfId="372" priority="26008">
      <formula>$AO$2301=3</formula>
    </cfRule>
  </conditionalFormatting>
  <conditionalFormatting sqref="I2393">
    <cfRule type="expression" dxfId="371" priority="26004">
      <formula>$AO$2301=3</formula>
    </cfRule>
  </conditionalFormatting>
  <conditionalFormatting sqref="I2394:I2408">
    <cfRule type="expression" dxfId="370" priority="182">
      <formula>$AO$2371=3</formula>
    </cfRule>
  </conditionalFormatting>
  <conditionalFormatting sqref="I2409">
    <cfRule type="expression" dxfId="369" priority="1521">
      <formula>$AO$2301=3</formula>
    </cfRule>
  </conditionalFormatting>
  <conditionalFormatting sqref="I2410:I2418">
    <cfRule type="expression" dxfId="368" priority="1510">
      <formula>$AO$2371=3</formula>
    </cfRule>
  </conditionalFormatting>
  <conditionalFormatting sqref="I2423:I2455">
    <cfRule type="expression" dxfId="367" priority="3260">
      <formula>$AO$2421=3</formula>
    </cfRule>
  </conditionalFormatting>
  <conditionalFormatting sqref="I2460:I2463">
    <cfRule type="expression" dxfId="366" priority="623">
      <formula>$AO$2458=3</formula>
    </cfRule>
  </conditionalFormatting>
  <conditionalFormatting sqref="I2468:I2473 I2475:I2494">
    <cfRule type="expression" dxfId="365" priority="8318">
      <formula>$AO$2466=3</formula>
    </cfRule>
  </conditionalFormatting>
  <conditionalFormatting sqref="I2474">
    <cfRule type="expression" dxfId="364" priority="10390">
      <formula>$AO$2421=3</formula>
    </cfRule>
  </conditionalFormatting>
  <conditionalFormatting sqref="I2499:I2517">
    <cfRule type="expression" dxfId="363" priority="8910">
      <formula>$AO$2497=3</formula>
    </cfRule>
  </conditionalFormatting>
  <conditionalFormatting sqref="I2518">
    <cfRule type="expression" dxfId="362" priority="25936">
      <formula>$AO$2421=3</formula>
    </cfRule>
  </conditionalFormatting>
  <conditionalFormatting sqref="I2519">
    <cfRule type="expression" dxfId="361" priority="10413">
      <formula>$AO$2497=3</formula>
    </cfRule>
  </conditionalFormatting>
  <conditionalFormatting sqref="I2528:I2564">
    <cfRule type="expression" dxfId="360" priority="4607">
      <formula>$AO$2522=3</formula>
    </cfRule>
  </conditionalFormatting>
  <conditionalFormatting sqref="I2568">
    <cfRule type="expression" dxfId="359" priority="25920">
      <formula>$AO$2421=3</formula>
    </cfRule>
  </conditionalFormatting>
  <conditionalFormatting sqref="I2569 I2571:I2576">
    <cfRule type="expression" dxfId="358" priority="423">
      <formula>$AO$2567=3</formula>
    </cfRule>
  </conditionalFormatting>
  <conditionalFormatting sqref="I2570">
    <cfRule type="expression" dxfId="357" priority="140">
      <formula>$AO$2421=3</formula>
    </cfRule>
  </conditionalFormatting>
  <conditionalFormatting sqref="I2581:I2606">
    <cfRule type="expression" dxfId="356" priority="3822">
      <formula>$AO$2579=3</formula>
    </cfRule>
  </conditionalFormatting>
  <conditionalFormatting sqref="I2585">
    <cfRule type="expression" dxfId="355" priority="12163">
      <formula>$AO$2421=3</formula>
    </cfRule>
  </conditionalFormatting>
  <conditionalFormatting sqref="I2595">
    <cfRule type="expression" dxfId="354" priority="12148">
      <formula>$AO$2421=3</formula>
    </cfRule>
  </conditionalFormatting>
  <conditionalFormatting sqref="I2598">
    <cfRule type="expression" dxfId="353" priority="12139">
      <formula>$AO$2421=3</formula>
    </cfRule>
  </conditionalFormatting>
  <conditionalFormatting sqref="I2601">
    <cfRule type="expression" dxfId="352" priority="12130">
      <formula>$AO$2421=3</formula>
    </cfRule>
  </conditionalFormatting>
  <conditionalFormatting sqref="I2605">
    <cfRule type="expression" dxfId="351" priority="8155">
      <formula>$AO$2421=3</formula>
    </cfRule>
  </conditionalFormatting>
  <conditionalFormatting sqref="I2611:I2628 I2630:I2632">
    <cfRule type="expression" dxfId="350" priority="726">
      <formula>$AO$2609=3</formula>
    </cfRule>
  </conditionalFormatting>
  <conditionalFormatting sqref="I2629">
    <cfRule type="expression" dxfId="349" priority="25881">
      <formula>$AO$2421=3</formula>
    </cfRule>
    <cfRule type="expression" dxfId="348" priority="25878">
      <formula>$AO$2579=3</formula>
    </cfRule>
  </conditionalFormatting>
  <conditionalFormatting sqref="I2637:I2642">
    <cfRule type="expression" dxfId="347" priority="1023">
      <formula>$AO$2635=3</formula>
    </cfRule>
  </conditionalFormatting>
  <conditionalFormatting sqref="I2643">
    <cfRule type="expression" dxfId="346" priority="1034">
      <formula>$AO$2579=3</formula>
    </cfRule>
    <cfRule type="expression" dxfId="345" priority="1037">
      <formula>$AO$2421=3</formula>
    </cfRule>
  </conditionalFormatting>
  <conditionalFormatting sqref="I2644:I2649">
    <cfRule type="expression" dxfId="344" priority="3985">
      <formula>$AO$2635=3</formula>
    </cfRule>
  </conditionalFormatting>
  <conditionalFormatting sqref="I2650">
    <cfRule type="expression" dxfId="343" priority="25865">
      <formula>$AO$2579=3</formula>
    </cfRule>
    <cfRule type="expression" dxfId="342" priority="25868">
      <formula>$AO$2421=3</formula>
    </cfRule>
  </conditionalFormatting>
  <conditionalFormatting sqref="I2651:I2654">
    <cfRule type="expression" dxfId="341" priority="23042">
      <formula>$AO$2635=3</formula>
    </cfRule>
  </conditionalFormatting>
  <conditionalFormatting sqref="I2655">
    <cfRule type="expression" dxfId="340" priority="25830">
      <formula>$AO$2579=3</formula>
    </cfRule>
    <cfRule type="expression" dxfId="339" priority="25833">
      <formula>$AO$2421=3</formula>
    </cfRule>
  </conditionalFormatting>
  <conditionalFormatting sqref="I2656:I2657">
    <cfRule type="expression" dxfId="338" priority="25872">
      <formula>$AO$2635=3</formula>
    </cfRule>
  </conditionalFormatting>
  <conditionalFormatting sqref="I2662:I2681">
    <cfRule type="expression" dxfId="337" priority="1348">
      <formula>$AO$2660=3</formula>
    </cfRule>
  </conditionalFormatting>
  <conditionalFormatting sqref="I2682">
    <cfRule type="expression" dxfId="336" priority="6133">
      <formula>$AO$2579=3</formula>
    </cfRule>
    <cfRule type="expression" dxfId="335" priority="6136">
      <formula>$AO$2421=3</formula>
    </cfRule>
  </conditionalFormatting>
  <conditionalFormatting sqref="I2683:I2688">
    <cfRule type="expression" dxfId="334" priority="3949">
      <formula>$AO$2660=3</formula>
    </cfRule>
  </conditionalFormatting>
  <conditionalFormatting sqref="I2689">
    <cfRule type="expression" dxfId="333" priority="13117">
      <formula>$AO$2579=3</formula>
    </cfRule>
    <cfRule type="expression" dxfId="332" priority="13120">
      <formula>$AO$2421=3</formula>
    </cfRule>
  </conditionalFormatting>
  <conditionalFormatting sqref="I2690">
    <cfRule type="expression" dxfId="331" priority="12238">
      <formula>$AO$2660=3</formula>
    </cfRule>
  </conditionalFormatting>
  <conditionalFormatting sqref="I2691">
    <cfRule type="expression" dxfId="330" priority="25778">
      <formula>$AO$2421=3</formula>
    </cfRule>
    <cfRule type="expression" dxfId="329" priority="25775">
      <formula>$AO$2579=3</formula>
    </cfRule>
  </conditionalFormatting>
  <conditionalFormatting sqref="I2692:I2696">
    <cfRule type="expression" dxfId="328" priority="8633">
      <formula>$AO$2660=3</formula>
    </cfRule>
  </conditionalFormatting>
  <conditionalFormatting sqref="I2701:I2709 I2711:I2713">
    <cfRule type="expression" dxfId="327" priority="2662">
      <formula>$AO$2699=3</formula>
    </cfRule>
  </conditionalFormatting>
  <conditionalFormatting sqref="I2710">
    <cfRule type="expression" dxfId="326" priority="25749">
      <formula>$AO$2421=3</formula>
    </cfRule>
    <cfRule type="expression" dxfId="325" priority="25746">
      <formula>$AO$2579=3</formula>
    </cfRule>
  </conditionalFormatting>
  <conditionalFormatting sqref="I2722:I2728">
    <cfRule type="expression" dxfId="324" priority="4760">
      <formula>$AO$2716=3</formula>
    </cfRule>
  </conditionalFormatting>
  <conditionalFormatting sqref="I2733:I2739 I2741:I2747">
    <cfRule type="expression" dxfId="323" priority="3650">
      <formula>$AO$2731=3</formula>
    </cfRule>
  </conditionalFormatting>
  <conditionalFormatting sqref="I2740">
    <cfRule type="expression" dxfId="322" priority="25718">
      <formula>$AO$2579=3</formula>
    </cfRule>
    <cfRule type="expression" dxfId="321" priority="25721">
      <formula>$AO$2421=3</formula>
    </cfRule>
  </conditionalFormatting>
  <conditionalFormatting sqref="I2748">
    <cfRule type="expression" dxfId="320" priority="21319">
      <formula>$AO$2421=3</formula>
    </cfRule>
    <cfRule type="expression" dxfId="319" priority="21316">
      <formula>$AO$2579=3</formula>
    </cfRule>
  </conditionalFormatting>
  <conditionalFormatting sqref="I2749:I2757">
    <cfRule type="expression" dxfId="318" priority="161">
      <formula>$AO$2731=3</formula>
    </cfRule>
  </conditionalFormatting>
  <conditionalFormatting sqref="I2761">
    <cfRule type="expression" dxfId="317" priority="8539">
      <formula>$AO$2579=3</formula>
    </cfRule>
    <cfRule type="expression" dxfId="316" priority="8542">
      <formula>$AO$2421=3</formula>
    </cfRule>
  </conditionalFormatting>
  <conditionalFormatting sqref="I2762:I2774 I2776:I2787">
    <cfRule type="expression" dxfId="315" priority="3376">
      <formula>$AO$2760=3</formula>
    </cfRule>
  </conditionalFormatting>
  <conditionalFormatting sqref="I2775">
    <cfRule type="expression" dxfId="314" priority="25677">
      <formula>$AO$2579=3</formula>
    </cfRule>
    <cfRule type="expression" dxfId="313" priority="25680">
      <formula>$AO$2421=3</formula>
    </cfRule>
  </conditionalFormatting>
  <conditionalFormatting sqref="I2788">
    <cfRule type="expression" dxfId="312" priority="25673">
      <formula>$AO$2421=3</formula>
    </cfRule>
    <cfRule type="expression" dxfId="311" priority="25670">
      <formula>$AO$2579=3</formula>
    </cfRule>
  </conditionalFormatting>
  <conditionalFormatting sqref="I2789">
    <cfRule type="expression" dxfId="310" priority="7719">
      <formula>$AO$2760=3</formula>
    </cfRule>
  </conditionalFormatting>
  <conditionalFormatting sqref="I2794:I2799">
    <cfRule type="expression" dxfId="309" priority="1474">
      <formula>$AO$2792=3</formula>
    </cfRule>
  </conditionalFormatting>
  <conditionalFormatting sqref="I2808:I2815">
    <cfRule type="expression" dxfId="308" priority="4716">
      <formula>$AO$2802=3</formula>
    </cfRule>
  </conditionalFormatting>
  <conditionalFormatting sqref="I2820:I2830">
    <cfRule type="expression" dxfId="307" priority="8862">
      <formula>$AO$2818=3</formula>
    </cfRule>
  </conditionalFormatting>
  <conditionalFormatting sqref="I2834">
    <cfRule type="expression" dxfId="306" priority="16531">
      <formula>$AO$2579=3</formula>
    </cfRule>
    <cfRule type="expression" dxfId="305" priority="16534">
      <formula>$AO$2421=3</formula>
    </cfRule>
  </conditionalFormatting>
  <conditionalFormatting sqref="I2835:I2837">
    <cfRule type="expression" dxfId="304" priority="618">
      <formula>$AO$2833=3</formula>
    </cfRule>
  </conditionalFormatting>
  <conditionalFormatting sqref="I2838">
    <cfRule type="expression" dxfId="303" priority="5322">
      <formula>$AO$2421=3</formula>
    </cfRule>
    <cfRule type="expression" dxfId="302" priority="5319">
      <formula>$AO$2579=3</formula>
    </cfRule>
  </conditionalFormatting>
  <conditionalFormatting sqref="I2839:I2857">
    <cfRule type="expression" dxfId="301" priority="3">
      <formula>$AO$2833=3</formula>
    </cfRule>
  </conditionalFormatting>
  <conditionalFormatting sqref="I2858">
    <cfRule type="expression" dxfId="300" priority="172">
      <formula>$AO$2579=3</formula>
    </cfRule>
    <cfRule type="expression" dxfId="299" priority="175">
      <formula>$AO$2421=3</formula>
    </cfRule>
  </conditionalFormatting>
  <conditionalFormatting sqref="I2867:I2869">
    <cfRule type="expression" dxfId="298" priority="25603">
      <formula>$AO$2865=3</formula>
    </cfRule>
  </conditionalFormatting>
  <conditionalFormatting sqref="I2874:I2889">
    <cfRule type="expression" dxfId="297" priority="1278">
      <formula>$AO$2872=3</formula>
    </cfRule>
  </conditionalFormatting>
  <conditionalFormatting sqref="I2894:I2896">
    <cfRule type="expression" dxfId="296" priority="12840">
      <formula>$AO$2892=3</formula>
    </cfRule>
  </conditionalFormatting>
  <conditionalFormatting sqref="I2901:I2906">
    <cfRule type="expression" dxfId="295" priority="5489">
      <formula>$AO$2899=3</formula>
    </cfRule>
  </conditionalFormatting>
  <conditionalFormatting sqref="I2911:I2927">
    <cfRule type="expression" dxfId="294" priority="11539">
      <formula>$AO$2909=3</formula>
    </cfRule>
  </conditionalFormatting>
  <conditionalFormatting sqref="I2929:I2934">
    <cfRule type="expression" dxfId="293" priority="25503">
      <formula>$AO$2909=3</formula>
    </cfRule>
  </conditionalFormatting>
  <conditionalFormatting sqref="I2939:I2942">
    <cfRule type="expression" dxfId="292" priority="25131">
      <formula>$AO$2937=3</formula>
    </cfRule>
  </conditionalFormatting>
  <conditionalFormatting sqref="I2947:I2956">
    <cfRule type="expression" dxfId="291" priority="25465">
      <formula>$AO$2945=3</formula>
    </cfRule>
  </conditionalFormatting>
  <conditionalFormatting sqref="I2961:I2979">
    <cfRule type="expression" dxfId="290" priority="2786">
      <formula>$AO$2959=3</formula>
    </cfRule>
  </conditionalFormatting>
  <conditionalFormatting sqref="I2984:I2987">
    <cfRule type="expression" dxfId="289" priority="7704">
      <formula>$AO$2982=3</formula>
    </cfRule>
  </conditionalFormatting>
  <conditionalFormatting sqref="I3008:I3017">
    <cfRule type="expression" dxfId="288" priority="18636">
      <formula>$AO$3006=3</formula>
    </cfRule>
  </conditionalFormatting>
  <conditionalFormatting sqref="I3022:I3027 I3029:I3037">
    <cfRule type="expression" dxfId="287" priority="25381">
      <formula>$AO$3020=3</formula>
    </cfRule>
  </conditionalFormatting>
  <conditionalFormatting sqref="I3028">
    <cfRule type="expression" dxfId="286" priority="25374">
      <formula>#REF!=3</formula>
    </cfRule>
  </conditionalFormatting>
  <conditionalFormatting sqref="I3042:I3062">
    <cfRule type="expression" dxfId="285" priority="7039">
      <formula>$AO$3040=3</formula>
    </cfRule>
  </conditionalFormatting>
  <conditionalFormatting sqref="I3067:I3068">
    <cfRule type="expression" dxfId="284" priority="14400">
      <formula>$AO$3065=3</formula>
    </cfRule>
  </conditionalFormatting>
  <conditionalFormatting sqref="I3073:I3112">
    <cfRule type="expression" dxfId="283" priority="25356">
      <formula>$AO$3071=3</formula>
    </cfRule>
  </conditionalFormatting>
  <conditionalFormatting sqref="I3117:I3124 I3126:I3157">
    <cfRule type="expression" dxfId="282" priority="25343">
      <formula>$AO$3115=3</formula>
    </cfRule>
  </conditionalFormatting>
  <conditionalFormatting sqref="I3125">
    <cfRule type="expression" dxfId="281" priority="25331">
      <formula>#REF!=3</formula>
    </cfRule>
  </conditionalFormatting>
  <conditionalFormatting sqref="I3162:I3208">
    <cfRule type="expression" dxfId="280" priority="6515">
      <formula>$AO$3160=3</formula>
    </cfRule>
  </conditionalFormatting>
  <conditionalFormatting sqref="J118">
    <cfRule type="expression" dxfId="279" priority="845">
      <formula>#REF!=1</formula>
    </cfRule>
  </conditionalFormatting>
  <conditionalFormatting sqref="J177:J178 J180:J182">
    <cfRule type="expression" dxfId="278" priority="58">
      <formula>#REF!=1</formula>
    </cfRule>
  </conditionalFormatting>
  <conditionalFormatting sqref="J197:J198 J200:J202">
    <cfRule type="expression" dxfId="277" priority="821">
      <formula>#REF!=1</formula>
    </cfRule>
  </conditionalFormatting>
  <conditionalFormatting sqref="J221:J222 J224:J226">
    <cfRule type="expression" dxfId="276" priority="326">
      <formula>#REF!=1</formula>
    </cfRule>
  </conditionalFormatting>
  <conditionalFormatting sqref="J235">
    <cfRule type="expression" dxfId="275" priority="302">
      <formula>#REF!=1</formula>
    </cfRule>
  </conditionalFormatting>
  <conditionalFormatting sqref="J310">
    <cfRule type="expression" dxfId="274" priority="307">
      <formula>$AM$417=1</formula>
    </cfRule>
  </conditionalFormatting>
  <conditionalFormatting sqref="J328">
    <cfRule type="expression" dxfId="273" priority="306">
      <formula>$AM$417=1</formula>
    </cfRule>
  </conditionalFormatting>
  <conditionalFormatting sqref="J331">
    <cfRule type="expression" dxfId="272" priority="305">
      <formula>$AM$417=1</formula>
    </cfRule>
  </conditionalFormatting>
  <conditionalFormatting sqref="J338">
    <cfRule type="expression" dxfId="271" priority="304">
      <formula>$AM$417=1</formula>
    </cfRule>
  </conditionalFormatting>
  <conditionalFormatting sqref="J343">
    <cfRule type="expression" dxfId="270" priority="303">
      <formula>$AM$417=1</formula>
    </cfRule>
  </conditionalFormatting>
  <conditionalFormatting sqref="J355">
    <cfRule type="expression" dxfId="269" priority="280">
      <formula>$AM$417=1</formula>
    </cfRule>
  </conditionalFormatting>
  <conditionalFormatting sqref="J369">
    <cfRule type="expression" dxfId="268" priority="278">
      <formula>#REF!=1</formula>
    </cfRule>
  </conditionalFormatting>
  <conditionalFormatting sqref="J383">
    <cfRule type="expression" dxfId="267" priority="275">
      <formula>#REF!=1</formula>
    </cfRule>
  </conditionalFormatting>
  <conditionalFormatting sqref="J388">
    <cfRule type="expression" dxfId="266" priority="218">
      <formula>#REF!=1</formula>
    </cfRule>
  </conditionalFormatting>
  <conditionalFormatting sqref="J401">
    <cfRule type="expression" dxfId="265" priority="276">
      <formula>#REF!=1</formula>
    </cfRule>
  </conditionalFormatting>
  <conditionalFormatting sqref="J404">
    <cfRule type="expression" dxfId="264" priority="178">
      <formula>$AM$417=1</formula>
    </cfRule>
  </conditionalFormatting>
  <conditionalFormatting sqref="J412">
    <cfRule type="expression" dxfId="263" priority="271">
      <formula>$AM$417=1</formula>
    </cfRule>
  </conditionalFormatting>
  <conditionalFormatting sqref="J418">
    <cfRule type="expression" dxfId="262" priority="26636">
      <formula>$AM$417=1</formula>
    </cfRule>
  </conditionalFormatting>
  <conditionalFormatting sqref="J427">
    <cfRule type="expression" dxfId="261" priority="1624">
      <formula>$AM$417=1</formula>
    </cfRule>
  </conditionalFormatting>
  <conditionalFormatting sqref="J439">
    <cfRule type="expression" dxfId="260" priority="26635">
      <formula>$AM$417=1</formula>
    </cfRule>
  </conditionalFormatting>
  <conditionalFormatting sqref="J455">
    <cfRule type="expression" dxfId="259" priority="26632">
      <formula>$AM$417=1</formula>
    </cfRule>
  </conditionalFormatting>
  <conditionalFormatting sqref="J471">
    <cfRule type="expression" dxfId="258" priority="26626">
      <formula>$AM$417=1</formula>
    </cfRule>
  </conditionalFormatting>
  <conditionalFormatting sqref="J484">
    <cfRule type="expression" dxfId="257" priority="26627">
      <formula>$AM$417=1</formula>
    </cfRule>
  </conditionalFormatting>
  <conditionalFormatting sqref="J488">
    <cfRule type="expression" dxfId="256" priority="26628">
      <formula>$AM$417=1</formula>
    </cfRule>
  </conditionalFormatting>
  <conditionalFormatting sqref="J491">
    <cfRule type="expression" dxfId="255" priority="26629">
      <formula>$AM$417=1</formula>
    </cfRule>
  </conditionalFormatting>
  <conditionalFormatting sqref="J497">
    <cfRule type="expression" dxfId="254" priority="26630">
      <formula>$AM$417=1</formula>
    </cfRule>
  </conditionalFormatting>
  <conditionalFormatting sqref="J501">
    <cfRule type="expression" dxfId="253" priority="230">
      <formula>$AM$417=1</formula>
    </cfRule>
  </conditionalFormatting>
  <conditionalFormatting sqref="J504">
    <cfRule type="expression" dxfId="252" priority="26631">
      <formula>$AM$417=1</formula>
    </cfRule>
  </conditionalFormatting>
  <conditionalFormatting sqref="J510">
    <cfRule type="expression" dxfId="251" priority="26625">
      <formula>$AM$417=1</formula>
    </cfRule>
  </conditionalFormatting>
  <conditionalFormatting sqref="J513">
    <cfRule type="expression" dxfId="250" priority="26624">
      <formula>$AM$417=1</formula>
    </cfRule>
  </conditionalFormatting>
  <conditionalFormatting sqref="J521">
    <cfRule type="expression" dxfId="249" priority="3806">
      <formula>$AM$417=1</formula>
    </cfRule>
  </conditionalFormatting>
  <conditionalFormatting sqref="J523">
    <cfRule type="expression" dxfId="248" priority="26616">
      <formula>$AM$417=1</formula>
    </cfRule>
  </conditionalFormatting>
  <conditionalFormatting sqref="J529">
    <cfRule type="expression" dxfId="247" priority="26615">
      <formula>$AM$417=1</formula>
    </cfRule>
  </conditionalFormatting>
  <conditionalFormatting sqref="J531">
    <cfRule type="expression" dxfId="246" priority="18935">
      <formula>$AM$417=1</formula>
    </cfRule>
  </conditionalFormatting>
  <conditionalFormatting sqref="J533">
    <cfRule type="expression" dxfId="245" priority="7490">
      <formula>$AM$417=1</formula>
    </cfRule>
  </conditionalFormatting>
  <conditionalFormatting sqref="J536">
    <cfRule type="expression" dxfId="244" priority="26614">
      <formula>$AM$417=1</formula>
    </cfRule>
  </conditionalFormatting>
  <conditionalFormatting sqref="J554">
    <cfRule type="expression" dxfId="243" priority="26613">
      <formula>$AM$417=1</formula>
    </cfRule>
  </conditionalFormatting>
  <conditionalFormatting sqref="J560">
    <cfRule type="expression" dxfId="242" priority="26612">
      <formula>$AM$417=1</formula>
    </cfRule>
  </conditionalFormatting>
  <conditionalFormatting sqref="J565">
    <cfRule type="expression" dxfId="241" priority="26633">
      <formula>$AM$417=1</formula>
    </cfRule>
  </conditionalFormatting>
  <conditionalFormatting sqref="J597">
    <cfRule type="expression" dxfId="240" priority="26611">
      <formula>$AM$417=1</formula>
    </cfRule>
  </conditionalFormatting>
  <conditionalFormatting sqref="J604">
    <cfRule type="expression" dxfId="239" priority="26610">
      <formula>$AM$417=1</formula>
    </cfRule>
  </conditionalFormatting>
  <conditionalFormatting sqref="J607">
    <cfRule type="expression" dxfId="238" priority="26609">
      <formula>$AM$417=1</formula>
    </cfRule>
  </conditionalFormatting>
  <conditionalFormatting sqref="J609">
    <cfRule type="expression" dxfId="237" priority="26608">
      <formula>$AM$417=1</formula>
    </cfRule>
  </conditionalFormatting>
  <conditionalFormatting sqref="J614">
    <cfRule type="expression" dxfId="236" priority="145">
      <formula>$AM$417=1</formula>
    </cfRule>
  </conditionalFormatting>
  <conditionalFormatting sqref="J619">
    <cfRule type="expression" dxfId="235" priority="26607">
      <formula>$AM$417=1</formula>
    </cfRule>
  </conditionalFormatting>
  <conditionalFormatting sqref="J631">
    <cfRule type="expression" dxfId="234" priority="8049">
      <formula>$AM$417=1</formula>
    </cfRule>
  </conditionalFormatting>
  <conditionalFormatting sqref="J637:J638">
    <cfRule type="expression" dxfId="233" priority="14706">
      <formula>$AM$417=1</formula>
    </cfRule>
  </conditionalFormatting>
  <conditionalFormatting sqref="J641">
    <cfRule type="expression" dxfId="232" priority="535">
      <formula>$AM$417=1</formula>
    </cfRule>
  </conditionalFormatting>
  <conditionalFormatting sqref="J644">
    <cfRule type="expression" dxfId="231" priority="2532">
      <formula>$AM$417=1</formula>
    </cfRule>
  </conditionalFormatting>
  <conditionalFormatting sqref="J652">
    <cfRule type="expression" dxfId="230" priority="18708">
      <formula>$AM$417=1</formula>
    </cfRule>
  </conditionalFormatting>
  <conditionalFormatting sqref="J686">
    <cfRule type="expression" dxfId="229" priority="26602">
      <formula>$AM$417=1</formula>
    </cfRule>
  </conditionalFormatting>
  <conditionalFormatting sqref="J696">
    <cfRule type="expression" dxfId="228" priority="26601">
      <formula>$AM$417=1</formula>
    </cfRule>
  </conditionalFormatting>
  <conditionalFormatting sqref="J710">
    <cfRule type="expression" dxfId="227" priority="19611">
      <formula>$AM$417=1</formula>
    </cfRule>
  </conditionalFormatting>
  <conditionalFormatting sqref="J721">
    <cfRule type="expression" dxfId="226" priority="184">
      <formula>$AM$417=1</formula>
    </cfRule>
  </conditionalFormatting>
  <conditionalFormatting sqref="J726">
    <cfRule type="expression" dxfId="225" priority="26600">
      <formula>$AM$417=1</formula>
    </cfRule>
  </conditionalFormatting>
  <conditionalFormatting sqref="J733">
    <cfRule type="expression" dxfId="224" priority="23469">
      <formula>$AM$417=1</formula>
    </cfRule>
  </conditionalFormatting>
  <conditionalFormatting sqref="J735">
    <cfRule type="expression" dxfId="223" priority="26599">
      <formula>$AM$417=1</formula>
    </cfRule>
  </conditionalFormatting>
  <conditionalFormatting sqref="J767">
    <cfRule type="expression" dxfId="222" priority="26597">
      <formula>$AM$417=1</formula>
    </cfRule>
  </conditionalFormatting>
  <conditionalFormatting sqref="J786">
    <cfRule type="expression" dxfId="221" priority="26581">
      <formula>$AM$417=1</formula>
    </cfRule>
  </conditionalFormatting>
  <conditionalFormatting sqref="J793">
    <cfRule type="expression" dxfId="220" priority="26577">
      <formula>$AM$417=1</formula>
    </cfRule>
  </conditionalFormatting>
  <conditionalFormatting sqref="J804">
    <cfRule type="expression" dxfId="219" priority="26569">
      <formula>$AM$417=1</formula>
    </cfRule>
  </conditionalFormatting>
  <conditionalFormatting sqref="J820">
    <cfRule type="expression" dxfId="218" priority="26565">
      <formula>$AM$417=1</formula>
    </cfRule>
  </conditionalFormatting>
  <conditionalFormatting sqref="J823">
    <cfRule type="expression" dxfId="217" priority="26561">
      <formula>$AM$417=1</formula>
    </cfRule>
  </conditionalFormatting>
  <conditionalFormatting sqref="J826">
    <cfRule type="expression" dxfId="216" priority="26557">
      <formula>$AM$417=1</formula>
    </cfRule>
  </conditionalFormatting>
  <conditionalFormatting sqref="J834">
    <cfRule type="expression" dxfId="215" priority="2145">
      <formula>$AM$417=1</formula>
    </cfRule>
  </conditionalFormatting>
  <conditionalFormatting sqref="J912">
    <cfRule type="expression" dxfId="214" priority="967">
      <formula>$AM$417=1</formula>
    </cfRule>
  </conditionalFormatting>
  <conditionalFormatting sqref="J927">
    <cfRule type="expression" dxfId="213" priority="2141">
      <formula>$AM$417=1</formula>
    </cfRule>
  </conditionalFormatting>
  <conditionalFormatting sqref="J933">
    <cfRule type="expression" dxfId="212" priority="2137">
      <formula>$AM$417=1</formula>
    </cfRule>
  </conditionalFormatting>
  <conditionalFormatting sqref="J946">
    <cfRule type="expression" dxfId="211" priority="2133">
      <formula>$AM$417=1</formula>
    </cfRule>
  </conditionalFormatting>
  <conditionalFormatting sqref="J948">
    <cfRule type="expression" dxfId="210" priority="910">
      <formula>$AM$417=1</formula>
    </cfRule>
  </conditionalFormatting>
  <conditionalFormatting sqref="J951">
    <cfRule type="expression" dxfId="209" priority="2125">
      <formula>$AM$417=1</formula>
    </cfRule>
  </conditionalFormatting>
  <conditionalFormatting sqref="J959">
    <cfRule type="expression" dxfId="208" priority="1949">
      <formula>$AM$417=1</formula>
    </cfRule>
  </conditionalFormatting>
  <conditionalFormatting sqref="J962">
    <cfRule type="expression" dxfId="207" priority="1933">
      <formula>$AM$417=1</formula>
    </cfRule>
  </conditionalFormatting>
  <conditionalFormatting sqref="J985">
    <cfRule type="expression" dxfId="206" priority="1951">
      <formula>$AM$417=1</formula>
    </cfRule>
  </conditionalFormatting>
  <conditionalFormatting sqref="J993">
    <cfRule type="expression" dxfId="205" priority="1953">
      <formula>$AM$417=1</formula>
    </cfRule>
  </conditionalFormatting>
  <conditionalFormatting sqref="J1002">
    <cfRule type="expression" dxfId="204" priority="1941">
      <formula>$AM$417=1</formula>
    </cfRule>
  </conditionalFormatting>
  <conditionalFormatting sqref="J1012">
    <cfRule type="expression" dxfId="203" priority="1909">
      <formula>$AM$417=1</formula>
    </cfRule>
  </conditionalFormatting>
  <conditionalFormatting sqref="J1014">
    <cfRule type="expression" dxfId="202" priority="1899">
      <formula>$AM$417=1</formula>
    </cfRule>
  </conditionalFormatting>
  <conditionalFormatting sqref="J1048">
    <cfRule type="expression" dxfId="201" priority="1908">
      <formula>$AM$417=1</formula>
    </cfRule>
  </conditionalFormatting>
  <conditionalFormatting sqref="J1066">
    <cfRule type="expression" dxfId="200" priority="1894">
      <formula>$AM$417=1</formula>
    </cfRule>
  </conditionalFormatting>
  <conditionalFormatting sqref="J1072">
    <cfRule type="expression" dxfId="199" priority="1897">
      <formula>$AM$417=1</formula>
    </cfRule>
  </conditionalFormatting>
  <conditionalFormatting sqref="J1077">
    <cfRule type="expression" dxfId="198" priority="1907">
      <formula>$AM$417=1</formula>
    </cfRule>
  </conditionalFormatting>
  <conditionalFormatting sqref="J1085">
    <cfRule type="expression" dxfId="197" priority="1906">
      <formula>$AM$417=1</formula>
    </cfRule>
  </conditionalFormatting>
  <conditionalFormatting sqref="J1106">
    <cfRule type="expression" dxfId="196" priority="17593">
      <formula>#REF!=1</formula>
    </cfRule>
  </conditionalFormatting>
  <conditionalFormatting sqref="J1124">
    <cfRule type="expression" dxfId="195" priority="26591">
      <formula>$AM$417=1</formula>
    </cfRule>
  </conditionalFormatting>
  <conditionalFormatting sqref="J1137">
    <cfRule type="expression" dxfId="194" priority="26553">
      <formula>$AM$417=1</formula>
    </cfRule>
  </conditionalFormatting>
  <conditionalFormatting sqref="J1144">
    <cfRule type="expression" dxfId="193" priority="26549">
      <formula>$AM$417=1</formula>
    </cfRule>
  </conditionalFormatting>
  <conditionalFormatting sqref="J1150">
    <cfRule type="expression" dxfId="192" priority="26545">
      <formula>$AM$417=1</formula>
    </cfRule>
  </conditionalFormatting>
  <conditionalFormatting sqref="J1157">
    <cfRule type="expression" dxfId="191" priority="18622">
      <formula>$AM$417=1</formula>
    </cfRule>
  </conditionalFormatting>
  <conditionalFormatting sqref="J1165">
    <cfRule type="expression" dxfId="190" priority="26466">
      <formula>$AM$417=1</formula>
    </cfRule>
  </conditionalFormatting>
  <conditionalFormatting sqref="J1179">
    <cfRule type="expression" dxfId="189" priority="511">
      <formula>$AM$417=1</formula>
    </cfRule>
  </conditionalFormatting>
  <conditionalFormatting sqref="J1184">
    <cfRule type="expression" dxfId="188" priority="26459">
      <formula>$AM$417=1</formula>
    </cfRule>
  </conditionalFormatting>
  <conditionalFormatting sqref="J1186">
    <cfRule type="expression" dxfId="187" priority="26455">
      <formula>$AM$417=1</formula>
    </cfRule>
  </conditionalFormatting>
  <conditionalFormatting sqref="J1188">
    <cfRule type="expression" dxfId="186" priority="26451">
      <formula>$AM$417=1</formula>
    </cfRule>
  </conditionalFormatting>
  <conditionalFormatting sqref="J1191">
    <cfRule type="expression" dxfId="185" priority="26447">
      <formula>$AM$417=1</formula>
    </cfRule>
  </conditionalFormatting>
  <conditionalFormatting sqref="J1193">
    <cfRule type="expression" dxfId="184" priority="26435">
      <formula>$AM$417=1</formula>
    </cfRule>
  </conditionalFormatting>
  <conditionalFormatting sqref="J1231">
    <cfRule type="expression" dxfId="183" priority="26431">
      <formula>$AM$417=1</formula>
    </cfRule>
  </conditionalFormatting>
  <conditionalFormatting sqref="J1252:J1253">
    <cfRule type="expression" dxfId="182" priority="496">
      <formula>$AM$417=1</formula>
    </cfRule>
  </conditionalFormatting>
  <conditionalFormatting sqref="J1257">
    <cfRule type="expression" dxfId="181" priority="497">
      <formula>$AM$417=1</formula>
    </cfRule>
  </conditionalFormatting>
  <conditionalFormatting sqref="J1261">
    <cfRule type="expression" dxfId="180" priority="505">
      <formula>$AM$417=1</formula>
    </cfRule>
  </conditionalFormatting>
  <conditionalFormatting sqref="J1274">
    <cfRule type="expression" dxfId="179" priority="498">
      <formula>$AM$417=1</formula>
    </cfRule>
  </conditionalFormatting>
  <conditionalFormatting sqref="J1279">
    <cfRule type="expression" dxfId="178" priority="504">
      <formula>$AM$417=1</formula>
    </cfRule>
  </conditionalFormatting>
  <conditionalFormatting sqref="J1289">
    <cfRule type="expression" dxfId="177" priority="502">
      <formula>$AM$417=1</formula>
    </cfRule>
  </conditionalFormatting>
  <conditionalFormatting sqref="J1296">
    <cfRule type="expression" dxfId="176" priority="503">
      <formula>$AM$417=1</formula>
    </cfRule>
  </conditionalFormatting>
  <conditionalFormatting sqref="J1306:J1311">
    <cfRule type="expression" dxfId="175" priority="493">
      <formula>#REF!=1</formula>
    </cfRule>
  </conditionalFormatting>
  <conditionalFormatting sqref="J1320">
    <cfRule type="expression" dxfId="174" priority="162">
      <formula>$AM$417=1</formula>
    </cfRule>
  </conditionalFormatting>
  <conditionalFormatting sqref="J1330">
    <cfRule type="expression" dxfId="173" priority="479">
      <formula>$AM$417=1</formula>
    </cfRule>
  </conditionalFormatting>
  <conditionalFormatting sqref="J1334">
    <cfRule type="expression" dxfId="172" priority="492">
      <formula>$AM$417=1</formula>
    </cfRule>
  </conditionalFormatting>
  <conditionalFormatting sqref="J1343:J1348">
    <cfRule type="expression" dxfId="171" priority="489">
      <formula>#REF!=1</formula>
    </cfRule>
  </conditionalFormatting>
  <conditionalFormatting sqref="J1360">
    <cfRule type="expression" dxfId="170" priority="3058">
      <formula>$AM$417=1</formula>
    </cfRule>
  </conditionalFormatting>
  <conditionalFormatting sqref="J1364">
    <cfRule type="expression" dxfId="169" priority="35">
      <formula>$AM$417=1</formula>
    </cfRule>
  </conditionalFormatting>
  <conditionalFormatting sqref="J1370">
    <cfRule type="expression" dxfId="168" priority="39">
      <formula>$AM$417=1</formula>
    </cfRule>
  </conditionalFormatting>
  <conditionalFormatting sqref="J1381">
    <cfRule type="expression" dxfId="167" priority="26316">
      <formula>$AM$417=1</formula>
    </cfRule>
  </conditionalFormatting>
  <conditionalFormatting sqref="J1387">
    <cfRule type="expression" dxfId="166" priority="26291">
      <formula>$AM$417=1</formula>
    </cfRule>
  </conditionalFormatting>
  <conditionalFormatting sqref="J1397">
    <cfRule type="expression" dxfId="165" priority="6596">
      <formula>$AM$417=1</formula>
    </cfRule>
  </conditionalFormatting>
  <conditionalFormatting sqref="J1436">
    <cfRule type="expression" dxfId="164" priority="7576">
      <formula>#REF!=1</formula>
    </cfRule>
  </conditionalFormatting>
  <conditionalFormatting sqref="J1450">
    <cfRule type="expression" dxfId="163" priority="163">
      <formula>$AM$417=1</formula>
    </cfRule>
  </conditionalFormatting>
  <conditionalFormatting sqref="J1460">
    <cfRule type="expression" dxfId="162" priority="26280">
      <formula>$AM$417=1</formula>
    </cfRule>
  </conditionalFormatting>
  <conditionalFormatting sqref="J1470">
    <cfRule type="expression" dxfId="161" priority="26273">
      <formula>$AM$417=1</formula>
    </cfRule>
  </conditionalFormatting>
  <conditionalFormatting sqref="J1480">
    <cfRule type="expression" dxfId="160" priority="26269">
      <formula>$AM$417=1</formula>
    </cfRule>
  </conditionalFormatting>
  <conditionalFormatting sqref="J1488">
    <cfRule type="expression" dxfId="159" priority="19640">
      <formula>$AM$417=1</formula>
    </cfRule>
  </conditionalFormatting>
  <conditionalFormatting sqref="J1498">
    <cfRule type="expression" dxfId="158" priority="7812">
      <formula>$AM$417=1</formula>
    </cfRule>
  </conditionalFormatting>
  <conditionalFormatting sqref="J1503">
    <cfRule type="expression" dxfId="157" priority="3688">
      <formula>$AM$417=1</formula>
    </cfRule>
  </conditionalFormatting>
  <conditionalFormatting sqref="J1509">
    <cfRule type="expression" dxfId="156" priority="4949">
      <formula>#REF!=1</formula>
    </cfRule>
  </conditionalFormatting>
  <conditionalFormatting sqref="J1525:J1530">
    <cfRule type="expression" dxfId="155" priority="252">
      <formula>#REF!=1</formula>
    </cfRule>
  </conditionalFormatting>
  <conditionalFormatting sqref="J1559">
    <cfRule type="expression" dxfId="154" priority="13535">
      <formula>#REF!=1</formula>
    </cfRule>
  </conditionalFormatting>
  <conditionalFormatting sqref="J1572:J1577">
    <cfRule type="expression" dxfId="153" priority="97">
      <formula>#REF!=1</formula>
    </cfRule>
  </conditionalFormatting>
  <conditionalFormatting sqref="J1591:J1596">
    <cfRule type="expression" dxfId="152" priority="91">
      <formula>#REF!=1</formula>
    </cfRule>
  </conditionalFormatting>
  <conditionalFormatting sqref="J1616">
    <cfRule type="expression" dxfId="151" priority="88">
      <formula>#REF!=1</formula>
    </cfRule>
  </conditionalFormatting>
  <conditionalFormatting sqref="J1620">
    <cfRule type="expression" dxfId="150" priority="87">
      <formula>#REF!=1</formula>
    </cfRule>
  </conditionalFormatting>
  <conditionalFormatting sqref="J1632">
    <cfRule type="expression" dxfId="149" priority="90">
      <formula>#REF!=1</formula>
    </cfRule>
  </conditionalFormatting>
  <conditionalFormatting sqref="J1638">
    <cfRule type="expression" dxfId="148" priority="83">
      <formula>#REF!=1</formula>
    </cfRule>
  </conditionalFormatting>
  <conditionalFormatting sqref="J1641">
    <cfRule type="expression" dxfId="147" priority="89">
      <formula>#REF!=1</formula>
    </cfRule>
  </conditionalFormatting>
  <conditionalFormatting sqref="J1650:J1655">
    <cfRule type="expression" dxfId="146" priority="80">
      <formula>#REF!=1</formula>
    </cfRule>
  </conditionalFormatting>
  <conditionalFormatting sqref="J1669:J1670 J1672:J1674">
    <cfRule type="expression" dxfId="145" priority="124">
      <formula>#REF!=1</formula>
    </cfRule>
  </conditionalFormatting>
  <conditionalFormatting sqref="J1690">
    <cfRule type="expression" dxfId="144" priority="112">
      <formula>$AM$417=1</formula>
    </cfRule>
  </conditionalFormatting>
  <conditionalFormatting sqref="J1697">
    <cfRule type="expression" dxfId="143" priority="113">
      <formula>$AM$417=1</formula>
    </cfRule>
  </conditionalFormatting>
  <conditionalFormatting sqref="J1711">
    <cfRule type="expression" dxfId="142" priority="108">
      <formula>$AM$417=1</formula>
    </cfRule>
  </conditionalFormatting>
  <conditionalFormatting sqref="J1716">
    <cfRule type="expression" dxfId="141" priority="114">
      <formula>$AM$417=1</formula>
    </cfRule>
  </conditionalFormatting>
  <conditionalFormatting sqref="J1723">
    <cfRule type="expression" dxfId="140" priority="115">
      <formula>$AM$417=1</formula>
    </cfRule>
  </conditionalFormatting>
  <conditionalFormatting sqref="J1733">
    <cfRule type="expression" dxfId="139" priority="26219">
      <formula>$AM$417=1</formula>
    </cfRule>
  </conditionalFormatting>
  <conditionalFormatting sqref="J1740">
    <cfRule type="expression" dxfId="138" priority="26212">
      <formula>$AM$417=1</formula>
    </cfRule>
  </conditionalFormatting>
  <conditionalFormatting sqref="J1742">
    <cfRule type="expression" dxfId="137" priority="26208">
      <formula>$AM$417=1</formula>
    </cfRule>
  </conditionalFormatting>
  <conditionalFormatting sqref="J1756">
    <cfRule type="expression" dxfId="136" priority="26204">
      <formula>$AM$417=1</formula>
    </cfRule>
  </conditionalFormatting>
  <conditionalFormatting sqref="J1769">
    <cfRule type="expression" dxfId="135" priority="26200">
      <formula>$AM$417=1</formula>
    </cfRule>
  </conditionalFormatting>
  <conditionalFormatting sqref="J1773">
    <cfRule type="expression" dxfId="134" priority="59">
      <formula>$AM$417=1</formula>
    </cfRule>
  </conditionalFormatting>
  <conditionalFormatting sqref="J1786">
    <cfRule type="expression" dxfId="133" priority="26186">
      <formula>$AM$417=1</formula>
    </cfRule>
  </conditionalFormatting>
  <conditionalFormatting sqref="J1798">
    <cfRule type="expression" dxfId="132" priority="26182">
      <formula>$AM$417=1</formula>
    </cfRule>
  </conditionalFormatting>
  <conditionalFormatting sqref="J1802">
    <cfRule type="expression" dxfId="131" priority="26178">
      <formula>$AM$417=1</formula>
    </cfRule>
  </conditionalFormatting>
  <conditionalFormatting sqref="J1807">
    <cfRule type="expression" dxfId="130" priority="526">
      <formula>$AM$417=1</formula>
    </cfRule>
  </conditionalFormatting>
  <conditionalFormatting sqref="J1809">
    <cfRule type="expression" dxfId="129" priority="26174">
      <formula>$AM$417=1</formula>
    </cfRule>
  </conditionalFormatting>
  <conditionalFormatting sqref="J1812">
    <cfRule type="expression" dxfId="128" priority="26166">
      <formula>$AM$417=1</formula>
    </cfRule>
  </conditionalFormatting>
  <conditionalFormatting sqref="J1825">
    <cfRule type="expression" dxfId="127" priority="26162">
      <formula>$AM$417=1</formula>
    </cfRule>
  </conditionalFormatting>
  <conditionalFormatting sqref="J1828">
    <cfRule type="expression" dxfId="126" priority="26158">
      <formula>$AM$417=1</formula>
    </cfRule>
  </conditionalFormatting>
  <conditionalFormatting sqref="J1833">
    <cfRule type="expression" dxfId="125" priority="20172">
      <formula>$AM$417=1</formula>
    </cfRule>
  </conditionalFormatting>
  <conditionalFormatting sqref="J1845">
    <cfRule type="expression" dxfId="124" priority="20171">
      <formula>$AM$417=1</formula>
    </cfRule>
  </conditionalFormatting>
  <conditionalFormatting sqref="J1859">
    <cfRule type="expression" dxfId="123" priority="20168">
      <formula>$AM$417=1</formula>
    </cfRule>
  </conditionalFormatting>
  <conditionalFormatting sqref="J1861">
    <cfRule type="expression" dxfId="122" priority="20167">
      <formula>$AM$417=1</formula>
    </cfRule>
  </conditionalFormatting>
  <conditionalFormatting sqref="J1894">
    <cfRule type="expression" dxfId="121" priority="26149">
      <formula>$AM$417=1</formula>
    </cfRule>
  </conditionalFormatting>
  <conditionalFormatting sqref="J1914">
    <cfRule type="expression" dxfId="120" priority="26138">
      <formula>$AM$417=1</formula>
    </cfRule>
  </conditionalFormatting>
  <conditionalFormatting sqref="J1927">
    <cfRule type="expression" dxfId="119" priority="26134">
      <formula>$AM$417=1</formula>
    </cfRule>
  </conditionalFormatting>
  <conditionalFormatting sqref="J1944">
    <cfRule type="expression" dxfId="118" priority="26130">
      <formula>$AM$417=1</formula>
    </cfRule>
  </conditionalFormatting>
  <conditionalFormatting sqref="J1955">
    <cfRule type="expression" dxfId="117" priority="22606">
      <formula>$AM$417=1</formula>
    </cfRule>
  </conditionalFormatting>
  <conditionalFormatting sqref="J1966">
    <cfRule type="expression" dxfId="116" priority="26117">
      <formula>$AM$417=1</formula>
    </cfRule>
  </conditionalFormatting>
  <conditionalFormatting sqref="J1981">
    <cfRule type="expression" dxfId="115" priority="146">
      <formula>$AM$417=1</formula>
    </cfRule>
  </conditionalFormatting>
  <conditionalFormatting sqref="J2006">
    <cfRule type="expression" dxfId="114" priority="26109">
      <formula>$AM$417=1</formula>
    </cfRule>
  </conditionalFormatting>
  <conditionalFormatting sqref="J2013">
    <cfRule type="expression" dxfId="113" priority="25264">
      <formula>$AM$417=1</formula>
    </cfRule>
  </conditionalFormatting>
  <conditionalFormatting sqref="J2034">
    <cfRule type="expression" dxfId="112" priority="20318">
      <formula>$AM$417=1</formula>
    </cfRule>
  </conditionalFormatting>
  <conditionalFormatting sqref="J2036">
    <cfRule type="expression" dxfId="111" priority="20317">
      <formula>$AM$417=1</formula>
    </cfRule>
  </conditionalFormatting>
  <conditionalFormatting sqref="J2042">
    <cfRule type="expression" dxfId="110" priority="20316">
      <formula>$AM$417=1</formula>
    </cfRule>
  </conditionalFormatting>
  <conditionalFormatting sqref="J2051">
    <cfRule type="expression" dxfId="109" priority="20315">
      <formula>$AM$417=1</formula>
    </cfRule>
  </conditionalFormatting>
  <conditionalFormatting sqref="J2066">
    <cfRule type="expression" dxfId="108" priority="461">
      <formula>#REF!=1</formula>
    </cfRule>
  </conditionalFormatting>
  <conditionalFormatting sqref="J2109">
    <cfRule type="expression" dxfId="107" priority="467">
      <formula>#REF!=1</formula>
    </cfRule>
  </conditionalFormatting>
  <conditionalFormatting sqref="J2118">
    <cfRule type="expression" dxfId="106" priority="26100">
      <formula>$AM$417=1</formula>
    </cfRule>
  </conditionalFormatting>
  <conditionalFormatting sqref="J2124">
    <cfRule type="expression" dxfId="105" priority="4006">
      <formula>$AM$417=1</formula>
    </cfRule>
  </conditionalFormatting>
  <conditionalFormatting sqref="J2132">
    <cfRule type="expression" dxfId="104" priority="26096">
      <formula>$AM$417=1</formula>
    </cfRule>
  </conditionalFormatting>
  <conditionalFormatting sqref="J2158">
    <cfRule type="expression" dxfId="103" priority="26092">
      <formula>$AM$417=1</formula>
    </cfRule>
  </conditionalFormatting>
  <conditionalFormatting sqref="J2166">
    <cfRule type="expression" dxfId="102" priority="26083">
      <formula>$AM$417=1</formula>
    </cfRule>
  </conditionalFormatting>
  <conditionalFormatting sqref="J2182">
    <cfRule type="expression" dxfId="101" priority="26070">
      <formula>$AM$417=1</formula>
    </cfRule>
  </conditionalFormatting>
  <conditionalFormatting sqref="J2188">
    <cfRule type="expression" dxfId="100" priority="26062">
      <formula>$AM$417=1</formula>
    </cfRule>
  </conditionalFormatting>
  <conditionalFormatting sqref="J2206">
    <cfRule type="expression" dxfId="99" priority="26058">
      <formula>$AM$417=1</formula>
    </cfRule>
  </conditionalFormatting>
  <conditionalFormatting sqref="J2211">
    <cfRule type="expression" dxfId="98" priority="26054">
      <formula>$AM$417=1</formula>
    </cfRule>
  </conditionalFormatting>
  <conditionalFormatting sqref="J2223">
    <cfRule type="expression" dxfId="97" priority="26050">
      <formula>$AM$417=1</formula>
    </cfRule>
  </conditionalFormatting>
  <conditionalFormatting sqref="J2236:J2240">
    <cfRule type="expression" dxfId="96" priority="5959">
      <formula>#REF!=1</formula>
    </cfRule>
  </conditionalFormatting>
  <conditionalFormatting sqref="J2241">
    <cfRule type="expression" dxfId="95" priority="2954">
      <formula>$AM$417=1</formula>
    </cfRule>
  </conditionalFormatting>
  <conditionalFormatting sqref="J2259">
    <cfRule type="expression" dxfId="94" priority="18091">
      <formula>#REF!=1</formula>
    </cfRule>
  </conditionalFormatting>
  <conditionalFormatting sqref="J2271">
    <cfRule type="expression" dxfId="93" priority="508">
      <formula>$AM$417=1</formula>
    </cfRule>
  </conditionalFormatting>
  <conditionalFormatting sqref="J2291">
    <cfRule type="expression" dxfId="92" priority="18111">
      <formula>$AM$417=1</formula>
    </cfRule>
  </conditionalFormatting>
  <conditionalFormatting sqref="J2302">
    <cfRule type="expression" dxfId="91" priority="26044">
      <formula>$AM$417=1</formula>
    </cfRule>
  </conditionalFormatting>
  <conditionalFormatting sqref="J2308">
    <cfRule type="expression" dxfId="90" priority="549">
      <formula>$AM$417=1</formula>
    </cfRule>
  </conditionalFormatting>
  <conditionalFormatting sqref="J2328">
    <cfRule type="expression" dxfId="89" priority="18138">
      <formula>$AM$417=1</formula>
    </cfRule>
  </conditionalFormatting>
  <conditionalFormatting sqref="J2349">
    <cfRule type="expression" dxfId="88" priority="26027">
      <formula>$AM$417=1</formula>
    </cfRule>
  </conditionalFormatting>
  <conditionalFormatting sqref="J2372">
    <cfRule type="expression" dxfId="87" priority="26017">
      <formula>$AM$417=1</formula>
    </cfRule>
  </conditionalFormatting>
  <conditionalFormatting sqref="J2378">
    <cfRule type="expression" dxfId="86" priority="26009">
      <formula>$AM$417=1</formula>
    </cfRule>
  </conditionalFormatting>
  <conditionalFormatting sqref="J2393">
    <cfRule type="expression" dxfId="85" priority="26005">
      <formula>$AM$417=1</formula>
    </cfRule>
  </conditionalFormatting>
  <conditionalFormatting sqref="J2409">
    <cfRule type="expression" dxfId="84" priority="1522">
      <formula>$AM$417=1</formula>
    </cfRule>
  </conditionalFormatting>
  <conditionalFormatting sqref="J2422">
    <cfRule type="expression" dxfId="83" priority="25999">
      <formula>$AM$417=1</formula>
    </cfRule>
  </conditionalFormatting>
  <conditionalFormatting sqref="J2433">
    <cfRule type="expression" dxfId="82" priority="25995">
      <formula>$AM$417=1</formula>
    </cfRule>
  </conditionalFormatting>
  <conditionalFormatting sqref="J2447">
    <cfRule type="expression" dxfId="81" priority="25991">
      <formula>$AM$417=1</formula>
    </cfRule>
  </conditionalFormatting>
  <conditionalFormatting sqref="J2454">
    <cfRule type="expression" dxfId="80" priority="25981">
      <formula>$AM$417=1</formula>
    </cfRule>
  </conditionalFormatting>
  <conditionalFormatting sqref="J2459">
    <cfRule type="expression" dxfId="79" priority="25972">
      <formula>$AM$417=1</formula>
    </cfRule>
  </conditionalFormatting>
  <conditionalFormatting sqref="J2467">
    <cfRule type="expression" dxfId="78" priority="25959">
      <formula>$AM$417=1</formula>
    </cfRule>
  </conditionalFormatting>
  <conditionalFormatting sqref="J2474">
    <cfRule type="expression" dxfId="77" priority="10391">
      <formula>$AM$417=1</formula>
    </cfRule>
  </conditionalFormatting>
  <conditionalFormatting sqref="J2498">
    <cfRule type="expression" dxfId="76" priority="25953">
      <formula>$AM$417=1</formula>
    </cfRule>
  </conditionalFormatting>
  <conditionalFormatting sqref="J2518">
    <cfRule type="expression" dxfId="75" priority="25937">
      <formula>$AM$417=1</formula>
    </cfRule>
  </conditionalFormatting>
  <conditionalFormatting sqref="J2523:J2527">
    <cfRule type="expression" dxfId="74" priority="4676">
      <formula>#REF!=1</formula>
    </cfRule>
  </conditionalFormatting>
  <conditionalFormatting sqref="J2535">
    <cfRule type="expression" dxfId="73" priority="4671">
      <formula>$AM$417=1</formula>
    </cfRule>
  </conditionalFormatting>
  <conditionalFormatting sqref="J2543">
    <cfRule type="expression" dxfId="72" priority="4666">
      <formula>$AM$417=1</formula>
    </cfRule>
  </conditionalFormatting>
  <conditionalFormatting sqref="J2548">
    <cfRule type="expression" dxfId="71" priority="4621">
      <formula>$AM$417=1</formula>
    </cfRule>
  </conditionalFormatting>
  <conditionalFormatting sqref="J2559">
    <cfRule type="expression" dxfId="70" priority="4616">
      <formula>$AM$417=1</formula>
    </cfRule>
  </conditionalFormatting>
  <conditionalFormatting sqref="J2568">
    <cfRule type="expression" dxfId="69" priority="25921">
      <formula>$AM$417=1</formula>
    </cfRule>
  </conditionalFormatting>
  <conditionalFormatting sqref="J2570">
    <cfRule type="expression" dxfId="68" priority="141">
      <formula>$AM$417=1</formula>
    </cfRule>
  </conditionalFormatting>
  <conditionalFormatting sqref="J2580">
    <cfRule type="expression" dxfId="67" priority="25911">
      <formula>$AM$417=1</formula>
    </cfRule>
  </conditionalFormatting>
  <conditionalFormatting sqref="J2585">
    <cfRule type="expression" dxfId="66" priority="12164">
      <formula>$AM$417=1</formula>
    </cfRule>
  </conditionalFormatting>
  <conditionalFormatting sqref="J2595">
    <cfRule type="expression" dxfId="65" priority="12149">
      <formula>$AM$417=1</formula>
    </cfRule>
  </conditionalFormatting>
  <conditionalFormatting sqref="J2598">
    <cfRule type="expression" dxfId="64" priority="12140">
      <formula>$AM$417=1</formula>
    </cfRule>
  </conditionalFormatting>
  <conditionalFormatting sqref="J2601">
    <cfRule type="expression" dxfId="63" priority="12131">
      <formula>$AM$417=1</formula>
    </cfRule>
  </conditionalFormatting>
  <conditionalFormatting sqref="J2605">
    <cfRule type="expression" dxfId="62" priority="8156">
      <formula>$AM$417=1</formula>
    </cfRule>
  </conditionalFormatting>
  <conditionalFormatting sqref="J2610">
    <cfRule type="expression" dxfId="61" priority="25886">
      <formula>$AM$417=1</formula>
    </cfRule>
  </conditionalFormatting>
  <conditionalFormatting sqref="J2629">
    <cfRule type="expression" dxfId="60" priority="25882">
      <formula>$AM$417=1</formula>
    </cfRule>
  </conditionalFormatting>
  <conditionalFormatting sqref="J2636">
    <cfRule type="expression" dxfId="59" priority="25873">
      <formula>$AM$417=1</formula>
    </cfRule>
  </conditionalFormatting>
  <conditionalFormatting sqref="J2643">
    <cfRule type="expression" dxfId="58" priority="1038">
      <formula>$AM$417=1</formula>
    </cfRule>
  </conditionalFormatting>
  <conditionalFormatting sqref="J2650">
    <cfRule type="expression" dxfId="57" priority="25869">
      <formula>$AM$417=1</formula>
    </cfRule>
  </conditionalFormatting>
  <conditionalFormatting sqref="J2655">
    <cfRule type="expression" dxfId="56" priority="25834">
      <formula>$AM$417=1</formula>
    </cfRule>
  </conditionalFormatting>
  <conditionalFormatting sqref="J2661">
    <cfRule type="expression" dxfId="55" priority="25790">
      <formula>$AM$417=1</formula>
    </cfRule>
  </conditionalFormatting>
  <conditionalFormatting sqref="J2682">
    <cfRule type="expression" dxfId="54" priority="6137">
      <formula>$AM$417=1</formula>
    </cfRule>
  </conditionalFormatting>
  <conditionalFormatting sqref="J2689">
    <cfRule type="expression" dxfId="53" priority="13121">
      <formula>$AM$417=1</formula>
    </cfRule>
  </conditionalFormatting>
  <conditionalFormatting sqref="J2691">
    <cfRule type="expression" dxfId="52" priority="25779">
      <formula>$AM$417=1</formula>
    </cfRule>
  </conditionalFormatting>
  <conditionalFormatting sqref="J2700">
    <cfRule type="expression" dxfId="51" priority="25761">
      <formula>$AM$417=1</formula>
    </cfRule>
  </conditionalFormatting>
  <conditionalFormatting sqref="J2710">
    <cfRule type="expression" dxfId="50" priority="25750">
      <formula>$AM$417=1</formula>
    </cfRule>
  </conditionalFormatting>
  <conditionalFormatting sqref="J2717:J2720">
    <cfRule type="expression" dxfId="49" priority="4768">
      <formula>#REF!=1</formula>
    </cfRule>
  </conditionalFormatting>
  <conditionalFormatting sqref="J2721">
    <cfRule type="expression" dxfId="48" priority="4772">
      <formula>$AM$417=1</formula>
    </cfRule>
  </conditionalFormatting>
  <conditionalFormatting sqref="J2732">
    <cfRule type="expression" dxfId="47" priority="25732">
      <formula>$AM$417=1</formula>
    </cfRule>
  </conditionalFormatting>
  <conditionalFormatting sqref="J2740">
    <cfRule type="expression" dxfId="46" priority="25722">
      <formula>$AM$417=1</formula>
    </cfRule>
  </conditionalFormatting>
  <conditionalFormatting sqref="J2748">
    <cfRule type="expression" dxfId="45" priority="21320">
      <formula>$AM$417=1</formula>
    </cfRule>
  </conditionalFormatting>
  <conditionalFormatting sqref="J2761">
    <cfRule type="expression" dxfId="44" priority="8543">
      <formula>$AM$417=1</formula>
    </cfRule>
  </conditionalFormatting>
  <conditionalFormatting sqref="J2775">
    <cfRule type="expression" dxfId="43" priority="25681">
      <formula>$AM$417=1</formula>
    </cfRule>
  </conditionalFormatting>
  <conditionalFormatting sqref="J2788">
    <cfRule type="expression" dxfId="42" priority="25674">
      <formula>$AM$417=1</formula>
    </cfRule>
  </conditionalFormatting>
  <conditionalFormatting sqref="J2793">
    <cfRule type="expression" dxfId="41" priority="25665">
      <formula>$AM$417=1</formula>
    </cfRule>
  </conditionalFormatting>
  <conditionalFormatting sqref="J2803:J2806">
    <cfRule type="expression" dxfId="40" priority="4729">
      <formula>#REF!=1</formula>
    </cfRule>
  </conditionalFormatting>
  <conditionalFormatting sqref="J2807">
    <cfRule type="expression" dxfId="39" priority="4753">
      <formula>$AM$417=1</formula>
    </cfRule>
  </conditionalFormatting>
  <conditionalFormatting sqref="J2819">
    <cfRule type="expression" dxfId="38" priority="25635">
      <formula>$AM$417=1</formula>
    </cfRule>
  </conditionalFormatting>
  <conditionalFormatting sqref="J2834">
    <cfRule type="expression" dxfId="37" priority="16535">
      <formula>$AM$417=1</formula>
    </cfRule>
  </conditionalFormatting>
  <conditionalFormatting sqref="J2838">
    <cfRule type="expression" dxfId="36" priority="5323">
      <formula>$AM$417=1</formula>
    </cfRule>
  </conditionalFormatting>
  <conditionalFormatting sqref="J2858">
    <cfRule type="expression" dxfId="35" priority="176">
      <formula>$AM$417=1</formula>
    </cfRule>
  </conditionalFormatting>
  <conditionalFormatting sqref="J2866">
    <cfRule type="expression" dxfId="34" priority="25604">
      <formula>$AM$417=1</formula>
    </cfRule>
  </conditionalFormatting>
  <conditionalFormatting sqref="J2873">
    <cfRule type="expression" dxfId="33" priority="25571">
      <formula>$AM$417=1</formula>
    </cfRule>
  </conditionalFormatting>
  <conditionalFormatting sqref="J2893">
    <cfRule type="expression" dxfId="32" priority="25558">
      <formula>$AM$417=1</formula>
    </cfRule>
  </conditionalFormatting>
  <conditionalFormatting sqref="J2900">
    <cfRule type="expression" dxfId="31" priority="25539">
      <formula>$AM$417=1</formula>
    </cfRule>
  </conditionalFormatting>
  <conditionalFormatting sqref="J2910">
    <cfRule type="expression" dxfId="30" priority="25498">
      <formula>$AM$417=1</formula>
    </cfRule>
  </conditionalFormatting>
  <conditionalFormatting sqref="J2928">
    <cfRule type="expression" dxfId="29" priority="167">
      <formula>$AM$417=1</formula>
    </cfRule>
  </conditionalFormatting>
  <conditionalFormatting sqref="J2938">
    <cfRule type="expression" dxfId="28" priority="25478">
      <formula>$AM$417=1</formula>
    </cfRule>
  </conditionalFormatting>
  <conditionalFormatting sqref="J2946">
    <cfRule type="expression" dxfId="27" priority="25466">
      <formula>$AM$417=1</formula>
    </cfRule>
  </conditionalFormatting>
  <conditionalFormatting sqref="J2960">
    <cfRule type="expression" dxfId="26" priority="25316">
      <formula>$AM$417=1</formula>
    </cfRule>
  </conditionalFormatting>
  <conditionalFormatting sqref="J2983">
    <cfRule type="expression" dxfId="25" priority="25442">
      <formula>$AM$417=1</formula>
    </cfRule>
  </conditionalFormatting>
  <conditionalFormatting sqref="J2991">
    <cfRule type="expression" dxfId="24" priority="25436">
      <formula>$AM$417=1</formula>
    </cfRule>
  </conditionalFormatting>
  <conditionalFormatting sqref="J3007">
    <cfRule type="expression" dxfId="23" priority="25406">
      <formula>$AM$417=1</formula>
    </cfRule>
  </conditionalFormatting>
  <conditionalFormatting sqref="J3021">
    <cfRule type="expression" dxfId="22" priority="25382">
      <formula>$AM$417=1</formula>
    </cfRule>
  </conditionalFormatting>
  <conditionalFormatting sqref="J3028">
    <cfRule type="expression" dxfId="21" priority="25375">
      <formula>$AM$417=1</formula>
    </cfRule>
  </conditionalFormatting>
  <conditionalFormatting sqref="J3041">
    <cfRule type="expression" dxfId="20" priority="25376">
      <formula>$AM$417=1</formula>
    </cfRule>
  </conditionalFormatting>
  <conditionalFormatting sqref="J3066">
    <cfRule type="expression" dxfId="19" priority="25363">
      <formula>$AM$417=1</formula>
    </cfRule>
  </conditionalFormatting>
  <conditionalFormatting sqref="J3072">
    <cfRule type="expression" dxfId="18" priority="25357">
      <formula>$AM$417=1</formula>
    </cfRule>
  </conditionalFormatting>
  <conditionalFormatting sqref="J3116">
    <cfRule type="expression" dxfId="17" priority="25344">
      <formula>$AM$417=1</formula>
    </cfRule>
  </conditionalFormatting>
  <conditionalFormatting sqref="J3125">
    <cfRule type="expression" dxfId="16" priority="25332">
      <formula>$AM$417=1</formula>
    </cfRule>
  </conditionalFormatting>
  <conditionalFormatting sqref="J3161">
    <cfRule type="expression" dxfId="15" priority="25322">
      <formula>$AM$417=1</formula>
    </cfRule>
  </conditionalFormatting>
  <conditionalFormatting sqref="O1">
    <cfRule type="expression" dxfId="14" priority="26637">
      <formula>$AL$1=3</formula>
    </cfRule>
  </conditionalFormatting>
  <conditionalFormatting sqref="P99 Q114:Q1012 Q1014:Q1739 Q1741 Q1743:Q1755 Q1757:Q1768 Q1770:Q1772 Q1774:Q2307 Q2309:Q2327 Q2329:Q2377 Q2379:Q2392 Q2394:Q2408 Q2410:Q2534 Q2536:Q2542 Q2544:Q2547 Q2549:Q2558 Q2560:Q2628 Q2630:Q2837 Q2839:Q2857 Q2859:Q1048576">
    <cfRule type="cellIs" dxfId="13" priority="21513" operator="greaterThan">
      <formula>0</formula>
    </cfRule>
  </conditionalFormatting>
  <conditionalFormatting sqref="Q1:Q3 Q11:Q99">
    <cfRule type="cellIs" dxfId="12" priority="23557" operator="greaterThan">
      <formula>0</formula>
    </cfRule>
  </conditionalFormatting>
  <dataValidations count="7">
    <dataValidation type="whole" operator="greaterThan" allowBlank="1" showErrorMessage="1" errorTitle="Внимание" error="Можно вводить только числовые значения!" sqref="E417:E418 E488 E2012:E2013 E2699:E2700 E471:E473 E484 E2731:E2732 E3160:E3161 E564:E565 E2982:E2983 E766:E767 E1123:E1124 E2792:E2793 E2959:E2960 E2818:E2819 E2990:E2991 E1164:E1165 E3065:E3066 E2865:E2866 E1380:E1381 E1459:E1460 E1732:E1733 E1784:E1786 E1893:E1894 E2892:E2893 E1954:E1955 E3071:E3072 E2117:E2118 E2165:E2166 E3006:E3007 E2301:E2302 E2899:E2900 E2348:E2349 E2371:E2372 E2421:E2422 E2458:E2459 E2909:E2910 E2497:E2498 E3115:E3116 E2937:E2938 E2567 E2579:E2580 E2609:E2610 E3020:E3021 E2945:E2946 E3040:E3041 E2660:E2661 E2033:E2034 E652 E2328 E2290:E2291 E2267 E2270:E2271 E2258:E2259 E1105:E1106 E636:E638 E1558:E1559 E1508:E1509 E2872:E2873 E1435:E1436 E1396 E2716:E2721 E2802:E2807 E2522:E2527 E2635:E2644 E1359:E1360 E2235:E2241 E2466:E2473 E644 E833 E958:E959 E1011:E1012 E432:E433 E117:E118 E2308 E641 E2833:E2838 E1251:E1252 E1305:E1311 E1342:E1348 E1330 E2065:E2066 E2108:E2109 E196:E202 E220:E226 E234:E235 E354:E355 E1524:E1530 E1320:E1323 E2928 E1668:E1674 E1697 E1689:E1690 E1571:E1577 E1590:E1596 E1649:E1655 E176:E182 E1364 E1370 E439 E455:E456 E1334:E1339 E1832:E1844 E2760:E2763" xr:uid="{E923CED0-063E-4983-8564-33FC153607C1}">
      <formula1>0</formula1>
    </dataValidation>
    <dataValidation allowBlank="1" showErrorMessage="1" errorTitle="Внимание" error="Вводите значения в поле &quot;ЗАКАЗ&quot;" sqref="J418 J3066 J484 J2946 J488 J2498 J565 J3007 J2866 J767 J1124 J2960 J2580 J2761 J2610 J1165 J3072 J2893 J2013 J1381 J1460 J2661 J2900 J2983 J1733 J3116 J1786 J2700 J1894 J3021 J2991 J1955 J2910 J2118 J2732 J2166 J2302 J2349 J3041 J2793 J2372 J2938 J3161 J2422 J2819 J2459 J2467 J2034 J652 J2328 J2291 J2271 J2259 J2241 J1106 J638 J1559 J1509 J2873 J1436 J2721 J2807 J2527 J2636:J2644 J1360 J644 J959 J1012:J1013 J429 J432:J434 J118 J2308 J641 J471:J472 J2834:J2838 J1311 J1348 J1330 J2066 J2109 J202 J226 J235 J355 J1530 J1320:J1323 J2928 J1674 J1697 J1690 J1577 J1596 J1655 J182 J1364 J1370 J439 J455:J456 J1334:J1339 J1833:J1844" xr:uid="{B966AAFA-AA43-4B95-B564-C2EA91FCD846}"/>
    <dataValidation type="whole" operator="greaterThan" allowBlank="1" showInputMessage="1" showErrorMessage="1" errorTitle="НатурВектор" error="Можно вводить только числовые значения!" sqref="F2689:F2691 F2223 F771:F773 F1398:F1401 F2202:F2206 F2211:F2217 F2042:F2051 F2058:F2059 F310 F631:F710 F1014 F1103:F1106 F1037:F1056 F516:F519 F2301:F2302 F2308:F2345 F2182:F2195 F1879:F1880 F726:F769 F1801:F1802 F1029:F1032 F2474:F2630 F782:F788 F277:F279 F840:F912 F2258:F2274 F1476:F1551 F231:F245 F540:F551 F510:F513 F599:F627 F1798:F1799 F286:F303 F305:F308 F2633:F2661 F2348:F2433 F2957:F3116 F2892:F2918 F317:F351 F481:F506 F194:F205 F1340:F1396 F1889:F1941 F2235:F2256 F417:F479 F521:F536 F2063:F2166 F354:F414 F1167:F1193 F2281:F2298 F253:F273 F283 F791:F817 F1070:F1085 F916:F1012 F1121:F1165 F1433:F1474 F1804:F1861 F1944:F2040 F2760:F2820 F2831:F2889 F2928:F2946 F207:F226 F1766:F1794 F2447:F2469 F2471 F553:F597 F1231:F1330 F1334 F1558:F1764 F1062:F1068 F820:F828 F830:F834 F2699:F2757 F116:F182 F3125:F1048576" xr:uid="{3223BCE4-32D9-4732-91A3-A6BEE58549CD}">
      <formula1>0</formula1>
    </dataValidation>
    <dataValidation type="custom" operator="greaterThan" allowBlank="1" showInputMessage="1" showErrorMessage="1" errorTitle="НатурВектор" error="Данный товар можно заказать только кратно ЦЕЛЫМ коробкам" sqref="F480 F2196:F2201 F2947:F2956 F2346:F2347 F770 F2299:F2300 F2890:F2891 F1114:F1120 F774:F781 F2041 F598 F2218:F2222 F2821:F2830 F2692:F2698 F2207:F2210 F835:F839 F2257 F1057:F1061 F818:F819 F1397 F2052:F2057 F1942:F1943 F789:F790 F913:F915 F628:F630 F537:F539 F2060:F2062 F3117:F3124 F2758:F2759 F1881:F1888 F1402:F1432 F1166 F711:F725 F206 F284:F285 F311:F316 F274:F276 F246:F252 F352:F353 F415:F416 F1552:F1557 F507:F509 F520 F514:F515 F1331:F1333 F2224:F2234 F2167:F2181 F280:F282 F1015:F1028 F2275:F2280 F2919:F2927 F1086:F1102 F2303:F2307 F2434:F2446 F2662:F2688 F1194:F1230 F2631:F2632 F1335:F1339 F1862:F1878 F2470 F2472:F2473 F183:F193 F1033 F1036" xr:uid="{00000000-0002-0000-0000-000003000000}">
      <formula1>MOD(F183,E183)=0</formula1>
    </dataValidation>
    <dataValidation operator="greaterThan" allowBlank="1" showInputMessage="1" showErrorMessage="1" errorTitle="НатурВектор" error="Можно вводить только числовые значения!" sqref="F1 F3:F115" xr:uid="{5E96D4FB-A99E-491B-A0D2-3980F9BFB714}"/>
    <dataValidation type="custom" operator="greaterThan" allowBlank="1" showInputMessage="1" showErrorMessage="1" errorTitle="НатурВектор" error="Данный товар можно заказать только кратно 1\2 от ЦЕЛОЙ КОРОБКИ (6шт)" sqref="F1107:F1113" xr:uid="{00000000-0002-0000-0000-000005000000}">
      <formula1>MOD(F1107,6)=0</formula1>
    </dataValidation>
    <dataValidation type="whole" operator="equal" allowBlank="1" showInputMessage="1" showErrorMessage="1" errorTitle="НатурВектор" error="Товар временно отсутствует" sqref="F1475 F1803 F1795:F1797 F552 F1800 F304 F309 F227:F230 F1765 F1069 F1034:F1035 F829" xr:uid="{00000000-0002-0000-0000-000006000000}">
      <formula1>0</formula1>
    </dataValidation>
  </dataValidations>
  <hyperlinks>
    <hyperlink ref="R564" location="Быстрый_поиск" display="Быстрый_поиск" xr:uid="{00000000-0004-0000-0000-000000000000}"/>
    <hyperlink ref="R417" location="Быстрый_поиск" display="Быстрый_поиск" xr:uid="{00000000-0004-0000-0000-000001000000}"/>
    <hyperlink ref="R636" location="Быстрый_поиск" display="Быстрый_поиск" xr:uid="{00000000-0004-0000-0000-000002000000}"/>
    <hyperlink ref="R766" location="Быстрый_поиск" display="Быстрый_поиск" xr:uid="{00000000-0004-0000-0000-000003000000}"/>
    <hyperlink ref="R1123" location="Быстрый_поиск" display="Быстрый_поиск" xr:uid="{00000000-0004-0000-0000-000004000000}"/>
    <hyperlink ref="R1164" location="Быстрый_поиск" display="Быстрый_поиск" xr:uid="{00000000-0004-0000-0000-000005000000}"/>
    <hyperlink ref="R1459" location="Быстрый_поиск" display="Быстрый_поиск" xr:uid="{00000000-0004-0000-0000-000008000000}"/>
    <hyperlink ref="R1732" location="Быстрый_поиск" display="Быстрый_поиск" xr:uid="{00000000-0004-0000-0000-00000A000000}"/>
    <hyperlink ref="R1784" location="Быстрый_поиск" display="Быстрый_поиск" xr:uid="{00000000-0004-0000-0000-00000B000000}"/>
    <hyperlink ref="R1893" location="Быстрый_поиск" display="Быстрый_поиск" xr:uid="{00000000-0004-0000-0000-00000C000000}"/>
    <hyperlink ref="R1954" location="Быстрый_поиск" display="Быстрый_поиск" xr:uid="{00000000-0004-0000-0000-00000D000000}"/>
    <hyperlink ref="R2012" location="Быстрый_поиск" display="Быстрый_поиск" xr:uid="{00000000-0004-0000-0000-00000E000000}"/>
    <hyperlink ref="R2117" location="Быстрый_поиск" display="Быстрый_поиск" xr:uid="{00000000-0004-0000-0000-00000F000000}"/>
    <hyperlink ref="R2165" location="Быстрый_поиск" display="Быстрый_поиск" xr:uid="{00000000-0004-0000-0000-000010000000}"/>
    <hyperlink ref="R2301" location="Быстрый_поиск" display="Быстрый_поиск" xr:uid="{00000000-0004-0000-0000-000011000000}"/>
    <hyperlink ref="R2348" location="Быстрый_поиск" display="Быстрый_поиск" xr:uid="{00000000-0004-0000-0000-000012000000}"/>
    <hyperlink ref="R2371" location="Быстрый_поиск" display="Быстрый_поиск" xr:uid="{00000000-0004-0000-0000-000013000000}"/>
    <hyperlink ref="R2421" location="Быстрый_поиск" display="Быстрый_поиск" xr:uid="{00000000-0004-0000-0000-000014000000}"/>
    <hyperlink ref="R2458" location="Быстрый_поиск" display="Быстрый_поиск" xr:uid="{00000000-0004-0000-0000-000015000000}"/>
    <hyperlink ref="R2466" location="Быстрый_поиск" display="Быстрый_поиск" xr:uid="{00000000-0004-0000-0000-000016000000}"/>
    <hyperlink ref="R2497" location="Быстрый_поиск" display="Быстрый_поиск" xr:uid="{00000000-0004-0000-0000-000017000000}"/>
    <hyperlink ref="R2579" location="Быстрый_поиск" display="Быстрый_поиск" xr:uid="{00000000-0004-0000-0000-000019000000}"/>
    <hyperlink ref="R2609" location="Быстрый_поиск" display="Быстрый_поиск" xr:uid="{00000000-0004-0000-0000-00001A000000}"/>
    <hyperlink ref="R2635" location="Быстрый_поиск" display="Быстрый_поиск" xr:uid="{00000000-0004-0000-0000-00001B000000}"/>
    <hyperlink ref="R2660" location="Быстрый_поиск" display="Быстрый_поиск" xr:uid="{00000000-0004-0000-0000-00001D000000}"/>
    <hyperlink ref="R2731" location="Быстрый_поиск" display="Быстрый_поиск" xr:uid="{00000000-0004-0000-0000-00001E000000}"/>
    <hyperlink ref="R2760" location="Быстрый_поиск" display="Быстрый_поиск" xr:uid="{00000000-0004-0000-0000-00001F000000}"/>
    <hyperlink ref="R2792" location="Быстрый_поиск" display="Быстрый_поиск" xr:uid="{00000000-0004-0000-0000-000020000000}"/>
    <hyperlink ref="R2818" location="Быстрый_поиск" display="Быстрый_поиск" xr:uid="{00000000-0004-0000-0000-000021000000}"/>
    <hyperlink ref="R2833" location="Быстрый_поиск" display="Быстрый_поиск" xr:uid="{00000000-0004-0000-0000-000023000000}"/>
    <hyperlink ref="R2865" location="Быстрый_поиск" display="Быстрый_поиск" xr:uid="{00000000-0004-0000-0000-000024000000}"/>
    <hyperlink ref="R2872" location="Быстрый_поиск" display="Быстрый_поиск" xr:uid="{00000000-0004-0000-0000-000026000000}"/>
    <hyperlink ref="R2892" location="Быстрый_поиск" display="Быстрый_поиск" xr:uid="{00000000-0004-0000-0000-000027000000}"/>
    <hyperlink ref="R2899" location="Быстрый_поиск" display="Быстрый_поиск" xr:uid="{00000000-0004-0000-0000-000028000000}"/>
    <hyperlink ref="R2909" location="Быстрый_поиск" display="Быстрый_поиск" xr:uid="{00000000-0004-0000-0000-00002A000000}"/>
    <hyperlink ref="R2937" location="Быстрый_поиск" display="Быстрый_поиск" xr:uid="{00000000-0004-0000-0000-00002B000000}"/>
    <hyperlink ref="R2945" location="Быстрый_поиск" display="Быстрый_поиск" xr:uid="{00000000-0004-0000-0000-00002C000000}"/>
    <hyperlink ref="R2959" location="Быстрый_поиск" display="Быстрый_поиск" xr:uid="{00000000-0004-0000-0000-00002E000000}"/>
    <hyperlink ref="R2982" location="Быстрый_поиск" display="Быстрый_поиск" xr:uid="{00000000-0004-0000-0000-00002F000000}"/>
    <hyperlink ref="R2990" location="Быстрый_поиск" display="Быстрый_поиск" xr:uid="{00000000-0004-0000-0000-000030000000}"/>
    <hyperlink ref="R3006" location="Быстрый_поиск" display="Быстрый_поиск" xr:uid="{00000000-0004-0000-0000-000031000000}"/>
    <hyperlink ref="R3020" location="Быстрый_поиск" display="Быстрый_поиск" xr:uid="{00000000-0004-0000-0000-000032000000}"/>
    <hyperlink ref="R3040" location="Быстрый_поиск" display="Быстрый_поиск" xr:uid="{00000000-0004-0000-0000-000033000000}"/>
    <hyperlink ref="R3065" location="Быстрый_поиск" display="Быстрый_поиск" xr:uid="{00000000-0004-0000-0000-000034000000}"/>
    <hyperlink ref="R3071" location="Быстрый_поиск" display="Быстрый_поиск" xr:uid="{00000000-0004-0000-0000-000035000000}"/>
    <hyperlink ref="R3115" location="Быстрый_поиск" display="Быстрый_поиск" xr:uid="{00000000-0004-0000-0000-000036000000}"/>
    <hyperlink ref="R3160" location="Быстрый_поиск" display="Быстрый_поиск" xr:uid="{00000000-0004-0000-0000-000037000000}"/>
    <hyperlink ref="AO590" r:id="rId1" display="http://www.fitparad.com/site.aspx?IID=4020849" xr:uid="{00000000-0004-0000-0000-000039000000}"/>
    <hyperlink ref="AO591" r:id="rId2" display="http://www.fitparad.com/site.aspx?IID=3955656" xr:uid="{00000000-0004-0000-0000-00003A000000}"/>
    <hyperlink ref="AO592" r:id="rId3" display="http://www.fitparad.com/site.aspx?IID=4027691" xr:uid="{00000000-0004-0000-0000-00003B000000}"/>
    <hyperlink ref="AO2002" r:id="rId4" display="http://naturevector.c8804.shared.hc.ru/photo/18911.jpg" xr:uid="{00000000-0004-0000-0000-00003C000000}"/>
    <hyperlink ref="AO2004" r:id="rId5" display="http://naturevector.c8804.shared.hc.ru/photo/18908.jpg" xr:uid="{00000000-0004-0000-0000-00003D000000}"/>
    <hyperlink ref="AO2005" r:id="rId6" display="http://naturevector.c8804.shared.hc.ru/photo/18910.jpg" xr:uid="{00000000-0004-0000-0000-00003E000000}"/>
    <hyperlink ref="AO1803" r:id="rId7" display="https://images.av.ru/av.ru/product/hac/hda/9245148348446.jpg" xr:uid="{00000000-0004-0000-0000-00003F000000}"/>
    <hyperlink ref="AO1999" r:id="rId8" display="https://mrdjemiuszero.com/upload/iblock/797/7977bb642834f44fa102c3b63cca3113.jpg" xr:uid="{00000000-0004-0000-0000-000085000000}"/>
    <hyperlink ref="AO2469" r:id="rId9" display="https://fabrikabio.ru/images/product/000/000126/375-shishka.tn-570x900.e5d4685829.png" xr:uid="{00000000-0004-0000-0000-000086000000}"/>
    <hyperlink ref="AO813" r:id="rId10" display="http://дивинка.рф/upload/iblock/66f/66f60a25077683fff611b88adef3fecc.png" xr:uid="{00000000-0004-0000-0000-000088000000}"/>
    <hyperlink ref="AO814" r:id="rId11" display="http://дивинка.рф/upload/iblock/559/5595ea5e86aa116226144ff0308aefbc.png" xr:uid="{00000000-0004-0000-0000-000089000000}"/>
    <hyperlink ref="AO2735" r:id="rId12" display="https://ivan-da.ru/wp-content/uploads/2021/03/D87B98FE-5276-4662-B0CB-06C259799D2A.png" xr:uid="{00000000-0004-0000-0000-00008A000000}"/>
    <hyperlink ref="AO741" r:id="rId13" display="https://www.altay-organic.ru/upload/resize_cache/webp/iblock/922/1000_1000_140cd750bba9870f18aada2478b24840a/n24c17zsyi2cmg6fpy695yk3edctno09.webp" xr:uid="{00000000-0004-0000-0000-00008B000000}"/>
    <hyperlink ref="AO2680" r:id="rId14" display="https://frutilad.ru/wp-content/uploads/2021/03/kids-pear-1.jpg" xr:uid="{00000000-0004-0000-0000-000091000000}"/>
    <hyperlink ref="AO2681" r:id="rId15" display="https://frutilad.ru/wp-content/uploads/2021/03/kids-apple-blueberry-1.jpg" xr:uid="{00000000-0004-0000-0000-000092000000}"/>
    <hyperlink ref="AO588" r:id="rId16" display="https://fitparade.ru/upload/resize_cache/iblock/0fb/680_510_1/0fb67b3899363ea3844704b01ed60da8.png" xr:uid="{00000000-0004-0000-0000-000094000000}"/>
    <hyperlink ref="AO751" r:id="rId17" xr:uid="{00000000-0004-0000-0000-000097000000}"/>
    <hyperlink ref="AO740" r:id="rId18" display="https://altay-organic.ru/upload/resize_cache/webp/iblock/bf0/1000_1000_140cd750bba9870f18aada2478b24840a/zsxjlczjygeoqvnqq9s53j8q8gcnpoc0.webp" xr:uid="{00000000-0004-0000-0000-000098000000}"/>
    <hyperlink ref="AO2600" r:id="rId19" display="http://molecola.ru/images/universalniy-pyatnovivoditel-karandash-big.png" xr:uid="{00000000-0004-0000-0000-00009A000000}"/>
    <hyperlink ref="AO1146" r:id="rId20" display="https://static.tildacdn.com/tild3339-6261-4438-b265-633735643035/test2.jpg" xr:uid="{00000000-0004-0000-0000-0000A4000000}"/>
    <hyperlink ref="AO1170" r:id="rId21" display="https://image.jimcdn.com/app/cms/image/transf/dimension=410x1024:format=png/path/scddca46c04b2355a/image/if8d0d9f7d69842a7/version/1631080513/%D0%BC%D0%B0%D1%81%D0%BB%D0%BE-%D1%82%D0%BE%D0%BF%D0%BB%D0%B5%D0%BD%D0%BE%D0%B5-%D0%B3%D1%85%D0%B8.png" xr:uid="{00000000-0004-0000-0000-0000A6000000}"/>
    <hyperlink ref="AO1217" r:id="rId22" display="http://naturevector.c8804.shared.hc.ru/photo/" xr:uid="{00000000-0004-0000-0000-0000AA000000}"/>
    <hyperlink ref="AO1218:AO1223" r:id="rId23" display="http://naturevector.c8804.shared.hc.ru/photo/" xr:uid="{00000000-0004-0000-0000-0000AB000000}"/>
    <hyperlink ref="R2033" location="Быстрый_поиск" display="Быстрый_поиск" xr:uid="{00000000-0004-0000-0000-0000AD000000}"/>
    <hyperlink ref="R1832" location="Быстрый_поиск" display="Быстрый_поиск" xr:uid="{00000000-0004-0000-0000-0000AE000000}"/>
    <hyperlink ref="AO716" r:id="rId24" display="http://naturevector.c8804.shared.hc.ru/photo/" xr:uid="{00000000-0004-0000-0000-0000AF000000}"/>
    <hyperlink ref="AO717:AO720" r:id="rId25" display="http://naturevector.c8804.shared.hc.ru/photo/" xr:uid="{00000000-0004-0000-0000-0000B0000000}"/>
    <hyperlink ref="AO1224" r:id="rId26" display="http://naturevector.c8804.shared.hc.ru/photo/" xr:uid="{00000000-0004-0000-0000-0000B1000000}"/>
    <hyperlink ref="AO1225:AO1229" r:id="rId27" display="http://naturevector.c8804.shared.hc.ru/photo/" xr:uid="{00000000-0004-0000-0000-0000B2000000}"/>
    <hyperlink ref="AO2431" r:id="rId28" display="http://naturevector.c8804.shared.hc.ru/photo/" xr:uid="{00000000-0004-0000-0000-0000B3000000}"/>
    <hyperlink ref="AO1158" r:id="rId29" display="http://naturevector.c8804.shared.hc.ru/photo/" xr:uid="{00000000-0004-0000-0000-0000B6000000}"/>
    <hyperlink ref="AO2224" r:id="rId30" display="http://naturevector.c8804.shared.hc.ru/photo/" xr:uid="{00000000-0004-0000-0000-0000B9000000}"/>
    <hyperlink ref="AO2225:AO2227" r:id="rId31" display="http://naturevector.c8804.shared.hc.ru/photo/" xr:uid="{00000000-0004-0000-0000-0000BA000000}"/>
    <hyperlink ref="AO1919" r:id="rId32" display="http://naturevector.c8804.shared.hc.ru/photo/" xr:uid="{00000000-0004-0000-0000-0000BE000000}"/>
    <hyperlink ref="AO1915:AO1918" r:id="rId33" display="http://naturevector.c8804.shared.hc.ru/photo/" xr:uid="{00000000-0004-0000-0000-0000BF000000}"/>
    <hyperlink ref="AO2310:AO2325" r:id="rId34" display="http://naturevector.c8804.shared.hc.ru/photo/" xr:uid="{00000000-0004-0000-0000-0000C1000000}"/>
    <hyperlink ref="R2290" location="Быстрый_поиск" display="Быстрый_поиск" xr:uid="{00000000-0004-0000-0000-0000C2000000}"/>
    <hyperlink ref="R2270" location="Быстрый_поиск" display="Быстрый_поиск" xr:uid="{00000000-0004-0000-0000-0000C3000000}"/>
    <hyperlink ref="AO2281" r:id="rId35" display="https://nutvinograd.ru/wp-content/uploads/2021/01/dsc_0035-567x1024.jpg" xr:uid="{00000000-0004-0000-0000-0000C4000000}"/>
    <hyperlink ref="AO2283" r:id="rId36" display="https://nutvinograd.ru/wp-content/uploads/2021/01/dsc_0387-1-627x1024.jpg" xr:uid="{00000000-0004-0000-0000-0000C5000000}"/>
    <hyperlink ref="AO2282" r:id="rId37" display="https://nutvinograd.ru/wp-content/uploads/2021/01/dsc_0389-2-578x1024.jpg" xr:uid="{00000000-0004-0000-0000-0000C6000000}"/>
    <hyperlink ref="AO2272" r:id="rId38" xr:uid="{00000000-0004-0000-0000-0000C7000000}"/>
    <hyperlink ref="AO2273" r:id="rId39" xr:uid="{00000000-0004-0000-0000-0000C8000000}"/>
    <hyperlink ref="AO2274" r:id="rId40" xr:uid="{00000000-0004-0000-0000-0000C9000000}"/>
    <hyperlink ref="AO2286" r:id="rId41" display="https://nutvinograd.ru/wp-content/cache/thumb/ab/b1772a5750b39ab_0x350.jpg" xr:uid="{00000000-0004-0000-0000-0000CA000000}"/>
    <hyperlink ref="AO2285" r:id="rId42" display="https://nutvinograd.ru/wp-content/uploads/2021/01/pastila-abrikos-1-683x1024.jpg" xr:uid="{00000000-0004-0000-0000-0000CB000000}"/>
    <hyperlink ref="AO2287" r:id="rId43" display="https://nutvinograd.ru/wp-content/uploads/2021/01/pastila-yabloko-1-683x1024.jpg" xr:uid="{00000000-0004-0000-0000-0000CD000000}"/>
    <hyperlink ref="R2258" location="Быстрый_поиск" display="Быстрый_поиск" xr:uid="{00000000-0004-0000-0000-0000CE000000}"/>
    <hyperlink ref="AO2264" r:id="rId44" xr:uid="{00000000-0004-0000-0000-0000D0000000}"/>
    <hyperlink ref="AO2266" r:id="rId45" xr:uid="{00000000-0004-0000-0000-0000D1000000}"/>
    <hyperlink ref="AO2265" r:id="rId46" xr:uid="{00000000-0004-0000-0000-0000D2000000}"/>
    <hyperlink ref="AO2267" r:id="rId47" xr:uid="{00000000-0004-0000-0000-0000D3000000}"/>
    <hyperlink ref="AO2003" r:id="rId48" display="http://naturevector.c8804.shared.hc.ru/photo/19593.jpg" xr:uid="{00000000-0004-0000-0000-0000D4000000}"/>
    <hyperlink ref="AO1997" r:id="rId49" display="http://naturevector.c8804.shared.hc.ru/photo/19793.jpg" xr:uid="{00000000-0004-0000-0000-0000D8000000}"/>
    <hyperlink ref="AO1169" r:id="rId50" display="http://naturevector.c8804.shared.hc.ru/photo/18657.jpg" xr:uid="{00000000-0004-0000-0000-0000D9000000}"/>
    <hyperlink ref="AO2426" r:id="rId51" xr:uid="{00000000-0004-0000-0000-0000DE000000}"/>
    <hyperlink ref="R1105" location="Быстрый_поиск" display="Быстрый_поиск" xr:uid="{00000000-0004-0000-0000-0000E0000000}"/>
    <hyperlink ref="AO1998" r:id="rId52" display="http://naturevector.c8804.shared.hc.ru/photo/19829.jpg" xr:uid="{00000000-0004-0000-0000-0000E2000000}"/>
    <hyperlink ref="AO2001" r:id="rId53" display="http://naturevector.c8804.shared.hc.ru/photo/19830.jpg" xr:uid="{00000000-0004-0000-0000-0000E3000000}"/>
    <hyperlink ref="AO2477" r:id="rId54" display="http://naturevector.c8804.shared.hc.ru/photo/19871.jpg" xr:uid="{00000000-0004-0000-0000-0000E6000000}"/>
    <hyperlink ref="AO1787" r:id="rId55" xr:uid="{00000000-0004-0000-0000-0000E9000000}"/>
    <hyperlink ref="AO2679" r:id="rId56" display="http://naturevector.c8804.shared.hc.ru/photo/19958.jpg" xr:uid="{00000000-0004-0000-0000-0000F4000000}"/>
    <hyperlink ref="AO747" r:id="rId57" display="http://naturevector.c8804.shared.hc.ru/photo/19939.jpg" xr:uid="{00000000-0004-0000-0000-0000F6000000}"/>
    <hyperlink ref="AO656" r:id="rId58" display="http://naturevector.c8804.shared.hc.ru/photo/19941.jpg" xr:uid="{00000000-0004-0000-0000-0000F7000000}"/>
    <hyperlink ref="AO657" r:id="rId59" display="http://naturevector.c8804.shared.hc.ru/photo/19942.jpg" xr:uid="{00000000-0004-0000-0000-0000F8000000}"/>
    <hyperlink ref="R1558" location="Быстрый_поиск" display="Быстрый_поиск" xr:uid="{00000000-0004-0000-0000-0000FD000000}"/>
    <hyperlink ref="AO1565" r:id="rId60" display="http://naturevector.c8804.shared.hc.ru/photo/19790.jpg" xr:uid="{00000000-0004-0000-0000-0000FE000000}"/>
    <hyperlink ref="AO1566" r:id="rId61" display="http://naturevector.c8804.shared.hc.ru/photo/19789.jpg" xr:uid="{00000000-0004-0000-0000-0000FF000000}"/>
    <hyperlink ref="AO1567" r:id="rId62" display="http://naturevector.c8804.shared.hc.ru/photo/19788.jpg" xr:uid="{00000000-0004-0000-0000-000000010000}"/>
    <hyperlink ref="AO1564" r:id="rId63" display="http://naturevector.c8804.shared.hc.ru/photo/19791.jpg" xr:uid="{00000000-0004-0000-0000-000001010000}"/>
    <hyperlink ref="R1508" location="Быстрый_поиск" display="Быстрый_поиск" xr:uid="{00000000-0004-0000-0000-000002010000}"/>
    <hyperlink ref="AO1511:AO1516" r:id="rId64" display="http://naturevector.c8804.shared.hc.ru/photo/" xr:uid="{00000000-0004-0000-0000-000003010000}"/>
    <hyperlink ref="AO1517" r:id="rId65" display="http://naturevector.c8804.shared.hc.ru/photo/greenzlak.jpg" xr:uid="{00000000-0004-0000-0000-000004010000}"/>
    <hyperlink ref="R1396" location="Быстрый_поиск" display="Быстрый_поиск" xr:uid="{00000000-0004-0000-0000-000012010000}"/>
    <hyperlink ref="AO1409:AO1423" r:id="rId66" display="http://naturevector.c8804.shared.hc.ru/photo/" xr:uid="{00000000-0004-0000-0000-000013010000}"/>
    <hyperlink ref="AO1416:AO1419" r:id="rId67" display="http://naturevector.c8804.shared.hc.ru/photo/" xr:uid="{00000000-0004-0000-0000-000014010000}"/>
    <hyperlink ref="AO1562" r:id="rId68" display="http://naturevector.c8804.shared.hc.ru/photo/19792.jpg" xr:uid="{00000000-0004-0000-0000-000015010000}"/>
    <hyperlink ref="AO1989" r:id="rId69" display="http://1.c8804.nichost.ru/pics/20305.jpg" xr:uid="{00000000-0004-0000-0000-000016010000}"/>
    <hyperlink ref="AO1388" r:id="rId70" display="https://royal-forest.ru/upload/iblock/837/zg1pik7hjo2f3oqsryz2ada5kl0c3qy9.jpg" xr:uid="{00000000-0004-0000-0000-000022010000}"/>
    <hyperlink ref="AO1461" r:id="rId71" display="https://lifeway.su/wp-content/uploads/2014/04/TSelnosmolotaya-grechnevaya-muka.jpg" xr:uid="{00000000-0004-0000-0000-000026010000}"/>
    <hyperlink ref="AO1462" r:id="rId72" display="https://lifeway.su/wp-content/uploads/2015/06/Kukuruznaya-muka-tselnosmolotaya.jpg" xr:uid="{00000000-0004-0000-0000-000028010000}"/>
    <hyperlink ref="AO1463" r:id="rId73" display="https://lifeway.su/wp-content/uploads/2014/04/Lnyanaya-muka-iz-semyan-posle-otzhima-masla.jpg" xr:uid="{00000000-0004-0000-0000-000029010000}"/>
    <hyperlink ref="AO1464" r:id="rId74" display="https://lifeway.su/wp-content/uploads/2014/04/TSelnosmolotaya-ovsyanaya-muka.jpg" xr:uid="{00000000-0004-0000-0000-00002A010000}"/>
    <hyperlink ref="AO1465" r:id="rId75" display="https://lifeway.su/wp-content/uploads/2014/12/TSelnosmolotaya-polbyanaya-muka.jpg" xr:uid="{00000000-0004-0000-0000-00002C010000}"/>
    <hyperlink ref="AO1466" r:id="rId76" display="https://lifeway.su/wp-content/uploads/2014/04/TSelnosmolotaya-pshenichnaya-muka.jpg" xr:uid="{00000000-0004-0000-0000-00002D010000}"/>
    <hyperlink ref="AO1467" r:id="rId77" display="https://lifeway.su/wp-content/uploads/2014/04/TSelnosmolotaya-rzhanaya-muka.jpg" xr:uid="{00000000-0004-0000-0000-00002E010000}"/>
    <hyperlink ref="AO1469" r:id="rId78" display="https://lifeway.su/wp-content/uploads/2015/06/Risa-burogo-muka-tselnosmolotaya.jpg" xr:uid="{00000000-0004-0000-0000-00002F010000}"/>
    <hyperlink ref="AO1468" r:id="rId79" display="https://lifeway.su/wp-content/uploads/2017/07/Risovaya-muka.jpg" xr:uid="{00000000-0004-0000-0000-000030010000}"/>
    <hyperlink ref="AO1471" r:id="rId80" display="https://lifeway.su/wp-content/uploads/2014/04/grecha_500.jpg" xr:uid="{00000000-0004-0000-0000-000031010000}"/>
    <hyperlink ref="AO1472" r:id="rId81" display="https://lifeway.su/wp-content/uploads/2014/04/len_500.jpg" xr:uid="{00000000-0004-0000-0000-000033010000}"/>
    <hyperlink ref="AO1473" r:id="rId82" display="https://lifeway.su/wp-content/uploads/2014/04/ovyos-v-obol_400.jpg" xr:uid="{00000000-0004-0000-0000-000034010000}"/>
    <hyperlink ref="AO1476" r:id="rId83" display="https://lifeway.su/wp-content/uploads/2015/01/polba_500.jpg" xr:uid="{00000000-0004-0000-0000-000037010000}"/>
    <hyperlink ref="AO1479" r:id="rId84" display="https://lifeway.su/wp-content/uploads/2014/04/checha_500.jpg" xr:uid="{00000000-0004-0000-0000-00003A010000}"/>
    <hyperlink ref="AO1481" r:id="rId85" display="https://lifeway.su/wp-content/uploads/2017/12/Balans.jpg" xr:uid="{00000000-0004-0000-0000-00003C010000}"/>
    <hyperlink ref="AO1482" r:id="rId86" display="https://lifeway.su/wp-content/uploads/2017/12/Immunitet.jpg" xr:uid="{00000000-0004-0000-0000-00003D010000}"/>
    <hyperlink ref="AO1483" r:id="rId87" display="https://lifeway.su/wp-content/uploads/2017/12/Intellekt.jpg" xr:uid="{00000000-0004-0000-0000-00003E010000}"/>
    <hyperlink ref="AO1484" r:id="rId88" display="https://lifeway.su/wp-content/uploads/2017/12/Stroynost.jpg" xr:uid="{00000000-0004-0000-0000-000040010000}"/>
    <hyperlink ref="AO1474" r:id="rId89" display="https://lifeway.su/wp-content/uploads/2021/03/oves-gol_rez.jpg" xr:uid="{00000000-0004-0000-0000-000041010000}"/>
    <hyperlink ref="AO1477" r:id="rId90" display="https://lifeway.su/wp-content/uploads/2021/03/polba_rez.jpg" xr:uid="{00000000-0004-0000-0000-000042010000}"/>
    <hyperlink ref="AO1485" r:id="rId91" display="https://lifeway.su/wp-content/uploads/2017/10/Zelyonaya-grechka-v-varochnyih-paketah.jpg" xr:uid="{00000000-0004-0000-0000-000043010000}"/>
    <hyperlink ref="AO1486" r:id="rId92" display="https://lifeway.su/wp-content/uploads/2017/10/Ovyos-golozyornyiy-rezanyiy-v-varochnyih-paketah.jpg" xr:uid="{00000000-0004-0000-0000-000044010000}"/>
    <hyperlink ref="AO1487" r:id="rId93" display="https://lifeway.su/wp-content/uploads/2017/10/Polba-rezanaya-v-varochnyih-paketah.jpg" xr:uid="{00000000-0004-0000-0000-000045010000}"/>
    <hyperlink ref="AO1772" r:id="rId94" display="https://zdorovedaru.ru/upload/iblock/280/m8e6uiduc82nz8j6nab5pwocsi5dmykb.png" xr:uid="{00000000-0004-0000-0000-000048010000}"/>
    <hyperlink ref="AO1771" r:id="rId95" display="https://zdorovedaru.ru/upload/iblock/5bd/007xua1dkll9zuc7uxyk8xpsiknrbxbm.png" xr:uid="{00000000-0004-0000-0000-00004A010000}"/>
    <hyperlink ref="AO1770" r:id="rId96" display="https://zdorovedaru.ru/upload/iblock/fc7/r0totldy2mk7bzjb0sx07o2ebopkpnvf.png" xr:uid="{00000000-0004-0000-0000-00004B010000}"/>
    <hyperlink ref="AO1795" r:id="rId97" display="https://static.tildacdn.com/tild6431-3161-4336-a663-663137393862/Chaokoh-037_250-Coco.jpg" xr:uid="{00000000-0004-0000-0000-00004D010000}"/>
    <hyperlink ref="AO1789" r:id="rId98" display="https://static.tildacdn.com/tild3264-6532-4464-b064-333061653538/Chaokoh-coconut-milk.jpg" xr:uid="{00000000-0004-0000-0000-00004E010000}"/>
    <hyperlink ref="AO1800" r:id="rId99" display="https://static.tildacdn.com/tild3064-3636-4830-b137-613161373664/-King-Island-500.jpg" xr:uid="{00000000-0004-0000-0000-00004F010000}"/>
    <hyperlink ref="AO1806" r:id="rId100" display="https://static.tildacdn.com/tild6163-6663-4433-b637-356663643361/__1000.jpg" xr:uid="{00000000-0004-0000-0000-000050010000}"/>
    <hyperlink ref="AO1813" r:id="rId101" xr:uid="{00000000-0004-0000-0000-000053010000}"/>
    <hyperlink ref="AO1846" r:id="rId102" display="https://www.rado-grad.ru/upload/iblock/de0/1221nyl7dkosz31zviqk9x6blvp57xrd/maslo_kedrovoe_100_ml.png" xr:uid="{00000000-0004-0000-0000-000054010000}"/>
    <hyperlink ref="AO1847" r:id="rId103" display="https://www.rado-grad.ru/upload/iblock/13b/vizevmpyn9ot1i73zd666hsvhj81fm42/maslo_kedrovoe_250_ml.png" xr:uid="{00000000-0004-0000-0000-000055010000}"/>
    <hyperlink ref="AO1852" r:id="rId104" display="https://www.rado-grad.ru/upload/iblock/f4f/t14zurgwrtnp9849sutyb5es5wh2mcml/maslo_lna_100_ml.png" xr:uid="{00000000-0004-0000-0000-000056010000}"/>
    <hyperlink ref="AO1853" r:id="rId105" display="https://www.rado-grad.ru/upload/iblock/7bb/z1cmzpksp39o2zk4ixfhe23xm3iyemfo/maslo_lyanoe_250_ml.png" xr:uid="{00000000-0004-0000-0000-000057010000}"/>
    <hyperlink ref="AO1848" r:id="rId106" display="https://www.rado-grad.ru/upload/iblock/f92/u0ovo3fpz7z3q1bh1ticicrwj0azk6zw/maslo_konoplyanoe_100_ml.png" xr:uid="{00000000-0004-0000-0000-000059010000}"/>
    <hyperlink ref="AO1849" r:id="rId107" display="https://www.rado-grad.ru/upload/iblock/a6c/hz2m0o31qwehpdjuzvzzy7dru1846jqb/maslo_konoplyanoe_250_ml.png" xr:uid="{00000000-0004-0000-0000-00005A010000}"/>
    <hyperlink ref="AO1850" r:id="rId108" display="https://www.rado-grad.ru/upload/iblock/bf0/l854hoc4j89s25a7vpb7g0jff3irsew9/maslo_kunzhutnoe_100_ml2.png" xr:uid="{00000000-0004-0000-0000-00005B010000}"/>
    <hyperlink ref="AO1851" r:id="rId109" display="https://www.rado-grad.ru/upload/iblock/758/g5um2z1bt9gonv4iv2efw606f2ctr9a6/maslo_kunzhutnoe_250_ml.png" xr:uid="{00000000-0004-0000-0000-00005C010000}"/>
    <hyperlink ref="AO1854" r:id="rId110" display="https://www.rado-grad.ru/upload/iblock/498/w2wr9016649t4ahvnjgc8li706ck6ti3/maslo_oblepikhovoe_100_ml.png" xr:uid="{00000000-0004-0000-0000-00005D010000}"/>
    <hyperlink ref="AO1855" r:id="rId111" display="https://www.rado-grad.ru/upload/iblock/f1e/o34v3ooob93w3cb6k3rkkbf18nbkkf7d/maslo_oblepikhovoe_250_ml.png" xr:uid="{00000000-0004-0000-0000-00005E010000}"/>
    <hyperlink ref="AO1856" r:id="rId112" display="https://www.rado-grad.ru/upload/iblock/90c/05ms9mqsspw0bnjefc8306gbyr1ydoqp/maslo_rastoropshi_100_ml_jpg.png" xr:uid="{00000000-0004-0000-0000-00005F010000}"/>
    <hyperlink ref="AO1857" r:id="rId113" display="https://www.rado-grad.ru/upload/iblock/7fc/3692zfojqn4adfmc70ojq6mqtpdr0jft/maslo_rastoropshi_250_ml_jpg.png" xr:uid="{00000000-0004-0000-0000-000060010000}"/>
    <hyperlink ref="AO1858" r:id="rId114" display="https://www.rado-grad.ru/upload/iblock/396/ohdhjnuh37eoh49s4ojnt3myoe8fioy5/maslo_chia_100ml.png" xr:uid="{00000000-0004-0000-0000-000063010000}"/>
    <hyperlink ref="AO1860" r:id="rId115" display="https://avatars.mds.yandex.net/get-mpic/5221929/img_id8168199922697440235.jpeg/orig" xr:uid="{00000000-0004-0000-0000-000066010000}"/>
    <hyperlink ref="AO1907" r:id="rId116" display="http://алтынбай.рф/img/prod/4ai-yagodka-3.png" xr:uid="{00000000-0004-0000-0000-000067010000}"/>
    <hyperlink ref="AO1994" r:id="rId117" display="https://mrdjemiuszero.com/upload/iblock/115/115b2951132f9b247b5ee72da9700072.jpg" xr:uid="{00000000-0004-0000-0000-000068010000}"/>
    <hyperlink ref="AO1982" r:id="rId118" display="https://mrdjemiuszero.com/upload/iblock/67a/67a57143fe21636ee4688c0643abe374.jpg" xr:uid="{00000000-0004-0000-0000-000069010000}"/>
    <hyperlink ref="AO1986" r:id="rId119" display="https://mrdjemiuszero.com/upload/iblock/afe/afea298390f59c37083306258befcd69.jpg" xr:uid="{00000000-0004-0000-0000-00006A010000}"/>
    <hyperlink ref="AO1990" r:id="rId120" display="https://mrdjemiuszero.com/upload/iblock/172/1721f47773833b975a6cb53eedad1f2b.jpg" xr:uid="{00000000-0004-0000-0000-00006B010000}"/>
    <hyperlink ref="AO1992" r:id="rId121" display="https://mrdjemiuszero.com/upload/iblock/029/029cacfbfd1e379552f6d40535bd2dd0.jpg" xr:uid="{00000000-0004-0000-0000-00006C010000}"/>
    <hyperlink ref="AO1993" r:id="rId122" display="https://mrdjemiuszero.com/upload/iblock/8dc/8dc993b8fecd181fe001aa0dbabe093f.jpg" xr:uid="{00000000-0004-0000-0000-00006D010000}"/>
    <hyperlink ref="AO1991" r:id="rId123" display="https://mrdjemiuszero.com/upload/iblock/be9/be995017ce3b7609846086f6e54fd5dd.jpg" xr:uid="{00000000-0004-0000-0000-00006E010000}"/>
    <hyperlink ref="AO1996" r:id="rId124" display="https://mrdjemiuszero.com/upload/iblock/f73/f73c5c427d6d251f7547ac6e3e53fb0a.jpg" xr:uid="{00000000-0004-0000-0000-00006F010000}"/>
    <hyperlink ref="AO2000" r:id="rId125" display="https://mrdjemiuszero.com/upload/iblock/e59/e599d737f5dbfa712f346e7b0696e5d9.jpg" xr:uid="{00000000-0004-0000-0000-000070010000}"/>
    <hyperlink ref="AO1968" r:id="rId126" display="https://mrdjemiuszero.com/upload/iblock/708/70813684c41d50e13304a289145b80db.jpg" xr:uid="{00000000-0004-0000-0000-000071010000}"/>
    <hyperlink ref="AO1969" r:id="rId127" display="https://mrdjemiuszero.com/upload/iblock/127/1270e90906b3c813b09dbbc758a83959.jpg" xr:uid="{00000000-0004-0000-0000-000072010000}"/>
    <hyperlink ref="AO1970" r:id="rId128" display="https://mrdjemiuszero.com/upload/iblock/fed/fedda2cd96a1fde406d31be4d4de8170.jpg" xr:uid="{00000000-0004-0000-0000-000073010000}"/>
    <hyperlink ref="AO1971" r:id="rId129" display="https://mrdjemiuszero.com/upload/iblock/4cb/4cbef949ae478028d227c795b70f2866.jpg" xr:uid="{00000000-0004-0000-0000-000074010000}"/>
    <hyperlink ref="AO1973" r:id="rId130" display="https://mrdjemiuszero.com/upload/iblock/5ac/5ac432dbc56e017af0dafefb7789182f.jpg" xr:uid="{00000000-0004-0000-0000-000075010000}"/>
    <hyperlink ref="AO1974" r:id="rId131" display="https://mrdjemiuszero.com/upload/iblock/f83/f83a5822c6e5bd63cd0f8f22aa94caf8.jpg" xr:uid="{00000000-0004-0000-0000-000076010000}"/>
    <hyperlink ref="AO1975" r:id="rId132" display="https://mrdjemiuszero.com/upload/iblock/52d/52df508aefc417a455872994b5870793.jpg" xr:uid="{00000000-0004-0000-0000-000077010000}"/>
    <hyperlink ref="AO1976" r:id="rId133" display="https://mrdjemiuszero.com/upload/iblock/53b/53ba4329d1450eeddb99ccd331f647b5.jpg" xr:uid="{00000000-0004-0000-0000-000078010000}"/>
    <hyperlink ref="AO1977" r:id="rId134" display="https://mrdjemiuszero.com/upload/iblock/c7e/c7ecc3c3dabc76320873b8b2fc7840ab.jpg" xr:uid="{00000000-0004-0000-0000-000079010000}"/>
    <hyperlink ref="AO1978" r:id="rId135" display="https://mrdjemiuszero.com/upload/iblock/f21/f21b5ab34579cf10687081b66e4adc08.jpg" xr:uid="{00000000-0004-0000-0000-00007A010000}"/>
    <hyperlink ref="AO1980" r:id="rId136" display="https://mrdjemiuszero.com/upload/iblock/d08/d08c178f49204498ac7e6998c4ac1da0.jpg" xr:uid="{00000000-0004-0000-0000-00007B010000}"/>
    <hyperlink ref="AO2007" r:id="rId137" display="https://mrdjemiuszero.com/upload/iblock/1df/1df1fa2aac31d35c4a9623d09400fc36.jpg" xr:uid="{00000000-0004-0000-0000-00007C010000}"/>
    <hyperlink ref="AO2008" r:id="rId138" display="https://mrdjemiuszero.com/upload/iblock/65d/65d633bba0f037eb46f222dc9bf93a5d.jpg" xr:uid="{00000000-0004-0000-0000-00007D010000}"/>
    <hyperlink ref="AO2009" r:id="rId139" display="https://mrdjemiuszero.com/upload/iblock/0b9/0b9077c8b31d660bf62e36447c625c2e.jpg" xr:uid="{00000000-0004-0000-0000-00007E010000}"/>
    <hyperlink ref="AO2041" r:id="rId140" display="http://www.vitazar.ru/images/malt.jpg" xr:uid="{00000000-0004-0000-0000-000081010000}"/>
    <hyperlink ref="AO2057" r:id="rId141" display="http://www.vitazar.ru/images/cereals01.jpg" xr:uid="{00000000-0004-0000-0000-000082010000}"/>
    <hyperlink ref="AO2058" r:id="rId142" display="http://www.vitazar.ru/images/oat01.jpg" xr:uid="{00000000-0004-0000-0000-000083010000}"/>
    <hyperlink ref="AO2140" r:id="rId143" display="https://maslo53.ru/img/fasovka/3915-712d10a301b61db3c6c013711a36c0f8-420-315.jpg" xr:uid="{00000000-0004-0000-0000-000084010000}"/>
    <hyperlink ref="AO2135" r:id="rId144" display="https://maslo53.ru/img/fasovka/3900-004940c8c7f4c0e24e6fd3fae932167f-420-315.jpg" xr:uid="{00000000-0004-0000-0000-000085010000}"/>
    <hyperlink ref="AO2139" r:id="rId145" display="https://maslo53.ru/img/fasovka/3912-4a26d3af7100041b438d990129be6bb8-420-315.jpg" xr:uid="{00000000-0004-0000-0000-000086010000}"/>
    <hyperlink ref="AO2141" r:id="rId146" display="https://maslo53.ru/img/fasovka/3918-14b9d901d3e47386099c70013e3656de-420-315.jpg" xr:uid="{00000000-0004-0000-0000-000087010000}"/>
    <hyperlink ref="AO2143" r:id="rId147" display="https://maslo53.ru/img/fasovka/3923-f1d94cebf43e289161198d95dd6d72c8-420-315.jpg" xr:uid="{00000000-0004-0000-0000-000088010000}"/>
    <hyperlink ref="AO2150" r:id="rId148" display="https://maslo53.ru/img/fasovka/3929-b3e721d7d7a5cd60d26ed87f26bb9e10-420-315.jpg" xr:uid="{00000000-0004-0000-0000-000089010000}"/>
    <hyperlink ref="AO2153" r:id="rId149" display="https://maslo53.ru/img/fasovka/3941-41b4ec139f63ec2e567584ad08e9c27c-420-315.jpg" xr:uid="{00000000-0004-0000-0000-00008A010000}"/>
    <hyperlink ref="AO2156" r:id="rId150" display="https://maslo53.ru/img/fasovka/3935-fb5e37e8b53956f27b72dca35d4fc7af-420-315.jpg" xr:uid="{00000000-0004-0000-0000-00008B010000}"/>
    <hyperlink ref="AO2178" r:id="rId151" display="https://bionovashop.ru/upload/iblock/c64/c64dfa0f0fee3831c6595540bfdc1653.jpg" xr:uid="{00000000-0004-0000-0000-00008E010000}"/>
    <hyperlink ref="AO2179" r:id="rId152" display="https://bionovashop.ru/upload/iblock/65a/65ad894e17021f2f1d55145c7285bbf5.jpg" xr:uid="{00000000-0004-0000-0000-00008F010000}"/>
    <hyperlink ref="AO2180" r:id="rId153" display="https://bionovashop.ru/upload/iblock/141/1412047e8ef95babb4d0d0d5190afe11.jpg" xr:uid="{00000000-0004-0000-0000-000090010000}"/>
    <hyperlink ref="AO2181" r:id="rId154" display="https://bionovashop.ru/upload/iblock/fa5/fa54067e7587fb7cc4e69c8c0c191bd7.jpg" xr:uid="{00000000-0004-0000-0000-000092010000}"/>
    <hyperlink ref="AO2189" r:id="rId155" display="https://bionovashop.ru/upload/iblock/af5/a7ul58hnl7pzf7q61iin96rt74cnuj8t.jpg" xr:uid="{00000000-0004-0000-0000-000094010000}"/>
    <hyperlink ref="AO2194" r:id="rId156" display="https://bionovashop.ru/upload/iblock/c9f/ti4cckbo3l0beavakvj1lox8n2gov6vd.jpg" xr:uid="{00000000-0004-0000-0000-000095010000}"/>
    <hyperlink ref="AO2190" r:id="rId157" display="https://bionovashop.ru/upload/iblock/7c5/fta36c2ycqo0vg4ga8lsgtom7ly1nwmg.jpg" xr:uid="{00000000-0004-0000-0000-000096010000}"/>
    <hyperlink ref="AO2195" r:id="rId158" display="https://bionovashop.ru/upload/resize_cache/iblock/be2/65_65_0/wjdp4qbk9e7m7ijopmwiucxvqgiae8fh.jpg" xr:uid="{00000000-0004-0000-0000-000097010000}"/>
    <hyperlink ref="AO2191" r:id="rId159" display="https://bionovashop.ru/upload/iblock/8cf/mrny0f8g1te7eo2atkcaa328ynb7y42h.jpg" xr:uid="{00000000-0004-0000-0000-000098010000}"/>
    <hyperlink ref="AO2193" r:id="rId160" display="https://bionovashop.ru/upload/iblock/854/8q7xky61ztg4nwj7w0c3suk3ck0nya68.jpg" xr:uid="{00000000-0004-0000-0000-000099010000}"/>
    <hyperlink ref="AO2192" r:id="rId161" display="https://bionovashop.ru/upload/iblock/007/bl3y6dubexolq2mpezjotayoetvwe3hu.jpg" xr:uid="{00000000-0004-0000-0000-00009A010000}"/>
    <hyperlink ref="AO2204" r:id="rId162" display="https://bionovashop.ru/upload/iblock/22b/22bd94c84963efb65f70de802e6327f3.jpg" xr:uid="{00000000-0004-0000-0000-00009B010000}"/>
    <hyperlink ref="AO2205" r:id="rId163" display="https://bionovashop.ru/upload/iblock/fe8/fe8ab4f4898d9ab47549d47db625573b.jpg" xr:uid="{00000000-0004-0000-0000-00009C010000}"/>
    <hyperlink ref="AO2202" r:id="rId164" display="https://bionovashop.ru/upload/iblock/ffe/ffe20e558e1d802d89585f09ae40da2e.jpg" xr:uid="{00000000-0004-0000-0000-00009D010000}"/>
    <hyperlink ref="AO2203" r:id="rId165" display="https://bionovashop.ru/upload/iblock/ffd/ffda93611574689721fd721319e5726b.jpg" xr:uid="{00000000-0004-0000-0000-00009E010000}"/>
    <hyperlink ref="AO2208" r:id="rId166" display="https://bionovashop.ru/upload/iblock/3d1/26zw1e1cblipa33hmfhawm998e36dhr1.jpg" xr:uid="{00000000-0004-0000-0000-00009F010000}"/>
    <hyperlink ref="AO2210" r:id="rId167" display="https://bionovashop.ru/upload/iblock/4cd/4z22xt81vwqn0y2v3erebex3do43k2pu.jpg" xr:uid="{00000000-0004-0000-0000-0000A0010000}"/>
    <hyperlink ref="AO2209" r:id="rId168" display="https://bionovashop.ru/upload/iblock/306/jkx3vyujpnb4zwrdfd30bdg9vdxqzdoh.jpg" xr:uid="{00000000-0004-0000-0000-0000A1010000}"/>
    <hyperlink ref="AO2207" r:id="rId169" display="https://bionovashop.ru/upload/iblock/e86/o21xb0x3kw7n99j8w3cjiymaafw3miea.jpg" xr:uid="{00000000-0004-0000-0000-0000A2010000}"/>
    <hyperlink ref="AO2216" r:id="rId170" display="https://bionovashop.ru/upload/iblock/9c9/q13o8uwiq1xqf92ai32ny9yd8fwnasat.png" xr:uid="{00000000-0004-0000-0000-0000A3010000}"/>
    <hyperlink ref="AO2213" r:id="rId171" display="https://bionovashop.ru/upload/iblock/992/a2opjjh06v5e4p446vz06si52nyuhesu.png" xr:uid="{00000000-0004-0000-0000-0000A4010000}"/>
    <hyperlink ref="AO2214" r:id="rId172" display="https://bionovashop.ru/upload/iblock/431/xo71oppxiyvc5hjbwnwsgpbyogjsjrsg.png" xr:uid="{00000000-0004-0000-0000-0000A5010000}"/>
    <hyperlink ref="AO2215" r:id="rId173" display="https://bionovashop.ru/upload/iblock/0be/147mdm02qkg6ouo6svscp1r2d72z6vgi.jpg" xr:uid="{00000000-0004-0000-0000-0000A6010000}"/>
    <hyperlink ref="AO2212" r:id="rId174" display="https://bionovashop.ru/upload/iblock/5eb/on3lbznpvwbj1lxzlo7vk2vmsygks89i.png" xr:uid="{00000000-0004-0000-0000-0000A7010000}"/>
    <hyperlink ref="AO2217" r:id="rId175" display="https://bionovashop.ru/upload/iblock/8db/027vmh7zzwm02sgwgtgae0ejqc4tav52.png" xr:uid="{00000000-0004-0000-0000-0000A8010000}"/>
    <hyperlink ref="AO2219" r:id="rId176" display="https://bionovashop.ru/upload/iblock/dd5/ns46yy7rhl2xpz5f31sbfxtjpy7d9ti8.jpg" xr:uid="{00000000-0004-0000-0000-0000A9010000}"/>
    <hyperlink ref="AO2221" r:id="rId177" display="https://bionovashop.ru/upload/iblock/1e9/1l5gwr6vgv8harkx0gwdur4vybrrs1ru.jpg" xr:uid="{00000000-0004-0000-0000-0000AA010000}"/>
    <hyperlink ref="AO2220" r:id="rId178" display="https://bionovashop.ru/upload/iblock/8c3/mf20j01yvj5a95fczij5kjicm6low83k.jpg" xr:uid="{00000000-0004-0000-0000-0000AB010000}"/>
    <hyperlink ref="AO2218" r:id="rId179" display="https://bionovashop.ru/upload/iblock/69b/2v27qlq56dstgtcimxlak9rs63n1piv6.jpg" xr:uid="{00000000-0004-0000-0000-0000AC010000}"/>
    <hyperlink ref="AO2222" r:id="rId180" display="https://bionovashop.ru/upload/iblock/7c2/ekxafy0s4cajnwpf0q92o1iouepqmvs5.jpg" xr:uid="{00000000-0004-0000-0000-0000AD010000}"/>
    <hyperlink ref="AO2232" r:id="rId181" display="https://bionovashop.ru/upload/iblock/981/pz8c1nxq9c39j04ul4a8wj6rjgsm924d.jpg" xr:uid="{00000000-0004-0000-0000-0000AE010000}"/>
    <hyperlink ref="AO2231" r:id="rId182" display="https://bionovashop.ru/upload/iblock/7cd/bvmv9281j0gisdb3umqehbi6fqh3zgoy.jpg" xr:uid="{00000000-0004-0000-0000-0000AF010000}"/>
    <hyperlink ref="AO2229" r:id="rId183" display="https://bionovashop.ru/upload/iblock/773/y6bmkk985ee5fia3qbweve185zprq0xc.jpg" xr:uid="{00000000-0004-0000-0000-0000B0010000}"/>
    <hyperlink ref="AO2228" r:id="rId184" display="https://bionovashop.ru/upload/iblock/98d/x1h451utdrtaluud8l4jnkno2rhezr8k.jpg" xr:uid="{00000000-0004-0000-0000-0000B2010000}"/>
    <hyperlink ref="AO2230" r:id="rId185" display="https://bionovashop.ru/upload/iblock/30d/3emp1gxl7elk3sstcfkmhvg20yu467rv.jpg" xr:uid="{00000000-0004-0000-0000-0000B3010000}"/>
    <hyperlink ref="AO2423" r:id="rId186" display="https://altnectar.com/upload/iblock/105/nokv6v9fy5k7k6drmnpcsm30tf19i99c.jpg" xr:uid="{00000000-0004-0000-0000-0000B6010000}"/>
    <hyperlink ref="AO2424" r:id="rId187" display="https://altnectar.com/upload/iblock/755/ihlbfci0zoc7tj2f0jfrxd8fd20ntnz1.jpg" xr:uid="{00000000-0004-0000-0000-0000B8010000}"/>
    <hyperlink ref="AO2425" r:id="rId188" xr:uid="{00000000-0004-0000-0000-0000B9010000}"/>
    <hyperlink ref="AO2427" r:id="rId189" display="https://altnectar.com/upload/iblock/f85/06ivg9wiwxgcq0bgpt9izl7do3mmxrei.jpg" xr:uid="{00000000-0004-0000-0000-0000BA010000}"/>
    <hyperlink ref="AO2429" r:id="rId190" display="https://altnectar.com/upload/iblock/f83/iyqbknfws89sur3wz5zjd33hf68eo1x6.jpg" xr:uid="{00000000-0004-0000-0000-0000BB010000}"/>
    <hyperlink ref="AO2437" r:id="rId191" display="https://altnectar.com/upload/iblock/ed7/irz86wjfenkt672l4oigusbdshjviyw5.jpg" xr:uid="{00000000-0004-0000-0000-0000BF010000}"/>
    <hyperlink ref="AO2448" r:id="rId192" display="https://altnectar.com/upload/iblock/be9/dh1m6znshdtjo856n7r44qejo1aafn9c.jpg" xr:uid="{00000000-0004-0000-0000-0000C0010000}"/>
    <hyperlink ref="AO2449" r:id="rId193" display="https://altnectar.com/upload/iblock/842/eg8c8ey1u4hj0585en95mderbbq957k1.jpg" xr:uid="{00000000-0004-0000-0000-0000C1010000}"/>
    <hyperlink ref="AO2455" r:id="rId194" display="https://altnectar.com/upload/iblock/9a1/5as8awiyth892a52gdkh3k7ygdox1z89.jpg" xr:uid="{00000000-0004-0000-0000-0000C2010000}"/>
    <hyperlink ref="AO2470" r:id="rId195" display="https://fabrikabio.ru/images/product/000/000186/844-1501_nuts_200g_greek_front.tn-570x900.75054a4ead.jpg" xr:uid="{00000000-0004-0000-0000-0000C5010000}"/>
    <hyperlink ref="AO2471" r:id="rId196" display="https://fabrikabio.ru/images/product/000/000185/930-1502_nuts_200g_cedar_face_1200x1200px.tn-570x900.ceeca4aa7d.jpg" xr:uid="{00000000-0004-0000-0000-0000C6010000}"/>
    <hyperlink ref="AO2472" r:id="rId197" display="https://fabrikabio.ru/images/product/000/000188/993-1503_nuts_200g_mindal_front.tn-570x900.69b361673a.jpg" xr:uid="{00000000-0004-0000-0000-0000C7010000}"/>
    <hyperlink ref="AO2473" r:id="rId198" display="https://fabrikabio.ru/images/product/000/000187/222-1504_nuts_200g_funduk_front.tn-570x900.53b4c9f1a1.jpg" xr:uid="{00000000-0004-0000-0000-0000C8010000}"/>
    <hyperlink ref="AO2475" r:id="rId199" display="http://naturevector.c8804.shared.hc.ru/photo/19868.jpg" xr:uid="{00000000-0004-0000-0000-0000C9010000}"/>
    <hyperlink ref="AO2478" r:id="rId200" display="https://fabrikabio.ru/images/product/000/000110/847-1036_tea_50g_green_l_1050x1400px.tn-570x900.d13e8e2a4e.jpg" xr:uid="{00000000-0004-0000-0000-0000CA010000}"/>
    <hyperlink ref="AO2479" r:id="rId201" display="https://fabrikabio.ru/images/product/000/000105/860-1043_tea_50g_ferment_l.tn-570x900.32f4c97ce4.jpg" xr:uid="{00000000-0004-0000-0000-0000CB010000}"/>
    <hyperlink ref="AO2480" r:id="rId202" display="https://fabrikabio.ru/images/product/000/000042/593-1052_tea_berry_50g_brusnika_l_1050x1400px.tn-570x900.3d9b3e7e10.jpg" xr:uid="{00000000-0004-0000-0000-0000CC010000}"/>
    <hyperlink ref="AO2481" r:id="rId203" display="https://fabrikabio.ru/images/product/000/000098/103-1054_tea_berry_50g_klukva_l_1050x1400px.tn-570x900.bde9afe536.jpg" xr:uid="{00000000-0004-0000-0000-0000CF010000}"/>
    <hyperlink ref="AO2482" r:id="rId204" display="https://fabrikabio.ru/images/product/000/000109/425-1038_tea_50g_lipa_l_1050x1400px.tn-570x900.d4fb09ea66.jpg" xr:uid="{00000000-0004-0000-0000-0000D0010000}"/>
    <hyperlink ref="AO2483" r:id="rId205" display="https://fabrikabio.ru/images/product/000/000097/137-1055_tea_berry_50g_malina_l_1050x1400px.tn-570x900.c90a105988.jpg" xr:uid="{00000000-0004-0000-0000-0000D1010000}"/>
    <hyperlink ref="AO2485" r:id="rId206" display="https://fabrikabio.ru/images/product/000/000111/438-1039_tea_50g_currant_l_1050x1400px.tn-570x900.b891873268.jpg" xr:uid="{00000000-0004-0000-0000-0000D2010000}"/>
    <hyperlink ref="AO2484" r:id="rId207" display="https://fabrikabio.ru/images/product/000/000096/149-1056_tea_berry_50g_oblepiha_l_1050x1400px.tn-570x900.2321cd79db.jpg" xr:uid="{00000000-0004-0000-0000-0000D4010000}"/>
    <hyperlink ref="AO2486" r:id="rId208" display="https://fabrikabio.ru/images/product/000/000106/907-1042_tea_50g_thyme_l_1050x1400px.tn-570x900.dfebfbbeb9.jpg" xr:uid="{00000000-0004-0000-0000-0000D5010000}"/>
    <hyperlink ref="AO2487" r:id="rId209" display="https://fabrikabio.ru/images/product/000/000114/569-ebf_glass_linden_50g_800x800px.tn-570x900.9e64233cba.jpg" xr:uid="{00000000-0004-0000-0000-0000D6010000}"/>
    <hyperlink ref="AO2489" r:id="rId210" display="https://fabrikabio.ru/images/product/000/000115/804-ebf_glass_currant_50g_800x800px.tn-570x900.d45e643bcd.jpg" xr:uid="{00000000-0004-0000-0000-0000D7010000}"/>
    <hyperlink ref="AO2488" r:id="rId211" display="https://fabrikabio.ru/images/product/000/000113/722-ebf_glass_kiprey_50g_800x800px.tn-570x900.e61dbb5b8e.jpg" xr:uid="{00000000-0004-0000-0000-0000D8010000}"/>
    <hyperlink ref="AO2490" r:id="rId212" display="https://fabrikabio.ru/images/product/000/000163/430-1118_herbs_40g_mint_r_1050x1400px.tn-570x900.b9ea6bd633.jpg" xr:uid="{00000000-0004-0000-0000-0000D9010000}"/>
    <hyperlink ref="AO2491" r:id="rId213" display="https://fabrikabio.ru/images/product/000/000160/160-1119_herbs_40g_romashka_r_1050x1400px.tn-570x900.f19690de65.jpg" xr:uid="{00000000-0004-0000-0000-0000DA010000}"/>
    <hyperlink ref="AO2492" r:id="rId214" display="https://fabrikabio.ru/images/product/000/000162/587-1106_herbs_40g_smorodina_r_1050x1400px.tn-570x900.06ec4df308.jpg" xr:uid="{00000000-0004-0000-0000-0000DB010000}"/>
    <hyperlink ref="AO2493" r:id="rId215" display="https://fabrikabio.ru/images/product/000/000161/439-1121_herbs_40g_chabretz_r_1050x1400px.tn-570x900.8e5269ac1f.jpg" xr:uid="{00000000-0004-0000-0000-0000DC010000}"/>
    <hyperlink ref="AO2494" r:id="rId216" display="https://fabrikabio.ru/images/product/000/000133/400-1022_tea_500g_ferm_face.jpg" xr:uid="{00000000-0004-0000-0000-0000DD010000}"/>
    <hyperlink ref="AO2500" r:id="rId217" display="https://vita-family.com/upload/resize_cache/iblock/8f8/400_400_140cd750bba9870f18aada2478b24840a/xzzw6agxxu6h1ici3ceq2o9sez388vcw.jpg" xr:uid="{00000000-0004-0000-0000-0000DE010000}"/>
    <hyperlink ref="AO2499" r:id="rId218" display="https://vita-family.com/upload/resize_cache/iblock/995/400_400_140cd750bba9870f18aada2478b24840a/0oap9bufg2sofjvwd1nyt2dz6elmgjnm.jpg" xr:uid="{00000000-0004-0000-0000-0000DF010000}"/>
    <hyperlink ref="AO2501" r:id="rId219" display="https://vita-family.com/upload/resize_cache/iblock/8c9/400_400_140cd750bba9870f18aada2478b24840a/z3j0qx2lncnjfqi29ygdqwc86cbkxlym.jpg" xr:uid="{00000000-0004-0000-0000-0000E0010000}"/>
    <hyperlink ref="AO2503" r:id="rId220" display="https://vita-family.com/upload/resize_cache/iblock/e98/400_400_140cd750bba9870f18aada2478b24840a/ml13mjdhk7y4ofllnzekv4pq0djrv1gq.jpg" xr:uid="{00000000-0004-0000-0000-0000E1010000}"/>
    <hyperlink ref="AO2505" r:id="rId221" display="https://vita-family.com/upload/resize_cache/iblock/90e/400_400_140cd750bba9870f18aada2478b24840a/sggxqm0puikis4gvyp8hc4nw9pix65x3.jpg" xr:uid="{00000000-0004-0000-0000-0000E2010000}"/>
    <hyperlink ref="AO2504" r:id="rId222" display="https://vita-family.com/upload/resize_cache/iblock/b7b/400_400_140cd750bba9870f18aada2478b24840a/4t45pmf4tkt42289d1v68ln7j87yiyxr.jpg" xr:uid="{00000000-0004-0000-0000-0000E3010000}"/>
    <hyperlink ref="AO2507" r:id="rId223" display="https://vita-family.com/upload/resize_cache/iblock/c95/400_400_140cd750bba9870f18aada2478b24840a/2qyxcuxvidxgzt0l67nkcgs3fgzbh3da.jpg" xr:uid="{00000000-0004-0000-0000-0000E4010000}"/>
    <hyperlink ref="AO2506" r:id="rId224" display="https://vita-family.com/upload/resize_cache/iblock/8d4/400_400_140cd750bba9870f18aada2478b24840a/scul7v6ll5t1cf4nnfu0h49s5n7x5j0n.jpg" xr:uid="{00000000-0004-0000-0000-0000E5010000}"/>
    <hyperlink ref="AO2509" r:id="rId225" display="https://vita-family.com/upload/resize_cache/iblock/1eb/400_400_140cd750bba9870f18aada2478b24840a/3t5s7h34fu9mugwpwn25hz6dq5pjk86o.jpg" xr:uid="{00000000-0004-0000-0000-0000E6010000}"/>
    <hyperlink ref="AO2510" r:id="rId226" display="https://vita-family.com/upload/resize_cache/iblock/6d5/400_400_140cd750bba9870f18aada2478b24840a/qijyowcn8fpbswmfmo9091ggnvjpu6mx.jpg" xr:uid="{00000000-0004-0000-0000-0000E7010000}"/>
    <hyperlink ref="AO2517" r:id="rId227" display="https://vita-family.com/upload/iblock/df3/8xmaws39n3mukffth812v7z45t1fd52m.jpg" xr:uid="{00000000-0004-0000-0000-0000E8010000}"/>
    <hyperlink ref="AO2511" r:id="rId228" display="https://vita-family.com/upload/resize_cache/iblock/bb1/400_400_140cd750bba9870f18aada2478b24840a/qfsgyxq2a3bu6nt2d7m3oizcxjjpkhre.jpg" xr:uid="{00000000-0004-0000-0000-0000E9010000}"/>
    <hyperlink ref="AO2513" r:id="rId229" display="https://vita-family.com/upload/resize_cache/iblock/0ad/400_400_140cd750bba9870f18aada2478b24840a/u0desgcx8u53bc5w783af3ic3pqsm9za.jpg" xr:uid="{00000000-0004-0000-0000-0000EA010000}"/>
    <hyperlink ref="AO2514" r:id="rId230" display="https://vita-family.com/upload/resize_cache/iblock/97f/400_400_140cd750bba9870f18aada2478b24840a/11y6a4l1bnh7dnx0jobzodr1elaruk6e.jpg" xr:uid="{00000000-0004-0000-0000-0000EB010000}"/>
    <hyperlink ref="AO2519" r:id="rId231" display="https://vita-family.com/upload/resize_cache/iblock/b6a/400_400_140cd750bba9870f18aada2478b24840a/wcab0amp0z3ezgu76y64yqp4ig2fu55c.jpg" xr:uid="{00000000-0004-0000-0000-0000EC010000}"/>
    <hyperlink ref="AO2627" r:id="rId232" display="https://tfzp.ru/assets/cache/images/products/sk/zozh/superchernika-1735x975-f39.png" xr:uid="{00000000-0004-0000-0000-0000EE010000}"/>
    <hyperlink ref="AO2626" r:id="rId233" display="https://tfzp.ru/assets/cache/images/products/sk/zozh/superbrusnika-1735x975-3c5.png" xr:uid="{00000000-0004-0000-0000-0000F0010000}"/>
    <hyperlink ref="AO2628" r:id="rId234" display="https://tfzp.ru/assets/cache/images/products/sk/zozh/yabloko-1735x975-2c1.png" xr:uid="{00000000-0004-0000-0000-0000F2010000}"/>
    <hyperlink ref="AO2622" r:id="rId235" display="https://tfzp.ru/assets/cache/images/products/sk/zozh/korzinkazdorovya-1735x975-053.png" xr:uid="{00000000-0004-0000-0000-0000F3010000}"/>
    <hyperlink ref="AO2617" r:id="rId236" display="https://tfzp.ru/assets/cache/images/products/sk/zozh/vitaminnayapolyana-1735x975-407.png" xr:uid="{00000000-0004-0000-0000-0000F4010000}"/>
    <hyperlink ref="AO2619" r:id="rId237" display="https://tfzp.ru/assets/cache/images/products/sk/zozh/zolotojvozrast-1735x975-f17.png" xr:uid="{00000000-0004-0000-0000-0000F5010000}"/>
    <hyperlink ref="AO2613" r:id="rId238" display="https://tfzp.ru/assets/cache/images/products/sk/zozh/lnyanayafrukty-1735x975-4f6.png" xr:uid="{00000000-0004-0000-0000-0000F7010000}"/>
    <hyperlink ref="AO2615" r:id="rId239" display="https://tfzp.ru/assets/cache/images/products/sk/zozh/lnyanayayagody-1735x975-a61.png" xr:uid="{00000000-0004-0000-0000-0000F8010000}"/>
    <hyperlink ref="AO2614" r:id="rId240" display="https://tfzp.ru/assets/cache/images/products/sk/zozh/lnyanayachernika-1735x975-2dc.png" xr:uid="{00000000-0004-0000-0000-0000F9010000}"/>
    <hyperlink ref="AO2621" r:id="rId241" display="https://tfzp.ru/assets/cache/images/products/catalog/sk-big/sk_kedrovyjoreshek-1735x975-f73.png" xr:uid="{00000000-0004-0000-0000-0000FA010000}"/>
    <hyperlink ref="AO2611" r:id="rId242" display="https://tfzp.ru/assets/cache/images/products/sk/glyuten/Detox-1735x975-251.png" xr:uid="{00000000-0004-0000-0000-0000FB010000}"/>
    <hyperlink ref="AO2625" r:id="rId243" display="https://tfzp.ru/assets/cache/images/products/sk/small/pohudenie/sk_sgr_stop-appetit-1735x975-016.png" xr:uid="{00000000-0004-0000-0000-0000FC010000}"/>
    <hyperlink ref="AO2623" r:id="rId244" display="https://tfzp.ru/assets/cache/images/products/sk/small/apteka/sk_sgr_ochishhayushhaya-1735x975-5b3.jpg" xr:uid="{00000000-0004-0000-0000-0000FD010000}"/>
    <hyperlink ref="AO2618" r:id="rId245" display="https://tfzp.ru/assets/cache/images/products/sk/small/apteka/sk_zdorovayapechen-1735x975-21f.png" xr:uid="{00000000-0004-0000-0000-0000FE010000}"/>
    <hyperlink ref="AO2616" r:id="rId246" display="https://tfzp.ru/assets/cache/images/products/sk/small/apteka/sk_antidiabet-1735x975-f7a.jpg" xr:uid="{00000000-0004-0000-0000-0000FF010000}"/>
    <hyperlink ref="AO2624" r:id="rId247" display="https://tfzp.ru/assets/cache/images/products/sk/small/apteka/sk_srastoropshej-1735x975-7d6.png" xr:uid="{00000000-0004-0000-0000-000000020000}"/>
    <hyperlink ref="AO2703" r:id="rId248" display="https://dialexport.ru/upload/iblock/87b/87b4e0a6c5fa47cfbf6af24b42dee396.jpg" xr:uid="{00000000-0004-0000-0000-000003020000}"/>
    <hyperlink ref="AO2704" r:id="rId249" display="https://dialexport.ru/upload/iblock/4e3/4e345bd8c027aa014841ec06278a544f.jpg" xr:uid="{00000000-0004-0000-0000-000007020000}"/>
    <hyperlink ref="AO2705" r:id="rId250" display="https://dialexport.ru/upload/iblock/e95/e95963f81139b18708ba92f35c8be08e.jpg" xr:uid="{00000000-0004-0000-0000-000008020000}"/>
    <hyperlink ref="AO2706" r:id="rId251" display="https://dialexport.ru/upload/iblock/a38/a38ec20649cc148c1a6485caf7fb7e57.jpg" xr:uid="{00000000-0004-0000-0000-000009020000}"/>
    <hyperlink ref="AO2707" r:id="rId252" display="https://dialexport.ru/upload/iblock/f5f/f5f27542902a7c01c76e3ad0569a61ca.jpg" xr:uid="{00000000-0004-0000-0000-00000A020000}"/>
    <hyperlink ref="AO2708" r:id="rId253" display="https://dialexport.ru/upload/iblock/20c/20ccc85626baa9431ab60c141f96feb5.jpg" xr:uid="{00000000-0004-0000-0000-00000D020000}"/>
    <hyperlink ref="AO2709" r:id="rId254" display="https://dialexport.ru/upload/iblock/98f/98fcec29ee2e7970a41dfef1dddabfff.jpg" xr:uid="{00000000-0004-0000-0000-00000E020000}"/>
    <hyperlink ref="AO2739" r:id="rId255" display="https://ivan-da.ru/wp-content/uploads/2020/01/%D0%BA2.png" xr:uid="{00000000-0004-0000-0000-00000F020000}"/>
    <hyperlink ref="AO2752" r:id="rId256" display="https://ivan-da.ru/wp-content/uploads/2020/01/%D0%B1%D0%BE%D1%8F%D1%80%D0%BA%D0%B0.jpg" xr:uid="{00000000-0004-0000-0000-000010020000}"/>
    <hyperlink ref="AO2753" r:id="rId257" display="https://ivan-da.ru/wp-content/uploads/2020/01/%D0%B2%D0%B8%D1%88%D0%BD%D1%8F.jpg" xr:uid="{00000000-0004-0000-0000-000011020000}"/>
    <hyperlink ref="AO2755" r:id="rId258" display="https://ivan-da.ru/wp-content/uploads/2020/01/%D0%BE%D0%B1%D0%BB%D0%B5%D0%BF%D0%B8%D1%85%D0%B0-2.jpg" xr:uid="{00000000-0004-0000-0000-000012020000}"/>
    <hyperlink ref="AO2757" r:id="rId259" display="https://ivan-da.ru/wp-content/uploads/2020/01/%D1%88%D0%B8%D0%BF%D0%BE%D0%B2%D0%BD%D0%B8%D0%BA.jpg" xr:uid="{00000000-0004-0000-0000-000013020000}"/>
    <hyperlink ref="AO2767" r:id="rId260" display="https://dieterra.ru/upload/iblock/309/a5i2w1b9ayqai5l69uwj24fsug9czi27.png" xr:uid="{00000000-0004-0000-0000-000014020000}"/>
    <hyperlink ref="AO2770" r:id="rId261" display="https://dieterra.ru/upload/iblock/788/h50csl8ni2lbj5nnfww9gx1zvvo4a51u.png" xr:uid="{00000000-0004-0000-0000-000015020000}"/>
    <hyperlink ref="AO2772" r:id="rId262" display="https://dieterra.ru/upload/iblock/624/xzpuakusadxywkd0fycg9hifq0w94gnn.png" xr:uid="{00000000-0004-0000-0000-000016020000}"/>
    <hyperlink ref="AO2771" r:id="rId263" display="https://dieterra.ru/upload/iblock/a2d/zrvbrimvdn1zco7ahnau370mnerqb72t.png" xr:uid="{00000000-0004-0000-0000-000017020000}"/>
    <hyperlink ref="AO2765" r:id="rId264" display="https://dieterra.ru/upload/iblock/4c6/6na4pz88cb3oq6zxw4ghpdxtf0v2gzih.png" xr:uid="{00000000-0004-0000-0000-000018020000}"/>
    <hyperlink ref="AO2766" r:id="rId265" display="https://dieterra.ru/upload/iblock/165/ovar2e62pfy96ykzmdevi9ss732ds5sy.jpg" xr:uid="{00000000-0004-0000-0000-000019020000}"/>
    <hyperlink ref="AO2779" r:id="rId266" display="https://dieterra.ru/upload/iblock/573/pi5g7khujhn4ra9oyy1zyayfn22xgghc.png" xr:uid="{00000000-0004-0000-0000-00001A020000}"/>
    <hyperlink ref="AO2781" r:id="rId267" display="https://dieterra.ru/upload/iblock/566/92ncj1zgz4d8bdov7g4p5lpp16p2zx5b.png" xr:uid="{00000000-0004-0000-0000-00001B020000}"/>
    <hyperlink ref="AO2773" r:id="rId268" display="https://dieterra.ru/upload/iblock/03b/5xcr9z2mubdxtzp5c2cmssxi8gbh7gex.png" xr:uid="{00000000-0004-0000-0000-00001C020000}"/>
    <hyperlink ref="AO2880" r:id="rId269" display="http://zdorovey.ru/wp-content/uploads/2019/11/Khlebtsi_mini_2.jpg" xr:uid="{00000000-0004-0000-0000-00001D020000}"/>
    <hyperlink ref="AO2881" r:id="rId270" display="http://zdorovey.ru/wp-content/uploads/2019/11/Khlebtsi_mini_1000_1000.jpg" xr:uid="{00000000-0004-0000-0000-00001E020000}"/>
    <hyperlink ref="AO2882" r:id="rId271" display="http://zdorovey.ru/wp-content/uploads/2020/04/02_Khlebtsi_grech_ris.jpg" xr:uid="{00000000-0004-0000-0000-000020020000}"/>
    <hyperlink ref="AO2883" r:id="rId272" display="http://zdorovey.ru/wp-content/uploads/2020/04/01_Khlebtsi_kukuruzn.jpg" xr:uid="{00000000-0004-0000-0000-000021020000}"/>
    <hyperlink ref="AO2884" r:id="rId273" display="http://zdorovey.ru/wp-content/uploads/2020/04/03_Khlebtsi_ris.jpg" xr:uid="{00000000-0004-0000-0000-000023020000}"/>
    <hyperlink ref="AO2885" r:id="rId274" display="http://zdorovey.ru/wp-content/uploads/2019/11/2_Shariki_grech-ris.jpg" xr:uid="{00000000-0004-0000-0000-000024020000}"/>
    <hyperlink ref="AO2886" r:id="rId275" display="http://zdorovey.ru/wp-content/uploads/2019/09/goods1.jpg" xr:uid="{00000000-0004-0000-0000-000025020000}"/>
    <hyperlink ref="AO2887" r:id="rId276" display="http://zdorovey.ru/wp-content/uploads/2019/11/1_Shariki_kukuruza.jpg" xr:uid="{00000000-0004-0000-0000-000026020000}"/>
    <hyperlink ref="AO2888" r:id="rId277" display="http://zdorovey.ru/wp-content/uploads/2023/06/4_Shariki_risovo_kukuruz-1.jpg" xr:uid="{00000000-0004-0000-0000-000027020000}"/>
    <hyperlink ref="AO2889" r:id="rId278" display="http://zdorovey.ru/wp-content/uploads/2019/11/3_Shariki_ris.jpg" xr:uid="{00000000-0004-0000-0000-000028020000}"/>
    <hyperlink ref="AO2940" r:id="rId279" display="http://www.dompogrebok.ru/media/1/190.png" xr:uid="{00000000-0004-0000-0000-000029020000}"/>
    <hyperlink ref="AO2941" r:id="rId280" display="http://www.dompogrebok.ru/media/1/191.png" xr:uid="{00000000-0004-0000-0000-00002A020000}"/>
    <hyperlink ref="AO2996" r:id="rId281" display="https://art-amm.ru/images/006/712/303/6712303/289x385crop/%D0%91%D0%B5%D0%B7_%D0%B8%D0%BC%D0%B5%D0%BD%D0%B8-3.jpg" xr:uid="{00000000-0004-0000-0000-00002B020000}"/>
    <hyperlink ref="AO2993" r:id="rId282" display="https://art-amm.ru/images/006/733/418/6733418/289x385crop/%D0%A4%D0%A7_%D0%BF%D0%B0%D0%BF%D1%80%D0%B8%D0%BA%D0%B0%D0%B6%D0%B5%D0%BB%D1%82%D0%B0%D1%8F.png" xr:uid="{00000000-0004-0000-0000-00002C020000}"/>
    <hyperlink ref="AO2994" r:id="rId283" display="https://art-amm.ru/images/006/712/334/6712334/355x473crop/%D0%91%D0%B5%D0%B7_%D0%B8%D0%BC%D0%B5%D0%BD%D0%B8-6.jpg" xr:uid="{00000000-0004-0000-0000-00002D020000}"/>
    <hyperlink ref="AO2995" r:id="rId284" display="https://art-amm.ru/images/006/712/337/6712337/355x473crop/%D0%91%D0%B5%D0%B7_%D0%B8%D0%BC%D0%B5%D0%BD%D0%B8-9.jpg" xr:uid="{00000000-0004-0000-0000-00002E020000}"/>
    <hyperlink ref="AO2999" r:id="rId285" display="https://art-amm.ru/images/006/712/339/6712339/355x473crop/%D0%91%D0%B5%D0%B7_%D0%B8%D0%BC%D0%B5%D0%BD%D0%B8-11.jpg" xr:uid="{00000000-0004-0000-0000-00002F020000}"/>
    <hyperlink ref="AO3000" r:id="rId286" display="https://art-amm.ru/images/006/712/291/6712291/289x385crop/%D0%A4%D0%A7_3_%D0%A1%D1%8B%D1%80%D0%B0%D0%9B%D1%83%D0%BA%D0%A4%D1%80%D0%BE%D0%BD%D1%82.jpg" xr:uid="{00000000-0004-0000-0000-000030020000}"/>
    <hyperlink ref="AO3001" r:id="rId287" display="https://art-amm.ru/images/006/712/290/6712290/289x385crop/%D0%A4%D0%A7_3_%D0%A1%D1%8B%D1%80%D0%B0%D0%A2%D0%BE%D0%BC%D0%B0%D1%82%D0%A4%D1%80%D0%BE%D0%BD%D1%82.jpg" xr:uid="{00000000-0004-0000-0000-000031020000}"/>
    <hyperlink ref="AO3002" r:id="rId288" display="https://art-amm.ru/images/006/712/298/6712298/355x473crop/%D0%91%D0%B5%D0%B7_%D0%B8%D0%BC%D0%B5%D0%BD%D0%B8-1.jpg" xr:uid="{00000000-0004-0000-0000-000032020000}"/>
    <hyperlink ref="AO3003" r:id="rId289" display="https://art-amm.ru/images/006/712/310/6712310/355x473crop/%D0%91%D0%B5%D0%B7_%D0%B8%D0%BC%D0%B5%D0%BD%D0%B8-4.jpg" xr:uid="{00000000-0004-0000-0000-000034020000}"/>
    <hyperlink ref="AO1510" r:id="rId290" display="http://naturevector.c8804.shared.hc.ru/photo/" xr:uid="{00000000-0004-0000-0000-000035020000}"/>
    <hyperlink ref="AO589" r:id="rId291" display="http://www.fitparad.com/site.aspx?IID=4020849" xr:uid="{00000000-0004-0000-0000-000037020000}"/>
    <hyperlink ref="AO2453" r:id="rId292" display="https://altnectar.com/upload/iblock/3c5/4v3tvgm90mtzxl5ru7v6p2bwiq5uc56b.jpg" xr:uid="{00000000-0004-0000-0000-000038020000}"/>
    <hyperlink ref="AO2764" r:id="rId293" display="https://dieterra.ru/upload/iblock/00f/h6qgetm74xemjvk91fb5kgqzm4saoi24.jpg" xr:uid="{00000000-0004-0000-0000-00003A020000}"/>
    <hyperlink ref="AO2754" r:id="rId294" display="https://ivan-da.ru/wp-content/uploads/2020/01/%D0%B6%D0%B8%D0%BC%D0%BE%D0%BB%D0%BE%D1%81%D1%82%D1%8C.jpg" xr:uid="{00000000-0004-0000-0000-000042020000}"/>
    <hyperlink ref="AO2756" r:id="rId295" display="https://ivan-da.ru/wp-content/uploads/2020/01/%D1%81%D0%BC%D0%BE%D1%80%D0%BE%D0%B4%D0%B8%D0%BD%D0%B0-1.jpg" xr:uid="{00000000-0004-0000-0000-000043020000}"/>
    <hyperlink ref="AO2284" r:id="rId296" display="https://nutvinograd.ru/wp-content/uploads/2021/01/middle_2.jpg" xr:uid="{00000000-0004-0000-0000-000044020000}"/>
    <hyperlink ref="R1435" location="Быстрый_поиск" display="Быстрый_поиск" xr:uid="{00000000-0004-0000-0000-000047020000}"/>
    <hyperlink ref="R2235" location="Быстрый_поиск" display="Быстрый_поиск" xr:uid="{00000000-0004-0000-0000-00008A020000}"/>
    <hyperlink ref="AO1889" r:id="rId297" display="http://naturevector.c8804.shared.hc.ru/photo/19866.jpg" xr:uid="{00000000-0004-0000-0000-000092020000}"/>
    <hyperlink ref="AO1890" r:id="rId298" display="http://naturevector.c8804.shared.hc.ru/photo/19867.jpg" xr:uid="{00000000-0004-0000-0000-000093020000}"/>
    <hyperlink ref="R2699" location="Быстрый_поиск" display="Быстрый_поиск" xr:uid="{00000000-0004-0000-0000-000094020000}"/>
    <hyperlink ref="AO807" r:id="rId299" xr:uid="{A17C30C8-9E46-4953-9227-9038990A720E}"/>
    <hyperlink ref="AO812" r:id="rId300" xr:uid="{67874587-F7E9-41D0-AE4A-686FC981C0BF}"/>
    <hyperlink ref="AO811" r:id="rId301" xr:uid="{92A312A4-0B2B-4709-A381-21286238E7EA}"/>
    <hyperlink ref="AO808" r:id="rId302" xr:uid="{E220E88D-75E0-472D-95CA-5B246BF3D446}"/>
    <hyperlink ref="AO810" r:id="rId303" xr:uid="{B4702237-43AD-46A6-A212-279437FCE3BA}"/>
    <hyperlink ref="AO809" r:id="rId304" xr:uid="{9D3BFB9D-57B2-46BD-804E-30EA913929BC}"/>
    <hyperlink ref="R2716" location="Быстрый_поиск" display="Быстрый_поиск" xr:uid="{B5870835-00A0-425E-AECF-775D0BEA2484}"/>
    <hyperlink ref="R2802" location="Быстрый_поиск" display="Быстрый_поиск" xr:uid="{01C5C0D6-F7F1-47FB-88D6-2BFBB6935829}"/>
    <hyperlink ref="R2567" location="Быстрый_поиск" display="Быстрый_поиск" xr:uid="{00000000-0004-0000-0000-000018000000}"/>
    <hyperlink ref="R2522" location="Быстрый_поиск" display="Быстрый_поиск" xr:uid="{9FF7C1A0-E743-433C-84DA-D56B060289E5}"/>
    <hyperlink ref="AO2553" r:id="rId305" display="http://naturevector.c8804.shared.hc.ru/photo/20092.jpg" xr:uid="{C32CFAD6-606A-48D4-87B4-FC57D6022F7F}"/>
    <hyperlink ref="R1380" location="Быстрый_поиск" display="Быстрый_поиск" xr:uid="{00000000-0004-0000-0000-000007000000}"/>
    <hyperlink ref="AO1430:AO1431" r:id="rId306" display="http://naturevector.c8804.shared.hc.ru/photo/" xr:uid="{467DA1A8-88A1-4FB6-AC90-20B4342E3596}"/>
    <hyperlink ref="R1359" location="Быстрый_поиск" display="Быстрый_поиск" xr:uid="{4EB05B04-C481-4330-8049-04AAE7F146CB}"/>
    <hyperlink ref="AO2968" r:id="rId307" xr:uid="{A3D6F557-6151-4B8F-8471-A3FE8AE504C7}"/>
    <hyperlink ref="AO2367" r:id="rId308" xr:uid="{40C95872-8CC1-4054-BC86-8C1E10ECF071}"/>
    <hyperlink ref="AO1791" r:id="rId309" xr:uid="{53E20351-FCAB-4168-AF12-C4DDAE8C8A86}"/>
    <hyperlink ref="AO1805" r:id="rId310" xr:uid="{CD2F3D79-AA8E-4172-816D-0407C4A12EFD}"/>
    <hyperlink ref="AO2035" r:id="rId311" xr:uid="{E5C1C247-72FB-4492-B31D-8C5C7382C8F3}"/>
    <hyperlink ref="AO2040" r:id="rId312" xr:uid="{9B78A7A4-945D-43C3-8DDE-9F3448731909}"/>
    <hyperlink ref="AO3122" r:id="rId313" xr:uid="{20531362-0155-408C-8C62-8BFE1FFBF026}"/>
    <hyperlink ref="AO1176" r:id="rId314" xr:uid="{12B00606-DD58-412C-AE01-C5A26A261F5A}"/>
    <hyperlink ref="AO1361" r:id="rId315" xr:uid="{A70554E5-5681-44EA-B2EC-3D5CD5D6B3C5}"/>
    <hyperlink ref="AO1362" r:id="rId316" xr:uid="{BE55DCB4-5B04-4EB5-BE6D-6AB99C37F6E7}"/>
    <hyperlink ref="R833" location="Быстрый_поиск" display="Быстрый_поиск" xr:uid="{52B0AA48-E392-4CD5-8EFF-A099BE72CB53}"/>
    <hyperlink ref="R958" location="Быстрый_поиск" display="Быстрый_поиск" xr:uid="{0FC58EE9-691A-4F5B-B2FC-4D9B643C59EE}"/>
    <hyperlink ref="AO975" r:id="rId317" display="http://naturevector.c8804.shared.hc.ru/photo/19762.jpg" xr:uid="{F248D6DC-1624-4F55-AC6D-788D334A9783}"/>
    <hyperlink ref="AO964" r:id="rId318" display="http://naturevector.c8804.shared.hc.ru/photo/19533.jpg" xr:uid="{94B58F67-A87D-4666-9B88-430E819F099E}"/>
    <hyperlink ref="AO965" r:id="rId319" display="http://naturevector.c8804.shared.hc.ru/photo/19535.jpg" xr:uid="{A54CE9D2-BA5F-4A84-94EB-37BC4A6D5F14}"/>
    <hyperlink ref="AO966" r:id="rId320" display="http://naturevector.c8804.shared.hc.ru/photo/19534.jpg" xr:uid="{E28FBC74-3C86-401C-B6CC-9BDCA64A1032}"/>
    <hyperlink ref="AO968" r:id="rId321" display="http://naturevector.c8804.shared.hc.ru/photo/19537.jpg" xr:uid="{777713BB-51FB-41F2-AB46-A415E0746B84}"/>
    <hyperlink ref="AO972" r:id="rId322" display="http://naturevector.c8804.shared.hc.ru/photo/19992.jpg" xr:uid="{B8EF670A-33EE-4770-B238-63A6F47C36EA}"/>
    <hyperlink ref="AO1003" r:id="rId323" display="http://naturevector.c8804.shared.hc.ru/photo/" xr:uid="{3E51AC0B-A1F6-42D9-8D15-AA886C292338}"/>
    <hyperlink ref="AO1005:AO1006" r:id="rId324" display="http://naturevector.c8804.shared.hc.ru/photo/" xr:uid="{1750A4A4-BA52-4541-B95C-6C09E908EBFE}"/>
    <hyperlink ref="AO960" r:id="rId325" display="http://naturevector.c8804.shared.hc.ru/photo/19716.jpg" xr:uid="{217E8067-A40D-4CCA-B7C0-1B0DA2CBFED0}"/>
    <hyperlink ref="R1011" location="Быстрый_поиск" display="Быстрый_поиск" xr:uid="{F7175139-021B-4873-9725-14394A56A870}"/>
    <hyperlink ref="AO1052" r:id="rId326" display="http://naturevector.c8804.shared.hc.ru/photo/" xr:uid="{AF799204-CED9-491C-9D33-E6343297F72B}"/>
    <hyperlink ref="AO1053" r:id="rId327" display="http://naturevector.c8804.shared.hc.ru/photo/" xr:uid="{0A73B478-C161-487B-B843-E43C5D043397}"/>
    <hyperlink ref="AO1102" r:id="rId328" display="https://bite.ru/upload/resize_cache/iblock/0cf/1200_1200_1/bite_crispy_1-_1_.png" xr:uid="{124023CB-8744-4094-9038-C70C96227F28}"/>
    <hyperlink ref="AO1101" r:id="rId329" display="https://bite.ru/upload/resize_cache/iblock/7db/1200_1200_1/bite_crispy_4-_1_.png" xr:uid="{C373E5B0-3E3C-46E2-BB62-1096AD45CCB4}"/>
    <hyperlink ref="AO1090" r:id="rId330" display="http://naturevector.c8804.shared.hc.ru/photo/" xr:uid="{6D586764-8523-4033-8A1B-F6418D726B0E}"/>
    <hyperlink ref="AO1093" r:id="rId331" display="http://naturevector.c8804.shared.hc.ru/photo/19892.jpg" xr:uid="{7F5C67DD-E7F2-4E5E-98A3-2F42829912E1}"/>
    <hyperlink ref="AO1094" r:id="rId332" display="http://naturevector.c8804.shared.hc.ru/photo/19893.jpg" xr:uid="{BE6EF306-A0C4-420B-B641-D0A00DE7D79B}"/>
    <hyperlink ref="AO1096" r:id="rId333" display="http://naturevector.c8804.shared.hc.ru/photo/19891.jpg" xr:uid="{0514E05A-AED9-40FA-A1A6-F4B47C8A018A}"/>
    <hyperlink ref="AO1042" r:id="rId334" display="http://naturevector.c8804.shared.hc.ru/photo/19807.jpg" xr:uid="{8B7C2672-D73E-416D-95AC-6C87442710F5}"/>
    <hyperlink ref="AO1024" r:id="rId335" display="https://bite.ru/upload/resize_cache/iblock/49f/1200_1200_1/bitey_wafer_cherry-_1_.png" xr:uid="{0D206AC9-8BBF-4E32-885F-8BB25C46C4F0}"/>
    <hyperlink ref="AO1025" r:id="rId336" display="https://bite.ru/upload/resize_cache/iblock/25d/1200_1200_1/bitey_wafer_broccoli-_1_.png" xr:uid="{2C7E828A-B6FD-4EBA-9B00-34D2A27B19FD}"/>
    <hyperlink ref="AO1026" r:id="rId337" display="https://bite.ru/upload/resize_cache/iblock/5cf/1200_1200_1/bitey_wafer_carrot-_1_.png" xr:uid="{6009CA04-7AA9-4D2D-A04F-4781A518B7A9}"/>
    <hyperlink ref="AO1044" r:id="rId338" display="http://naturevector.c8804.shared.hc.ru/photo/19816.jpg" xr:uid="{C8519194-08B7-41CF-AE02-A328E87AF775}"/>
    <hyperlink ref="AO1028" r:id="rId339" display="https://bite.ru/upload/resize_cache/iblock/4a0/1200_1200_1/bitey_wafer_chocolate-_1_.png" xr:uid="{86BB4364-A3BA-4144-ABAF-8CF42A611EA0}"/>
    <hyperlink ref="AO2183" r:id="rId340" xr:uid="{50FF140B-3A65-48D4-9F79-B5D24ACE14F6}"/>
    <hyperlink ref="AO1478" r:id="rId341" xr:uid="{2C5AA04B-F101-40D8-9DFE-83C82BB5E529}"/>
    <hyperlink ref="AO2263" r:id="rId342" xr:uid="{76A04045-39FD-4DFA-83FC-8BF97D9D6FE7}"/>
    <hyperlink ref="AO430" r:id="rId343" display="http://naturevector.c8804.shared.hc.ru/photo/19803.jpg" xr:uid="{D99AAF3A-CDE5-4939-B0BE-62EE27713CE3}"/>
    <hyperlink ref="AO438" r:id="rId344" display="http://naturevector.c8804.shared.hc.ru/photo/19823.jpg" xr:uid="{1D37D5CC-43BD-49C0-B338-F6415849D456}"/>
    <hyperlink ref="AO1161" r:id="rId345" xr:uid="{677A91AD-C42B-4653-ACFB-674C3BFDCC57}"/>
    <hyperlink ref="AO1159" r:id="rId346" xr:uid="{C7D4F466-409E-45A1-B5C4-B507B124E837}"/>
    <hyperlink ref="AO1160" r:id="rId347" xr:uid="{6CF1A64A-A172-4C53-9A62-88394685E3A1}"/>
    <hyperlink ref="R117" location="Быстрый_поиск" display="Быстрый_поиск" xr:uid="{E6217D6B-098D-45B6-94D2-8DFD967A6EFC}"/>
    <hyperlink ref="AO436" r:id="rId348" xr:uid="{8FC9AB9C-4FB4-4690-8A9C-F153D42C9B5E}"/>
    <hyperlink ref="AO2177" r:id="rId349" display="https://bionovashop.ru/upload/iblock/288/288e0bda9abaf6237587308780faf936.jpg" xr:uid="{73C99D5B-A776-446C-9F9F-70657D8428EF}"/>
    <hyperlink ref="AO2309" r:id="rId350" display="http://naturevector.c8804.shared.hc.ru/photo/" xr:uid="{7995678F-1011-4ECF-A2DD-70B0328582FA}"/>
    <hyperlink ref="AO2315" r:id="rId351" xr:uid="{0440D4E2-0424-49DE-9A67-BCF51B27C3AF}"/>
    <hyperlink ref="AO2318" r:id="rId352" xr:uid="{CF6E123F-0842-46AD-9A0E-BD788C29C90D}"/>
    <hyperlink ref="AO2319" r:id="rId353" xr:uid="{41B972CA-B67A-4F20-B0A8-CC1DC7CF52DE}"/>
    <hyperlink ref="AO2320" r:id="rId354" xr:uid="{19ADF61D-80FD-4AC8-82D5-34C5DE76DDC8}"/>
    <hyperlink ref="AO2322" r:id="rId355" xr:uid="{A30AE3CB-AA48-427B-B3F1-B292C5EA7D8B}"/>
    <hyperlink ref="AO2324" r:id="rId356" xr:uid="{F837A1E1-2722-4C2C-93F2-2352F1E7DCEC}"/>
    <hyperlink ref="AO2325" r:id="rId357" xr:uid="{29E4DB6C-8E5B-4714-A006-A55449AA00B8}"/>
    <hyperlink ref="AO2574" r:id="rId358" xr:uid="{AE994F6C-0954-4133-9539-B76B9EB89021}"/>
    <hyperlink ref="AO2575" r:id="rId359" xr:uid="{B9EA9DB2-1A1C-44BA-8AFA-E802B6F644CC}"/>
    <hyperlink ref="AO2576" r:id="rId360" xr:uid="{FB8D4D41-B793-416D-81EB-315877035E19}"/>
    <hyperlink ref="AO568" r:id="rId361" xr:uid="{73278717-A754-4FF8-84A0-3AC0F1C8E20A}"/>
    <hyperlink ref="AO1793" r:id="rId362" xr:uid="{90EB86BD-5209-4779-9056-25E4172C755F}"/>
    <hyperlink ref="AO1220" r:id="rId363" xr:uid="{507CCF90-CE33-4857-9CB9-10E6DE86B0C6}"/>
    <hyperlink ref="AO1788" r:id="rId364" display="https://static.tildacdn.com/tild3264-3636-4330-b165-336430646265/Chaokoh-042_65-Cocon.jpg" xr:uid="{DC7EAD46-6F6A-4A3E-B3A9-EA9C6B588CC9}"/>
    <hyperlink ref="R1251" location="Быстрый_поиск" display="Быстрый_поиск" xr:uid="{E5430F13-0001-44CD-8918-81ABBC5E7850}"/>
    <hyperlink ref="AO1280" r:id="rId365" display="http://naturevector.c8804.shared.hc.ru/photo/" xr:uid="{6E3D04CB-FFD5-4480-BF30-9FFD48F7D57E}"/>
    <hyperlink ref="AO1286" r:id="rId366" display="http://naturevector.c8804.shared.hc.ru/photo/" xr:uid="{2BEDCE31-B78D-4057-BD7B-1A8CF6C42941}"/>
    <hyperlink ref="AO1288" r:id="rId367" display="http://naturevector.c8804.shared.hc.ru/photo/" xr:uid="{1CFEA3CA-8401-4388-B5C1-BFA058E93192}"/>
    <hyperlink ref="AO1287" r:id="rId368" display="http://naturevector.c8804.shared.hc.ru/photo/" xr:uid="{7C4B8BAC-DD31-4DCB-AB9E-04A525558C81}"/>
    <hyperlink ref="AO1285" r:id="rId369" display="http://naturevector.c8804.shared.hc.ru/photo/" xr:uid="{8FCBFC6E-8E79-4920-898A-DDD43F5EB15C}"/>
    <hyperlink ref="AO1284" r:id="rId370" display="http://naturevector.c8804.shared.hc.ru/photo/" xr:uid="{2533C4E7-0E4D-461D-9A7D-02E3C8EDE71F}"/>
    <hyperlink ref="AO1283" r:id="rId371" display="http://naturevector.c8804.shared.hc.ru/photo/" xr:uid="{762AD8F3-6D5B-487A-B691-233DBD5A20D5}"/>
    <hyperlink ref="AO1275" r:id="rId372" display="http://naturevector.c8804.shared.hc.ru/photo/" xr:uid="{CCB2EF1D-19AC-430F-9C4F-61597B772B1B}"/>
    <hyperlink ref="AO1277" r:id="rId373" display="http://naturevector.c8804.shared.hc.ru/photo/" xr:uid="{1A682B3C-DB68-4283-9B37-A2D5FFB02702}"/>
    <hyperlink ref="AO1281" r:id="rId374" display="http://naturevector.c8804.shared.hc.ru/photo/" xr:uid="{CC9CA1F6-9F84-4ECF-ACF7-2DF0B7860441}"/>
    <hyperlink ref="R1305" location="Быстрый_поиск" display="Быстрый_поиск" xr:uid="{E7AA4FCD-D785-4B1F-BF0C-5714A4306997}"/>
    <hyperlink ref="R1342" location="Быстрый_поиск" display="Быстрый_поиск" xr:uid="{92133DDE-6BBA-4044-807E-2646FBEE7743}"/>
    <hyperlink ref="R2108" location="Быстрый_поиск" display="Быстрый_поиск" xr:uid="{210A723A-8902-4DC6-88CD-667E7514A267}"/>
    <hyperlink ref="R2065" location="Быстрый_поиск" display="Быстрый_поиск" xr:uid="{21A015E2-D57D-4C16-A881-636FA2B00990}"/>
    <hyperlink ref="AO1823" r:id="rId375" xr:uid="{55C87719-36AF-4A08-B184-004A7E838DD4}"/>
    <hyperlink ref="R196" location="Быстрый_поиск" display="Быстрый_поиск" xr:uid="{07141739-F56F-40FE-9A11-57AC6436A2D2}"/>
    <hyperlink ref="O84" location="Таёжный_тайник" display="Таёжный тайник NEW" xr:uid="{F9199200-C827-4A1A-92A6-DEC593174B1D}"/>
    <hyperlink ref="O16" location="Am_food" display="Am Food NEW" xr:uid="{5A01A5D0-BF5D-47C3-8D8B-A6F0751085DE}"/>
    <hyperlink ref="O65" location="Петербургский_кондитеръ" display="Петербургский кондитер" xr:uid="{18A6FF2E-21CC-46EA-8B85-A6DCFE79E250}"/>
    <hyperlink ref="O30" location="Диетика" display="Диетика NEW" xr:uid="{3E24A646-3538-40D8-AE90-A96251DDA3BC}"/>
    <hyperlink ref="O18" location="Bezglutini" display="Безглютини (Bezglutini) NEW" xr:uid="{DE7C30E0-15EE-4B49-817C-73B135FA19D3}"/>
    <hyperlink ref="O17" location="Take_a_Bite" display="БиоФудЛаб BITE" xr:uid="{1C01AAFE-3251-404B-BC01-A730F1FA74BC}"/>
    <hyperlink ref="O78" location="Смоква" display="Смоква (Эко пастила)" xr:uid="{BFD902EF-7FB3-4BC2-9B30-563F58292DAE}"/>
    <hyperlink ref="O96:Q96" location="Стевия_групп" display="Я Стевия" xr:uid="{0442C72E-3209-4F54-B814-003F552C6EF9}"/>
    <hyperlink ref="O60" location="GreenVill" display="Нутвилл (Nutvill)" xr:uid="{E0FE120E-D5AF-4011-B3B6-84D4E5A3CFB0}"/>
    <hyperlink ref="O92" location="Белое_дерево" display="Фрутилад" xr:uid="{E127C3E5-9782-4310-97C6-B7FEF1D1F374}"/>
    <hyperlink ref="O48" location="СиЭко_Фудс" display="Каса Кубана (Casa Kubana)" xr:uid="{8DB5B712-87B9-4664-9FA2-3985B03BE43B}"/>
    <hyperlink ref="O62" location="Фитокод" display="О самом главном (Фитокод)" xr:uid="{8A2AB4E4-C0A3-43D8-B810-A3F1B3B6CC67}"/>
    <hyperlink ref="O61" location="Дон_Шеллдон" display="Нутсы" xr:uid="{EFDE0E49-AEED-48F4-A60C-B714927EF51F}"/>
    <hyperlink ref="O42" location="Сибтар" display="Злаки Сибири" xr:uid="{FA8301F0-32A6-454B-8F43-21E44DA0C1F0}"/>
    <hyperlink ref="O66" location="Пища_богов" display="Пища богов (Theobroma) NEW" xr:uid="{331A27E3-48FE-4795-85B3-7A28F247A773}"/>
    <hyperlink ref="O68" location="Пур_Пур" display="Пур Пур NEW" xr:uid="{D4C8F195-0AE5-4C59-87F9-5369D74D5B10}"/>
    <hyperlink ref="O28" location="Диал_экспорт" display="Диал экспорт NEW" xr:uid="{00000000-0004-0000-0000-000091020000}"/>
    <hyperlink ref="O35" location="Живые_соки" display="Живые соки (Absolute nature) NEW" xr:uid="{00000000-0004-0000-0000-00008D020000}"/>
    <hyperlink ref="O56" location="Missis" display="Миссис Пикез (Missis Pickez) NEW" xr:uid="{00000000-0004-0000-0000-000049020000}"/>
    <hyperlink ref="O88" location="Фило" display="Философия де Натура (Philosophia)" xr:uid="{00000000-0004-0000-0000-00000B010000}"/>
    <hyperlink ref="O71" location="РусКвас" display="Русквас - Interkvass NEW" xr:uid="{00000000-0004-0000-0000-000008010000}"/>
    <hyperlink ref="O43" location="Vitlen" display="Золотой лён Vitlen NEW" xr:uid="{00000000-0004-0000-0000-000006010000}"/>
    <hyperlink ref="O51" location="Кронидов" display="Кронидов NEW" xr:uid="{00000000-0004-0000-0000-0000FC000000}"/>
    <hyperlink ref="O49" location="KICK" display="Кик (Kick) батончики NEW" xr:uid="{00000000-0004-0000-0000-0000EE000000}"/>
    <hyperlink ref="O13" location="_28seeds" display="28seeds" xr:uid="{00000000-0004-0000-0000-0000ED000000}"/>
    <hyperlink ref="O25" location="Грин_Злак" display="Грин Злак NEW" xr:uid="{00000000-0004-0000-0000-0000EB000000}"/>
    <hyperlink ref="O33" location="Туррон_Duke_Almond" display="Дюк Альмонд (Туррон) NEW" xr:uid="{00000000-0004-0000-0000-0000EA000000}"/>
    <hyperlink ref="O86" location="ТвердоХлеб" display="ТвердоХлеб NEW" xr:uid="{00000000-0004-0000-0000-0000AC000000}"/>
    <hyperlink ref="Q6" r:id="rId376" xr:uid="{00000000-0004-0000-0000-0000A9000000}"/>
    <hyperlink ref="O58" location="Нат_Виноград" display="Нат Виноград NEW" xr:uid="{00000000-0004-0000-0000-000090000000}"/>
    <hyperlink ref="O40" location="Живая_Еда" display="Живая еда (Здоровцов)" xr:uid="{00000000-0004-0000-0000-000083000000}"/>
    <hyperlink ref="O96" location="Стевия_групп" display="Я Стевия" xr:uid="{00000000-0004-0000-0000-000081000000}"/>
    <hyperlink ref="O95" location="Эко_про" display="Эко про" xr:uid="{00000000-0004-0000-0000-00007F000000}"/>
    <hyperlink ref="O94" location="Региональный_центр_фиточаёв" display="Центр Фиточаев" xr:uid="{00000000-0004-0000-0000-00007E000000}"/>
    <hyperlink ref="O93" location="Holy_Corn" display="Холи Корн (Holy Corn)" xr:uid="{00000000-0004-0000-0000-00007D000000}"/>
    <hyperlink ref="O91" location="Арт_ам" display="Флайчипсы (Арт-ам)" xr:uid="{00000000-0004-0000-0000-00007C000000}"/>
    <hyperlink ref="O90" location="ФитПарад" display="Фит Парад" xr:uid="{00000000-0004-0000-0000-00007B000000}"/>
    <hyperlink ref="O89" location="Фитосила" display="Фитосила" xr:uid="{00000000-0004-0000-0000-00007A000000}"/>
    <hyperlink ref="O87" location="Royal_Forest" display="ТрансКэроб" xr:uid="{00000000-0004-0000-0000-000078000000}"/>
    <hyperlink ref="O85" location="Тай_стайл" display="Тай Стайл (Thai Style)" xr:uid="{00000000-0004-0000-0000-000077000000}"/>
    <hyperlink ref="O83" location="Сташевское" display="Сташевское" xr:uid="{00000000-0004-0000-0000-000075000000}"/>
    <hyperlink ref="O82" location="Тор_Спирулина" display="Спирулина-ТОР" xr:uid="{00000000-0004-0000-0000-000074000000}"/>
    <hyperlink ref="O81" location="Специалист" display="Специалист" xr:uid="{00000000-0004-0000-0000-000073000000}"/>
    <hyperlink ref="O80" location="Сокровища_сезам" display="Сокровища Сезам" xr:uid="{00000000-0004-0000-0000-000072000000}"/>
    <hyperlink ref="O79" location="Соймик" display="Соймик" xr:uid="{00000000-0004-0000-0000-000071000000}"/>
    <hyperlink ref="O77" location="Твёрдый_мёд" display="Сила Сибири - твердый мёд" xr:uid="{00000000-0004-0000-0000-00006E000000}"/>
    <hyperlink ref="O76" location="Сибирский_кедр" display="Сибиский Кедр" xr:uid="{00000000-0004-0000-0000-00006C000000}"/>
    <hyperlink ref="O75" location="Сибирская_клетчатка" display="Сибирская клетчатка" xr:uid="{00000000-0004-0000-0000-00006B000000}"/>
    <hyperlink ref="O73" location="Sibereco" display="Сибереко (Sibereco)" xr:uid="{00000000-0004-0000-0000-00006A000000}"/>
    <hyperlink ref="O72" location="Русский_лес" display="Русский лес" xr:uid="{00000000-0004-0000-0000-000069000000}"/>
    <hyperlink ref="O70" location="Реалкапс" display="Реалкапс" xr:uid="{00000000-0004-0000-0000-000068000000}"/>
    <hyperlink ref="O69" location="Радоград" display="Радоград" xr:uid="{00000000-0004-0000-0000-000067000000}"/>
    <hyperlink ref="O67" location="Предприятие_МС" display="Предприятие МС (гималайская соль)" xr:uid="{00000000-0004-0000-0000-000066000000}"/>
    <hyperlink ref="O64" location="Оргтиум" display="Оргтиум" xr:uid="{00000000-0004-0000-0000-000065000000}"/>
    <hyperlink ref="O63" location="Образ_жизни" display="Образ жизни" xr:uid="{00000000-0004-0000-0000-000064000000}"/>
    <hyperlink ref="O59" location="Новапродукт" display="Новапродукт (Bionova, Ол Лайт)" xr:uid="{00000000-0004-0000-0000-000063000000}"/>
    <hyperlink ref="O57" location="Молекола" display="Молекола (Molecola)" xr:uid="{00000000-0004-0000-0000-000062000000}"/>
    <hyperlink ref="O55" location="Масляный_король" display="Масляный король" xr:uid="{00000000-0004-0000-0000-000060000000}"/>
    <hyperlink ref="O53" location="Лучикс" display="Лучикс" xr:uid="{00000000-0004-0000-0000-00005F000000}"/>
    <hyperlink ref="O52" location="Купецкий_посад" display="Купецкий Посадъ" xr:uid="{00000000-0004-0000-0000-00005E000000}"/>
    <hyperlink ref="O50" location="Компас_Здоровья" display="Компас Здоровья" xr:uid="{00000000-0004-0000-0000-00005D000000}"/>
    <hyperlink ref="O47" location="Инфарма" display="Инфарма" xr:uid="{00000000-0004-0000-0000-00005C000000}"/>
    <hyperlink ref="O45" location="Изомальто" display="Изомальто (yummy jam)" xr:uid="{00000000-0004-0000-0000-00005B000000}"/>
    <hyperlink ref="O44" location="Иван_да" display="Иван Да" xr:uid="{00000000-0004-0000-0000-00005A000000}"/>
    <hyperlink ref="O41" location="Zero" display="Зеро (ZERO)" xr:uid="{00000000-0004-0000-0000-000059000000}"/>
    <hyperlink ref="O39" location="Здоровые_вкусы" display="Здоровые вкусы" xr:uid="{00000000-0004-0000-0000-000058000000}"/>
    <hyperlink ref="O38" location="Здоровей" display="Здоровей" xr:uid="{00000000-0004-0000-0000-000057000000}"/>
    <hyperlink ref="O37" location="Здороведа_и_Вкусное_дело" display="Здороведа" xr:uid="{00000000-0004-0000-0000-000056000000}"/>
    <hyperlink ref="O36" location="Емельяновская_биофабрика" display="Емельяновская Биофабрика" xr:uid="{00000000-0004-0000-0000-000055000000}"/>
    <hyperlink ref="O34" location="Живая_каша" display="Живая каша VITA" xr:uid="{00000000-0004-0000-0000-000054000000}"/>
    <hyperlink ref="O32" location="Древо_Жизни" display="Древо Жизни" xr:uid="{00000000-0004-0000-0000-000053000000}"/>
    <hyperlink ref="O31" location="Домашний_погребок" display="Домашний погребок" xr:uid="{00000000-0004-0000-0000-000052000000}"/>
    <hyperlink ref="O29" location="Дивинка" display="Дивинка" xr:uid="{00000000-0004-0000-0000-000051000000}"/>
    <hyperlink ref="O27" location="Ди_энд_Ди" display="Ди энд Ди" xr:uid="{00000000-0004-0000-0000-000050000000}"/>
    <hyperlink ref="O26" location="Гурмайор" display="Гурмайор Pasta La Bella" xr:uid="{00000000-0004-0000-0000-00004F000000}"/>
    <hyperlink ref="O23" location="Vegan_Food" display="Веган Фуд (Vegan Food)" xr:uid="{00000000-0004-0000-0000-00004D000000}"/>
    <hyperlink ref="O22" location="Вастэко" display="Вастэко" xr:uid="{00000000-0004-0000-0000-00004C000000}"/>
    <hyperlink ref="O21" location="Ботаника_ароматехнологии" display="Ботаника Арома" xr:uid="{00000000-0004-0000-0000-00004B000000}"/>
    <hyperlink ref="O20" location="Биопродукты" display="Биопродукт Урбеч" xr:uid="{00000000-0004-0000-0000-000049000000}"/>
    <hyperlink ref="O19" location="Биолоджик" display="Берестов А.С. - Биолоджик" xr:uid="{00000000-0004-0000-0000-000048000000}"/>
    <hyperlink ref="O15" location="Алтын_бай" display="Алтын Бай" xr:uid="{00000000-0004-0000-0000-000044000000}"/>
    <hyperlink ref="O14" location="АлтайФитПром" display="АлтайФитоПром" xr:uid="{00000000-0004-0000-0000-000043000000}"/>
    <hyperlink ref="R220" location="Быстрый_поиск" display="Быстрый_поиск" xr:uid="{448DA9C6-316B-411A-B709-4BE1501AF219}"/>
    <hyperlink ref="O24" location="Vitro_Naturals" display="Витро (Vitro Naturals) NEW" xr:uid="{4F0B051E-76FF-4EB5-B638-286A8FA8AFDE}"/>
    <hyperlink ref="O54" location="Любэль" display="Любэль NEW" xr:uid="{72253A39-D434-401D-8072-57EC780D1E93}"/>
    <hyperlink ref="O74" location="Сибирио" display="Сибирио NEW" xr:uid="{4CF582FB-CABE-49DF-AB2D-9FE576CE4442}"/>
    <hyperlink ref="AO340" r:id="rId377" display="http://naturevector.c8804.shared.hc.ru/photo/19815.jpg" xr:uid="{FE95B303-6912-4E12-89FA-44D4192D7ACD}"/>
    <hyperlink ref="AO341" r:id="rId378" display="http://naturevector.c8804.shared.hc.ru/photo/19814.jpg" xr:uid="{FBB54C6D-AA6A-44DA-B54C-F342EDBF824F}"/>
    <hyperlink ref="AO330" r:id="rId379" display="http://naturevector.c8804.shared.hc.ru/photo/17845.jpg" xr:uid="{0E1D091F-D012-40EB-BD5C-8BFA594C6CB0}"/>
    <hyperlink ref="AO308" r:id="rId380" display="http://naturevector.c8804.shared.hc.ru/photo/19824.jpg" xr:uid="{3B42E570-9E2F-4D6F-8F99-E71DD7327C52}"/>
    <hyperlink ref="AO254" r:id="rId381" xr:uid="{E099F5DF-99A6-4AD8-B16E-797908AE0D9A}"/>
    <hyperlink ref="AO279" r:id="rId382" display="http://naturevector.c8804.shared.hc.ru/photo/17572.jpg" xr:uid="{CF83630E-9C4B-4545-B301-D468E8F49EB4}"/>
    <hyperlink ref="AO351" r:id="rId383" xr:uid="{408AE79C-3430-4B57-9392-C39BB7DA1AC0}"/>
    <hyperlink ref="AO336" r:id="rId384" xr:uid="{8C524C94-1D3B-4CA2-9C3F-480129C436B9}"/>
    <hyperlink ref="AO306" r:id="rId385" display="http://naturevector.c8804.shared.hc.ru/photo/19763.jpg" xr:uid="{60D21C76-59A2-4092-A472-BBB69594806F}"/>
    <hyperlink ref="AO307" r:id="rId386" display="http://naturevector.c8804.shared.hc.ru/photo/19765.jpg" xr:uid="{7834F918-EC24-4E8B-B92D-392A841CFF5D}"/>
    <hyperlink ref="AO305" r:id="rId387" display="http://naturevector.c8804.shared.hc.ru/photo/19881.jpg" xr:uid="{77F882C6-ACED-433D-9116-D48448EDCCFF}"/>
    <hyperlink ref="R234" location="Быстрый_поиск" display="Быстрый_поиск" xr:uid="{AEB3211D-4F98-45A7-9C2E-282FA84EAA8D}"/>
    <hyperlink ref="AO271" r:id="rId388" xr:uid="{71E62C6C-A166-47D7-A1C4-753ED3FDFDCF}"/>
    <hyperlink ref="R354" location="Быстрый_поиск" display="Быстрый_поиск" xr:uid="{0EBF2EA8-3D56-41DF-A521-43DBB242547E}"/>
    <hyperlink ref="R1524" location="Быстрый_поиск" display="Быстрый_поиск" xr:uid="{59BAEF04-50C3-4263-BB5B-82ADE2B784BE}"/>
    <hyperlink ref="AO725" r:id="rId389" display="http://naturevector.c8804.shared.hc.ru/photo/" xr:uid="{120E976A-CE38-4C35-870F-DD1EB13E950C}"/>
    <hyperlink ref="AO2929" r:id="rId390" display="http://naturevector.c8804.shared.hc.ru/photo/" xr:uid="{9CAC93EA-2E1B-4D34-98C3-7136B1CE548A}"/>
    <hyperlink ref="AO2930" r:id="rId391" display="http://naturevector.c8804.shared.hc.ru/photo/19666.jpg" xr:uid="{B728F3D7-99B2-49CB-957F-AD421EA363EE}"/>
    <hyperlink ref="AO2916" r:id="rId392" xr:uid="{28E4C091-25FD-4186-B2F6-CD18CA3B2D3F}"/>
    <hyperlink ref="Q5" r:id="rId393" xr:uid="{B64046AE-FDE6-4ACD-B8A4-588669487293}"/>
    <hyperlink ref="AO406" r:id="rId394" display="http://naturevector.c8804.shared.hc.ru/photo/" xr:uid="{F85DE242-9893-4254-8E75-CBF729A28007}"/>
    <hyperlink ref="AO368" r:id="rId395" xr:uid="{610CFD2C-B91B-4768-A918-02D106B839CA}"/>
    <hyperlink ref="AO366" r:id="rId396" xr:uid="{6020C199-04BD-4765-B42D-3D06A8605211}"/>
    <hyperlink ref="AO394" r:id="rId397" xr:uid="{756B7FBE-54B5-419A-B0EA-D4BB406A394A}"/>
    <hyperlink ref="AO381:AO382" r:id="rId398" display="http://naturevector.c8804.shared.hc.ru/photo/" xr:uid="{0087D956-6AFC-467F-BAD4-CBDCFB963DF4}"/>
    <hyperlink ref="AO380" r:id="rId399" display="http://naturevector.c8804.shared.hc.ru/photo/" xr:uid="{6A2238E0-216D-4033-B135-A8195A977297}"/>
    <hyperlink ref="AO365" r:id="rId400" xr:uid="{CF36B2DB-5695-4F93-A6B2-7A1CCA7F5529}"/>
    <hyperlink ref="AO364" r:id="rId401" display="http://naturevector.c8804.shared.hc.ru/photo/19837.jpg" xr:uid="{2F232DDC-EDF7-45A3-B699-AAA8BC15425C}"/>
    <hyperlink ref="AO367" r:id="rId402" display="http://naturevector.c8804.shared.hc.ru/photo/19836.jpg" xr:uid="{AAA1F6C6-CDDC-4BCE-94FA-40FC8F7AFEC8}"/>
    <hyperlink ref="AO371" r:id="rId403" display="http://naturevector.c8804.shared.hc.ru/photo/19809.jpg" xr:uid="{2A1C4B6C-0053-4181-9FFA-F7C169623175}"/>
    <hyperlink ref="AO390" r:id="rId404" display="http://naturevector.c8804.shared.hc.ru/photo/" xr:uid="{54B929E4-4134-41FC-91F0-1FB10EB79A74}"/>
    <hyperlink ref="AO402" r:id="rId405" display="http://naturevector.c8804.shared.hc.ru/photo/" xr:uid="{9B797E33-CB4A-40E7-857F-2507123796E4}"/>
    <hyperlink ref="AO400" r:id="rId406" display="http://naturevector.c8804.shared.hc.ru/photo/17625.jpg" xr:uid="{BB34D6FA-632D-4018-8756-32B5A4FA9606}"/>
    <hyperlink ref="AO605" r:id="rId407" xr:uid="{C9B192E6-3068-42C7-AF86-4E26E1B01AA1}"/>
    <hyperlink ref="AO613" r:id="rId408" xr:uid="{3D8B7AD2-53C5-41CE-9A64-3AF9650CC1EC}"/>
    <hyperlink ref="AO856" r:id="rId409" xr:uid="{00361984-E50F-4A30-A90C-39E3757C5B0A}"/>
    <hyperlink ref="AO855" r:id="rId410" xr:uid="{388D3709-E458-4C17-8A08-640AA5B9D1BA}"/>
    <hyperlink ref="AO895" r:id="rId411" xr:uid="{D0A23CDB-E619-480A-8FEC-5A66993B2029}"/>
    <hyperlink ref="AO941" r:id="rId412" display="https://www.corpdidi.ru/upload/iblock/892/8928d0ab0fc4e677e67973e88761ddeb.jpg" xr:uid="{FE833BD5-B466-4D56-B879-88548D39D2AA}"/>
    <hyperlink ref="AO928" r:id="rId413" display="https://www.corpdidi.ru/upload/iblock/39a/39aa116950abe84926bc0c74d912f5a0.jpg" xr:uid="{D2C445F7-36E2-435E-87ED-E3AF12DED5D6}"/>
    <hyperlink ref="AO876" r:id="rId414" display="https://www.corpdidi.ru/upload/iblock/212/2129171c185f44e430fba10101cf2824.jpg" xr:uid="{713DD687-9F19-4AB9-ABAA-F9084246E549}"/>
    <hyperlink ref="AO875" r:id="rId415" display="https://www.corpdidi.ru/upload/iblock/580/5801ee9781fad69f4b1eaec2b79e4a1c.jpg" xr:uid="{66F493E1-1798-4ED4-8B99-B99F2832EEE5}"/>
    <hyperlink ref="AO871" r:id="rId416" display="https://www.corpdidi.ru/upload/iblock/b03/b03be3741c87dbfd35316535dd1637e7.jpg" xr:uid="{974C7E3F-86E6-4F6D-A4C3-B696FA8E9F3D}"/>
    <hyperlink ref="AO869" r:id="rId417" display="https://www.corpdidi.ru/upload/iblock/b41/b41e4d5af8c6690b31de43f57675e3e3.jpg" xr:uid="{9BEA2013-94A6-4571-A08B-8963A22DE6FB}"/>
    <hyperlink ref="AO879" r:id="rId418" xr:uid="{47323559-8564-405C-B723-6139000D9FE8}"/>
    <hyperlink ref="AO878" r:id="rId419" xr:uid="{174D2D55-1CB5-4AE3-BC61-F26A14DABC28}"/>
    <hyperlink ref="AO1720" r:id="rId420" display="http://naturevector.c8804.shared.hc.ru/photo/19995.jpg" xr:uid="{9D56D95E-DAD9-457A-8460-5A076D5AE69A}"/>
    <hyperlink ref="R1689" location="Быстрый_поиск" display="Быстрый_поиск" xr:uid="{759FF5E7-0EA1-4EEA-8850-214839D8B198}"/>
    <hyperlink ref="R1571" location="Быстрый_поиск" display="Быстрый_поиск" xr:uid="{2E7612E2-9338-46E4-B68B-013811DB17A6}"/>
    <hyperlink ref="R1668" location="Быстрый_поиск" display="Быстрый_поиск" xr:uid="{9A8C1E66-F92E-4BA9-9BF6-ACFC5DA818FE}"/>
    <hyperlink ref="R1590" location="Быстрый_поиск" display="Быстрый_поиск" xr:uid="{E428AFB8-5E59-4758-90EC-71B307B53E72}"/>
    <hyperlink ref="R1649" location="Быстрый_поиск" display="Быстрый_поиск" xr:uid="{90912CDC-AE71-4D95-AEB9-EE26253D82AE}"/>
    <hyperlink ref="AO374" r:id="rId421" xr:uid="{9C46AC95-1C36-470C-8D6D-3B2F5F6E1C86}"/>
    <hyperlink ref="AO379" r:id="rId422" xr:uid="{66916A8C-0F2D-41D8-ABA5-B59BED16C97D}"/>
    <hyperlink ref="R176" location="Быстрый_поиск" display="Быстрый_поиск" xr:uid="{4FB66C47-4CC0-4008-B360-F0063A0F5492}"/>
    <hyperlink ref="O46" location="iki" display="iKi (Кокосовые напитки) NEW" xr:uid="{F60F4735-2B3D-4110-A77C-3CF8291A58AC}"/>
  </hyperlinks>
  <pageMargins left="0.7" right="0.7" top="0.75" bottom="0.75" header="0.3" footer="0.3"/>
  <pageSetup paperSize="9" orientation="portrait" horizontalDpi="300" verticalDpi="300" r:id="rId423"/>
  <drawing r:id="rId424"/>
  <legacyDrawing r:id="rId425"/>
  <mc:AlternateContent xmlns:mc="http://schemas.openxmlformats.org/markup-compatibility/2006">
    <mc:Choice Requires="x14">
      <controls>
        <mc:AlternateContent xmlns:mc="http://schemas.openxmlformats.org/markup-compatibility/2006">
          <mc:Choice Requires="x14">
            <control shapeId="2049" r:id="rId426" name="Drop Down 1">
              <controlPr defaultSize="0" autoLine="0" autoPict="0">
                <anchor moveWithCells="1">
                  <from>
                    <xdr:col>17</xdr:col>
                    <xdr:colOff>0</xdr:colOff>
                    <xdr:row>0</xdr:row>
                    <xdr:rowOff>0</xdr:rowOff>
                  </from>
                  <to>
                    <xdr:col>18</xdr:col>
                    <xdr:colOff>1219200</xdr:colOff>
                    <xdr:row>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C11A-247E-4CEE-81D3-78419B46680D}">
  <sheetPr codeName="Лист2">
    <tabColor rgb="FF00B0F0"/>
  </sheetPr>
  <dimension ref="A1:X510"/>
  <sheetViews>
    <sheetView zoomScaleNormal="100" workbookViewId="0">
      <selection activeCell="B2" sqref="B2:G2"/>
    </sheetView>
  </sheetViews>
  <sheetFormatPr defaultRowHeight="15" x14ac:dyDescent="0.25"/>
  <cols>
    <col min="1" max="1" width="1.140625" style="1061" customWidth="1"/>
    <col min="2" max="2" width="4.140625" style="1062" customWidth="1"/>
    <col min="3" max="3" width="61.7109375" style="1063" customWidth="1"/>
    <col min="4" max="4" width="17.28515625" style="1062" customWidth="1"/>
    <col min="5" max="5" width="7.85546875" style="1062" customWidth="1"/>
    <col min="6" max="6" width="8.7109375" style="1062" customWidth="1"/>
    <col min="7" max="7" width="11" style="1064" customWidth="1"/>
    <col min="8" max="8" width="1.85546875" customWidth="1"/>
    <col min="9" max="9" width="2.5703125" customWidth="1"/>
    <col min="21" max="24" width="9.140625" style="3"/>
  </cols>
  <sheetData>
    <row r="1" spans="1:18" ht="11.25" customHeight="1" x14ac:dyDescent="0.25">
      <c r="A1" s="1040"/>
      <c r="B1" s="1041"/>
      <c r="C1" s="1042"/>
      <c r="D1" s="1041"/>
      <c r="E1" s="1041"/>
      <c r="F1" s="1041"/>
      <c r="G1" s="1043"/>
      <c r="H1" s="1"/>
    </row>
    <row r="2" spans="1:18" ht="16.5" customHeight="1" x14ac:dyDescent="0.25">
      <c r="A2" s="1040"/>
      <c r="B2" s="1278" t="str">
        <f>IF(F4&gt;1,"БЛАГОДАРИМ ЗА ВАШ ЗАКАЗ!","")</f>
        <v/>
      </c>
      <c r="C2" s="1279"/>
      <c r="D2" s="1279"/>
      <c r="E2" s="1279"/>
      <c r="F2" s="1279"/>
      <c r="G2" s="1280"/>
      <c r="H2" s="1"/>
      <c r="J2" s="1044"/>
      <c r="K2" s="3"/>
    </row>
    <row r="3" spans="1:18" ht="15" customHeight="1" x14ac:dyDescent="0.25">
      <c r="A3" s="1040"/>
      <c r="B3" s="1281" t="s">
        <v>7147</v>
      </c>
      <c r="C3" s="1282"/>
      <c r="D3" s="1045"/>
      <c r="E3" s="1046" t="s">
        <v>7148</v>
      </c>
      <c r="F3" s="1287">
        <f>COUNT(G8:G510)</f>
        <v>0</v>
      </c>
      <c r="G3" s="1288"/>
      <c r="H3" s="1"/>
      <c r="I3" s="1047"/>
      <c r="J3" s="1048"/>
      <c r="K3" s="3"/>
      <c r="Q3" s="84"/>
      <c r="R3" s="84"/>
    </row>
    <row r="4" spans="1:18" ht="15" customHeight="1" x14ac:dyDescent="0.25">
      <c r="A4" s="1040"/>
      <c r="B4" s="1283"/>
      <c r="C4" s="1284"/>
      <c r="D4" s="1045"/>
      <c r="E4" s="1046" t="s">
        <v>7149</v>
      </c>
      <c r="F4" s="1289">
        <f>SUM(G8:G510)</f>
        <v>0</v>
      </c>
      <c r="G4" s="1290"/>
      <c r="H4" s="1"/>
      <c r="I4" s="1047"/>
      <c r="J4" s="1048"/>
      <c r="K4" s="3"/>
      <c r="Q4" s="84"/>
      <c r="R4" s="84"/>
    </row>
    <row r="5" spans="1:18" ht="15" customHeight="1" x14ac:dyDescent="0.25">
      <c r="A5" s="1040"/>
      <c r="B5" s="1285"/>
      <c r="C5" s="1286"/>
      <c r="D5" s="1045"/>
      <c r="E5" s="1046" t="s">
        <v>7150</v>
      </c>
      <c r="F5" s="1291" t="str">
        <f>CONCATENATE(Заказ!AK2," кг.")</f>
        <v>0 кг.</v>
      </c>
      <c r="G5" s="1292"/>
      <c r="H5" s="1"/>
      <c r="I5" s="1047"/>
      <c r="J5" s="1048"/>
      <c r="K5" s="3"/>
      <c r="Q5" s="84"/>
      <c r="R5" s="84"/>
    </row>
    <row r="6" spans="1:18" ht="15.75" thickBot="1" x14ac:dyDescent="0.3">
      <c r="A6" s="1040"/>
      <c r="B6" s="1041"/>
      <c r="C6" s="1042"/>
      <c r="D6" s="1041"/>
      <c r="E6" s="1041"/>
      <c r="F6" s="1041"/>
      <c r="G6" s="1043"/>
      <c r="H6" s="1"/>
      <c r="I6" s="1047"/>
      <c r="Q6" s="84"/>
      <c r="R6" s="84"/>
    </row>
    <row r="7" spans="1:18" ht="15.75" thickBot="1" x14ac:dyDescent="0.3">
      <c r="A7" s="1040"/>
      <c r="B7" s="1049" t="s">
        <v>7151</v>
      </c>
      <c r="C7" s="1049" t="s">
        <v>1418</v>
      </c>
      <c r="D7" s="1049" t="s">
        <v>7152</v>
      </c>
      <c r="E7" s="1049" t="s">
        <v>7153</v>
      </c>
      <c r="F7" s="1049" t="s">
        <v>7154</v>
      </c>
      <c r="G7" s="1050" t="s">
        <v>1419</v>
      </c>
      <c r="H7" s="1"/>
      <c r="I7" s="1047"/>
      <c r="Q7" s="84"/>
      <c r="R7" s="84"/>
    </row>
    <row r="8" spans="1:18" ht="12" customHeight="1" x14ac:dyDescent="0.25">
      <c r="A8" s="1051" t="str">
        <f>IFERROR(IF(AND(B8&gt;0,B8/1),INDEX(Заказ!$B$412:$AV$3196,MATCH(B8,Заказ!$AV$412:$AV$3196,0),1),""),"")</f>
        <v/>
      </c>
      <c r="B8" s="1052" t="str">
        <f>IFERROR(SMALL(Заказ!AV1:AV3196,1),"")</f>
        <v/>
      </c>
      <c r="C8" s="1053" t="str">
        <f>IFERROR(IF(AND(B8&gt;0,B8/1),INDEX(Заказ!$B$1:$AV$3196,MATCH(B8,Заказ!$AV$1:$AV$3196,0),3),""),"")</f>
        <v/>
      </c>
      <c r="D8" s="1054" t="str">
        <f>IFERROR(IF(AND(B8&gt;0,B8/1),INDEX(Заказ!$B$1:$AV$3196,MATCH(B8,Заказ!$AV$1:$AV$3196,0),9),""),"")</f>
        <v/>
      </c>
      <c r="E8" s="1052" t="str">
        <f>IFERROR(IF(AND(B8&gt;0,B8/1),INDEX(Заказ!$B$1:$AV$3196,MATCH(B8,Заказ!$AV$1:$AV$3196,0),5),""),"")</f>
        <v/>
      </c>
      <c r="F8" s="1052" t="str">
        <f>IFERROR(IF(AND(B8&gt;0,B8/1),INDEX(Заказ!$B$1:$AV$3196,MATCH(B8,Заказ!$AV$1:$AV$3196,0),16)/INDEX(Заказ!$B$1:$AV$3196,MATCH(B8,Заказ!$AV$1:$AV$3196,0),5),""),"")</f>
        <v/>
      </c>
      <c r="G8" s="1055" t="str">
        <f>IFERROR(IF(AND(B8&gt;0,B8/1),INDEX(Заказ!$B$1:$AV$3196,MATCH(B8,Заказ!$AV$1:$AV$3196,0),16),""),"")</f>
        <v/>
      </c>
      <c r="H8" s="1"/>
    </row>
    <row r="9" spans="1:18" ht="12" customHeight="1" x14ac:dyDescent="0.25">
      <c r="A9" s="1051" t="str">
        <f>IFERROR(IF(AND(B9&gt;0,B9/1),INDEX(Заказ!$B$412:$AV$3196,MATCH(B9,Заказ!$AV$412:$AV$3196,0),1),""),"")</f>
        <v/>
      </c>
      <c r="B9" s="1056" t="str">
        <f>IFERROR(IF(B8&gt;0,SMALL(Заказ!$AV$1:$AV$3196,1+B8),""),"")</f>
        <v/>
      </c>
      <c r="C9" s="1057" t="str">
        <f>IFERROR(IF(AND(B9&gt;0,B9/1),INDEX(Заказ!$B$1:$AV$3196,MATCH(B9,Заказ!$AV$1:$AV$3196,0),3),""),"")</f>
        <v/>
      </c>
      <c r="D9" s="1058" t="str">
        <f>IFERROR(IF(AND(B9&gt;0,B9/1),INDEX(Заказ!$B$1:$AV$3196,MATCH(B9,Заказ!$AV$1:$AV$3196,0),9),""),"")</f>
        <v/>
      </c>
      <c r="E9" s="1056" t="str">
        <f>IFERROR(IF(AND(B9&gt;0,B9/1),INDEX(Заказ!$B$1:$AV$3196,MATCH(B9,Заказ!$AV$1:$AV$3196,0),5),""),"")</f>
        <v/>
      </c>
      <c r="F9" s="1056" t="str">
        <f>IFERROR(IF(AND(B9&gt;0,B9/1),INDEX(Заказ!$B$1:$AV$3196,MATCH(B9,Заказ!$AV$1:$AV$3196,0),16)/INDEX(Заказ!$B$1:$AV$3196,MATCH(B9,Заказ!$AV$1:$AV$3196,0),5),""),"")</f>
        <v/>
      </c>
      <c r="G9" s="1059" t="str">
        <f>IFERROR(IF(AND(B9&gt;0,B9/1),INDEX(Заказ!$B$1:$AV$3196,MATCH(B9,Заказ!$AV$1:$AV$3196,0),16),""),"")</f>
        <v/>
      </c>
      <c r="H9" s="1"/>
      <c r="I9" s="1036"/>
    </row>
    <row r="10" spans="1:18" ht="12" customHeight="1" x14ac:dyDescent="0.25">
      <c r="A10" s="1051" t="str">
        <f>IFERROR(IF(AND(B10&gt;0,B10/1),INDEX(Заказ!$B$412:$AV$3196,MATCH(B10,Заказ!$AV$412:$AV$3196,0),1),""),"")</f>
        <v/>
      </c>
      <c r="B10" s="1056" t="str">
        <f>IFERROR(IF(B9&gt;0,SMALL(Заказ!$AV$1:$AV$3196,1+B9),""),"")</f>
        <v/>
      </c>
      <c r="C10" s="1057" t="str">
        <f>IFERROR(IF(AND(B10&gt;0,B10/1),INDEX(Заказ!$B$1:$AV$3196,MATCH(B10,Заказ!$AV$1:$AV$3196,0),3),""),"")</f>
        <v/>
      </c>
      <c r="D10" s="1058" t="str">
        <f>IFERROR(IF(AND(B10&gt;0,B10/1),INDEX(Заказ!$B$1:$AV$3196,MATCH(B10,Заказ!$AV$1:$AV$3196,0),9),""),"")</f>
        <v/>
      </c>
      <c r="E10" s="1056" t="str">
        <f>IFERROR(IF(AND(B10&gt;0,B10/1),INDEX(Заказ!$B$1:$AV$3196,MATCH(B10,Заказ!$AV$1:$AV$3196,0),5),""),"")</f>
        <v/>
      </c>
      <c r="F10" s="1056" t="str">
        <f>IFERROR(IF(AND(B10&gt;0,B10/1),INDEX(Заказ!$B$1:$AV$3196,MATCH(B10,Заказ!$AV$1:$AV$3196,0),16)/INDEX(Заказ!$B$1:$AV$3196,MATCH(B10,Заказ!$AV$1:$AV$3196,0),5),""),"")</f>
        <v/>
      </c>
      <c r="G10" s="1059" t="str">
        <f>IFERROR(IF(AND(B10&gt;0,B10/1),INDEX(Заказ!$B$1:$AV$3196,MATCH(B10,Заказ!$AV$1:$AV$3196,0),16),""),"")</f>
        <v/>
      </c>
      <c r="H10" s="1"/>
      <c r="I10" s="1060"/>
      <c r="P10" t="str">
        <f>IFERROR(IF(VLOOKUP(Q10,Заказ!B:P,13,0)=0,COUNT($P$1:P9)+1,""),"")</f>
        <v/>
      </c>
    </row>
    <row r="11" spans="1:18" ht="12" customHeight="1" x14ac:dyDescent="0.25">
      <c r="A11" s="1051" t="str">
        <f>IFERROR(IF(AND(B11&gt;0,B11/1),INDEX(Заказ!$B$412:$AV$3196,MATCH(B11,Заказ!$AV$412:$AV$3196,0),1),""),"")</f>
        <v/>
      </c>
      <c r="B11" s="1056" t="str">
        <f>IFERROR(IF(B10&gt;0,SMALL(Заказ!$AV$1:$AV$3196,1+B10),""),"")</f>
        <v/>
      </c>
      <c r="C11" s="1057" t="str">
        <f>IFERROR(IF(AND(B11&gt;0,B11/1),INDEX(Заказ!$B$1:$AV$3196,MATCH(B11,Заказ!$AV$1:$AV$3196,0),3),""),"")</f>
        <v/>
      </c>
      <c r="D11" s="1058" t="str">
        <f>IFERROR(IF(AND(B11&gt;0,B11/1),INDEX(Заказ!$B$1:$AV$3196,MATCH(B11,Заказ!$AV$1:$AV$3196,0),9),""),"")</f>
        <v/>
      </c>
      <c r="E11" s="1056" t="str">
        <f>IFERROR(IF(AND(B11&gt;0,B11/1),INDEX(Заказ!$B$1:$AV$3196,MATCH(B11,Заказ!$AV$1:$AV$3196,0),5),""),"")</f>
        <v/>
      </c>
      <c r="F11" s="1056" t="str">
        <f>IFERROR(IF(AND(B11&gt;0,B11/1),INDEX(Заказ!$B$1:$AV$3196,MATCH(B11,Заказ!$AV$1:$AV$3196,0),16)/INDEX(Заказ!$B$1:$AV$3196,MATCH(B11,Заказ!$AV$1:$AV$3196,0),5),""),"")</f>
        <v/>
      </c>
      <c r="G11" s="1059" t="str">
        <f>IFERROR(IF(AND(B11&gt;0,B11/1),INDEX(Заказ!$B$1:$AV$3196,MATCH(B11,Заказ!$AV$1:$AV$3196,0),16),""),"")</f>
        <v/>
      </c>
      <c r="H11" s="1"/>
      <c r="P11" t="str">
        <f>IFERROR(IF(VLOOKUP(Q11,Заказ!B:P,13,0)=0,COUNT($P$1:P10)+1,""),"")</f>
        <v/>
      </c>
    </row>
    <row r="12" spans="1:18" ht="12" customHeight="1" x14ac:dyDescent="0.25">
      <c r="A12" s="1051" t="str">
        <f>IFERROR(IF(AND(B12&gt;0,B12/1),INDEX(Заказ!$B$412:$AV$3196,MATCH(B12,Заказ!$AV$412:$AV$3196,0),1),""),"")</f>
        <v/>
      </c>
      <c r="B12" s="1056" t="str">
        <f>IFERROR(IF(B11&gt;0,SMALL(Заказ!$AV$1:$AV$3196,1+B11),""),"")</f>
        <v/>
      </c>
      <c r="C12" s="1057" t="str">
        <f>IFERROR(IF(AND(B12&gt;0,B12/1),INDEX(Заказ!$B$1:$AV$3196,MATCH(B12,Заказ!$AV$1:$AV$3196,0),3),""),"")</f>
        <v/>
      </c>
      <c r="D12" s="1058" t="str">
        <f>IFERROR(IF(AND(B12&gt;0,B12/1),INDEX(Заказ!$B$1:$AV$3196,MATCH(B12,Заказ!$AV$1:$AV$3196,0),9),""),"")</f>
        <v/>
      </c>
      <c r="E12" s="1056" t="str">
        <f>IFERROR(IF(AND(B12&gt;0,B12/1),INDEX(Заказ!$B$1:$AV$3196,MATCH(B12,Заказ!$AV$1:$AV$3196,0),5),""),"")</f>
        <v/>
      </c>
      <c r="F12" s="1056" t="str">
        <f>IFERROR(IF(AND(B12&gt;0,B12/1),INDEX(Заказ!$B$1:$AV$3196,MATCH(B12,Заказ!$AV$1:$AV$3196,0),16)/INDEX(Заказ!$B$1:$AV$3196,MATCH(B12,Заказ!$AV$1:$AV$3196,0),5),""),"")</f>
        <v/>
      </c>
      <c r="G12" s="1059" t="str">
        <f>IFERROR(IF(AND(B12&gt;0,B12/1),INDEX(Заказ!$B$1:$AV$3196,MATCH(B12,Заказ!$AV$1:$AV$3196,0),16),""),"")</f>
        <v/>
      </c>
      <c r="H12" s="1"/>
    </row>
    <row r="13" spans="1:18" ht="12" customHeight="1" x14ac:dyDescent="0.25">
      <c r="A13" s="1051" t="str">
        <f>IFERROR(IF(AND(B13&gt;0,B13/1),INDEX(Заказ!$B$412:$AV$3196,MATCH(B13,Заказ!$AV$412:$AV$3196,0),1),""),"")</f>
        <v/>
      </c>
      <c r="B13" s="1056" t="str">
        <f>IFERROR(IF(B12&gt;0,SMALL(Заказ!$AV$1:$AV$3196,1+B12),""),"")</f>
        <v/>
      </c>
      <c r="C13" s="1057" t="str">
        <f>IFERROR(IF(AND(B13&gt;0,B13/1),INDEX(Заказ!$B$1:$AV$3196,MATCH(B13,Заказ!$AV$1:$AV$3196,0),3),""),"")</f>
        <v/>
      </c>
      <c r="D13" s="1058" t="str">
        <f>IFERROR(IF(AND(B13&gt;0,B13/1),INDEX(Заказ!$B$1:$AV$3196,MATCH(B13,Заказ!$AV$1:$AV$3196,0),9),""),"")</f>
        <v/>
      </c>
      <c r="E13" s="1056" t="str">
        <f>IFERROR(IF(AND(B13&gt;0,B13/1),INDEX(Заказ!$B$1:$AV$3196,MATCH(B13,Заказ!$AV$1:$AV$3196,0),5),""),"")</f>
        <v/>
      </c>
      <c r="F13" s="1056" t="str">
        <f>IFERROR(IF(AND(B13&gt;0,B13/1),INDEX(Заказ!$B$1:$AV$3196,MATCH(B13,Заказ!$AV$1:$AV$3196,0),16)/INDEX(Заказ!$B$1:$AV$3196,MATCH(B13,Заказ!$AV$1:$AV$3196,0),5),""),"")</f>
        <v/>
      </c>
      <c r="G13" s="1059" t="str">
        <f>IFERROR(IF(AND(B13&gt;0,B13/1),INDEX(Заказ!$B$1:$AV$3196,MATCH(B13,Заказ!$AV$1:$AV$3196,0),16),""),"")</f>
        <v/>
      </c>
      <c r="H13" s="1"/>
    </row>
    <row r="14" spans="1:18" ht="12" customHeight="1" x14ac:dyDescent="0.25">
      <c r="A14" s="1051" t="str">
        <f>IFERROR(IF(AND(B14&gt;0,B14/1),INDEX(Заказ!$B$412:$AV$3196,MATCH(B14,Заказ!$AV$412:$AV$3196,0),1),""),"")</f>
        <v/>
      </c>
      <c r="B14" s="1056" t="str">
        <f>IFERROR(IF(B13&gt;0,SMALL(Заказ!$AV$1:$AV$3196,1+B13),""),"")</f>
        <v/>
      </c>
      <c r="C14" s="1057" t="str">
        <f>IFERROR(IF(AND(B14&gt;0,B14/1),INDEX(Заказ!$B$1:$AV$3196,MATCH(B14,Заказ!$AV$1:$AV$3196,0),3),""),"")</f>
        <v/>
      </c>
      <c r="D14" s="1058" t="str">
        <f>IFERROR(IF(AND(B14&gt;0,B14/1),INDEX(Заказ!$B$1:$AV$3196,MATCH(B14,Заказ!$AV$1:$AV$3196,0),9),""),"")</f>
        <v/>
      </c>
      <c r="E14" s="1056" t="str">
        <f>IFERROR(IF(AND(B14&gt;0,B14/1),INDEX(Заказ!$B$1:$AV$3196,MATCH(B14,Заказ!$AV$1:$AV$3196,0),5),""),"")</f>
        <v/>
      </c>
      <c r="F14" s="1056" t="str">
        <f>IFERROR(IF(AND(B14&gt;0,B14/1),INDEX(Заказ!$B$1:$AV$3196,MATCH(B14,Заказ!$AV$1:$AV$3196,0),16)/INDEX(Заказ!$B$1:$AV$3196,MATCH(B14,Заказ!$AV$1:$AV$3196,0),5),""),"")</f>
        <v/>
      </c>
      <c r="G14" s="1059" t="str">
        <f>IFERROR(IF(AND(B14&gt;0,B14/1),INDEX(Заказ!$B$1:$AV$3196,MATCH(B14,Заказ!$AV$1:$AV$3196,0),16),""),"")</f>
        <v/>
      </c>
      <c r="H14" s="1"/>
    </row>
    <row r="15" spans="1:18" ht="12" customHeight="1" x14ac:dyDescent="0.25">
      <c r="A15" s="1051" t="str">
        <f>IFERROR(IF(AND(B15&gt;0,B15/1),INDEX(Заказ!$B$412:$AV$3196,MATCH(B15,Заказ!$AV$412:$AV$3196,0),1),""),"")</f>
        <v/>
      </c>
      <c r="B15" s="1056" t="str">
        <f>IFERROR(IF(B14&gt;0,SMALL(Заказ!$AV$1:$AV$3196,1+B14),""),"")</f>
        <v/>
      </c>
      <c r="C15" s="1057" t="str">
        <f>IFERROR(IF(AND(B15&gt;0,B15/1),INDEX(Заказ!$B$1:$AV$3196,MATCH(B15,Заказ!$AV$1:$AV$3196,0),3),""),"")</f>
        <v/>
      </c>
      <c r="D15" s="1058" t="str">
        <f>IFERROR(IF(AND(B15&gt;0,B15/1),INDEX(Заказ!$B$1:$AV$3196,MATCH(B15,Заказ!$AV$1:$AV$3196,0),9),""),"")</f>
        <v/>
      </c>
      <c r="E15" s="1056" t="str">
        <f>IFERROR(IF(AND(B15&gt;0,B15/1),INDEX(Заказ!$B$1:$AV$3196,MATCH(B15,Заказ!$AV$1:$AV$3196,0),5),""),"")</f>
        <v/>
      </c>
      <c r="F15" s="1056" t="str">
        <f>IFERROR(IF(AND(B15&gt;0,B15/1),INDEX(Заказ!$B$1:$AV$3196,MATCH(B15,Заказ!$AV$1:$AV$3196,0),16)/INDEX(Заказ!$B$1:$AV$3196,MATCH(B15,Заказ!$AV$1:$AV$3196,0),5),""),"")</f>
        <v/>
      </c>
      <c r="G15" s="1059" t="str">
        <f>IFERROR(IF(AND(B15&gt;0,B15/1),INDEX(Заказ!$B$1:$AV$3196,MATCH(B15,Заказ!$AV$1:$AV$3196,0),16),""),"")</f>
        <v/>
      </c>
      <c r="H15" s="1"/>
    </row>
    <row r="16" spans="1:18" ht="12" customHeight="1" x14ac:dyDescent="0.25">
      <c r="A16" s="1051" t="str">
        <f>IFERROR(IF(AND(B16&gt;0,B16/1),INDEX(Заказ!$B$412:$AV$3196,MATCH(B16,Заказ!$AV$412:$AV$3196,0),1),""),"")</f>
        <v/>
      </c>
      <c r="B16" s="1056" t="str">
        <f>IFERROR(IF(B15&gt;0,SMALL(Заказ!$AV$1:$AV$3196,1+B15),""),"")</f>
        <v/>
      </c>
      <c r="C16" s="1057" t="str">
        <f>IFERROR(IF(AND(B16&gt;0,B16/1),INDEX(Заказ!$B$1:$AV$3196,MATCH(B16,Заказ!$AV$1:$AV$3196,0),3),""),"")</f>
        <v/>
      </c>
      <c r="D16" s="1058" t="str">
        <f>IFERROR(IF(AND(B16&gt;0,B16/1),INDEX(Заказ!$B$1:$AV$3196,MATCH(B16,Заказ!$AV$1:$AV$3196,0),9),""),"")</f>
        <v/>
      </c>
      <c r="E16" s="1056" t="str">
        <f>IFERROR(IF(AND(B16&gt;0,B16/1),INDEX(Заказ!$B$1:$AV$3196,MATCH(B16,Заказ!$AV$1:$AV$3196,0),5),""),"")</f>
        <v/>
      </c>
      <c r="F16" s="1056" t="str">
        <f>IFERROR(IF(AND(B16&gt;0,B16/1),INDEX(Заказ!$B$1:$AV$3196,MATCH(B16,Заказ!$AV$1:$AV$3196,0),16)/INDEX(Заказ!$B$1:$AV$3196,MATCH(B16,Заказ!$AV$1:$AV$3196,0),5),""),"")</f>
        <v/>
      </c>
      <c r="G16" s="1059" t="str">
        <f>IFERROR(IF(AND(B16&gt;0,B16/1),INDEX(Заказ!$B$1:$AV$3196,MATCH(B16,Заказ!$AV$1:$AV$3196,0),16),""),"")</f>
        <v/>
      </c>
      <c r="H16" s="1"/>
    </row>
    <row r="17" spans="1:8" ht="12" customHeight="1" x14ac:dyDescent="0.25">
      <c r="A17" s="1051" t="str">
        <f>IFERROR(IF(AND(B17&gt;0,B17/1),INDEX(Заказ!$B$412:$AV$3196,MATCH(B17,Заказ!$AV$412:$AV$3196,0),1),""),"")</f>
        <v/>
      </c>
      <c r="B17" s="1056" t="str">
        <f>IFERROR(IF(B16&gt;0,SMALL(Заказ!$AV$1:$AV$3196,1+B16),""),"")</f>
        <v/>
      </c>
      <c r="C17" s="1057" t="str">
        <f>IFERROR(IF(AND(B17&gt;0,B17/1),INDEX(Заказ!$B$1:$AV$3196,MATCH(B17,Заказ!$AV$1:$AV$3196,0),3),""),"")</f>
        <v/>
      </c>
      <c r="D17" s="1058" t="str">
        <f>IFERROR(IF(AND(B17&gt;0,B17/1),INDEX(Заказ!$B$1:$AV$3196,MATCH(B17,Заказ!$AV$1:$AV$3196,0),9),""),"")</f>
        <v/>
      </c>
      <c r="E17" s="1056" t="str">
        <f>IFERROR(IF(AND(B17&gt;0,B17/1),INDEX(Заказ!$B$1:$AV$3196,MATCH(B17,Заказ!$AV$1:$AV$3196,0),5),""),"")</f>
        <v/>
      </c>
      <c r="F17" s="1056" t="str">
        <f>IFERROR(IF(AND(B17&gt;0,B17/1),INDEX(Заказ!$B$1:$AV$3196,MATCH(B17,Заказ!$AV$1:$AV$3196,0),16)/INDEX(Заказ!$B$1:$AV$3196,MATCH(B17,Заказ!$AV$1:$AV$3196,0),5),""),"")</f>
        <v/>
      </c>
      <c r="G17" s="1059" t="str">
        <f>IFERROR(IF(AND(B17&gt;0,B17/1),INDEX(Заказ!$B$1:$AV$3196,MATCH(B17,Заказ!$AV$1:$AV$3196,0),16),""),"")</f>
        <v/>
      </c>
      <c r="H17" s="1"/>
    </row>
    <row r="18" spans="1:8" ht="12" customHeight="1" x14ac:dyDescent="0.25">
      <c r="A18" s="1051" t="str">
        <f>IFERROR(IF(AND(B18&gt;0,B18/1),INDEX(Заказ!$B$412:$AV$3196,MATCH(B18,Заказ!$AV$412:$AV$3196,0),1),""),"")</f>
        <v/>
      </c>
      <c r="B18" s="1056" t="str">
        <f>IFERROR(IF(B17&gt;0,SMALL(Заказ!$AV$1:$AV$3196,1+B17),""),"")</f>
        <v/>
      </c>
      <c r="C18" s="1057" t="str">
        <f>IFERROR(IF(AND(B18&gt;0,B18/1),INDEX(Заказ!$B$1:$AV$3196,MATCH(B18,Заказ!$AV$1:$AV$3196,0),3),""),"")</f>
        <v/>
      </c>
      <c r="D18" s="1058" t="str">
        <f>IFERROR(IF(AND(B18&gt;0,B18/1),INDEX(Заказ!$B$1:$AV$3196,MATCH(B18,Заказ!$AV$1:$AV$3196,0),9),""),"")</f>
        <v/>
      </c>
      <c r="E18" s="1056" t="str">
        <f>IFERROR(IF(AND(B18&gt;0,B18/1),INDEX(Заказ!$B$1:$AV$3196,MATCH(B18,Заказ!$AV$1:$AV$3196,0),5),""),"")</f>
        <v/>
      </c>
      <c r="F18" s="1056" t="str">
        <f>IFERROR(IF(AND(B18&gt;0,B18/1),INDEX(Заказ!$B$1:$AV$3196,MATCH(B18,Заказ!$AV$1:$AV$3196,0),16)/INDEX(Заказ!$B$1:$AV$3196,MATCH(B18,Заказ!$AV$1:$AV$3196,0),5),""),"")</f>
        <v/>
      </c>
      <c r="G18" s="1059" t="str">
        <f>IFERROR(IF(AND(B18&gt;0,B18/1),INDEX(Заказ!$B$1:$AV$3196,MATCH(B18,Заказ!$AV$1:$AV$3196,0),16),""),"")</f>
        <v/>
      </c>
      <c r="H18" s="1"/>
    </row>
    <row r="19" spans="1:8" ht="12" customHeight="1" x14ac:dyDescent="0.25">
      <c r="A19" s="1051" t="str">
        <f>IFERROR(IF(AND(B19&gt;0,B19/1),INDEX(Заказ!$B$412:$AV$3196,MATCH(B19,Заказ!$AV$412:$AV$3196,0),1),""),"")</f>
        <v/>
      </c>
      <c r="B19" s="1056" t="str">
        <f>IFERROR(IF(B18&gt;0,SMALL(Заказ!$AV$1:$AV$3196,1+B18),""),"")</f>
        <v/>
      </c>
      <c r="C19" s="1057" t="str">
        <f>IFERROR(IF(AND(B19&gt;0,B19/1),INDEX(Заказ!$B$1:$AV$3196,MATCH(B19,Заказ!$AV$1:$AV$3196,0),3),""),"")</f>
        <v/>
      </c>
      <c r="D19" s="1058" t="str">
        <f>IFERROR(IF(AND(B19&gt;0,B19/1),INDEX(Заказ!$B$1:$AV$3196,MATCH(B19,Заказ!$AV$1:$AV$3196,0),9),""),"")</f>
        <v/>
      </c>
      <c r="E19" s="1056" t="str">
        <f>IFERROR(IF(AND(B19&gt;0,B19/1),INDEX(Заказ!$B$1:$AV$3196,MATCH(B19,Заказ!$AV$1:$AV$3196,0),5),""),"")</f>
        <v/>
      </c>
      <c r="F19" s="1056" t="str">
        <f>IFERROR(IF(AND(B19&gt;0,B19/1),INDEX(Заказ!$B$1:$AV$3196,MATCH(B19,Заказ!$AV$1:$AV$3196,0),16)/INDEX(Заказ!$B$1:$AV$3196,MATCH(B19,Заказ!$AV$1:$AV$3196,0),5),""),"")</f>
        <v/>
      </c>
      <c r="G19" s="1059" t="str">
        <f>IFERROR(IF(AND(B19&gt;0,B19/1),INDEX(Заказ!$B$1:$AV$3196,MATCH(B19,Заказ!$AV$1:$AV$3196,0),16),""),"")</f>
        <v/>
      </c>
      <c r="H19" s="1"/>
    </row>
    <row r="20" spans="1:8" ht="12" customHeight="1" x14ac:dyDescent="0.25">
      <c r="A20" s="1051" t="str">
        <f>IFERROR(IF(AND(B20&gt;0,B20/1),INDEX(Заказ!$B$412:$AV$3196,MATCH(B20,Заказ!$AV$412:$AV$3196,0),1),""),"")</f>
        <v/>
      </c>
      <c r="B20" s="1056" t="str">
        <f>IFERROR(IF(B19&gt;0,SMALL(Заказ!$AV$1:$AV$3196,1+B19),""),"")</f>
        <v/>
      </c>
      <c r="C20" s="1057" t="str">
        <f>IFERROR(IF(AND(B20&gt;0,B20/1),INDEX(Заказ!$B$1:$AV$3196,MATCH(B20,Заказ!$AV$1:$AV$3196,0),3),""),"")</f>
        <v/>
      </c>
      <c r="D20" s="1058" t="str">
        <f>IFERROR(IF(AND(B20&gt;0,B20/1),INDEX(Заказ!$B$1:$AV$3196,MATCH(B20,Заказ!$AV$1:$AV$3196,0),9),""),"")</f>
        <v/>
      </c>
      <c r="E20" s="1056" t="str">
        <f>IFERROR(IF(AND(B20&gt;0,B20/1),INDEX(Заказ!$B$1:$AV$3196,MATCH(B20,Заказ!$AV$1:$AV$3196,0),5),""),"")</f>
        <v/>
      </c>
      <c r="F20" s="1056" t="str">
        <f>IFERROR(IF(AND(B20&gt;0,B20/1),INDEX(Заказ!$B$1:$AV$3196,MATCH(B20,Заказ!$AV$1:$AV$3196,0),16)/INDEX(Заказ!$B$1:$AV$3196,MATCH(B20,Заказ!$AV$1:$AV$3196,0),5),""),"")</f>
        <v/>
      </c>
      <c r="G20" s="1059" t="str">
        <f>IFERROR(IF(AND(B20&gt;0,B20/1),INDEX(Заказ!$B$1:$AV$3196,MATCH(B20,Заказ!$AV$1:$AV$3196,0),16),""),"")</f>
        <v/>
      </c>
      <c r="H20" s="1"/>
    </row>
    <row r="21" spans="1:8" ht="12" customHeight="1" x14ac:dyDescent="0.25">
      <c r="A21" s="1051" t="str">
        <f>IFERROR(IF(AND(B21&gt;0,B21/1),INDEX(Заказ!$B$412:$AV$3196,MATCH(B21,Заказ!$AV$412:$AV$3196,0),1),""),"")</f>
        <v/>
      </c>
      <c r="B21" s="1056" t="str">
        <f>IFERROR(IF(B20&gt;0,SMALL(Заказ!$AV$1:$AV$3196,1+B20),""),"")</f>
        <v/>
      </c>
      <c r="C21" s="1057" t="str">
        <f>IFERROR(IF(AND(B21&gt;0,B21/1),INDEX(Заказ!$B$1:$AV$3196,MATCH(B21,Заказ!$AV$1:$AV$3196,0),3),""),"")</f>
        <v/>
      </c>
      <c r="D21" s="1058" t="str">
        <f>IFERROR(IF(AND(B21&gt;0,B21/1),INDEX(Заказ!$B$1:$AV$3196,MATCH(B21,Заказ!$AV$1:$AV$3196,0),9),""),"")</f>
        <v/>
      </c>
      <c r="E21" s="1056" t="str">
        <f>IFERROR(IF(AND(B21&gt;0,B21/1),INDEX(Заказ!$B$1:$AV$3196,MATCH(B21,Заказ!$AV$1:$AV$3196,0),5),""),"")</f>
        <v/>
      </c>
      <c r="F21" s="1056" t="str">
        <f>IFERROR(IF(AND(B21&gt;0,B21/1),INDEX(Заказ!$B$1:$AV$3196,MATCH(B21,Заказ!$AV$1:$AV$3196,0),16)/INDEX(Заказ!$B$1:$AV$3196,MATCH(B21,Заказ!$AV$1:$AV$3196,0),5),""),"")</f>
        <v/>
      </c>
      <c r="G21" s="1059" t="str">
        <f>IFERROR(IF(AND(B21&gt;0,B21/1),INDEX(Заказ!$B$1:$AV$3196,MATCH(B21,Заказ!$AV$1:$AV$3196,0),16),""),"")</f>
        <v/>
      </c>
      <c r="H21" s="1"/>
    </row>
    <row r="22" spans="1:8" ht="12" customHeight="1" x14ac:dyDescent="0.25">
      <c r="A22" s="1051" t="str">
        <f>IFERROR(IF(AND(B22&gt;0,B22/1),INDEX(Заказ!$B$412:$AV$3196,MATCH(B22,Заказ!$AV$412:$AV$3196,0),1),""),"")</f>
        <v/>
      </c>
      <c r="B22" s="1056" t="str">
        <f>IFERROR(IF(B21&gt;0,SMALL(Заказ!$AV$1:$AV$3196,1+B21),""),"")</f>
        <v/>
      </c>
      <c r="C22" s="1057" t="str">
        <f>IFERROR(IF(AND(B22&gt;0,B22/1),INDEX(Заказ!$B$1:$AV$3196,MATCH(B22,Заказ!$AV$1:$AV$3196,0),3),""),"")</f>
        <v/>
      </c>
      <c r="D22" s="1058" t="str">
        <f>IFERROR(IF(AND(B22&gt;0,B22/1),INDEX(Заказ!$B$1:$AV$3196,MATCH(B22,Заказ!$AV$1:$AV$3196,0),9),""),"")</f>
        <v/>
      </c>
      <c r="E22" s="1056" t="str">
        <f>IFERROR(IF(AND(B22&gt;0,B22/1),INDEX(Заказ!$B$1:$AV$3196,MATCH(B22,Заказ!$AV$1:$AV$3196,0),5),""),"")</f>
        <v/>
      </c>
      <c r="F22" s="1056" t="str">
        <f>IFERROR(IF(AND(B22&gt;0,B22/1),INDEX(Заказ!$B$1:$AV$3196,MATCH(B22,Заказ!$AV$1:$AV$3196,0),16)/INDEX(Заказ!$B$1:$AV$3196,MATCH(B22,Заказ!$AV$1:$AV$3196,0),5),""),"")</f>
        <v/>
      </c>
      <c r="G22" s="1059" t="str">
        <f>IFERROR(IF(AND(B22&gt;0,B22/1),INDEX(Заказ!$B$1:$AV$3196,MATCH(B22,Заказ!$AV$1:$AV$3196,0),16),""),"")</f>
        <v/>
      </c>
      <c r="H22" s="1"/>
    </row>
    <row r="23" spans="1:8" ht="12" customHeight="1" x14ac:dyDescent="0.25">
      <c r="A23" s="1051" t="str">
        <f>IFERROR(IF(AND(B23&gt;0,B23/1),INDEX(Заказ!$B$412:$AV$3196,MATCH(B23,Заказ!$AV$412:$AV$3196,0),1),""),"")</f>
        <v/>
      </c>
      <c r="B23" s="1056" t="str">
        <f>IFERROR(IF(B22&gt;0,SMALL(Заказ!$AV$1:$AV$3196,1+B22),""),"")</f>
        <v/>
      </c>
      <c r="C23" s="1057" t="str">
        <f>IFERROR(IF(AND(B23&gt;0,B23/1),INDEX(Заказ!$B$1:$AV$3196,MATCH(B23,Заказ!$AV$1:$AV$3196,0),3),""),"")</f>
        <v/>
      </c>
      <c r="D23" s="1058" t="str">
        <f>IFERROR(IF(AND(B23&gt;0,B23/1),INDEX(Заказ!$B$1:$AV$3196,MATCH(B23,Заказ!$AV$1:$AV$3196,0),9),""),"")</f>
        <v/>
      </c>
      <c r="E23" s="1056" t="str">
        <f>IFERROR(IF(AND(B23&gt;0,B23/1),INDEX(Заказ!$B$1:$AV$3196,MATCH(B23,Заказ!$AV$1:$AV$3196,0),5),""),"")</f>
        <v/>
      </c>
      <c r="F23" s="1056" t="str">
        <f>IFERROR(IF(AND(B23&gt;0,B23/1),INDEX(Заказ!$B$1:$AV$3196,MATCH(B23,Заказ!$AV$1:$AV$3196,0),16)/INDEX(Заказ!$B$1:$AV$3196,MATCH(B23,Заказ!$AV$1:$AV$3196,0),5),""),"")</f>
        <v/>
      </c>
      <c r="G23" s="1059" t="str">
        <f>IFERROR(IF(AND(B23&gt;0,B23/1),INDEX(Заказ!$B$1:$AV$3196,MATCH(B23,Заказ!$AV$1:$AV$3196,0),16),""),"")</f>
        <v/>
      </c>
      <c r="H23" s="1"/>
    </row>
    <row r="24" spans="1:8" ht="12" customHeight="1" x14ac:dyDescent="0.25">
      <c r="A24" s="1051" t="str">
        <f>IFERROR(IF(AND(B24&gt;0,B24/1),INDEX(Заказ!$B$412:$AV$3196,MATCH(B24,Заказ!$AV$412:$AV$3196,0),1),""),"")</f>
        <v/>
      </c>
      <c r="B24" s="1056" t="str">
        <f>IFERROR(IF(B23&gt;0,SMALL(Заказ!$AV$1:$AV$3196,1+B23),""),"")</f>
        <v/>
      </c>
      <c r="C24" s="1057" t="str">
        <f>IFERROR(IF(AND(B24&gt;0,B24/1),INDEX(Заказ!$B$1:$AV$3196,MATCH(B24,Заказ!$AV$1:$AV$3196,0),3),""),"")</f>
        <v/>
      </c>
      <c r="D24" s="1058" t="str">
        <f>IFERROR(IF(AND(B24&gt;0,B24/1),INDEX(Заказ!$B$1:$AV$3196,MATCH(B24,Заказ!$AV$1:$AV$3196,0),9),""),"")</f>
        <v/>
      </c>
      <c r="E24" s="1056" t="str">
        <f>IFERROR(IF(AND(B24&gt;0,B24/1),INDEX(Заказ!$B$1:$AV$3196,MATCH(B24,Заказ!$AV$1:$AV$3196,0),5),""),"")</f>
        <v/>
      </c>
      <c r="F24" s="1056" t="str">
        <f>IFERROR(IF(AND(B24&gt;0,B24/1),INDEX(Заказ!$B$1:$AV$3196,MATCH(B24,Заказ!$AV$1:$AV$3196,0),16)/INDEX(Заказ!$B$1:$AV$3196,MATCH(B24,Заказ!$AV$1:$AV$3196,0),5),""),"")</f>
        <v/>
      </c>
      <c r="G24" s="1059" t="str">
        <f>IFERROR(IF(AND(B24&gt;0,B24/1),INDEX(Заказ!$B$1:$AV$3196,MATCH(B24,Заказ!$AV$1:$AV$3196,0),16),""),"")</f>
        <v/>
      </c>
      <c r="H24" s="1"/>
    </row>
    <row r="25" spans="1:8" ht="12" customHeight="1" x14ac:dyDescent="0.25">
      <c r="A25" s="1051" t="str">
        <f>IFERROR(IF(AND(B25&gt;0,B25/1),INDEX(Заказ!$B$412:$AV$3196,MATCH(B25,Заказ!$AV$412:$AV$3196,0),1),""),"")</f>
        <v/>
      </c>
      <c r="B25" s="1056" t="str">
        <f>IFERROR(IF(B24&gt;0,SMALL(Заказ!$AV$1:$AV$3196,1+B24),""),"")</f>
        <v/>
      </c>
      <c r="C25" s="1057" t="str">
        <f>IFERROR(IF(AND(B25&gt;0,B25/1),INDEX(Заказ!$B$1:$AV$3196,MATCH(B25,Заказ!$AV$1:$AV$3196,0),3),""),"")</f>
        <v/>
      </c>
      <c r="D25" s="1058" t="str">
        <f>IFERROR(IF(AND(B25&gt;0,B25/1),INDEX(Заказ!$B$1:$AV$3196,MATCH(B25,Заказ!$AV$1:$AV$3196,0),9),""),"")</f>
        <v/>
      </c>
      <c r="E25" s="1056" t="str">
        <f>IFERROR(IF(AND(B25&gt;0,B25/1),INDEX(Заказ!$B$1:$AV$3196,MATCH(B25,Заказ!$AV$1:$AV$3196,0),5),""),"")</f>
        <v/>
      </c>
      <c r="F25" s="1056" t="str">
        <f>IFERROR(IF(AND(B25&gt;0,B25/1),INDEX(Заказ!$B$1:$AV$3196,MATCH(B25,Заказ!$AV$1:$AV$3196,0),16)/INDEX(Заказ!$B$1:$AV$3196,MATCH(B25,Заказ!$AV$1:$AV$3196,0),5),""),"")</f>
        <v/>
      </c>
      <c r="G25" s="1059" t="str">
        <f>IFERROR(IF(AND(B25&gt;0,B25/1),INDEX(Заказ!$B$1:$AV$3196,MATCH(B25,Заказ!$AV$1:$AV$3196,0),16),""),"")</f>
        <v/>
      </c>
      <c r="H25" s="1"/>
    </row>
    <row r="26" spans="1:8" ht="12" customHeight="1" x14ac:dyDescent="0.25">
      <c r="A26" s="1051" t="str">
        <f>IFERROR(IF(AND(B26&gt;0,B26/1),INDEX(Заказ!$B$412:$AV$3196,MATCH(B26,Заказ!$AV$412:$AV$3196,0),1),""),"")</f>
        <v/>
      </c>
      <c r="B26" s="1056" t="str">
        <f>IFERROR(IF(B25&gt;0,SMALL(Заказ!$AV$1:$AV$3196,1+B25),""),"")</f>
        <v/>
      </c>
      <c r="C26" s="1057" t="str">
        <f>IFERROR(IF(AND(B26&gt;0,B26/1),INDEX(Заказ!$B$1:$AV$3196,MATCH(B26,Заказ!$AV$1:$AV$3196,0),3),""),"")</f>
        <v/>
      </c>
      <c r="D26" s="1058" t="str">
        <f>IFERROR(IF(AND(B26&gt;0,B26/1),INDEX(Заказ!$B$1:$AV$3196,MATCH(B26,Заказ!$AV$1:$AV$3196,0),9),""),"")</f>
        <v/>
      </c>
      <c r="E26" s="1056" t="str">
        <f>IFERROR(IF(AND(B26&gt;0,B26/1),INDEX(Заказ!$B$1:$AV$3196,MATCH(B26,Заказ!$AV$1:$AV$3196,0),5),""),"")</f>
        <v/>
      </c>
      <c r="F26" s="1056" t="str">
        <f>IFERROR(IF(AND(B26&gt;0,B26/1),INDEX(Заказ!$B$1:$AV$3196,MATCH(B26,Заказ!$AV$1:$AV$3196,0),16)/INDEX(Заказ!$B$1:$AV$3196,MATCH(B26,Заказ!$AV$1:$AV$3196,0),5),""),"")</f>
        <v/>
      </c>
      <c r="G26" s="1059" t="str">
        <f>IFERROR(IF(AND(B26&gt;0,B26/1),INDEX(Заказ!$B$1:$AV$3196,MATCH(B26,Заказ!$AV$1:$AV$3196,0),16),""),"")</f>
        <v/>
      </c>
      <c r="H26" s="1"/>
    </row>
    <row r="27" spans="1:8" ht="12" customHeight="1" x14ac:dyDescent="0.25">
      <c r="A27" s="1051" t="str">
        <f>IFERROR(IF(AND(B27&gt;0,B27/1),INDEX(Заказ!$B$412:$AV$3196,MATCH(B27,Заказ!$AV$412:$AV$3196,0),1),""),"")</f>
        <v/>
      </c>
      <c r="B27" s="1056" t="str">
        <f>IFERROR(IF(B26&gt;0,SMALL(Заказ!$AV$1:$AV$3196,1+B26),""),"")</f>
        <v/>
      </c>
      <c r="C27" s="1057" t="str">
        <f>IFERROR(IF(AND(B27&gt;0,B27/1),INDEX(Заказ!$B$1:$AV$3196,MATCH(B27,Заказ!$AV$1:$AV$3196,0),3),""),"")</f>
        <v/>
      </c>
      <c r="D27" s="1058" t="str">
        <f>IFERROR(IF(AND(B27&gt;0,B27/1),INDEX(Заказ!$B$1:$AV$3196,MATCH(B27,Заказ!$AV$1:$AV$3196,0),9),""),"")</f>
        <v/>
      </c>
      <c r="E27" s="1056" t="str">
        <f>IFERROR(IF(AND(B27&gt;0,B27/1),INDEX(Заказ!$B$1:$AV$3196,MATCH(B27,Заказ!$AV$1:$AV$3196,0),5),""),"")</f>
        <v/>
      </c>
      <c r="F27" s="1056" t="str">
        <f>IFERROR(IF(AND(B27&gt;0,B27/1),INDEX(Заказ!$B$1:$AV$3196,MATCH(B27,Заказ!$AV$1:$AV$3196,0),16)/INDEX(Заказ!$B$1:$AV$3196,MATCH(B27,Заказ!$AV$1:$AV$3196,0),5),""),"")</f>
        <v/>
      </c>
      <c r="G27" s="1059" t="str">
        <f>IFERROR(IF(AND(B27&gt;0,B27/1),INDEX(Заказ!$B$1:$AV$3196,MATCH(B27,Заказ!$AV$1:$AV$3196,0),16),""),"")</f>
        <v/>
      </c>
      <c r="H27" s="1"/>
    </row>
    <row r="28" spans="1:8" ht="12" customHeight="1" x14ac:dyDescent="0.25">
      <c r="A28" s="1051" t="str">
        <f>IFERROR(IF(AND(B28&gt;0,B28/1),INDEX(Заказ!$B$412:$AV$3196,MATCH(B28,Заказ!$AV$412:$AV$3196,0),1),""),"")</f>
        <v/>
      </c>
      <c r="B28" s="1056" t="str">
        <f>IFERROR(IF(B27&gt;0,SMALL(Заказ!$AV$1:$AV$3196,1+B27),""),"")</f>
        <v/>
      </c>
      <c r="C28" s="1057" t="str">
        <f>IFERROR(IF(AND(B28&gt;0,B28/1),INDEX(Заказ!$B$1:$AV$3196,MATCH(B28,Заказ!$AV$1:$AV$3196,0),3),""),"")</f>
        <v/>
      </c>
      <c r="D28" s="1058" t="str">
        <f>IFERROR(IF(AND(B28&gt;0,B28/1),INDEX(Заказ!$B$1:$AV$3196,MATCH(B28,Заказ!$AV$1:$AV$3196,0),9),""),"")</f>
        <v/>
      </c>
      <c r="E28" s="1056" t="str">
        <f>IFERROR(IF(AND(B28&gt;0,B28/1),INDEX(Заказ!$B$1:$AV$3196,MATCH(B28,Заказ!$AV$1:$AV$3196,0),5),""),"")</f>
        <v/>
      </c>
      <c r="F28" s="1056" t="str">
        <f>IFERROR(IF(AND(B28&gt;0,B28/1),INDEX(Заказ!$B$1:$AV$3196,MATCH(B28,Заказ!$AV$1:$AV$3196,0),16)/INDEX(Заказ!$B$1:$AV$3196,MATCH(B28,Заказ!$AV$1:$AV$3196,0),5),""),"")</f>
        <v/>
      </c>
      <c r="G28" s="1059" t="str">
        <f>IFERROR(IF(AND(B28&gt;0,B28/1),INDEX(Заказ!$B$1:$AV$3196,MATCH(B28,Заказ!$AV$1:$AV$3196,0),16),""),"")</f>
        <v/>
      </c>
      <c r="H28" s="1"/>
    </row>
    <row r="29" spans="1:8" ht="12" customHeight="1" x14ac:dyDescent="0.25">
      <c r="A29" s="1051" t="str">
        <f>IFERROR(IF(AND(B29&gt;0,B29/1),INDEX(Заказ!$B$412:$AV$3196,MATCH(B29,Заказ!$AV$412:$AV$3196,0),1),""),"")</f>
        <v/>
      </c>
      <c r="B29" s="1056" t="str">
        <f>IFERROR(IF(B28&gt;0,SMALL(Заказ!$AV$1:$AV$3196,1+B28),""),"")</f>
        <v/>
      </c>
      <c r="C29" s="1057" t="str">
        <f>IFERROR(IF(AND(B29&gt;0,B29/1),INDEX(Заказ!$B$1:$AV$3196,MATCH(B29,Заказ!$AV$1:$AV$3196,0),3),""),"")</f>
        <v/>
      </c>
      <c r="D29" s="1058" t="str">
        <f>IFERROR(IF(AND(B29&gt;0,B29/1),INDEX(Заказ!$B$1:$AV$3196,MATCH(B29,Заказ!$AV$1:$AV$3196,0),9),""),"")</f>
        <v/>
      </c>
      <c r="E29" s="1056" t="str">
        <f>IFERROR(IF(AND(B29&gt;0,B29/1),INDEX(Заказ!$B$1:$AV$3196,MATCH(B29,Заказ!$AV$1:$AV$3196,0),5),""),"")</f>
        <v/>
      </c>
      <c r="F29" s="1056" t="str">
        <f>IFERROR(IF(AND(B29&gt;0,B29/1),INDEX(Заказ!$B$1:$AV$3196,MATCH(B29,Заказ!$AV$1:$AV$3196,0),16)/INDEX(Заказ!$B$1:$AV$3196,MATCH(B29,Заказ!$AV$1:$AV$3196,0),5),""),"")</f>
        <v/>
      </c>
      <c r="G29" s="1059" t="str">
        <f>IFERROR(IF(AND(B29&gt;0,B29/1),INDEX(Заказ!$B$1:$AV$3196,MATCH(B29,Заказ!$AV$1:$AV$3196,0),16),""),"")</f>
        <v/>
      </c>
      <c r="H29" s="1"/>
    </row>
    <row r="30" spans="1:8" ht="12" customHeight="1" x14ac:dyDescent="0.25">
      <c r="A30" s="1051" t="str">
        <f>IFERROR(IF(AND(B30&gt;0,B30/1),INDEX(Заказ!$B$412:$AV$3196,MATCH(B30,Заказ!$AV$412:$AV$3196,0),1),""),"")</f>
        <v/>
      </c>
      <c r="B30" s="1056" t="str">
        <f>IFERROR(IF(B29&gt;0,SMALL(Заказ!$AV$1:$AV$3196,1+B29),""),"")</f>
        <v/>
      </c>
      <c r="C30" s="1057" t="str">
        <f>IFERROR(IF(AND(B30&gt;0,B30/1),INDEX(Заказ!$B$1:$AV$3196,MATCH(B30,Заказ!$AV$1:$AV$3196,0),3),""),"")</f>
        <v/>
      </c>
      <c r="D30" s="1058" t="str">
        <f>IFERROR(IF(AND(B30&gt;0,B30/1),INDEX(Заказ!$B$1:$AV$3196,MATCH(B30,Заказ!$AV$1:$AV$3196,0),9),""),"")</f>
        <v/>
      </c>
      <c r="E30" s="1056" t="str">
        <f>IFERROR(IF(AND(B30&gt;0,B30/1),INDEX(Заказ!$B$1:$AV$3196,MATCH(B30,Заказ!$AV$1:$AV$3196,0),5),""),"")</f>
        <v/>
      </c>
      <c r="F30" s="1056" t="str">
        <f>IFERROR(IF(AND(B30&gt;0,B30/1),INDEX(Заказ!$B$1:$AV$3196,MATCH(B30,Заказ!$AV$1:$AV$3196,0),16)/INDEX(Заказ!$B$1:$AV$3196,MATCH(B30,Заказ!$AV$1:$AV$3196,0),5),""),"")</f>
        <v/>
      </c>
      <c r="G30" s="1059" t="str">
        <f>IFERROR(IF(AND(B30&gt;0,B30/1),INDEX(Заказ!$B$1:$AV$3196,MATCH(B30,Заказ!$AV$1:$AV$3196,0),16),""),"")</f>
        <v/>
      </c>
      <c r="H30" s="1"/>
    </row>
    <row r="31" spans="1:8" ht="12" customHeight="1" x14ac:dyDescent="0.25">
      <c r="A31" s="1051" t="str">
        <f>IFERROR(IF(AND(B31&gt;0,B31/1),INDEX(Заказ!$B$412:$AV$3196,MATCH(B31,Заказ!$AV$412:$AV$3196,0),1),""),"")</f>
        <v/>
      </c>
      <c r="B31" s="1056" t="str">
        <f>IFERROR(IF(B30&gt;0,SMALL(Заказ!$AV$1:$AV$3196,1+B30),""),"")</f>
        <v/>
      </c>
      <c r="C31" s="1057" t="str">
        <f>IFERROR(IF(AND(B31&gt;0,B31/1),INDEX(Заказ!$B$1:$AV$3196,MATCH(B31,Заказ!$AV$1:$AV$3196,0),3),""),"")</f>
        <v/>
      </c>
      <c r="D31" s="1058" t="str">
        <f>IFERROR(IF(AND(B31&gt;0,B31/1),INDEX(Заказ!$B$1:$AV$3196,MATCH(B31,Заказ!$AV$1:$AV$3196,0),9),""),"")</f>
        <v/>
      </c>
      <c r="E31" s="1056" t="str">
        <f>IFERROR(IF(AND(B31&gt;0,B31/1),INDEX(Заказ!$B$1:$AV$3196,MATCH(B31,Заказ!$AV$1:$AV$3196,0),5),""),"")</f>
        <v/>
      </c>
      <c r="F31" s="1056" t="str">
        <f>IFERROR(IF(AND(B31&gt;0,B31/1),INDEX(Заказ!$B$1:$AV$3196,MATCH(B31,Заказ!$AV$1:$AV$3196,0),16)/INDEX(Заказ!$B$1:$AV$3196,MATCH(B31,Заказ!$AV$1:$AV$3196,0),5),""),"")</f>
        <v/>
      </c>
      <c r="G31" s="1059" t="str">
        <f>IFERROR(IF(AND(B31&gt;0,B31/1),INDEX(Заказ!$B$1:$AV$3196,MATCH(B31,Заказ!$AV$1:$AV$3196,0),16),""),"")</f>
        <v/>
      </c>
      <c r="H31" s="1"/>
    </row>
    <row r="32" spans="1:8" ht="12" customHeight="1" x14ac:dyDescent="0.25">
      <c r="A32" s="1051" t="str">
        <f>IFERROR(IF(AND(B32&gt;0,B32/1),INDEX(Заказ!$B$412:$AV$3196,MATCH(B32,Заказ!$AV$412:$AV$3196,0),1),""),"")</f>
        <v/>
      </c>
      <c r="B32" s="1056" t="str">
        <f>IFERROR(IF(B31&gt;0,SMALL(Заказ!$AV$1:$AV$3196,1+B31),""),"")</f>
        <v/>
      </c>
      <c r="C32" s="1057" t="str">
        <f>IFERROR(IF(AND(B32&gt;0,B32/1),INDEX(Заказ!$B$1:$AV$3196,MATCH(B32,Заказ!$AV$1:$AV$3196,0),3),""),"")</f>
        <v/>
      </c>
      <c r="D32" s="1058" t="str">
        <f>IFERROR(IF(AND(B32&gt;0,B32/1),INDEX(Заказ!$B$1:$AV$3196,MATCH(B32,Заказ!$AV$1:$AV$3196,0),9),""),"")</f>
        <v/>
      </c>
      <c r="E32" s="1056" t="str">
        <f>IFERROR(IF(AND(B32&gt;0,B32/1),INDEX(Заказ!$B$1:$AV$3196,MATCH(B32,Заказ!$AV$1:$AV$3196,0),5),""),"")</f>
        <v/>
      </c>
      <c r="F32" s="1056" t="str">
        <f>IFERROR(IF(AND(B32&gt;0,B32/1),INDEX(Заказ!$B$1:$AV$3196,MATCH(B32,Заказ!$AV$1:$AV$3196,0),16)/INDEX(Заказ!$B$1:$AV$3196,MATCH(B32,Заказ!$AV$1:$AV$3196,0),5),""),"")</f>
        <v/>
      </c>
      <c r="G32" s="1059" t="str">
        <f>IFERROR(IF(AND(B32&gt;0,B32/1),INDEX(Заказ!$B$1:$AV$3196,MATCH(B32,Заказ!$AV$1:$AV$3196,0),16),""),"")</f>
        <v/>
      </c>
      <c r="H32" s="1"/>
    </row>
    <row r="33" spans="1:8" ht="12" customHeight="1" x14ac:dyDescent="0.25">
      <c r="A33" s="1051" t="str">
        <f>IFERROR(IF(AND(B33&gt;0,B33/1),INDEX(Заказ!$B$412:$AV$3196,MATCH(B33,Заказ!$AV$412:$AV$3196,0),1),""),"")</f>
        <v/>
      </c>
      <c r="B33" s="1056" t="str">
        <f>IFERROR(IF(B32&gt;0,SMALL(Заказ!$AV$1:$AV$3196,1+B32),""),"")</f>
        <v/>
      </c>
      <c r="C33" s="1057" t="str">
        <f>IFERROR(IF(AND(B33&gt;0,B33/1),INDEX(Заказ!$B$1:$AV$3196,MATCH(B33,Заказ!$AV$1:$AV$3196,0),3),""),"")</f>
        <v/>
      </c>
      <c r="D33" s="1058" t="str">
        <f>IFERROR(IF(AND(B33&gt;0,B33/1),INDEX(Заказ!$B$1:$AV$3196,MATCH(B33,Заказ!$AV$1:$AV$3196,0),9),""),"")</f>
        <v/>
      </c>
      <c r="E33" s="1056" t="str">
        <f>IFERROR(IF(AND(B33&gt;0,B33/1),INDEX(Заказ!$B$1:$AV$3196,MATCH(B33,Заказ!$AV$1:$AV$3196,0),5),""),"")</f>
        <v/>
      </c>
      <c r="F33" s="1056" t="str">
        <f>IFERROR(IF(AND(B33&gt;0,B33/1),INDEX(Заказ!$B$1:$AV$3196,MATCH(B33,Заказ!$AV$1:$AV$3196,0),16)/INDEX(Заказ!$B$1:$AV$3196,MATCH(B33,Заказ!$AV$1:$AV$3196,0),5),""),"")</f>
        <v/>
      </c>
      <c r="G33" s="1059" t="str">
        <f>IFERROR(IF(AND(B33&gt;0,B33/1),INDEX(Заказ!$B$1:$AV$3196,MATCH(B33,Заказ!$AV$1:$AV$3196,0),16),""),"")</f>
        <v/>
      </c>
      <c r="H33" s="1"/>
    </row>
    <row r="34" spans="1:8" ht="12" customHeight="1" x14ac:dyDescent="0.25">
      <c r="A34" s="1051" t="str">
        <f>IFERROR(IF(AND(B34&gt;0,B34/1),INDEX(Заказ!$B$412:$AV$3196,MATCH(B34,Заказ!$AV$412:$AV$3196,0),1),""),"")</f>
        <v/>
      </c>
      <c r="B34" s="1056" t="str">
        <f>IFERROR(IF(B33&gt;0,SMALL(Заказ!$AV$1:$AV$3196,1+B33),""),"")</f>
        <v/>
      </c>
      <c r="C34" s="1057" t="str">
        <f>IFERROR(IF(AND(B34&gt;0,B34/1),INDEX(Заказ!$B$1:$AV$3196,MATCH(B34,Заказ!$AV$1:$AV$3196,0),3),""),"")</f>
        <v/>
      </c>
      <c r="D34" s="1058" t="str">
        <f>IFERROR(IF(AND(B34&gt;0,B34/1),INDEX(Заказ!$B$1:$AV$3196,MATCH(B34,Заказ!$AV$1:$AV$3196,0),9),""),"")</f>
        <v/>
      </c>
      <c r="E34" s="1056" t="str">
        <f>IFERROR(IF(AND(B34&gt;0,B34/1),INDEX(Заказ!$B$1:$AV$3196,MATCH(B34,Заказ!$AV$1:$AV$3196,0),5),""),"")</f>
        <v/>
      </c>
      <c r="F34" s="1056" t="str">
        <f>IFERROR(IF(AND(B34&gt;0,B34/1),INDEX(Заказ!$B$1:$AV$3196,MATCH(B34,Заказ!$AV$1:$AV$3196,0),16)/INDEX(Заказ!$B$1:$AV$3196,MATCH(B34,Заказ!$AV$1:$AV$3196,0),5),""),"")</f>
        <v/>
      </c>
      <c r="G34" s="1059" t="str">
        <f>IFERROR(IF(AND(B34&gt;0,B34/1),INDEX(Заказ!$B$1:$AV$3196,MATCH(B34,Заказ!$AV$1:$AV$3196,0),16),""),"")</f>
        <v/>
      </c>
      <c r="H34" s="1"/>
    </row>
    <row r="35" spans="1:8" ht="12" customHeight="1" x14ac:dyDescent="0.25">
      <c r="A35" s="1051" t="str">
        <f>IFERROR(IF(AND(B35&gt;0,B35/1),INDEX(Заказ!$B$412:$AV$3196,MATCH(B35,Заказ!$AV$412:$AV$3196,0),1),""),"")</f>
        <v/>
      </c>
      <c r="B35" s="1056" t="str">
        <f>IFERROR(IF(B34&gt;0,SMALL(Заказ!$AV$1:$AV$3196,1+B34),""),"")</f>
        <v/>
      </c>
      <c r="C35" s="1057" t="str">
        <f>IFERROR(IF(AND(B35&gt;0,B35/1),INDEX(Заказ!$B$1:$AV$3196,MATCH(B35,Заказ!$AV$1:$AV$3196,0),3),""),"")</f>
        <v/>
      </c>
      <c r="D35" s="1058" t="str">
        <f>IFERROR(IF(AND(B35&gt;0,B35/1),INDEX(Заказ!$B$1:$AV$3196,MATCH(B35,Заказ!$AV$1:$AV$3196,0),9),""),"")</f>
        <v/>
      </c>
      <c r="E35" s="1056" t="str">
        <f>IFERROR(IF(AND(B35&gt;0,B35/1),INDEX(Заказ!$B$1:$AV$3196,MATCH(B35,Заказ!$AV$1:$AV$3196,0),5),""),"")</f>
        <v/>
      </c>
      <c r="F35" s="1056" t="str">
        <f>IFERROR(IF(AND(B35&gt;0,B35/1),INDEX(Заказ!$B$1:$AV$3196,MATCH(B35,Заказ!$AV$1:$AV$3196,0),16)/INDEX(Заказ!$B$1:$AV$3196,MATCH(B35,Заказ!$AV$1:$AV$3196,0),5),""),"")</f>
        <v/>
      </c>
      <c r="G35" s="1059" t="str">
        <f>IFERROR(IF(AND(B35&gt;0,B35/1),INDEX(Заказ!$B$1:$AV$3196,MATCH(B35,Заказ!$AV$1:$AV$3196,0),16),""),"")</f>
        <v/>
      </c>
      <c r="H35" s="1"/>
    </row>
    <row r="36" spans="1:8" ht="12" customHeight="1" x14ac:dyDescent="0.25">
      <c r="A36" s="1051" t="str">
        <f>IFERROR(IF(AND(B36&gt;0,B36/1),INDEX(Заказ!$B$412:$AV$3196,MATCH(B36,Заказ!$AV$412:$AV$3196,0),1),""),"")</f>
        <v/>
      </c>
      <c r="B36" s="1056" t="str">
        <f>IFERROR(IF(B35&gt;0,SMALL(Заказ!$AV$1:$AV$3196,1+B35),""),"")</f>
        <v/>
      </c>
      <c r="C36" s="1057" t="str">
        <f>IFERROR(IF(AND(B36&gt;0,B36/1),INDEX(Заказ!$B$1:$AV$3196,MATCH(B36,Заказ!$AV$1:$AV$3196,0),3),""),"")</f>
        <v/>
      </c>
      <c r="D36" s="1058" t="str">
        <f>IFERROR(IF(AND(B36&gt;0,B36/1),INDEX(Заказ!$B$1:$AV$3196,MATCH(B36,Заказ!$AV$1:$AV$3196,0),9),""),"")</f>
        <v/>
      </c>
      <c r="E36" s="1056" t="str">
        <f>IFERROR(IF(AND(B36&gt;0,B36/1),INDEX(Заказ!$B$1:$AV$3196,MATCH(B36,Заказ!$AV$1:$AV$3196,0),5),""),"")</f>
        <v/>
      </c>
      <c r="F36" s="1056" t="str">
        <f>IFERROR(IF(AND(B36&gt;0,B36/1),INDEX(Заказ!$B$1:$AV$3196,MATCH(B36,Заказ!$AV$1:$AV$3196,0),16)/INDEX(Заказ!$B$1:$AV$3196,MATCH(B36,Заказ!$AV$1:$AV$3196,0),5),""),"")</f>
        <v/>
      </c>
      <c r="G36" s="1059" t="str">
        <f>IFERROR(IF(AND(B36&gt;0,B36/1),INDEX(Заказ!$B$1:$AV$3196,MATCH(B36,Заказ!$AV$1:$AV$3196,0),16),""),"")</f>
        <v/>
      </c>
      <c r="H36" s="1"/>
    </row>
    <row r="37" spans="1:8" ht="12" customHeight="1" x14ac:dyDescent="0.25">
      <c r="A37" s="1051" t="str">
        <f>IFERROR(IF(AND(B37&gt;0,B37/1),INDEX(Заказ!$B$412:$AV$3196,MATCH(B37,Заказ!$AV$412:$AV$3196,0),1),""),"")</f>
        <v/>
      </c>
      <c r="B37" s="1056" t="str">
        <f>IFERROR(IF(B36&gt;0,SMALL(Заказ!$AV$1:$AV$3196,1+B36),""),"")</f>
        <v/>
      </c>
      <c r="C37" s="1057" t="str">
        <f>IFERROR(IF(AND(B37&gt;0,B37/1),INDEX(Заказ!$B$1:$AV$3196,MATCH(B37,Заказ!$AV$1:$AV$3196,0),3),""),"")</f>
        <v/>
      </c>
      <c r="D37" s="1058" t="str">
        <f>IFERROR(IF(AND(B37&gt;0,B37/1),INDEX(Заказ!$B$1:$AV$3196,MATCH(B37,Заказ!$AV$1:$AV$3196,0),9),""),"")</f>
        <v/>
      </c>
      <c r="E37" s="1056" t="str">
        <f>IFERROR(IF(AND(B37&gt;0,B37/1),INDEX(Заказ!$B$1:$AV$3196,MATCH(B37,Заказ!$AV$1:$AV$3196,0),5),""),"")</f>
        <v/>
      </c>
      <c r="F37" s="1056" t="str">
        <f>IFERROR(IF(AND(B37&gt;0,B37/1),INDEX(Заказ!$B$1:$AV$3196,MATCH(B37,Заказ!$AV$1:$AV$3196,0),16)/INDEX(Заказ!$B$1:$AV$3196,MATCH(B37,Заказ!$AV$1:$AV$3196,0),5),""),"")</f>
        <v/>
      </c>
      <c r="G37" s="1059" t="str">
        <f>IFERROR(IF(AND(B37&gt;0,B37/1),INDEX(Заказ!$B$1:$AV$3196,MATCH(B37,Заказ!$AV$1:$AV$3196,0),16),""),"")</f>
        <v/>
      </c>
      <c r="H37" s="1"/>
    </row>
    <row r="38" spans="1:8" ht="12" customHeight="1" x14ac:dyDescent="0.25">
      <c r="A38" s="1051" t="str">
        <f>IFERROR(IF(AND(B38&gt;0,B38/1),INDEX(Заказ!$B$412:$AV$3196,MATCH(B38,Заказ!$AV$412:$AV$3196,0),1),""),"")</f>
        <v/>
      </c>
      <c r="B38" s="1056" t="str">
        <f>IFERROR(IF(B37&gt;0,SMALL(Заказ!$AV$1:$AV$3196,1+B37),""),"")</f>
        <v/>
      </c>
      <c r="C38" s="1057" t="str">
        <f>IFERROR(IF(AND(B38&gt;0,B38/1),INDEX(Заказ!$B$1:$AV$3196,MATCH(B38,Заказ!$AV$1:$AV$3196,0),3),""),"")</f>
        <v/>
      </c>
      <c r="D38" s="1058" t="str">
        <f>IFERROR(IF(AND(B38&gt;0,B38/1),INDEX(Заказ!$B$1:$AV$3196,MATCH(B38,Заказ!$AV$1:$AV$3196,0),9),""),"")</f>
        <v/>
      </c>
      <c r="E38" s="1056" t="str">
        <f>IFERROR(IF(AND(B38&gt;0,B38/1),INDEX(Заказ!$B$1:$AV$3196,MATCH(B38,Заказ!$AV$1:$AV$3196,0),5),""),"")</f>
        <v/>
      </c>
      <c r="F38" s="1056" t="str">
        <f>IFERROR(IF(AND(B38&gt;0,B38/1),INDEX(Заказ!$B$1:$AV$3196,MATCH(B38,Заказ!$AV$1:$AV$3196,0),16)/INDEX(Заказ!$B$1:$AV$3196,MATCH(B38,Заказ!$AV$1:$AV$3196,0),5),""),"")</f>
        <v/>
      </c>
      <c r="G38" s="1059" t="str">
        <f>IFERROR(IF(AND(B38&gt;0,B38/1),INDEX(Заказ!$B$1:$AV$3196,MATCH(B38,Заказ!$AV$1:$AV$3196,0),16),""),"")</f>
        <v/>
      </c>
      <c r="H38" s="1"/>
    </row>
    <row r="39" spans="1:8" ht="12" customHeight="1" x14ac:dyDescent="0.25">
      <c r="A39" s="1051" t="str">
        <f>IFERROR(IF(AND(B39&gt;0,B39/1),INDEX(Заказ!$B$412:$AV$3196,MATCH(B39,Заказ!$AV$412:$AV$3196,0),1),""),"")</f>
        <v/>
      </c>
      <c r="B39" s="1056" t="str">
        <f>IFERROR(IF(B38&gt;0,SMALL(Заказ!$AV$1:$AV$3196,1+B38),""),"")</f>
        <v/>
      </c>
      <c r="C39" s="1057" t="str">
        <f>IFERROR(IF(AND(B39&gt;0,B39/1),INDEX(Заказ!$B$1:$AV$3196,MATCH(B39,Заказ!$AV$1:$AV$3196,0),3),""),"")</f>
        <v/>
      </c>
      <c r="D39" s="1058" t="str">
        <f>IFERROR(IF(AND(B39&gt;0,B39/1),INDEX(Заказ!$B$1:$AV$3196,MATCH(B39,Заказ!$AV$1:$AV$3196,0),9),""),"")</f>
        <v/>
      </c>
      <c r="E39" s="1056" t="str">
        <f>IFERROR(IF(AND(B39&gt;0,B39/1),INDEX(Заказ!$B$1:$AV$3196,MATCH(B39,Заказ!$AV$1:$AV$3196,0),5),""),"")</f>
        <v/>
      </c>
      <c r="F39" s="1056" t="str">
        <f>IFERROR(IF(AND(B39&gt;0,B39/1),INDEX(Заказ!$B$1:$AV$3196,MATCH(B39,Заказ!$AV$1:$AV$3196,0),16)/INDEX(Заказ!$B$1:$AV$3196,MATCH(B39,Заказ!$AV$1:$AV$3196,0),5),""),"")</f>
        <v/>
      </c>
      <c r="G39" s="1059" t="str">
        <f>IFERROR(IF(AND(B39&gt;0,B39/1),INDEX(Заказ!$B$1:$AV$3196,MATCH(B39,Заказ!$AV$1:$AV$3196,0),16),""),"")</f>
        <v/>
      </c>
      <c r="H39" s="1"/>
    </row>
    <row r="40" spans="1:8" ht="12" customHeight="1" x14ac:dyDescent="0.25">
      <c r="A40" s="1051" t="str">
        <f>IFERROR(IF(AND(B40&gt;0,B40/1),INDEX(Заказ!$B$412:$AV$3196,MATCH(B40,Заказ!$AV$412:$AV$3196,0),1),""),"")</f>
        <v/>
      </c>
      <c r="B40" s="1056" t="str">
        <f>IFERROR(IF(B39&gt;0,SMALL(Заказ!$AV$1:$AV$3196,1+B39),""),"")</f>
        <v/>
      </c>
      <c r="C40" s="1057" t="str">
        <f>IFERROR(IF(AND(B40&gt;0,B40/1),INDEX(Заказ!$B$1:$AV$3196,MATCH(B40,Заказ!$AV$1:$AV$3196,0),3),""),"")</f>
        <v/>
      </c>
      <c r="D40" s="1058" t="str">
        <f>IFERROR(IF(AND(B40&gt;0,B40/1),INDEX(Заказ!$B$1:$AV$3196,MATCH(B40,Заказ!$AV$1:$AV$3196,0),9),""),"")</f>
        <v/>
      </c>
      <c r="E40" s="1056" t="str">
        <f>IFERROR(IF(AND(B40&gt;0,B40/1),INDEX(Заказ!$B$1:$AV$3196,MATCH(B40,Заказ!$AV$1:$AV$3196,0),5),""),"")</f>
        <v/>
      </c>
      <c r="F40" s="1056" t="str">
        <f>IFERROR(IF(AND(B40&gt;0,B40/1),INDEX(Заказ!$B$1:$AV$3196,MATCH(B40,Заказ!$AV$1:$AV$3196,0),16)/INDEX(Заказ!$B$1:$AV$3196,MATCH(B40,Заказ!$AV$1:$AV$3196,0),5),""),"")</f>
        <v/>
      </c>
      <c r="G40" s="1059" t="str">
        <f>IFERROR(IF(AND(B40&gt;0,B40/1),INDEX(Заказ!$B$1:$AV$3196,MATCH(B40,Заказ!$AV$1:$AV$3196,0),16),""),"")</f>
        <v/>
      </c>
      <c r="H40" s="1"/>
    </row>
    <row r="41" spans="1:8" ht="12" customHeight="1" x14ac:dyDescent="0.25">
      <c r="A41" s="1051" t="str">
        <f>IFERROR(IF(AND(B41&gt;0,B41/1),INDEX(Заказ!$B$412:$AV$3196,MATCH(B41,Заказ!$AV$412:$AV$3196,0),1),""),"")</f>
        <v/>
      </c>
      <c r="B41" s="1056" t="str">
        <f>IFERROR(IF(B40&gt;0,SMALL(Заказ!$AV$1:$AV$3196,1+B40),""),"")</f>
        <v/>
      </c>
      <c r="C41" s="1057" t="str">
        <f>IFERROR(IF(AND(B41&gt;0,B41/1),INDEX(Заказ!$B$1:$AV$3196,MATCH(B41,Заказ!$AV$1:$AV$3196,0),3),""),"")</f>
        <v/>
      </c>
      <c r="D41" s="1058" t="str">
        <f>IFERROR(IF(AND(B41&gt;0,B41/1),INDEX(Заказ!$B$1:$AV$3196,MATCH(B41,Заказ!$AV$1:$AV$3196,0),9),""),"")</f>
        <v/>
      </c>
      <c r="E41" s="1056" t="str">
        <f>IFERROR(IF(AND(B41&gt;0,B41/1),INDEX(Заказ!$B$1:$AV$3196,MATCH(B41,Заказ!$AV$1:$AV$3196,0),5),""),"")</f>
        <v/>
      </c>
      <c r="F41" s="1056" t="str">
        <f>IFERROR(IF(AND(B41&gt;0,B41/1),INDEX(Заказ!$B$1:$AV$3196,MATCH(B41,Заказ!$AV$1:$AV$3196,0),16)/INDEX(Заказ!$B$1:$AV$3196,MATCH(B41,Заказ!$AV$1:$AV$3196,0),5),""),"")</f>
        <v/>
      </c>
      <c r="G41" s="1059" t="str">
        <f>IFERROR(IF(AND(B41&gt;0,B41/1),INDEX(Заказ!$B$1:$AV$3196,MATCH(B41,Заказ!$AV$1:$AV$3196,0),16),""),"")</f>
        <v/>
      </c>
      <c r="H41" s="1"/>
    </row>
    <row r="42" spans="1:8" ht="12" customHeight="1" x14ac:dyDescent="0.25">
      <c r="A42" s="1051" t="str">
        <f>IFERROR(IF(AND(B42&gt;0,B42/1),INDEX(Заказ!$B$412:$AV$3196,MATCH(B42,Заказ!$AV$412:$AV$3196,0),1),""),"")</f>
        <v/>
      </c>
      <c r="B42" s="1056" t="str">
        <f>IFERROR(IF(B41&gt;0,SMALL(Заказ!$AV$1:$AV$3196,1+B41),""),"")</f>
        <v/>
      </c>
      <c r="C42" s="1057" t="str">
        <f>IFERROR(IF(AND(B42&gt;0,B42/1),INDEX(Заказ!$B$1:$AV$3196,MATCH(B42,Заказ!$AV$1:$AV$3196,0),3),""),"")</f>
        <v/>
      </c>
      <c r="D42" s="1058" t="str">
        <f>IFERROR(IF(AND(B42&gt;0,B42/1),INDEX(Заказ!$B$1:$AV$3196,MATCH(B42,Заказ!$AV$1:$AV$3196,0),9),""),"")</f>
        <v/>
      </c>
      <c r="E42" s="1056" t="str">
        <f>IFERROR(IF(AND(B42&gt;0,B42/1),INDEX(Заказ!$B$1:$AV$3196,MATCH(B42,Заказ!$AV$1:$AV$3196,0),5),""),"")</f>
        <v/>
      </c>
      <c r="F42" s="1056" t="str">
        <f>IFERROR(IF(AND(B42&gt;0,B42/1),INDEX(Заказ!$B$1:$AV$3196,MATCH(B42,Заказ!$AV$1:$AV$3196,0),16)/INDEX(Заказ!$B$1:$AV$3196,MATCH(B42,Заказ!$AV$1:$AV$3196,0),5),""),"")</f>
        <v/>
      </c>
      <c r="G42" s="1059" t="str">
        <f>IFERROR(IF(AND(B42&gt;0,B42/1),INDEX(Заказ!$B$1:$AV$3196,MATCH(B42,Заказ!$AV$1:$AV$3196,0),16),""),"")</f>
        <v/>
      </c>
      <c r="H42" s="1"/>
    </row>
    <row r="43" spans="1:8" ht="12" customHeight="1" x14ac:dyDescent="0.25">
      <c r="A43" s="1051" t="str">
        <f>IFERROR(IF(AND(B43&gt;0,B43/1),INDEX(Заказ!$B$412:$AV$3196,MATCH(B43,Заказ!$AV$412:$AV$3196,0),1),""),"")</f>
        <v/>
      </c>
      <c r="B43" s="1056" t="str">
        <f>IFERROR(IF(B42&gt;0,SMALL(Заказ!$AV$1:$AV$3196,1+B42),""),"")</f>
        <v/>
      </c>
      <c r="C43" s="1057" t="str">
        <f>IFERROR(IF(AND(B43&gt;0,B43/1),INDEX(Заказ!$B$1:$AV$3196,MATCH(B43,Заказ!$AV$1:$AV$3196,0),3),""),"")</f>
        <v/>
      </c>
      <c r="D43" s="1058" t="str">
        <f>IFERROR(IF(AND(B43&gt;0,B43/1),INDEX(Заказ!$B$1:$AV$3196,MATCH(B43,Заказ!$AV$1:$AV$3196,0),9),""),"")</f>
        <v/>
      </c>
      <c r="E43" s="1056" t="str">
        <f>IFERROR(IF(AND(B43&gt;0,B43/1),INDEX(Заказ!$B$1:$AV$3196,MATCH(B43,Заказ!$AV$1:$AV$3196,0),5),""),"")</f>
        <v/>
      </c>
      <c r="F43" s="1056" t="str">
        <f>IFERROR(IF(AND(B43&gt;0,B43/1),INDEX(Заказ!$B$1:$AV$3196,MATCH(B43,Заказ!$AV$1:$AV$3196,0),16)/INDEX(Заказ!$B$1:$AV$3196,MATCH(B43,Заказ!$AV$1:$AV$3196,0),5),""),"")</f>
        <v/>
      </c>
      <c r="G43" s="1059" t="str">
        <f>IFERROR(IF(AND(B43&gt;0,B43/1),INDEX(Заказ!$B$1:$AV$3196,MATCH(B43,Заказ!$AV$1:$AV$3196,0),16),""),"")</f>
        <v/>
      </c>
      <c r="H43" s="1"/>
    </row>
    <row r="44" spans="1:8" ht="12" customHeight="1" x14ac:dyDescent="0.25">
      <c r="A44" s="1051" t="str">
        <f>IFERROR(IF(AND(B44&gt;0,B44/1),INDEX(Заказ!$B$412:$AV$3196,MATCH(B44,Заказ!$AV$412:$AV$3196,0),1),""),"")</f>
        <v/>
      </c>
      <c r="B44" s="1056" t="str">
        <f>IFERROR(IF(B43&gt;0,SMALL(Заказ!$AV$1:$AV$3196,1+B43),""),"")</f>
        <v/>
      </c>
      <c r="C44" s="1057" t="str">
        <f>IFERROR(IF(AND(B44&gt;0,B44/1),INDEX(Заказ!$B$1:$AV$3196,MATCH(B44,Заказ!$AV$1:$AV$3196,0),3),""),"")</f>
        <v/>
      </c>
      <c r="D44" s="1058" t="str">
        <f>IFERROR(IF(AND(B44&gt;0,B44/1),INDEX(Заказ!$B$1:$AV$3196,MATCH(B44,Заказ!$AV$1:$AV$3196,0),9),""),"")</f>
        <v/>
      </c>
      <c r="E44" s="1056" t="str">
        <f>IFERROR(IF(AND(B44&gt;0,B44/1),INDEX(Заказ!$B$1:$AV$3196,MATCH(B44,Заказ!$AV$1:$AV$3196,0),5),""),"")</f>
        <v/>
      </c>
      <c r="F44" s="1056" t="str">
        <f>IFERROR(IF(AND(B44&gt;0,B44/1),INDEX(Заказ!$B$1:$AV$3196,MATCH(B44,Заказ!$AV$1:$AV$3196,0),16)/INDEX(Заказ!$B$1:$AV$3196,MATCH(B44,Заказ!$AV$1:$AV$3196,0),5),""),"")</f>
        <v/>
      </c>
      <c r="G44" s="1059" t="str">
        <f>IFERROR(IF(AND(B44&gt;0,B44/1),INDEX(Заказ!$B$1:$AV$3196,MATCH(B44,Заказ!$AV$1:$AV$3196,0),16),""),"")</f>
        <v/>
      </c>
      <c r="H44" s="1"/>
    </row>
    <row r="45" spans="1:8" ht="12" customHeight="1" x14ac:dyDescent="0.25">
      <c r="A45" s="1051" t="str">
        <f>IFERROR(IF(AND(B45&gt;0,B45/1),INDEX(Заказ!$B$412:$AV$3196,MATCH(B45,Заказ!$AV$412:$AV$3196,0),1),""),"")</f>
        <v/>
      </c>
      <c r="B45" s="1056" t="str">
        <f>IFERROR(IF(B44&gt;0,SMALL(Заказ!$AV$1:$AV$3196,1+B44),""),"")</f>
        <v/>
      </c>
      <c r="C45" s="1057" t="str">
        <f>IFERROR(IF(AND(B45&gt;0,B45/1),INDEX(Заказ!$B$1:$AV$3196,MATCH(B45,Заказ!$AV$1:$AV$3196,0),3),""),"")</f>
        <v/>
      </c>
      <c r="D45" s="1058" t="str">
        <f>IFERROR(IF(AND(B45&gt;0,B45/1),INDEX(Заказ!$B$1:$AV$3196,MATCH(B45,Заказ!$AV$1:$AV$3196,0),9),""),"")</f>
        <v/>
      </c>
      <c r="E45" s="1056" t="str">
        <f>IFERROR(IF(AND(B45&gt;0,B45/1),INDEX(Заказ!$B$1:$AV$3196,MATCH(B45,Заказ!$AV$1:$AV$3196,0),5),""),"")</f>
        <v/>
      </c>
      <c r="F45" s="1056" t="str">
        <f>IFERROR(IF(AND(B45&gt;0,B45/1),INDEX(Заказ!$B$1:$AV$3196,MATCH(B45,Заказ!$AV$1:$AV$3196,0),16)/INDEX(Заказ!$B$1:$AV$3196,MATCH(B45,Заказ!$AV$1:$AV$3196,0),5),""),"")</f>
        <v/>
      </c>
      <c r="G45" s="1059" t="str">
        <f>IFERROR(IF(AND(B45&gt;0,B45/1),INDEX(Заказ!$B$1:$AV$3196,MATCH(B45,Заказ!$AV$1:$AV$3196,0),16),""),"")</f>
        <v/>
      </c>
      <c r="H45" s="1"/>
    </row>
    <row r="46" spans="1:8" ht="12" customHeight="1" x14ac:dyDescent="0.25">
      <c r="A46" s="1051" t="str">
        <f>IFERROR(IF(AND(B46&gt;0,B46/1),INDEX(Заказ!$B$412:$AV$3196,MATCH(B46,Заказ!$AV$412:$AV$3196,0),1),""),"")</f>
        <v/>
      </c>
      <c r="B46" s="1056" t="str">
        <f>IFERROR(IF(B45&gt;0,SMALL(Заказ!$AV$1:$AV$3196,1+B45),""),"")</f>
        <v/>
      </c>
      <c r="C46" s="1057" t="str">
        <f>IFERROR(IF(AND(B46&gt;0,B46/1),INDEX(Заказ!$B$1:$AV$3196,MATCH(B46,Заказ!$AV$1:$AV$3196,0),3),""),"")</f>
        <v/>
      </c>
      <c r="D46" s="1058" t="str">
        <f>IFERROR(IF(AND(B46&gt;0,B46/1),INDEX(Заказ!$B$1:$AV$3196,MATCH(B46,Заказ!$AV$1:$AV$3196,0),9),""),"")</f>
        <v/>
      </c>
      <c r="E46" s="1056" t="str">
        <f>IFERROR(IF(AND(B46&gt;0,B46/1),INDEX(Заказ!$B$1:$AV$3196,MATCH(B46,Заказ!$AV$1:$AV$3196,0),5),""),"")</f>
        <v/>
      </c>
      <c r="F46" s="1056" t="str">
        <f>IFERROR(IF(AND(B46&gt;0,B46/1),INDEX(Заказ!$B$1:$AV$3196,MATCH(B46,Заказ!$AV$1:$AV$3196,0),16)/INDEX(Заказ!$B$1:$AV$3196,MATCH(B46,Заказ!$AV$1:$AV$3196,0),5),""),"")</f>
        <v/>
      </c>
      <c r="G46" s="1059" t="str">
        <f>IFERROR(IF(AND(B46&gt;0,B46/1),INDEX(Заказ!$B$1:$AV$3196,MATCH(B46,Заказ!$AV$1:$AV$3196,0),16),""),"")</f>
        <v/>
      </c>
      <c r="H46" s="1"/>
    </row>
    <row r="47" spans="1:8" ht="12" customHeight="1" x14ac:dyDescent="0.25">
      <c r="A47" s="1051" t="str">
        <f>IFERROR(IF(AND(B47&gt;0,B47/1),INDEX(Заказ!$B$412:$AV$3196,MATCH(B47,Заказ!$AV$412:$AV$3196,0),1),""),"")</f>
        <v/>
      </c>
      <c r="B47" s="1056" t="str">
        <f>IFERROR(IF(B46&gt;0,SMALL(Заказ!$AV$1:$AV$3196,1+B46),""),"")</f>
        <v/>
      </c>
      <c r="C47" s="1057" t="str">
        <f>IFERROR(IF(AND(B47&gt;0,B47/1),INDEX(Заказ!$B$1:$AV$3196,MATCH(B47,Заказ!$AV$1:$AV$3196,0),3),""),"")</f>
        <v/>
      </c>
      <c r="D47" s="1058" t="str">
        <f>IFERROR(IF(AND(B47&gt;0,B47/1),INDEX(Заказ!$B$1:$AV$3196,MATCH(B47,Заказ!$AV$1:$AV$3196,0),9),""),"")</f>
        <v/>
      </c>
      <c r="E47" s="1056" t="str">
        <f>IFERROR(IF(AND(B47&gt;0,B47/1),INDEX(Заказ!$B$1:$AV$3196,MATCH(B47,Заказ!$AV$1:$AV$3196,0),5),""),"")</f>
        <v/>
      </c>
      <c r="F47" s="1056" t="str">
        <f>IFERROR(IF(AND(B47&gt;0,B47/1),INDEX(Заказ!$B$1:$AV$3196,MATCH(B47,Заказ!$AV$1:$AV$3196,0),16)/INDEX(Заказ!$B$1:$AV$3196,MATCH(B47,Заказ!$AV$1:$AV$3196,0),5),""),"")</f>
        <v/>
      </c>
      <c r="G47" s="1059" t="str">
        <f>IFERROR(IF(AND(B47&gt;0,B47/1),INDEX(Заказ!$B$1:$AV$3196,MATCH(B47,Заказ!$AV$1:$AV$3196,0),16),""),"")</f>
        <v/>
      </c>
      <c r="H47" s="1"/>
    </row>
    <row r="48" spans="1:8" ht="12" customHeight="1" x14ac:dyDescent="0.25">
      <c r="A48" s="1051" t="str">
        <f>IFERROR(IF(AND(B48&gt;0,B48/1),INDEX(Заказ!$B$412:$AV$3196,MATCH(B48,Заказ!$AV$412:$AV$3196,0),1),""),"")</f>
        <v/>
      </c>
      <c r="B48" s="1056" t="str">
        <f>IFERROR(IF(B47&gt;0,SMALL(Заказ!$AV$1:$AV$3196,1+B47),""),"")</f>
        <v/>
      </c>
      <c r="C48" s="1057" t="str">
        <f>IFERROR(IF(AND(B48&gt;0,B48/1),INDEX(Заказ!$B$1:$AV$3196,MATCH(B48,Заказ!$AV$1:$AV$3196,0),3),""),"")</f>
        <v/>
      </c>
      <c r="D48" s="1058" t="str">
        <f>IFERROR(IF(AND(B48&gt;0,B48/1),INDEX(Заказ!$B$1:$AV$3196,MATCH(B48,Заказ!$AV$1:$AV$3196,0),9),""),"")</f>
        <v/>
      </c>
      <c r="E48" s="1056" t="str">
        <f>IFERROR(IF(AND(B48&gt;0,B48/1),INDEX(Заказ!$B$1:$AV$3196,MATCH(B48,Заказ!$AV$1:$AV$3196,0),5),""),"")</f>
        <v/>
      </c>
      <c r="F48" s="1056" t="str">
        <f>IFERROR(IF(AND(B48&gt;0,B48/1),INDEX(Заказ!$B$1:$AV$3196,MATCH(B48,Заказ!$AV$1:$AV$3196,0),16)/INDEX(Заказ!$B$1:$AV$3196,MATCH(B48,Заказ!$AV$1:$AV$3196,0),5),""),"")</f>
        <v/>
      </c>
      <c r="G48" s="1059" t="str">
        <f>IFERROR(IF(AND(B48&gt;0,B48/1),INDEX(Заказ!$B$1:$AV$3196,MATCH(B48,Заказ!$AV$1:$AV$3196,0),16),""),"")</f>
        <v/>
      </c>
      <c r="H48" s="1"/>
    </row>
    <row r="49" spans="1:8" ht="12" customHeight="1" x14ac:dyDescent="0.25">
      <c r="A49" s="1051" t="str">
        <f>IFERROR(IF(AND(B49&gt;0,B49/1),INDEX(Заказ!$B$412:$AV$3196,MATCH(B49,Заказ!$AV$412:$AV$3196,0),1),""),"")</f>
        <v/>
      </c>
      <c r="B49" s="1056" t="str">
        <f>IFERROR(IF(B48&gt;0,SMALL(Заказ!$AV$1:$AV$3196,1+B48),""),"")</f>
        <v/>
      </c>
      <c r="C49" s="1057" t="str">
        <f>IFERROR(IF(AND(B49&gt;0,B49/1),INDEX(Заказ!$B$1:$AV$3196,MATCH(B49,Заказ!$AV$1:$AV$3196,0),3),""),"")</f>
        <v/>
      </c>
      <c r="D49" s="1058" t="str">
        <f>IFERROR(IF(AND(B49&gt;0,B49/1),INDEX(Заказ!$B$1:$AV$3196,MATCH(B49,Заказ!$AV$1:$AV$3196,0),9),""),"")</f>
        <v/>
      </c>
      <c r="E49" s="1056" t="str">
        <f>IFERROR(IF(AND(B49&gt;0,B49/1),INDEX(Заказ!$B$1:$AV$3196,MATCH(B49,Заказ!$AV$1:$AV$3196,0),5),""),"")</f>
        <v/>
      </c>
      <c r="F49" s="1056" t="str">
        <f>IFERROR(IF(AND(B49&gt;0,B49/1),INDEX(Заказ!$B$1:$AV$3196,MATCH(B49,Заказ!$AV$1:$AV$3196,0),16)/INDEX(Заказ!$B$1:$AV$3196,MATCH(B49,Заказ!$AV$1:$AV$3196,0),5),""),"")</f>
        <v/>
      </c>
      <c r="G49" s="1059" t="str">
        <f>IFERROR(IF(AND(B49&gt;0,B49/1),INDEX(Заказ!$B$1:$AV$3196,MATCH(B49,Заказ!$AV$1:$AV$3196,0),16),""),"")</f>
        <v/>
      </c>
      <c r="H49" s="1"/>
    </row>
    <row r="50" spans="1:8" ht="12" customHeight="1" x14ac:dyDescent="0.25">
      <c r="A50" s="1051" t="str">
        <f>IFERROR(IF(AND(B50&gt;0,B50/1),INDEX(Заказ!$B$412:$AV$3196,MATCH(B50,Заказ!$AV$412:$AV$3196,0),1),""),"")</f>
        <v/>
      </c>
      <c r="B50" s="1056" t="str">
        <f>IFERROR(IF(B49&gt;0,SMALL(Заказ!$AV$1:$AV$3196,1+B49),""),"")</f>
        <v/>
      </c>
      <c r="C50" s="1057" t="str">
        <f>IFERROR(IF(AND(B50&gt;0,B50/1),INDEX(Заказ!$B$1:$AV$3196,MATCH(B50,Заказ!$AV$1:$AV$3196,0),3),""),"")</f>
        <v/>
      </c>
      <c r="D50" s="1058" t="str">
        <f>IFERROR(IF(AND(B50&gt;0,B50/1),INDEX(Заказ!$B$1:$AV$3196,MATCH(B50,Заказ!$AV$1:$AV$3196,0),9),""),"")</f>
        <v/>
      </c>
      <c r="E50" s="1056" t="str">
        <f>IFERROR(IF(AND(B50&gt;0,B50/1),INDEX(Заказ!$B$1:$AV$3196,MATCH(B50,Заказ!$AV$1:$AV$3196,0),5),""),"")</f>
        <v/>
      </c>
      <c r="F50" s="1056" t="str">
        <f>IFERROR(IF(AND(B50&gt;0,B50/1),INDEX(Заказ!$B$1:$AV$3196,MATCH(B50,Заказ!$AV$1:$AV$3196,0),16)/INDEX(Заказ!$B$1:$AV$3196,MATCH(B50,Заказ!$AV$1:$AV$3196,0),5),""),"")</f>
        <v/>
      </c>
      <c r="G50" s="1059" t="str">
        <f>IFERROR(IF(AND(B50&gt;0,B50/1),INDEX(Заказ!$B$1:$AV$3196,MATCH(B50,Заказ!$AV$1:$AV$3196,0),16),""),"")</f>
        <v/>
      </c>
      <c r="H50" s="1"/>
    </row>
    <row r="51" spans="1:8" ht="12" customHeight="1" x14ac:dyDescent="0.25">
      <c r="A51" s="1051" t="str">
        <f>IFERROR(IF(AND(B51&gt;0,B51/1),INDEX(Заказ!$B$412:$AV$3196,MATCH(B51,Заказ!$AV$412:$AV$3196,0),1),""),"")</f>
        <v/>
      </c>
      <c r="B51" s="1056" t="str">
        <f>IFERROR(IF(B50&gt;0,SMALL(Заказ!$AV$1:$AV$3196,1+B50),""),"")</f>
        <v/>
      </c>
      <c r="C51" s="1057" t="str">
        <f>IFERROR(IF(AND(B51&gt;0,B51/1),INDEX(Заказ!$B$1:$AV$3196,MATCH(B51,Заказ!$AV$1:$AV$3196,0),3),""),"")</f>
        <v/>
      </c>
      <c r="D51" s="1058" t="str">
        <f>IFERROR(IF(AND(B51&gt;0,B51/1),INDEX(Заказ!$B$1:$AV$3196,MATCH(B51,Заказ!$AV$1:$AV$3196,0),9),""),"")</f>
        <v/>
      </c>
      <c r="E51" s="1056" t="str">
        <f>IFERROR(IF(AND(B51&gt;0,B51/1),INDEX(Заказ!$B$1:$AV$3196,MATCH(B51,Заказ!$AV$1:$AV$3196,0),5),""),"")</f>
        <v/>
      </c>
      <c r="F51" s="1056" t="str">
        <f>IFERROR(IF(AND(B51&gt;0,B51/1),INDEX(Заказ!$B$1:$AV$3196,MATCH(B51,Заказ!$AV$1:$AV$3196,0),16)/INDEX(Заказ!$B$1:$AV$3196,MATCH(B51,Заказ!$AV$1:$AV$3196,0),5),""),"")</f>
        <v/>
      </c>
      <c r="G51" s="1059" t="str">
        <f>IFERROR(IF(AND(B51&gt;0,B51/1),INDEX(Заказ!$B$1:$AV$3196,MATCH(B51,Заказ!$AV$1:$AV$3196,0),16),""),"")</f>
        <v/>
      </c>
      <c r="H51" s="1"/>
    </row>
    <row r="52" spans="1:8" ht="12" customHeight="1" x14ac:dyDescent="0.25">
      <c r="A52" s="1051" t="str">
        <f>IFERROR(IF(AND(B52&gt;0,B52/1),INDEX(Заказ!$B$412:$AV$3196,MATCH(B52,Заказ!$AV$412:$AV$3196,0),1),""),"")</f>
        <v/>
      </c>
      <c r="B52" s="1056" t="str">
        <f>IFERROR(IF(B51&gt;0,SMALL(Заказ!$AV$1:$AV$3196,1+B51),""),"")</f>
        <v/>
      </c>
      <c r="C52" s="1057" t="str">
        <f>IFERROR(IF(AND(B52&gt;0,B52/1),INDEX(Заказ!$B$1:$AV$3196,MATCH(B52,Заказ!$AV$1:$AV$3196,0),3),""),"")</f>
        <v/>
      </c>
      <c r="D52" s="1058" t="str">
        <f>IFERROR(IF(AND(B52&gt;0,B52/1),INDEX(Заказ!$B$1:$AV$3196,MATCH(B52,Заказ!$AV$1:$AV$3196,0),9),""),"")</f>
        <v/>
      </c>
      <c r="E52" s="1056" t="str">
        <f>IFERROR(IF(AND(B52&gt;0,B52/1),INDEX(Заказ!$B$1:$AV$3196,MATCH(B52,Заказ!$AV$1:$AV$3196,0),5),""),"")</f>
        <v/>
      </c>
      <c r="F52" s="1056" t="str">
        <f>IFERROR(IF(AND(B52&gt;0,B52/1),INDEX(Заказ!$B$1:$AV$3196,MATCH(B52,Заказ!$AV$1:$AV$3196,0),16)/INDEX(Заказ!$B$1:$AV$3196,MATCH(B52,Заказ!$AV$1:$AV$3196,0),5),""),"")</f>
        <v/>
      </c>
      <c r="G52" s="1059" t="str">
        <f>IFERROR(IF(AND(B52&gt;0,B52/1),INDEX(Заказ!$B$1:$AV$3196,MATCH(B52,Заказ!$AV$1:$AV$3196,0),16),""),"")</f>
        <v/>
      </c>
      <c r="H52" s="1"/>
    </row>
    <row r="53" spans="1:8" ht="12" customHeight="1" x14ac:dyDescent="0.25">
      <c r="A53" s="1051" t="str">
        <f>IFERROR(IF(AND(B53&gt;0,B53/1),INDEX(Заказ!$B$412:$AV$3196,MATCH(B53,Заказ!$AV$412:$AV$3196,0),1),""),"")</f>
        <v/>
      </c>
      <c r="B53" s="1056" t="str">
        <f>IFERROR(IF(B52&gt;0,SMALL(Заказ!$AV$1:$AV$3196,1+B52),""),"")</f>
        <v/>
      </c>
      <c r="C53" s="1057" t="str">
        <f>IFERROR(IF(AND(B53&gt;0,B53/1),INDEX(Заказ!$B$1:$AV$3196,MATCH(B53,Заказ!$AV$1:$AV$3196,0),3),""),"")</f>
        <v/>
      </c>
      <c r="D53" s="1058" t="str">
        <f>IFERROR(IF(AND(B53&gt;0,B53/1),INDEX(Заказ!$B$1:$AV$3196,MATCH(B53,Заказ!$AV$1:$AV$3196,0),9),""),"")</f>
        <v/>
      </c>
      <c r="E53" s="1056" t="str">
        <f>IFERROR(IF(AND(B53&gt;0,B53/1),INDEX(Заказ!$B$1:$AV$3196,MATCH(B53,Заказ!$AV$1:$AV$3196,0),5),""),"")</f>
        <v/>
      </c>
      <c r="F53" s="1056" t="str">
        <f>IFERROR(IF(AND(B53&gt;0,B53/1),INDEX(Заказ!$B$1:$AV$3196,MATCH(B53,Заказ!$AV$1:$AV$3196,0),16)/INDEX(Заказ!$B$1:$AV$3196,MATCH(B53,Заказ!$AV$1:$AV$3196,0),5),""),"")</f>
        <v/>
      </c>
      <c r="G53" s="1059" t="str">
        <f>IFERROR(IF(AND(B53&gt;0,B53/1),INDEX(Заказ!$B$1:$AV$3196,MATCH(B53,Заказ!$AV$1:$AV$3196,0),16),""),"")</f>
        <v/>
      </c>
      <c r="H53" s="1"/>
    </row>
    <row r="54" spans="1:8" ht="12" customHeight="1" x14ac:dyDescent="0.25">
      <c r="A54" s="1051" t="str">
        <f>IFERROR(IF(AND(B54&gt;0,B54/1),INDEX(Заказ!$B$412:$AV$3196,MATCH(B54,Заказ!$AV$412:$AV$3196,0),1),""),"")</f>
        <v/>
      </c>
      <c r="B54" s="1056" t="str">
        <f>IFERROR(IF(B53&gt;0,SMALL(Заказ!$AV$1:$AV$3196,1+B53),""),"")</f>
        <v/>
      </c>
      <c r="C54" s="1057" t="str">
        <f>IFERROR(IF(AND(B54&gt;0,B54/1),INDEX(Заказ!$B$1:$AV$3196,MATCH(B54,Заказ!$AV$1:$AV$3196,0),3),""),"")</f>
        <v/>
      </c>
      <c r="D54" s="1058" t="str">
        <f>IFERROR(IF(AND(B54&gt;0,B54/1),INDEX(Заказ!$B$1:$AV$3196,MATCH(B54,Заказ!$AV$1:$AV$3196,0),9),""),"")</f>
        <v/>
      </c>
      <c r="E54" s="1056" t="str">
        <f>IFERROR(IF(AND(B54&gt;0,B54/1),INDEX(Заказ!$B$1:$AV$3196,MATCH(B54,Заказ!$AV$1:$AV$3196,0),5),""),"")</f>
        <v/>
      </c>
      <c r="F54" s="1056" t="str">
        <f>IFERROR(IF(AND(B54&gt;0,B54/1),INDEX(Заказ!$B$1:$AV$3196,MATCH(B54,Заказ!$AV$1:$AV$3196,0),16)/INDEX(Заказ!$B$1:$AV$3196,MATCH(B54,Заказ!$AV$1:$AV$3196,0),5),""),"")</f>
        <v/>
      </c>
      <c r="G54" s="1059" t="str">
        <f>IFERROR(IF(AND(B54&gt;0,B54/1),INDEX(Заказ!$B$1:$AV$3196,MATCH(B54,Заказ!$AV$1:$AV$3196,0),16),""),"")</f>
        <v/>
      </c>
      <c r="H54" s="1"/>
    </row>
    <row r="55" spans="1:8" ht="12" customHeight="1" x14ac:dyDescent="0.25">
      <c r="A55" s="1051" t="str">
        <f>IFERROR(IF(AND(B55&gt;0,B55/1),INDEX(Заказ!$B$412:$AV$3196,MATCH(B55,Заказ!$AV$412:$AV$3196,0),1),""),"")</f>
        <v/>
      </c>
      <c r="B55" s="1056" t="str">
        <f>IFERROR(IF(B54&gt;0,SMALL(Заказ!$AV$1:$AV$3196,1+B54),""),"")</f>
        <v/>
      </c>
      <c r="C55" s="1057" t="str">
        <f>IFERROR(IF(AND(B55&gt;0,B55/1),INDEX(Заказ!$B$1:$AV$3196,MATCH(B55,Заказ!$AV$1:$AV$3196,0),3),""),"")</f>
        <v/>
      </c>
      <c r="D55" s="1058" t="str">
        <f>IFERROR(IF(AND(B55&gt;0,B55/1),INDEX(Заказ!$B$1:$AV$3196,MATCH(B55,Заказ!$AV$1:$AV$3196,0),9),""),"")</f>
        <v/>
      </c>
      <c r="E55" s="1056" t="str">
        <f>IFERROR(IF(AND(B55&gt;0,B55/1),INDEX(Заказ!$B$1:$AV$3196,MATCH(B55,Заказ!$AV$1:$AV$3196,0),5),""),"")</f>
        <v/>
      </c>
      <c r="F55" s="1056" t="str">
        <f>IFERROR(IF(AND(B55&gt;0,B55/1),INDEX(Заказ!$B$1:$AV$3196,MATCH(B55,Заказ!$AV$1:$AV$3196,0),16)/INDEX(Заказ!$B$1:$AV$3196,MATCH(B55,Заказ!$AV$1:$AV$3196,0),5),""),"")</f>
        <v/>
      </c>
      <c r="G55" s="1059" t="str">
        <f>IFERROR(IF(AND(B55&gt;0,B55/1),INDEX(Заказ!$B$1:$AV$3196,MATCH(B55,Заказ!$AV$1:$AV$3196,0),16),""),"")</f>
        <v/>
      </c>
      <c r="H55" s="1"/>
    </row>
    <row r="56" spans="1:8" ht="12" customHeight="1" x14ac:dyDescent="0.25">
      <c r="A56" s="1051" t="str">
        <f>IFERROR(IF(AND(B56&gt;0,B56/1),INDEX(Заказ!$B$412:$AV$3196,MATCH(B56,Заказ!$AV$412:$AV$3196,0),1),""),"")</f>
        <v/>
      </c>
      <c r="B56" s="1056" t="str">
        <f>IFERROR(IF(B55&gt;0,SMALL(Заказ!$AV$1:$AV$3196,1+B55),""),"")</f>
        <v/>
      </c>
      <c r="C56" s="1057" t="str">
        <f>IFERROR(IF(AND(B56&gt;0,B56/1),INDEX(Заказ!$B$1:$AV$3196,MATCH(B56,Заказ!$AV$1:$AV$3196,0),3),""),"")</f>
        <v/>
      </c>
      <c r="D56" s="1058" t="str">
        <f>IFERROR(IF(AND(B56&gt;0,B56/1),INDEX(Заказ!$B$1:$AV$3196,MATCH(B56,Заказ!$AV$1:$AV$3196,0),9),""),"")</f>
        <v/>
      </c>
      <c r="E56" s="1056" t="str">
        <f>IFERROR(IF(AND(B56&gt;0,B56/1),INDEX(Заказ!$B$1:$AV$3196,MATCH(B56,Заказ!$AV$1:$AV$3196,0),5),""),"")</f>
        <v/>
      </c>
      <c r="F56" s="1056" t="str">
        <f>IFERROR(IF(AND(B56&gt;0,B56/1),INDEX(Заказ!$B$1:$AV$3196,MATCH(B56,Заказ!$AV$1:$AV$3196,0),16)/INDEX(Заказ!$B$1:$AV$3196,MATCH(B56,Заказ!$AV$1:$AV$3196,0),5),""),"")</f>
        <v/>
      </c>
      <c r="G56" s="1059" t="str">
        <f>IFERROR(IF(AND(B56&gt;0,B56/1),INDEX(Заказ!$B$1:$AV$3196,MATCH(B56,Заказ!$AV$1:$AV$3196,0),16),""),"")</f>
        <v/>
      </c>
      <c r="H56" s="1"/>
    </row>
    <row r="57" spans="1:8" ht="12" customHeight="1" x14ac:dyDescent="0.25">
      <c r="A57" s="1051" t="str">
        <f>IFERROR(IF(AND(B57&gt;0,B57/1),INDEX(Заказ!$B$412:$AV$3196,MATCH(B57,Заказ!$AV$412:$AV$3196,0),1),""),"")</f>
        <v/>
      </c>
      <c r="B57" s="1056" t="str">
        <f>IFERROR(IF(B56&gt;0,SMALL(Заказ!$AV$1:$AV$3196,1+B56),""),"")</f>
        <v/>
      </c>
      <c r="C57" s="1057" t="str">
        <f>IFERROR(IF(AND(B57&gt;0,B57/1),INDEX(Заказ!$B$1:$AV$3196,MATCH(B57,Заказ!$AV$1:$AV$3196,0),3),""),"")</f>
        <v/>
      </c>
      <c r="D57" s="1058" t="str">
        <f>IFERROR(IF(AND(B57&gt;0,B57/1),INDEX(Заказ!$B$1:$AV$3196,MATCH(B57,Заказ!$AV$1:$AV$3196,0),9),""),"")</f>
        <v/>
      </c>
      <c r="E57" s="1056" t="str">
        <f>IFERROR(IF(AND(B57&gt;0,B57/1),INDEX(Заказ!$B$1:$AV$3196,MATCH(B57,Заказ!$AV$1:$AV$3196,0),5),""),"")</f>
        <v/>
      </c>
      <c r="F57" s="1056" t="str">
        <f>IFERROR(IF(AND(B57&gt;0,B57/1),INDEX(Заказ!$B$1:$AV$3196,MATCH(B57,Заказ!$AV$1:$AV$3196,0),16)/INDEX(Заказ!$B$1:$AV$3196,MATCH(B57,Заказ!$AV$1:$AV$3196,0),5),""),"")</f>
        <v/>
      </c>
      <c r="G57" s="1059" t="str">
        <f>IFERROR(IF(AND(B57&gt;0,B57/1),INDEX(Заказ!$B$1:$AV$3196,MATCH(B57,Заказ!$AV$1:$AV$3196,0),16),""),"")</f>
        <v/>
      </c>
      <c r="H57" s="1"/>
    </row>
    <row r="58" spans="1:8" ht="12" customHeight="1" x14ac:dyDescent="0.25">
      <c r="A58" s="1051" t="str">
        <f>IFERROR(IF(AND(B58&gt;0,B58/1),INDEX(Заказ!$B$412:$AV$3196,MATCH(B58,Заказ!$AV$412:$AV$3196,0),1),""),"")</f>
        <v/>
      </c>
      <c r="B58" s="1056" t="str">
        <f>IFERROR(IF(B57&gt;0,SMALL(Заказ!$AV$1:$AV$3196,1+B57),""),"")</f>
        <v/>
      </c>
      <c r="C58" s="1057" t="str">
        <f>IFERROR(IF(AND(B58&gt;0,B58/1),INDEX(Заказ!$B$1:$AV$3196,MATCH(B58,Заказ!$AV$1:$AV$3196,0),3),""),"")</f>
        <v/>
      </c>
      <c r="D58" s="1058" t="str">
        <f>IFERROR(IF(AND(B58&gt;0,B58/1),INDEX(Заказ!$B$1:$AV$3196,MATCH(B58,Заказ!$AV$1:$AV$3196,0),9),""),"")</f>
        <v/>
      </c>
      <c r="E58" s="1056" t="str">
        <f>IFERROR(IF(AND(B58&gt;0,B58/1),INDEX(Заказ!$B$1:$AV$3196,MATCH(B58,Заказ!$AV$1:$AV$3196,0),5),""),"")</f>
        <v/>
      </c>
      <c r="F58" s="1056" t="str">
        <f>IFERROR(IF(AND(B58&gt;0,B58/1),INDEX(Заказ!$B$1:$AV$3196,MATCH(B58,Заказ!$AV$1:$AV$3196,0),16)/INDEX(Заказ!$B$1:$AV$3196,MATCH(B58,Заказ!$AV$1:$AV$3196,0),5),""),"")</f>
        <v/>
      </c>
      <c r="G58" s="1059" t="str">
        <f>IFERROR(IF(AND(B58&gt;0,B58/1),INDEX(Заказ!$B$1:$AV$3196,MATCH(B58,Заказ!$AV$1:$AV$3196,0),16),""),"")</f>
        <v/>
      </c>
      <c r="H58" s="1"/>
    </row>
    <row r="59" spans="1:8" ht="12" customHeight="1" x14ac:dyDescent="0.25">
      <c r="A59" s="1051" t="str">
        <f>IFERROR(IF(AND(B59&gt;0,B59/1),INDEX(Заказ!$B$412:$AV$3196,MATCH(B59,Заказ!$AV$412:$AV$3196,0),1),""),"")</f>
        <v/>
      </c>
      <c r="B59" s="1056" t="str">
        <f>IFERROR(IF(B58&gt;0,SMALL(Заказ!$AV$1:$AV$3196,1+B58),""),"")</f>
        <v/>
      </c>
      <c r="C59" s="1057" t="str">
        <f>IFERROR(IF(AND(B59&gt;0,B59/1),INDEX(Заказ!$B$1:$AV$3196,MATCH(B59,Заказ!$AV$1:$AV$3196,0),3),""),"")</f>
        <v/>
      </c>
      <c r="D59" s="1058" t="str">
        <f>IFERROR(IF(AND(B59&gt;0,B59/1),INDEX(Заказ!$B$1:$AV$3196,MATCH(B59,Заказ!$AV$1:$AV$3196,0),9),""),"")</f>
        <v/>
      </c>
      <c r="E59" s="1056" t="str">
        <f>IFERROR(IF(AND(B59&gt;0,B59/1),INDEX(Заказ!$B$1:$AV$3196,MATCH(B59,Заказ!$AV$1:$AV$3196,0),5),""),"")</f>
        <v/>
      </c>
      <c r="F59" s="1056" t="str">
        <f>IFERROR(IF(AND(B59&gt;0,B59/1),INDEX(Заказ!$B$1:$AV$3196,MATCH(B59,Заказ!$AV$1:$AV$3196,0),16)/INDEX(Заказ!$B$1:$AV$3196,MATCH(B59,Заказ!$AV$1:$AV$3196,0),5),""),"")</f>
        <v/>
      </c>
      <c r="G59" s="1059" t="str">
        <f>IFERROR(IF(AND(B59&gt;0,B59/1),INDEX(Заказ!$B$1:$AV$3196,MATCH(B59,Заказ!$AV$1:$AV$3196,0),16),""),"")</f>
        <v/>
      </c>
      <c r="H59" s="1"/>
    </row>
    <row r="60" spans="1:8" ht="12" customHeight="1" x14ac:dyDescent="0.25">
      <c r="A60" s="1051" t="str">
        <f>IFERROR(IF(AND(B60&gt;0,B60/1),INDEX(Заказ!$B$412:$AV$3196,MATCH(B60,Заказ!$AV$412:$AV$3196,0),1),""),"")</f>
        <v/>
      </c>
      <c r="B60" s="1056" t="str">
        <f>IFERROR(IF(B59&gt;0,SMALL(Заказ!$AV$1:$AV$3196,1+B59),""),"")</f>
        <v/>
      </c>
      <c r="C60" s="1057" t="str">
        <f>IFERROR(IF(AND(B60&gt;0,B60/1),INDEX(Заказ!$B$1:$AV$3196,MATCH(B60,Заказ!$AV$1:$AV$3196,0),3),""),"")</f>
        <v/>
      </c>
      <c r="D60" s="1058" t="str">
        <f>IFERROR(IF(AND(B60&gt;0,B60/1),INDEX(Заказ!$B$1:$AV$3196,MATCH(B60,Заказ!$AV$1:$AV$3196,0),9),""),"")</f>
        <v/>
      </c>
      <c r="E60" s="1056" t="str">
        <f>IFERROR(IF(AND(B60&gt;0,B60/1),INDEX(Заказ!$B$1:$AV$3196,MATCH(B60,Заказ!$AV$1:$AV$3196,0),5),""),"")</f>
        <v/>
      </c>
      <c r="F60" s="1056" t="str">
        <f>IFERROR(IF(AND(B60&gt;0,B60/1),INDEX(Заказ!$B$1:$AV$3196,MATCH(B60,Заказ!$AV$1:$AV$3196,0),16)/INDEX(Заказ!$B$1:$AV$3196,MATCH(B60,Заказ!$AV$1:$AV$3196,0),5),""),"")</f>
        <v/>
      </c>
      <c r="G60" s="1059" t="str">
        <f>IFERROR(IF(AND(B60&gt;0,B60/1),INDEX(Заказ!$B$1:$AV$3196,MATCH(B60,Заказ!$AV$1:$AV$3196,0),16),""),"")</f>
        <v/>
      </c>
      <c r="H60" s="1"/>
    </row>
    <row r="61" spans="1:8" ht="12" customHeight="1" x14ac:dyDescent="0.25">
      <c r="A61" s="1051" t="str">
        <f>IFERROR(IF(AND(B61&gt;0,B61/1),INDEX(Заказ!$B$412:$AV$3196,MATCH(B61,Заказ!$AV$412:$AV$3196,0),1),""),"")</f>
        <v/>
      </c>
      <c r="B61" s="1056" t="str">
        <f>IFERROR(IF(B60&gt;0,SMALL(Заказ!$AV$1:$AV$3196,1+B60),""),"")</f>
        <v/>
      </c>
      <c r="C61" s="1057" t="str">
        <f>IFERROR(IF(AND(B61&gt;0,B61/1),INDEX(Заказ!$B$1:$AV$3196,MATCH(B61,Заказ!$AV$1:$AV$3196,0),3),""),"")</f>
        <v/>
      </c>
      <c r="D61" s="1058" t="str">
        <f>IFERROR(IF(AND(B61&gt;0,B61/1),INDEX(Заказ!$B$1:$AV$3196,MATCH(B61,Заказ!$AV$1:$AV$3196,0),9),""),"")</f>
        <v/>
      </c>
      <c r="E61" s="1056" t="str">
        <f>IFERROR(IF(AND(B61&gt;0,B61/1),INDEX(Заказ!$B$1:$AV$3196,MATCH(B61,Заказ!$AV$1:$AV$3196,0),5),""),"")</f>
        <v/>
      </c>
      <c r="F61" s="1056" t="str">
        <f>IFERROR(IF(AND(B61&gt;0,B61/1),INDEX(Заказ!$B$1:$AV$3196,MATCH(B61,Заказ!$AV$1:$AV$3196,0),16)/INDEX(Заказ!$B$1:$AV$3196,MATCH(B61,Заказ!$AV$1:$AV$3196,0),5),""),"")</f>
        <v/>
      </c>
      <c r="G61" s="1059" t="str">
        <f>IFERROR(IF(AND(B61&gt;0,B61/1),INDEX(Заказ!$B$1:$AV$3196,MATCH(B61,Заказ!$AV$1:$AV$3196,0),16),""),"")</f>
        <v/>
      </c>
      <c r="H61" s="1"/>
    </row>
    <row r="62" spans="1:8" ht="12" customHeight="1" x14ac:dyDescent="0.25">
      <c r="A62" s="1051" t="str">
        <f>IFERROR(IF(AND(B62&gt;0,B62/1),INDEX(Заказ!$B$412:$AV$3196,MATCH(B62,Заказ!$AV$412:$AV$3196,0),1),""),"")</f>
        <v/>
      </c>
      <c r="B62" s="1056" t="str">
        <f>IFERROR(IF(B61&gt;0,SMALL(Заказ!$AV$1:$AV$3196,1+B61),""),"")</f>
        <v/>
      </c>
      <c r="C62" s="1057" t="str">
        <f>IFERROR(IF(AND(B62&gt;0,B62/1),INDEX(Заказ!$B$1:$AV$3196,MATCH(B62,Заказ!$AV$1:$AV$3196,0),3),""),"")</f>
        <v/>
      </c>
      <c r="D62" s="1058" t="str">
        <f>IFERROR(IF(AND(B62&gt;0,B62/1),INDEX(Заказ!$B$1:$AV$3196,MATCH(B62,Заказ!$AV$1:$AV$3196,0),9),""),"")</f>
        <v/>
      </c>
      <c r="E62" s="1056" t="str">
        <f>IFERROR(IF(AND(B62&gt;0,B62/1),INDEX(Заказ!$B$1:$AV$3196,MATCH(B62,Заказ!$AV$1:$AV$3196,0),5),""),"")</f>
        <v/>
      </c>
      <c r="F62" s="1056" t="str">
        <f>IFERROR(IF(AND(B62&gt;0,B62/1),INDEX(Заказ!$B$1:$AV$3196,MATCH(B62,Заказ!$AV$1:$AV$3196,0),16)/INDEX(Заказ!$B$1:$AV$3196,MATCH(B62,Заказ!$AV$1:$AV$3196,0),5),""),"")</f>
        <v/>
      </c>
      <c r="G62" s="1059" t="str">
        <f>IFERROR(IF(AND(B62&gt;0,B62/1),INDEX(Заказ!$B$1:$AV$3196,MATCH(B62,Заказ!$AV$1:$AV$3196,0),16),""),"")</f>
        <v/>
      </c>
      <c r="H62" s="1"/>
    </row>
    <row r="63" spans="1:8" ht="12" customHeight="1" x14ac:dyDescent="0.25">
      <c r="A63" s="1051" t="str">
        <f>IFERROR(IF(AND(B63&gt;0,B63/1),INDEX(Заказ!$B$412:$AV$3196,MATCH(B63,Заказ!$AV$412:$AV$3196,0),1),""),"")</f>
        <v/>
      </c>
      <c r="B63" s="1056" t="str">
        <f>IFERROR(IF(B62&gt;0,SMALL(Заказ!$AV$1:$AV$3196,1+B62),""),"")</f>
        <v/>
      </c>
      <c r="C63" s="1057" t="str">
        <f>IFERROR(IF(AND(B63&gt;0,B63/1),INDEX(Заказ!$B$1:$AV$3196,MATCH(B63,Заказ!$AV$1:$AV$3196,0),3),""),"")</f>
        <v/>
      </c>
      <c r="D63" s="1058" t="str">
        <f>IFERROR(IF(AND(B63&gt;0,B63/1),INDEX(Заказ!$B$1:$AV$3196,MATCH(B63,Заказ!$AV$1:$AV$3196,0),9),""),"")</f>
        <v/>
      </c>
      <c r="E63" s="1056" t="str">
        <f>IFERROR(IF(AND(B63&gt;0,B63/1),INDEX(Заказ!$B$1:$AV$3196,MATCH(B63,Заказ!$AV$1:$AV$3196,0),5),""),"")</f>
        <v/>
      </c>
      <c r="F63" s="1056" t="str">
        <f>IFERROR(IF(AND(B63&gt;0,B63/1),INDEX(Заказ!$B$1:$AV$3196,MATCH(B63,Заказ!$AV$1:$AV$3196,0),16)/INDEX(Заказ!$B$1:$AV$3196,MATCH(B63,Заказ!$AV$1:$AV$3196,0),5),""),"")</f>
        <v/>
      </c>
      <c r="G63" s="1059" t="str">
        <f>IFERROR(IF(AND(B63&gt;0,B63/1),INDEX(Заказ!$B$1:$AV$3196,MATCH(B63,Заказ!$AV$1:$AV$3196,0),16),""),"")</f>
        <v/>
      </c>
      <c r="H63" s="1"/>
    </row>
    <row r="64" spans="1:8" ht="12" customHeight="1" x14ac:dyDescent="0.25">
      <c r="A64" s="1051" t="str">
        <f>IFERROR(IF(AND(B64&gt;0,B64/1),INDEX(Заказ!$B$412:$AV$3196,MATCH(B64,Заказ!$AV$412:$AV$3196,0),1),""),"")</f>
        <v/>
      </c>
      <c r="B64" s="1056" t="str">
        <f>IFERROR(IF(B63&gt;0,SMALL(Заказ!$AV$1:$AV$3196,1+B63),""),"")</f>
        <v/>
      </c>
      <c r="C64" s="1057" t="str">
        <f>IFERROR(IF(AND(B64&gt;0,B64/1),INDEX(Заказ!$B$1:$AV$3196,MATCH(B64,Заказ!$AV$1:$AV$3196,0),3),""),"")</f>
        <v/>
      </c>
      <c r="D64" s="1058" t="str">
        <f>IFERROR(IF(AND(B64&gt;0,B64/1),INDEX(Заказ!$B$1:$AV$3196,MATCH(B64,Заказ!$AV$1:$AV$3196,0),9),""),"")</f>
        <v/>
      </c>
      <c r="E64" s="1056" t="str">
        <f>IFERROR(IF(AND(B64&gt;0,B64/1),INDEX(Заказ!$B$1:$AV$3196,MATCH(B64,Заказ!$AV$1:$AV$3196,0),5),""),"")</f>
        <v/>
      </c>
      <c r="F64" s="1056" t="str">
        <f>IFERROR(IF(AND(B64&gt;0,B64/1),INDEX(Заказ!$B$1:$AV$3196,MATCH(B64,Заказ!$AV$1:$AV$3196,0),16)/INDEX(Заказ!$B$1:$AV$3196,MATCH(B64,Заказ!$AV$1:$AV$3196,0),5),""),"")</f>
        <v/>
      </c>
      <c r="G64" s="1059" t="str">
        <f>IFERROR(IF(AND(B64&gt;0,B64/1),INDEX(Заказ!$B$1:$AV$3196,MATCH(B64,Заказ!$AV$1:$AV$3196,0),16),""),"")</f>
        <v/>
      </c>
      <c r="H64" s="1"/>
    </row>
    <row r="65" spans="1:8" ht="12" customHeight="1" x14ac:dyDescent="0.25">
      <c r="A65" s="1051" t="str">
        <f>IFERROR(IF(AND(B65&gt;0,B65/1),INDEX(Заказ!$B$412:$AV$3196,MATCH(B65,Заказ!$AV$412:$AV$3196,0),1),""),"")</f>
        <v/>
      </c>
      <c r="B65" s="1056" t="str">
        <f>IFERROR(IF(B64&gt;0,SMALL(Заказ!$AV$1:$AV$3196,1+B64),""),"")</f>
        <v/>
      </c>
      <c r="C65" s="1057" t="str">
        <f>IFERROR(IF(AND(B65&gt;0,B65/1),INDEX(Заказ!$B$1:$AV$3196,MATCH(B65,Заказ!$AV$1:$AV$3196,0),3),""),"")</f>
        <v/>
      </c>
      <c r="D65" s="1058" t="str">
        <f>IFERROR(IF(AND(B65&gt;0,B65/1),INDEX(Заказ!$B$1:$AV$3196,MATCH(B65,Заказ!$AV$1:$AV$3196,0),9),""),"")</f>
        <v/>
      </c>
      <c r="E65" s="1056" t="str">
        <f>IFERROR(IF(AND(B65&gt;0,B65/1),INDEX(Заказ!$B$1:$AV$3196,MATCH(B65,Заказ!$AV$1:$AV$3196,0),5),""),"")</f>
        <v/>
      </c>
      <c r="F65" s="1056" t="str">
        <f>IFERROR(IF(AND(B65&gt;0,B65/1),INDEX(Заказ!$B$1:$AV$3196,MATCH(B65,Заказ!$AV$1:$AV$3196,0),16)/INDEX(Заказ!$B$1:$AV$3196,MATCH(B65,Заказ!$AV$1:$AV$3196,0),5),""),"")</f>
        <v/>
      </c>
      <c r="G65" s="1059" t="str">
        <f>IFERROR(IF(AND(B65&gt;0,B65/1),INDEX(Заказ!$B$1:$AV$3196,MATCH(B65,Заказ!$AV$1:$AV$3196,0),16),""),"")</f>
        <v/>
      </c>
      <c r="H65" s="1"/>
    </row>
    <row r="66" spans="1:8" ht="12" customHeight="1" x14ac:dyDescent="0.25">
      <c r="A66" s="1051" t="str">
        <f>IFERROR(IF(AND(B66&gt;0,B66/1),INDEX(Заказ!$B$412:$AV$3196,MATCH(B66,Заказ!$AV$412:$AV$3196,0),1),""),"")</f>
        <v/>
      </c>
      <c r="B66" s="1056" t="str">
        <f>IFERROR(IF(B65&gt;0,SMALL(Заказ!$AV$1:$AV$3196,1+B65),""),"")</f>
        <v/>
      </c>
      <c r="C66" s="1057" t="str">
        <f>IFERROR(IF(AND(B66&gt;0,B66/1),INDEX(Заказ!$B$1:$AV$3196,MATCH(B66,Заказ!$AV$1:$AV$3196,0),3),""),"")</f>
        <v/>
      </c>
      <c r="D66" s="1058" t="str">
        <f>IFERROR(IF(AND(B66&gt;0,B66/1),INDEX(Заказ!$B$1:$AV$3196,MATCH(B66,Заказ!$AV$1:$AV$3196,0),9),""),"")</f>
        <v/>
      </c>
      <c r="E66" s="1056" t="str">
        <f>IFERROR(IF(AND(B66&gt;0,B66/1),INDEX(Заказ!$B$1:$AV$3196,MATCH(B66,Заказ!$AV$1:$AV$3196,0),5),""),"")</f>
        <v/>
      </c>
      <c r="F66" s="1056" t="str">
        <f>IFERROR(IF(AND(B66&gt;0,B66/1),INDEX(Заказ!$B$1:$AV$3196,MATCH(B66,Заказ!$AV$1:$AV$3196,0),16)/INDEX(Заказ!$B$1:$AV$3196,MATCH(B66,Заказ!$AV$1:$AV$3196,0),5),""),"")</f>
        <v/>
      </c>
      <c r="G66" s="1059" t="str">
        <f>IFERROR(IF(AND(B66&gt;0,B66/1),INDEX(Заказ!$B$1:$AV$3196,MATCH(B66,Заказ!$AV$1:$AV$3196,0),16),""),"")</f>
        <v/>
      </c>
      <c r="H66" s="1"/>
    </row>
    <row r="67" spans="1:8" ht="12" customHeight="1" x14ac:dyDescent="0.25">
      <c r="A67" s="1051" t="str">
        <f>IFERROR(IF(AND(B67&gt;0,B67/1),INDEX(Заказ!$B$412:$AV$3196,MATCH(B67,Заказ!$AV$412:$AV$3196,0),1),""),"")</f>
        <v/>
      </c>
      <c r="B67" s="1056" t="str">
        <f>IFERROR(IF(B66&gt;0,SMALL(Заказ!$AV$1:$AV$3196,1+B66),""),"")</f>
        <v/>
      </c>
      <c r="C67" s="1057" t="str">
        <f>IFERROR(IF(AND(B67&gt;0,B67/1),INDEX(Заказ!$B$1:$AV$3196,MATCH(B67,Заказ!$AV$1:$AV$3196,0),3),""),"")</f>
        <v/>
      </c>
      <c r="D67" s="1058" t="str">
        <f>IFERROR(IF(AND(B67&gt;0,B67/1),INDEX(Заказ!$B$1:$AV$3196,MATCH(B67,Заказ!$AV$1:$AV$3196,0),9),""),"")</f>
        <v/>
      </c>
      <c r="E67" s="1056" t="str">
        <f>IFERROR(IF(AND(B67&gt;0,B67/1),INDEX(Заказ!$B$1:$AV$3196,MATCH(B67,Заказ!$AV$1:$AV$3196,0),5),""),"")</f>
        <v/>
      </c>
      <c r="F67" s="1056" t="str">
        <f>IFERROR(IF(AND(B67&gt;0,B67/1),INDEX(Заказ!$B$1:$AV$3196,MATCH(B67,Заказ!$AV$1:$AV$3196,0),16)/INDEX(Заказ!$B$1:$AV$3196,MATCH(B67,Заказ!$AV$1:$AV$3196,0),5),""),"")</f>
        <v/>
      </c>
      <c r="G67" s="1059" t="str">
        <f>IFERROR(IF(AND(B67&gt;0,B67/1),INDEX(Заказ!$B$1:$AV$3196,MATCH(B67,Заказ!$AV$1:$AV$3196,0),16),""),"")</f>
        <v/>
      </c>
      <c r="H67" s="1"/>
    </row>
    <row r="68" spans="1:8" ht="12" customHeight="1" x14ac:dyDescent="0.25">
      <c r="A68" s="1051" t="str">
        <f>IFERROR(IF(AND(B68&gt;0,B68/1),INDEX(Заказ!$B$412:$AV$3196,MATCH(B68,Заказ!$AV$412:$AV$3196,0),1),""),"")</f>
        <v/>
      </c>
      <c r="B68" s="1056" t="str">
        <f>IFERROR(IF(B67&gt;0,SMALL(Заказ!$AV$1:$AV$3196,1+B67),""),"")</f>
        <v/>
      </c>
      <c r="C68" s="1057" t="str">
        <f>IFERROR(IF(AND(B68&gt;0,B68/1),INDEX(Заказ!$B$1:$AV$3196,MATCH(B68,Заказ!$AV$1:$AV$3196,0),3),""),"")</f>
        <v/>
      </c>
      <c r="D68" s="1058" t="str">
        <f>IFERROR(IF(AND(B68&gt;0,B68/1),INDEX(Заказ!$B$1:$AV$3196,MATCH(B68,Заказ!$AV$1:$AV$3196,0),9),""),"")</f>
        <v/>
      </c>
      <c r="E68" s="1056" t="str">
        <f>IFERROR(IF(AND(B68&gt;0,B68/1),INDEX(Заказ!$B$1:$AV$3196,MATCH(B68,Заказ!$AV$1:$AV$3196,0),5),""),"")</f>
        <v/>
      </c>
      <c r="F68" s="1056" t="str">
        <f>IFERROR(IF(AND(B68&gt;0,B68/1),INDEX(Заказ!$B$1:$AV$3196,MATCH(B68,Заказ!$AV$1:$AV$3196,0),16)/INDEX(Заказ!$B$1:$AV$3196,MATCH(B68,Заказ!$AV$1:$AV$3196,0),5),""),"")</f>
        <v/>
      </c>
      <c r="G68" s="1059" t="str">
        <f>IFERROR(IF(AND(B68&gt;0,B68/1),INDEX(Заказ!$B$1:$AV$3196,MATCH(B68,Заказ!$AV$1:$AV$3196,0),16),""),"")</f>
        <v/>
      </c>
      <c r="H68" s="1"/>
    </row>
    <row r="69" spans="1:8" ht="12" customHeight="1" x14ac:dyDescent="0.25">
      <c r="A69" s="1051" t="str">
        <f>IFERROR(IF(AND(B69&gt;0,B69/1),INDEX(Заказ!$B$412:$AV$3196,MATCH(B69,Заказ!$AV$412:$AV$3196,0),1),""),"")</f>
        <v/>
      </c>
      <c r="B69" s="1056" t="str">
        <f>IFERROR(IF(B68&gt;0,SMALL(Заказ!$AV$1:$AV$3196,1+B68),""),"")</f>
        <v/>
      </c>
      <c r="C69" s="1057" t="str">
        <f>IFERROR(IF(AND(B69&gt;0,B69/1),INDEX(Заказ!$B$1:$AV$3196,MATCH(B69,Заказ!$AV$1:$AV$3196,0),3),""),"")</f>
        <v/>
      </c>
      <c r="D69" s="1058" t="str">
        <f>IFERROR(IF(AND(B69&gt;0,B69/1),INDEX(Заказ!$B$1:$AV$3196,MATCH(B69,Заказ!$AV$1:$AV$3196,0),9),""),"")</f>
        <v/>
      </c>
      <c r="E69" s="1056" t="str">
        <f>IFERROR(IF(AND(B69&gt;0,B69/1),INDEX(Заказ!$B$1:$AV$3196,MATCH(B69,Заказ!$AV$1:$AV$3196,0),5),""),"")</f>
        <v/>
      </c>
      <c r="F69" s="1056" t="str">
        <f>IFERROR(IF(AND(B69&gt;0,B69/1),INDEX(Заказ!$B$1:$AV$3196,MATCH(B69,Заказ!$AV$1:$AV$3196,0),16)/INDEX(Заказ!$B$1:$AV$3196,MATCH(B69,Заказ!$AV$1:$AV$3196,0),5),""),"")</f>
        <v/>
      </c>
      <c r="G69" s="1059" t="str">
        <f>IFERROR(IF(AND(B69&gt;0,B69/1),INDEX(Заказ!$B$1:$AV$3196,MATCH(B69,Заказ!$AV$1:$AV$3196,0),16),""),"")</f>
        <v/>
      </c>
      <c r="H69" s="1"/>
    </row>
    <row r="70" spans="1:8" ht="12" customHeight="1" x14ac:dyDescent="0.25">
      <c r="A70" s="1051" t="str">
        <f>IFERROR(IF(AND(B70&gt;0,B70/1),INDEX(Заказ!$B$412:$AV$3196,MATCH(B70,Заказ!$AV$412:$AV$3196,0),1),""),"")</f>
        <v/>
      </c>
      <c r="B70" s="1056" t="str">
        <f>IFERROR(IF(B69&gt;0,SMALL(Заказ!$AV$1:$AV$3196,1+B69),""),"")</f>
        <v/>
      </c>
      <c r="C70" s="1057" t="str">
        <f>IFERROR(IF(AND(B70&gt;0,B70/1),INDEX(Заказ!$B$1:$AV$3196,MATCH(B70,Заказ!$AV$1:$AV$3196,0),3),""),"")</f>
        <v/>
      </c>
      <c r="D70" s="1058" t="str">
        <f>IFERROR(IF(AND(B70&gt;0,B70/1),INDEX(Заказ!$B$1:$AV$3196,MATCH(B70,Заказ!$AV$1:$AV$3196,0),9),""),"")</f>
        <v/>
      </c>
      <c r="E70" s="1056" t="str">
        <f>IFERROR(IF(AND(B70&gt;0,B70/1),INDEX(Заказ!$B$1:$AV$3196,MATCH(B70,Заказ!$AV$1:$AV$3196,0),5),""),"")</f>
        <v/>
      </c>
      <c r="F70" s="1056" t="str">
        <f>IFERROR(IF(AND(B70&gt;0,B70/1),INDEX(Заказ!$B$1:$AV$3196,MATCH(B70,Заказ!$AV$1:$AV$3196,0),16)/INDEX(Заказ!$B$1:$AV$3196,MATCH(B70,Заказ!$AV$1:$AV$3196,0),5),""),"")</f>
        <v/>
      </c>
      <c r="G70" s="1059" t="str">
        <f>IFERROR(IF(AND(B70&gt;0,B70/1),INDEX(Заказ!$B$1:$AV$3196,MATCH(B70,Заказ!$AV$1:$AV$3196,0),16),""),"")</f>
        <v/>
      </c>
      <c r="H70" s="1"/>
    </row>
    <row r="71" spans="1:8" ht="12" customHeight="1" x14ac:dyDescent="0.25">
      <c r="A71" s="1051" t="str">
        <f>IFERROR(IF(AND(B71&gt;0,B71/1),INDEX(Заказ!$B$412:$AV$3196,MATCH(B71,Заказ!$AV$412:$AV$3196,0),1),""),"")</f>
        <v/>
      </c>
      <c r="B71" s="1056" t="str">
        <f>IFERROR(IF(B70&gt;0,SMALL(Заказ!$AV$1:$AV$3196,1+B70),""),"")</f>
        <v/>
      </c>
      <c r="C71" s="1057" t="str">
        <f>IFERROR(IF(AND(B71&gt;0,B71/1),INDEX(Заказ!$B$1:$AV$3196,MATCH(B71,Заказ!$AV$1:$AV$3196,0),3),""),"")</f>
        <v/>
      </c>
      <c r="D71" s="1058" t="str">
        <f>IFERROR(IF(AND(B71&gt;0,B71/1),INDEX(Заказ!$B$1:$AV$3196,MATCH(B71,Заказ!$AV$1:$AV$3196,0),9),""),"")</f>
        <v/>
      </c>
      <c r="E71" s="1056" t="str">
        <f>IFERROR(IF(AND(B71&gt;0,B71/1),INDEX(Заказ!$B$1:$AV$3196,MATCH(B71,Заказ!$AV$1:$AV$3196,0),5),""),"")</f>
        <v/>
      </c>
      <c r="F71" s="1056" t="str">
        <f>IFERROR(IF(AND(B71&gt;0,B71/1),INDEX(Заказ!$B$1:$AV$3196,MATCH(B71,Заказ!$AV$1:$AV$3196,0),16)/INDEX(Заказ!$B$1:$AV$3196,MATCH(B71,Заказ!$AV$1:$AV$3196,0),5),""),"")</f>
        <v/>
      </c>
      <c r="G71" s="1059" t="str">
        <f>IFERROR(IF(AND(B71&gt;0,B71/1),INDEX(Заказ!$B$1:$AV$3196,MATCH(B71,Заказ!$AV$1:$AV$3196,0),16),""),"")</f>
        <v/>
      </c>
      <c r="H71" s="1"/>
    </row>
    <row r="72" spans="1:8" ht="12" customHeight="1" x14ac:dyDescent="0.25">
      <c r="A72" s="1051" t="str">
        <f>IFERROR(IF(AND(B72&gt;0,B72/1),INDEX(Заказ!$B$412:$AV$3196,MATCH(B72,Заказ!$AV$412:$AV$3196,0),1),""),"")</f>
        <v/>
      </c>
      <c r="B72" s="1056" t="str">
        <f>IFERROR(IF(B71&gt;0,SMALL(Заказ!$AV$1:$AV$3196,1+B71),""),"")</f>
        <v/>
      </c>
      <c r="C72" s="1057" t="str">
        <f>IFERROR(IF(AND(B72&gt;0,B72/1),INDEX(Заказ!$B$1:$AV$3196,MATCH(B72,Заказ!$AV$1:$AV$3196,0),3),""),"")</f>
        <v/>
      </c>
      <c r="D72" s="1058" t="str">
        <f>IFERROR(IF(AND(B72&gt;0,B72/1),INDEX(Заказ!$B$1:$AV$3196,MATCH(B72,Заказ!$AV$1:$AV$3196,0),9),""),"")</f>
        <v/>
      </c>
      <c r="E72" s="1056" t="str">
        <f>IFERROR(IF(AND(B72&gt;0,B72/1),INDEX(Заказ!$B$1:$AV$3196,MATCH(B72,Заказ!$AV$1:$AV$3196,0),5),""),"")</f>
        <v/>
      </c>
      <c r="F72" s="1056" t="str">
        <f>IFERROR(IF(AND(B72&gt;0,B72/1),INDEX(Заказ!$B$1:$AV$3196,MATCH(B72,Заказ!$AV$1:$AV$3196,0),16)/INDEX(Заказ!$B$1:$AV$3196,MATCH(B72,Заказ!$AV$1:$AV$3196,0),5),""),"")</f>
        <v/>
      </c>
      <c r="G72" s="1059" t="str">
        <f>IFERROR(IF(AND(B72&gt;0,B72/1),INDEX(Заказ!$B$1:$AV$3196,MATCH(B72,Заказ!$AV$1:$AV$3196,0),16),""),"")</f>
        <v/>
      </c>
      <c r="H72" s="1"/>
    </row>
    <row r="73" spans="1:8" ht="12" customHeight="1" x14ac:dyDescent="0.25">
      <c r="A73" s="1051" t="str">
        <f>IFERROR(IF(AND(B73&gt;0,B73/1),INDEX(Заказ!$B$412:$AV$3196,MATCH(B73,Заказ!$AV$412:$AV$3196,0),1),""),"")</f>
        <v/>
      </c>
      <c r="B73" s="1056" t="str">
        <f>IFERROR(IF(B72&gt;0,SMALL(Заказ!$AV$1:$AV$3196,1+B72),""),"")</f>
        <v/>
      </c>
      <c r="C73" s="1057" t="str">
        <f>IFERROR(IF(AND(B73&gt;0,B73/1),INDEX(Заказ!$B$1:$AV$3196,MATCH(B73,Заказ!$AV$1:$AV$3196,0),3),""),"")</f>
        <v/>
      </c>
      <c r="D73" s="1058" t="str">
        <f>IFERROR(IF(AND(B73&gt;0,B73/1),INDEX(Заказ!$B$1:$AV$3196,MATCH(B73,Заказ!$AV$1:$AV$3196,0),9),""),"")</f>
        <v/>
      </c>
      <c r="E73" s="1056" t="str">
        <f>IFERROR(IF(AND(B73&gt;0,B73/1),INDEX(Заказ!$B$1:$AV$3196,MATCH(B73,Заказ!$AV$1:$AV$3196,0),5),""),"")</f>
        <v/>
      </c>
      <c r="F73" s="1056" t="str">
        <f>IFERROR(IF(AND(B73&gt;0,B73/1),INDEX(Заказ!$B$1:$AV$3196,MATCH(B73,Заказ!$AV$1:$AV$3196,0),16)/INDEX(Заказ!$B$1:$AV$3196,MATCH(B73,Заказ!$AV$1:$AV$3196,0),5),""),"")</f>
        <v/>
      </c>
      <c r="G73" s="1059" t="str">
        <f>IFERROR(IF(AND(B73&gt;0,B73/1),INDEX(Заказ!$B$1:$AV$3196,MATCH(B73,Заказ!$AV$1:$AV$3196,0),16),""),"")</f>
        <v/>
      </c>
      <c r="H73" s="1"/>
    </row>
    <row r="74" spans="1:8" ht="12" customHeight="1" x14ac:dyDescent="0.25">
      <c r="A74" s="1051" t="str">
        <f>IFERROR(IF(AND(B74&gt;0,B74/1),INDEX(Заказ!$B$412:$AV$3196,MATCH(B74,Заказ!$AV$412:$AV$3196,0),1),""),"")</f>
        <v/>
      </c>
      <c r="B74" s="1056" t="str">
        <f>IFERROR(IF(B73&gt;0,SMALL(Заказ!$AV$1:$AV$3196,1+B73),""),"")</f>
        <v/>
      </c>
      <c r="C74" s="1057" t="str">
        <f>IFERROR(IF(AND(B74&gt;0,B74/1),INDEX(Заказ!$B$1:$AV$3196,MATCH(B74,Заказ!$AV$1:$AV$3196,0),3),""),"")</f>
        <v/>
      </c>
      <c r="D74" s="1058" t="str">
        <f>IFERROR(IF(AND(B74&gt;0,B74/1),INDEX(Заказ!$B$1:$AV$3196,MATCH(B74,Заказ!$AV$1:$AV$3196,0),9),""),"")</f>
        <v/>
      </c>
      <c r="E74" s="1056" t="str">
        <f>IFERROR(IF(AND(B74&gt;0,B74/1),INDEX(Заказ!$B$1:$AV$3196,MATCH(B74,Заказ!$AV$1:$AV$3196,0),5),""),"")</f>
        <v/>
      </c>
      <c r="F74" s="1056" t="str">
        <f>IFERROR(IF(AND(B74&gt;0,B74/1),INDEX(Заказ!$B$1:$AV$3196,MATCH(B74,Заказ!$AV$1:$AV$3196,0),16)/INDEX(Заказ!$B$1:$AV$3196,MATCH(B74,Заказ!$AV$1:$AV$3196,0),5),""),"")</f>
        <v/>
      </c>
      <c r="G74" s="1059" t="str">
        <f>IFERROR(IF(AND(B74&gt;0,B74/1),INDEX(Заказ!$B$1:$AV$3196,MATCH(B74,Заказ!$AV$1:$AV$3196,0),16),""),"")</f>
        <v/>
      </c>
      <c r="H74" s="1"/>
    </row>
    <row r="75" spans="1:8" ht="12" customHeight="1" x14ac:dyDescent="0.25">
      <c r="A75" s="1051" t="str">
        <f>IFERROR(IF(AND(B75&gt;0,B75/1),INDEX(Заказ!$B$412:$AV$3196,MATCH(B75,Заказ!$AV$412:$AV$3196,0),1),""),"")</f>
        <v/>
      </c>
      <c r="B75" s="1056" t="str">
        <f>IFERROR(IF(B74&gt;0,SMALL(Заказ!$AV$1:$AV$3196,1+B74),""),"")</f>
        <v/>
      </c>
      <c r="C75" s="1057" t="str">
        <f>IFERROR(IF(AND(B75&gt;0,B75/1),INDEX(Заказ!$B$1:$AV$3196,MATCH(B75,Заказ!$AV$1:$AV$3196,0),3),""),"")</f>
        <v/>
      </c>
      <c r="D75" s="1058" t="str">
        <f>IFERROR(IF(AND(B75&gt;0,B75/1),INDEX(Заказ!$B$1:$AV$3196,MATCH(B75,Заказ!$AV$1:$AV$3196,0),9),""),"")</f>
        <v/>
      </c>
      <c r="E75" s="1056" t="str">
        <f>IFERROR(IF(AND(B75&gt;0,B75/1),INDEX(Заказ!$B$1:$AV$3196,MATCH(B75,Заказ!$AV$1:$AV$3196,0),5),""),"")</f>
        <v/>
      </c>
      <c r="F75" s="1056" t="str">
        <f>IFERROR(IF(AND(B75&gt;0,B75/1),INDEX(Заказ!$B$1:$AV$3196,MATCH(B75,Заказ!$AV$1:$AV$3196,0),16)/INDEX(Заказ!$B$1:$AV$3196,MATCH(B75,Заказ!$AV$1:$AV$3196,0),5),""),"")</f>
        <v/>
      </c>
      <c r="G75" s="1059" t="str">
        <f>IFERROR(IF(AND(B75&gt;0,B75/1),INDEX(Заказ!$B$1:$AV$3196,MATCH(B75,Заказ!$AV$1:$AV$3196,0),16),""),"")</f>
        <v/>
      </c>
      <c r="H75" s="1"/>
    </row>
    <row r="76" spans="1:8" ht="12" customHeight="1" x14ac:dyDescent="0.25">
      <c r="A76" s="1051" t="str">
        <f>IFERROR(IF(AND(B76&gt;0,B76/1),INDEX(Заказ!$B$412:$AV$3196,MATCH(B76,Заказ!$AV$412:$AV$3196,0),1),""),"")</f>
        <v/>
      </c>
      <c r="B76" s="1056" t="str">
        <f>IFERROR(IF(B75&gt;0,SMALL(Заказ!$AV$1:$AV$3196,1+B75),""),"")</f>
        <v/>
      </c>
      <c r="C76" s="1057" t="str">
        <f>IFERROR(IF(AND(B76&gt;0,B76/1),INDEX(Заказ!$B$1:$AV$3196,MATCH(B76,Заказ!$AV$1:$AV$3196,0),3),""),"")</f>
        <v/>
      </c>
      <c r="D76" s="1058" t="str">
        <f>IFERROR(IF(AND(B76&gt;0,B76/1),INDEX(Заказ!$B$1:$AV$3196,MATCH(B76,Заказ!$AV$1:$AV$3196,0),9),""),"")</f>
        <v/>
      </c>
      <c r="E76" s="1056" t="str">
        <f>IFERROR(IF(AND(B76&gt;0,B76/1),INDEX(Заказ!$B$1:$AV$3196,MATCH(B76,Заказ!$AV$1:$AV$3196,0),5),""),"")</f>
        <v/>
      </c>
      <c r="F76" s="1056" t="str">
        <f>IFERROR(IF(AND(B76&gt;0,B76/1),INDEX(Заказ!$B$1:$AV$3196,MATCH(B76,Заказ!$AV$1:$AV$3196,0),16)/INDEX(Заказ!$B$1:$AV$3196,MATCH(B76,Заказ!$AV$1:$AV$3196,0),5),""),"")</f>
        <v/>
      </c>
      <c r="G76" s="1059" t="str">
        <f>IFERROR(IF(AND(B76&gt;0,B76/1),INDEX(Заказ!$B$1:$AV$3196,MATCH(B76,Заказ!$AV$1:$AV$3196,0),16),""),"")</f>
        <v/>
      </c>
      <c r="H76" s="1"/>
    </row>
    <row r="77" spans="1:8" ht="12" customHeight="1" x14ac:dyDescent="0.25">
      <c r="A77" s="1051" t="str">
        <f>IFERROR(IF(AND(B77&gt;0,B77/1),INDEX(Заказ!$B$412:$AV$3196,MATCH(B77,Заказ!$AV$412:$AV$3196,0),1),""),"")</f>
        <v/>
      </c>
      <c r="B77" s="1056" t="str">
        <f>IFERROR(IF(B76&gt;0,SMALL(Заказ!$AV$1:$AV$3196,1+B76),""),"")</f>
        <v/>
      </c>
      <c r="C77" s="1057" t="str">
        <f>IFERROR(IF(AND(B77&gt;0,B77/1),INDEX(Заказ!$B$1:$AV$3196,MATCH(B77,Заказ!$AV$1:$AV$3196,0),3),""),"")</f>
        <v/>
      </c>
      <c r="D77" s="1058" t="str">
        <f>IFERROR(IF(AND(B77&gt;0,B77/1),INDEX(Заказ!$B$1:$AV$3196,MATCH(B77,Заказ!$AV$1:$AV$3196,0),9),""),"")</f>
        <v/>
      </c>
      <c r="E77" s="1056" t="str">
        <f>IFERROR(IF(AND(B77&gt;0,B77/1),INDEX(Заказ!$B$1:$AV$3196,MATCH(B77,Заказ!$AV$1:$AV$3196,0),5),""),"")</f>
        <v/>
      </c>
      <c r="F77" s="1056" t="str">
        <f>IFERROR(IF(AND(B77&gt;0,B77/1),INDEX(Заказ!$B$1:$AV$3196,MATCH(B77,Заказ!$AV$1:$AV$3196,0),16)/INDEX(Заказ!$B$1:$AV$3196,MATCH(B77,Заказ!$AV$1:$AV$3196,0),5),""),"")</f>
        <v/>
      </c>
      <c r="G77" s="1059" t="str">
        <f>IFERROR(IF(AND(B77&gt;0,B77/1),INDEX(Заказ!$B$1:$AV$3196,MATCH(B77,Заказ!$AV$1:$AV$3196,0),16),""),"")</f>
        <v/>
      </c>
      <c r="H77" s="1"/>
    </row>
    <row r="78" spans="1:8" ht="12" customHeight="1" x14ac:dyDescent="0.25">
      <c r="A78" s="1051" t="str">
        <f>IFERROR(IF(AND(B78&gt;0,B78/1),INDEX(Заказ!$B$412:$AV$3196,MATCH(B78,Заказ!$AV$412:$AV$3196,0),1),""),"")</f>
        <v/>
      </c>
      <c r="B78" s="1056" t="str">
        <f>IFERROR(IF(B77&gt;0,SMALL(Заказ!$AV$1:$AV$3196,1+B77),""),"")</f>
        <v/>
      </c>
      <c r="C78" s="1057" t="str">
        <f>IFERROR(IF(AND(B78&gt;0,B78/1),INDEX(Заказ!$B$1:$AV$3196,MATCH(B78,Заказ!$AV$1:$AV$3196,0),3),""),"")</f>
        <v/>
      </c>
      <c r="D78" s="1058" t="str">
        <f>IFERROR(IF(AND(B78&gt;0,B78/1),INDEX(Заказ!$B$1:$AV$3196,MATCH(B78,Заказ!$AV$1:$AV$3196,0),9),""),"")</f>
        <v/>
      </c>
      <c r="E78" s="1056" t="str">
        <f>IFERROR(IF(AND(B78&gt;0,B78/1),INDEX(Заказ!$B$1:$AV$3196,MATCH(B78,Заказ!$AV$1:$AV$3196,0),5),""),"")</f>
        <v/>
      </c>
      <c r="F78" s="1056" t="str">
        <f>IFERROR(IF(AND(B78&gt;0,B78/1),INDEX(Заказ!$B$1:$AV$3196,MATCH(B78,Заказ!$AV$1:$AV$3196,0),16)/INDEX(Заказ!$B$1:$AV$3196,MATCH(B78,Заказ!$AV$1:$AV$3196,0),5),""),"")</f>
        <v/>
      </c>
      <c r="G78" s="1059" t="str">
        <f>IFERROR(IF(AND(B78&gt;0,B78/1),INDEX(Заказ!$B$1:$AV$3196,MATCH(B78,Заказ!$AV$1:$AV$3196,0),16),""),"")</f>
        <v/>
      </c>
      <c r="H78" s="1"/>
    </row>
    <row r="79" spans="1:8" ht="12" customHeight="1" x14ac:dyDescent="0.25">
      <c r="A79" s="1051" t="str">
        <f>IFERROR(IF(AND(B79&gt;0,B79/1),INDEX(Заказ!$B$412:$AV$3196,MATCH(B79,Заказ!$AV$412:$AV$3196,0),1),""),"")</f>
        <v/>
      </c>
      <c r="B79" s="1056" t="str">
        <f>IFERROR(IF(B78&gt;0,SMALL(Заказ!$AV$1:$AV$3196,1+B78),""),"")</f>
        <v/>
      </c>
      <c r="C79" s="1057" t="str">
        <f>IFERROR(IF(AND(B79&gt;0,B79/1),INDEX(Заказ!$B$1:$AV$3196,MATCH(B79,Заказ!$AV$1:$AV$3196,0),3),""),"")</f>
        <v/>
      </c>
      <c r="D79" s="1058" t="str">
        <f>IFERROR(IF(AND(B79&gt;0,B79/1),INDEX(Заказ!$B$1:$AV$3196,MATCH(B79,Заказ!$AV$1:$AV$3196,0),9),""),"")</f>
        <v/>
      </c>
      <c r="E79" s="1056" t="str">
        <f>IFERROR(IF(AND(B79&gt;0,B79/1),INDEX(Заказ!$B$1:$AV$3196,MATCH(B79,Заказ!$AV$1:$AV$3196,0),5),""),"")</f>
        <v/>
      </c>
      <c r="F79" s="1056" t="str">
        <f>IFERROR(IF(AND(B79&gt;0,B79/1),INDEX(Заказ!$B$1:$AV$3196,MATCH(B79,Заказ!$AV$1:$AV$3196,0),16)/INDEX(Заказ!$B$1:$AV$3196,MATCH(B79,Заказ!$AV$1:$AV$3196,0),5),""),"")</f>
        <v/>
      </c>
      <c r="G79" s="1059" t="str">
        <f>IFERROR(IF(AND(B79&gt;0,B79/1),INDEX(Заказ!$B$1:$AV$3196,MATCH(B79,Заказ!$AV$1:$AV$3196,0),16),""),"")</f>
        <v/>
      </c>
      <c r="H79" s="1"/>
    </row>
    <row r="80" spans="1:8" ht="12" customHeight="1" x14ac:dyDescent="0.25">
      <c r="A80" s="1051" t="str">
        <f>IFERROR(IF(AND(B80&gt;0,B80/1),INDEX(Заказ!$B$412:$AV$3196,MATCH(B80,Заказ!$AV$412:$AV$3196,0),1),""),"")</f>
        <v/>
      </c>
      <c r="B80" s="1056" t="str">
        <f>IFERROR(IF(B79&gt;0,SMALL(Заказ!$AV$1:$AV$3196,1+B79),""),"")</f>
        <v/>
      </c>
      <c r="C80" s="1057" t="str">
        <f>IFERROR(IF(AND(B80&gt;0,B80/1),INDEX(Заказ!$B$1:$AV$3196,MATCH(B80,Заказ!$AV$1:$AV$3196,0),3),""),"")</f>
        <v/>
      </c>
      <c r="D80" s="1058" t="str">
        <f>IFERROR(IF(AND(B80&gt;0,B80/1),INDEX(Заказ!$B$1:$AV$3196,MATCH(B80,Заказ!$AV$1:$AV$3196,0),9),""),"")</f>
        <v/>
      </c>
      <c r="E80" s="1056" t="str">
        <f>IFERROR(IF(AND(B80&gt;0,B80/1),INDEX(Заказ!$B$1:$AV$3196,MATCH(B80,Заказ!$AV$1:$AV$3196,0),5),""),"")</f>
        <v/>
      </c>
      <c r="F80" s="1056" t="str">
        <f>IFERROR(IF(AND(B80&gt;0,B80/1),INDEX(Заказ!$B$1:$AV$3196,MATCH(B80,Заказ!$AV$1:$AV$3196,0),16)/INDEX(Заказ!$B$1:$AV$3196,MATCH(B80,Заказ!$AV$1:$AV$3196,0),5),""),"")</f>
        <v/>
      </c>
      <c r="G80" s="1059" t="str">
        <f>IFERROR(IF(AND(B80&gt;0,B80/1),INDEX(Заказ!$B$1:$AV$3196,MATCH(B80,Заказ!$AV$1:$AV$3196,0),16),""),"")</f>
        <v/>
      </c>
      <c r="H80" s="1"/>
    </row>
    <row r="81" spans="1:8" ht="12" customHeight="1" x14ac:dyDescent="0.25">
      <c r="A81" s="1051" t="str">
        <f>IFERROR(IF(AND(B81&gt;0,B81/1),INDEX(Заказ!$B$412:$AV$3196,MATCH(B81,Заказ!$AV$412:$AV$3196,0),1),""),"")</f>
        <v/>
      </c>
      <c r="B81" s="1056" t="str">
        <f>IFERROR(IF(B80&gt;0,SMALL(Заказ!$AV$1:$AV$3196,1+B80),""),"")</f>
        <v/>
      </c>
      <c r="C81" s="1057" t="str">
        <f>IFERROR(IF(AND(B81&gt;0,B81/1),INDEX(Заказ!$B$1:$AV$3196,MATCH(B81,Заказ!$AV$1:$AV$3196,0),3),""),"")</f>
        <v/>
      </c>
      <c r="D81" s="1058" t="str">
        <f>IFERROR(IF(AND(B81&gt;0,B81/1),INDEX(Заказ!$B$1:$AV$3196,MATCH(B81,Заказ!$AV$1:$AV$3196,0),9),""),"")</f>
        <v/>
      </c>
      <c r="E81" s="1056" t="str">
        <f>IFERROR(IF(AND(B81&gt;0,B81/1),INDEX(Заказ!$B$1:$AV$3196,MATCH(B81,Заказ!$AV$1:$AV$3196,0),5),""),"")</f>
        <v/>
      </c>
      <c r="F81" s="1056" t="str">
        <f>IFERROR(IF(AND(B81&gt;0,B81/1),INDEX(Заказ!$B$1:$AV$3196,MATCH(B81,Заказ!$AV$1:$AV$3196,0),16)/INDEX(Заказ!$B$1:$AV$3196,MATCH(B81,Заказ!$AV$1:$AV$3196,0),5),""),"")</f>
        <v/>
      </c>
      <c r="G81" s="1059" t="str">
        <f>IFERROR(IF(AND(B81&gt;0,B81/1),INDEX(Заказ!$B$1:$AV$3196,MATCH(B81,Заказ!$AV$1:$AV$3196,0),16),""),"")</f>
        <v/>
      </c>
      <c r="H81" s="1"/>
    </row>
    <row r="82" spans="1:8" ht="12" customHeight="1" x14ac:dyDescent="0.25">
      <c r="A82" s="1051" t="str">
        <f>IFERROR(IF(AND(B82&gt;0,B82/1),INDEX(Заказ!$B$412:$AV$3196,MATCH(B82,Заказ!$AV$412:$AV$3196,0),1),""),"")</f>
        <v/>
      </c>
      <c r="B82" s="1056" t="str">
        <f>IFERROR(IF(B81&gt;0,SMALL(Заказ!$AV$1:$AV$3196,1+B81),""),"")</f>
        <v/>
      </c>
      <c r="C82" s="1057" t="str">
        <f>IFERROR(IF(AND(B82&gt;0,B82/1),INDEX(Заказ!$B$1:$AV$3196,MATCH(B82,Заказ!$AV$1:$AV$3196,0),3),""),"")</f>
        <v/>
      </c>
      <c r="D82" s="1058" t="str">
        <f>IFERROR(IF(AND(B82&gt;0,B82/1),INDEX(Заказ!$B$1:$AV$3196,MATCH(B82,Заказ!$AV$1:$AV$3196,0),9),""),"")</f>
        <v/>
      </c>
      <c r="E82" s="1056" t="str">
        <f>IFERROR(IF(AND(B82&gt;0,B82/1),INDEX(Заказ!$B$1:$AV$3196,MATCH(B82,Заказ!$AV$1:$AV$3196,0),5),""),"")</f>
        <v/>
      </c>
      <c r="F82" s="1056" t="str">
        <f>IFERROR(IF(AND(B82&gt;0,B82/1),INDEX(Заказ!$B$1:$AV$3196,MATCH(B82,Заказ!$AV$1:$AV$3196,0),16)/INDEX(Заказ!$B$1:$AV$3196,MATCH(B82,Заказ!$AV$1:$AV$3196,0),5),""),"")</f>
        <v/>
      </c>
      <c r="G82" s="1059" t="str">
        <f>IFERROR(IF(AND(B82&gt;0,B82/1),INDEX(Заказ!$B$1:$AV$3196,MATCH(B82,Заказ!$AV$1:$AV$3196,0),16),""),"")</f>
        <v/>
      </c>
      <c r="H82" s="1"/>
    </row>
    <row r="83" spans="1:8" ht="12" customHeight="1" x14ac:dyDescent="0.25">
      <c r="A83" s="1051" t="str">
        <f>IFERROR(IF(AND(B83&gt;0,B83/1),INDEX(Заказ!$B$412:$AV$3196,MATCH(B83,Заказ!$AV$412:$AV$3196,0),1),""),"")</f>
        <v/>
      </c>
      <c r="B83" s="1056" t="str">
        <f>IFERROR(IF(B82&gt;0,SMALL(Заказ!$AV$1:$AV$3196,1+B82),""),"")</f>
        <v/>
      </c>
      <c r="C83" s="1057" t="str">
        <f>IFERROR(IF(AND(B83&gt;0,B83/1),INDEX(Заказ!$B$1:$AV$3196,MATCH(B83,Заказ!$AV$1:$AV$3196,0),3),""),"")</f>
        <v/>
      </c>
      <c r="D83" s="1058" t="str">
        <f>IFERROR(IF(AND(B83&gt;0,B83/1),INDEX(Заказ!$B$1:$AV$3196,MATCH(B83,Заказ!$AV$1:$AV$3196,0),9),""),"")</f>
        <v/>
      </c>
      <c r="E83" s="1056" t="str">
        <f>IFERROR(IF(AND(B83&gt;0,B83/1),INDEX(Заказ!$B$1:$AV$3196,MATCH(B83,Заказ!$AV$1:$AV$3196,0),5),""),"")</f>
        <v/>
      </c>
      <c r="F83" s="1056" t="str">
        <f>IFERROR(IF(AND(B83&gt;0,B83/1),INDEX(Заказ!$B$1:$AV$3196,MATCH(B83,Заказ!$AV$1:$AV$3196,0),16)/INDEX(Заказ!$B$1:$AV$3196,MATCH(B83,Заказ!$AV$1:$AV$3196,0),5),""),"")</f>
        <v/>
      </c>
      <c r="G83" s="1059" t="str">
        <f>IFERROR(IF(AND(B83&gt;0,B83/1),INDEX(Заказ!$B$1:$AV$3196,MATCH(B83,Заказ!$AV$1:$AV$3196,0),16),""),"")</f>
        <v/>
      </c>
      <c r="H83" s="1"/>
    </row>
    <row r="84" spans="1:8" ht="12" customHeight="1" x14ac:dyDescent="0.25">
      <c r="A84" s="1051" t="str">
        <f>IFERROR(IF(AND(B84&gt;0,B84/1),INDEX(Заказ!$B$412:$AV$3196,MATCH(B84,Заказ!$AV$412:$AV$3196,0),1),""),"")</f>
        <v/>
      </c>
      <c r="B84" s="1056" t="str">
        <f>IFERROR(IF(B83&gt;0,SMALL(Заказ!$AV$1:$AV$3196,1+B83),""),"")</f>
        <v/>
      </c>
      <c r="C84" s="1057" t="str">
        <f>IFERROR(IF(AND(B84&gt;0,B84/1),INDEX(Заказ!$B$1:$AV$3196,MATCH(B84,Заказ!$AV$1:$AV$3196,0),3),""),"")</f>
        <v/>
      </c>
      <c r="D84" s="1058" t="str">
        <f>IFERROR(IF(AND(B84&gt;0,B84/1),INDEX(Заказ!$B$1:$AV$3196,MATCH(B84,Заказ!$AV$1:$AV$3196,0),9),""),"")</f>
        <v/>
      </c>
      <c r="E84" s="1056" t="str">
        <f>IFERROR(IF(AND(B84&gt;0,B84/1),INDEX(Заказ!$B$1:$AV$3196,MATCH(B84,Заказ!$AV$1:$AV$3196,0),5),""),"")</f>
        <v/>
      </c>
      <c r="F84" s="1056" t="str">
        <f>IFERROR(IF(AND(B84&gt;0,B84/1),INDEX(Заказ!$B$1:$AV$3196,MATCH(B84,Заказ!$AV$1:$AV$3196,0),16)/INDEX(Заказ!$B$1:$AV$3196,MATCH(B84,Заказ!$AV$1:$AV$3196,0),5),""),"")</f>
        <v/>
      </c>
      <c r="G84" s="1059" t="str">
        <f>IFERROR(IF(AND(B84&gt;0,B84/1),INDEX(Заказ!$B$1:$AV$3196,MATCH(B84,Заказ!$AV$1:$AV$3196,0),16),""),"")</f>
        <v/>
      </c>
      <c r="H84" s="1"/>
    </row>
    <row r="85" spans="1:8" ht="12" customHeight="1" x14ac:dyDescent="0.25">
      <c r="A85" s="1051" t="str">
        <f>IFERROR(IF(AND(B85&gt;0,B85/1),INDEX(Заказ!$B$412:$AV$3196,MATCH(B85,Заказ!$AV$412:$AV$3196,0),1),""),"")</f>
        <v/>
      </c>
      <c r="B85" s="1056" t="str">
        <f>IFERROR(IF(B84&gt;0,SMALL(Заказ!$AV$1:$AV$3196,1+B84),""),"")</f>
        <v/>
      </c>
      <c r="C85" s="1057" t="str">
        <f>IFERROR(IF(AND(B85&gt;0,B85/1),INDEX(Заказ!$B$1:$AV$3196,MATCH(B85,Заказ!$AV$1:$AV$3196,0),3),""),"")</f>
        <v/>
      </c>
      <c r="D85" s="1058" t="str">
        <f>IFERROR(IF(AND(B85&gt;0,B85/1),INDEX(Заказ!$B$1:$AV$3196,MATCH(B85,Заказ!$AV$1:$AV$3196,0),9),""),"")</f>
        <v/>
      </c>
      <c r="E85" s="1056" t="str">
        <f>IFERROR(IF(AND(B85&gt;0,B85/1),INDEX(Заказ!$B$1:$AV$3196,MATCH(B85,Заказ!$AV$1:$AV$3196,0),5),""),"")</f>
        <v/>
      </c>
      <c r="F85" s="1056" t="str">
        <f>IFERROR(IF(AND(B85&gt;0,B85/1),INDEX(Заказ!$B$1:$AV$3196,MATCH(B85,Заказ!$AV$1:$AV$3196,0),16)/INDEX(Заказ!$B$1:$AV$3196,MATCH(B85,Заказ!$AV$1:$AV$3196,0),5),""),"")</f>
        <v/>
      </c>
      <c r="G85" s="1059" t="str">
        <f>IFERROR(IF(AND(B85&gt;0,B85/1),INDEX(Заказ!$B$1:$AV$3196,MATCH(B85,Заказ!$AV$1:$AV$3196,0),16),""),"")</f>
        <v/>
      </c>
      <c r="H85" s="1"/>
    </row>
    <row r="86" spans="1:8" ht="12" customHeight="1" x14ac:dyDescent="0.25">
      <c r="A86" s="1051" t="str">
        <f>IFERROR(IF(AND(B86&gt;0,B86/1),INDEX(Заказ!$B$412:$AV$3196,MATCH(B86,Заказ!$AV$412:$AV$3196,0),1),""),"")</f>
        <v/>
      </c>
      <c r="B86" s="1056" t="str">
        <f>IFERROR(IF(B85&gt;0,SMALL(Заказ!$AV$1:$AV$3196,1+B85),""),"")</f>
        <v/>
      </c>
      <c r="C86" s="1057" t="str">
        <f>IFERROR(IF(AND(B86&gt;0,B86/1),INDEX(Заказ!$B$1:$AV$3196,MATCH(B86,Заказ!$AV$1:$AV$3196,0),3),""),"")</f>
        <v/>
      </c>
      <c r="D86" s="1058" t="str">
        <f>IFERROR(IF(AND(B86&gt;0,B86/1),INDEX(Заказ!$B$1:$AV$3196,MATCH(B86,Заказ!$AV$1:$AV$3196,0),9),""),"")</f>
        <v/>
      </c>
      <c r="E86" s="1056" t="str">
        <f>IFERROR(IF(AND(B86&gt;0,B86/1),INDEX(Заказ!$B$1:$AV$3196,MATCH(B86,Заказ!$AV$1:$AV$3196,0),5),""),"")</f>
        <v/>
      </c>
      <c r="F86" s="1056" t="str">
        <f>IFERROR(IF(AND(B86&gt;0,B86/1),INDEX(Заказ!$B$1:$AV$3196,MATCH(B86,Заказ!$AV$1:$AV$3196,0),16)/INDEX(Заказ!$B$1:$AV$3196,MATCH(B86,Заказ!$AV$1:$AV$3196,0),5),""),"")</f>
        <v/>
      </c>
      <c r="G86" s="1059" t="str">
        <f>IFERROR(IF(AND(B86&gt;0,B86/1),INDEX(Заказ!$B$1:$AV$3196,MATCH(B86,Заказ!$AV$1:$AV$3196,0),16),""),"")</f>
        <v/>
      </c>
      <c r="H86" s="1"/>
    </row>
    <row r="87" spans="1:8" ht="12" customHeight="1" x14ac:dyDescent="0.25">
      <c r="A87" s="1051" t="str">
        <f>IFERROR(IF(AND(B87&gt;0,B87/1),INDEX(Заказ!$B$412:$AV$3196,MATCH(B87,Заказ!$AV$412:$AV$3196,0),1),""),"")</f>
        <v/>
      </c>
      <c r="B87" s="1056" t="str">
        <f>IFERROR(IF(B86&gt;0,SMALL(Заказ!$AV$1:$AV$3196,1+B86),""),"")</f>
        <v/>
      </c>
      <c r="C87" s="1057" t="str">
        <f>IFERROR(IF(AND(B87&gt;0,B87/1),INDEX(Заказ!$B$1:$AV$3196,MATCH(B87,Заказ!$AV$1:$AV$3196,0),3),""),"")</f>
        <v/>
      </c>
      <c r="D87" s="1058" t="str">
        <f>IFERROR(IF(AND(B87&gt;0,B87/1),INDEX(Заказ!$B$1:$AV$3196,MATCH(B87,Заказ!$AV$1:$AV$3196,0),9),""),"")</f>
        <v/>
      </c>
      <c r="E87" s="1056" t="str">
        <f>IFERROR(IF(AND(B87&gt;0,B87/1),INDEX(Заказ!$B$1:$AV$3196,MATCH(B87,Заказ!$AV$1:$AV$3196,0),5),""),"")</f>
        <v/>
      </c>
      <c r="F87" s="1056" t="str">
        <f>IFERROR(IF(AND(B87&gt;0,B87/1),INDEX(Заказ!$B$1:$AV$3196,MATCH(B87,Заказ!$AV$1:$AV$3196,0),16)/INDEX(Заказ!$B$1:$AV$3196,MATCH(B87,Заказ!$AV$1:$AV$3196,0),5),""),"")</f>
        <v/>
      </c>
      <c r="G87" s="1059" t="str">
        <f>IFERROR(IF(AND(B87&gt;0,B87/1),INDEX(Заказ!$B$1:$AV$3196,MATCH(B87,Заказ!$AV$1:$AV$3196,0),16),""),"")</f>
        <v/>
      </c>
      <c r="H87" s="1"/>
    </row>
    <row r="88" spans="1:8" ht="12" customHeight="1" x14ac:dyDescent="0.25">
      <c r="A88" s="1051" t="str">
        <f>IFERROR(IF(AND(B88&gt;0,B88/1),INDEX(Заказ!$B$412:$AV$3196,MATCH(B88,Заказ!$AV$412:$AV$3196,0),1),""),"")</f>
        <v/>
      </c>
      <c r="B88" s="1056" t="str">
        <f>IFERROR(IF(B87&gt;0,SMALL(Заказ!$AV$1:$AV$3196,1+B87),""),"")</f>
        <v/>
      </c>
      <c r="C88" s="1057" t="str">
        <f>IFERROR(IF(AND(B88&gt;0,B88/1),INDEX(Заказ!$B$1:$AV$3196,MATCH(B88,Заказ!$AV$1:$AV$3196,0),3),""),"")</f>
        <v/>
      </c>
      <c r="D88" s="1058" t="str">
        <f>IFERROR(IF(AND(B88&gt;0,B88/1),INDEX(Заказ!$B$1:$AV$3196,MATCH(B88,Заказ!$AV$1:$AV$3196,0),9),""),"")</f>
        <v/>
      </c>
      <c r="E88" s="1056" t="str">
        <f>IFERROR(IF(AND(B88&gt;0,B88/1),INDEX(Заказ!$B$1:$AV$3196,MATCH(B88,Заказ!$AV$1:$AV$3196,0),5),""),"")</f>
        <v/>
      </c>
      <c r="F88" s="1056" t="str">
        <f>IFERROR(IF(AND(B88&gt;0,B88/1),INDEX(Заказ!$B$1:$AV$3196,MATCH(B88,Заказ!$AV$1:$AV$3196,0),16)/INDEX(Заказ!$B$1:$AV$3196,MATCH(B88,Заказ!$AV$1:$AV$3196,0),5),""),"")</f>
        <v/>
      </c>
      <c r="G88" s="1059" t="str">
        <f>IFERROR(IF(AND(B88&gt;0,B88/1),INDEX(Заказ!$B$1:$AV$3196,MATCH(B88,Заказ!$AV$1:$AV$3196,0),16),""),"")</f>
        <v/>
      </c>
      <c r="H88" s="1"/>
    </row>
    <row r="89" spans="1:8" ht="12" customHeight="1" x14ac:dyDescent="0.25">
      <c r="A89" s="1051" t="str">
        <f>IFERROR(IF(AND(B89&gt;0,B89/1),INDEX(Заказ!$B$412:$AV$3196,MATCH(B89,Заказ!$AV$412:$AV$3196,0),1),""),"")</f>
        <v/>
      </c>
      <c r="B89" s="1056" t="str">
        <f>IFERROR(IF(B88&gt;0,SMALL(Заказ!$AV$1:$AV$3196,1+B88),""),"")</f>
        <v/>
      </c>
      <c r="C89" s="1057" t="str">
        <f>IFERROR(IF(AND(B89&gt;0,B89/1),INDEX(Заказ!$B$1:$AV$3196,MATCH(B89,Заказ!$AV$1:$AV$3196,0),3),""),"")</f>
        <v/>
      </c>
      <c r="D89" s="1058" t="str">
        <f>IFERROR(IF(AND(B89&gt;0,B89/1),INDEX(Заказ!$B$1:$AV$3196,MATCH(B89,Заказ!$AV$1:$AV$3196,0),9),""),"")</f>
        <v/>
      </c>
      <c r="E89" s="1056" t="str">
        <f>IFERROR(IF(AND(B89&gt;0,B89/1),INDEX(Заказ!$B$1:$AV$3196,MATCH(B89,Заказ!$AV$1:$AV$3196,0),5),""),"")</f>
        <v/>
      </c>
      <c r="F89" s="1056" t="str">
        <f>IFERROR(IF(AND(B89&gt;0,B89/1),INDEX(Заказ!$B$1:$AV$3196,MATCH(B89,Заказ!$AV$1:$AV$3196,0),16)/INDEX(Заказ!$B$1:$AV$3196,MATCH(B89,Заказ!$AV$1:$AV$3196,0),5),""),"")</f>
        <v/>
      </c>
      <c r="G89" s="1059" t="str">
        <f>IFERROR(IF(AND(B89&gt;0,B89/1),INDEX(Заказ!$B$1:$AV$3196,MATCH(B89,Заказ!$AV$1:$AV$3196,0),16),""),"")</f>
        <v/>
      </c>
      <c r="H89" s="1"/>
    </row>
    <row r="90" spans="1:8" ht="12" customHeight="1" x14ac:dyDescent="0.25">
      <c r="A90" s="1051" t="str">
        <f>IFERROR(IF(AND(B90&gt;0,B90/1),INDEX(Заказ!$B$412:$AV$3196,MATCH(B90,Заказ!$AV$412:$AV$3196,0),1),""),"")</f>
        <v/>
      </c>
      <c r="B90" s="1056" t="str">
        <f>IFERROR(IF(B89&gt;0,SMALL(Заказ!$AV$1:$AV$3196,1+B89),""),"")</f>
        <v/>
      </c>
      <c r="C90" s="1057" t="str">
        <f>IFERROR(IF(AND(B90&gt;0,B90/1),INDEX(Заказ!$B$1:$AV$3196,MATCH(B90,Заказ!$AV$1:$AV$3196,0),3),""),"")</f>
        <v/>
      </c>
      <c r="D90" s="1058" t="str">
        <f>IFERROR(IF(AND(B90&gt;0,B90/1),INDEX(Заказ!$B$1:$AV$3196,MATCH(B90,Заказ!$AV$1:$AV$3196,0),9),""),"")</f>
        <v/>
      </c>
      <c r="E90" s="1056" t="str">
        <f>IFERROR(IF(AND(B90&gt;0,B90/1),INDEX(Заказ!$B$1:$AV$3196,MATCH(B90,Заказ!$AV$1:$AV$3196,0),5),""),"")</f>
        <v/>
      </c>
      <c r="F90" s="1056" t="str">
        <f>IFERROR(IF(AND(B90&gt;0,B90/1),INDEX(Заказ!$B$1:$AV$3196,MATCH(B90,Заказ!$AV$1:$AV$3196,0),16)/INDEX(Заказ!$B$1:$AV$3196,MATCH(B90,Заказ!$AV$1:$AV$3196,0),5),""),"")</f>
        <v/>
      </c>
      <c r="G90" s="1059" t="str">
        <f>IFERROR(IF(AND(B90&gt;0,B90/1),INDEX(Заказ!$B$1:$AV$3196,MATCH(B90,Заказ!$AV$1:$AV$3196,0),16),""),"")</f>
        <v/>
      </c>
      <c r="H90" s="1"/>
    </row>
    <row r="91" spans="1:8" ht="12" customHeight="1" x14ac:dyDescent="0.25">
      <c r="A91" s="1051" t="str">
        <f>IFERROR(IF(AND(B91&gt;0,B91/1),INDEX(Заказ!$B$412:$AV$3196,MATCH(B91,Заказ!$AV$412:$AV$3196,0),1),""),"")</f>
        <v/>
      </c>
      <c r="B91" s="1056" t="str">
        <f>IFERROR(IF(B90&gt;0,SMALL(Заказ!$AV$1:$AV$3196,1+B90),""),"")</f>
        <v/>
      </c>
      <c r="C91" s="1057" t="str">
        <f>IFERROR(IF(AND(B91&gt;0,B91/1),INDEX(Заказ!$B$1:$AV$3196,MATCH(B91,Заказ!$AV$1:$AV$3196,0),3),""),"")</f>
        <v/>
      </c>
      <c r="D91" s="1058" t="str">
        <f>IFERROR(IF(AND(B91&gt;0,B91/1),INDEX(Заказ!$B$1:$AV$3196,MATCH(B91,Заказ!$AV$1:$AV$3196,0),9),""),"")</f>
        <v/>
      </c>
      <c r="E91" s="1056" t="str">
        <f>IFERROR(IF(AND(B91&gt;0,B91/1),INDEX(Заказ!$B$1:$AV$3196,MATCH(B91,Заказ!$AV$1:$AV$3196,0),5),""),"")</f>
        <v/>
      </c>
      <c r="F91" s="1056" t="str">
        <f>IFERROR(IF(AND(B91&gt;0,B91/1),INDEX(Заказ!$B$1:$AV$3196,MATCH(B91,Заказ!$AV$1:$AV$3196,0),16)/INDEX(Заказ!$B$1:$AV$3196,MATCH(B91,Заказ!$AV$1:$AV$3196,0),5),""),"")</f>
        <v/>
      </c>
      <c r="G91" s="1059" t="str">
        <f>IFERROR(IF(AND(B91&gt;0,B91/1),INDEX(Заказ!$B$1:$AV$3196,MATCH(B91,Заказ!$AV$1:$AV$3196,0),16),""),"")</f>
        <v/>
      </c>
      <c r="H91" s="1"/>
    </row>
    <row r="92" spans="1:8" ht="12" customHeight="1" x14ac:dyDescent="0.25">
      <c r="A92" s="1051" t="str">
        <f>IFERROR(IF(AND(B92&gt;0,B92/1),INDEX(Заказ!$B$412:$AV$3196,MATCH(B92,Заказ!$AV$412:$AV$3196,0),1),""),"")</f>
        <v/>
      </c>
      <c r="B92" s="1056" t="str">
        <f>IFERROR(IF(B91&gt;0,SMALL(Заказ!$AV$1:$AV$3196,1+B91),""),"")</f>
        <v/>
      </c>
      <c r="C92" s="1057" t="str">
        <f>IFERROR(IF(AND(B92&gt;0,B92/1),INDEX(Заказ!$B$1:$AV$3196,MATCH(B92,Заказ!$AV$1:$AV$3196,0),3),""),"")</f>
        <v/>
      </c>
      <c r="D92" s="1058" t="str">
        <f>IFERROR(IF(AND(B92&gt;0,B92/1),INDEX(Заказ!$B$1:$AV$3196,MATCH(B92,Заказ!$AV$1:$AV$3196,0),9),""),"")</f>
        <v/>
      </c>
      <c r="E92" s="1056" t="str">
        <f>IFERROR(IF(AND(B92&gt;0,B92/1),INDEX(Заказ!$B$1:$AV$3196,MATCH(B92,Заказ!$AV$1:$AV$3196,0),5),""),"")</f>
        <v/>
      </c>
      <c r="F92" s="1056" t="str">
        <f>IFERROR(IF(AND(B92&gt;0,B92/1),INDEX(Заказ!$B$1:$AV$3196,MATCH(B92,Заказ!$AV$1:$AV$3196,0),16)/INDEX(Заказ!$B$1:$AV$3196,MATCH(B92,Заказ!$AV$1:$AV$3196,0),5),""),"")</f>
        <v/>
      </c>
      <c r="G92" s="1059" t="str">
        <f>IFERROR(IF(AND(B92&gt;0,B92/1),INDEX(Заказ!$B$1:$AV$3196,MATCH(B92,Заказ!$AV$1:$AV$3196,0),16),""),"")</f>
        <v/>
      </c>
      <c r="H92" s="1"/>
    </row>
    <row r="93" spans="1:8" ht="12" customHeight="1" x14ac:dyDescent="0.25">
      <c r="A93" s="1051" t="str">
        <f>IFERROR(IF(AND(B93&gt;0,B93/1),INDEX(Заказ!$B$412:$AV$3196,MATCH(B93,Заказ!$AV$412:$AV$3196,0),1),""),"")</f>
        <v/>
      </c>
      <c r="B93" s="1056" t="str">
        <f>IFERROR(IF(B92&gt;0,SMALL(Заказ!$AV$1:$AV$3196,1+B92),""),"")</f>
        <v/>
      </c>
      <c r="C93" s="1057" t="str">
        <f>IFERROR(IF(AND(B93&gt;0,B93/1),INDEX(Заказ!$B$1:$AV$3196,MATCH(B93,Заказ!$AV$1:$AV$3196,0),3),""),"")</f>
        <v/>
      </c>
      <c r="D93" s="1058" t="str">
        <f>IFERROR(IF(AND(B93&gt;0,B93/1),INDEX(Заказ!$B$1:$AV$3196,MATCH(B93,Заказ!$AV$1:$AV$3196,0),9),""),"")</f>
        <v/>
      </c>
      <c r="E93" s="1056" t="str">
        <f>IFERROR(IF(AND(B93&gt;0,B93/1),INDEX(Заказ!$B$1:$AV$3196,MATCH(B93,Заказ!$AV$1:$AV$3196,0),5),""),"")</f>
        <v/>
      </c>
      <c r="F93" s="1056" t="str">
        <f>IFERROR(IF(AND(B93&gt;0,B93/1),INDEX(Заказ!$B$1:$AV$3196,MATCH(B93,Заказ!$AV$1:$AV$3196,0),16)/INDEX(Заказ!$B$1:$AV$3196,MATCH(B93,Заказ!$AV$1:$AV$3196,0),5),""),"")</f>
        <v/>
      </c>
      <c r="G93" s="1059" t="str">
        <f>IFERROR(IF(AND(B93&gt;0,B93/1),INDEX(Заказ!$B$1:$AV$3196,MATCH(B93,Заказ!$AV$1:$AV$3196,0),16),""),"")</f>
        <v/>
      </c>
      <c r="H93" s="1"/>
    </row>
    <row r="94" spans="1:8" ht="12" customHeight="1" x14ac:dyDescent="0.25">
      <c r="A94" s="1051" t="str">
        <f>IFERROR(IF(AND(B94&gt;0,B94/1),INDEX(Заказ!$B$412:$AV$3196,MATCH(B94,Заказ!$AV$412:$AV$3196,0),1),""),"")</f>
        <v/>
      </c>
      <c r="B94" s="1056" t="str">
        <f>IFERROR(IF(B93&gt;0,SMALL(Заказ!$AV$1:$AV$3196,1+B93),""),"")</f>
        <v/>
      </c>
      <c r="C94" s="1057" t="str">
        <f>IFERROR(IF(AND(B94&gt;0,B94/1),INDEX(Заказ!$B$1:$AV$3196,MATCH(B94,Заказ!$AV$1:$AV$3196,0),3),""),"")</f>
        <v/>
      </c>
      <c r="D94" s="1058" t="str">
        <f>IFERROR(IF(AND(B94&gt;0,B94/1),INDEX(Заказ!$B$1:$AV$3196,MATCH(B94,Заказ!$AV$1:$AV$3196,0),9),""),"")</f>
        <v/>
      </c>
      <c r="E94" s="1056" t="str">
        <f>IFERROR(IF(AND(B94&gt;0,B94/1),INDEX(Заказ!$B$1:$AV$3196,MATCH(B94,Заказ!$AV$1:$AV$3196,0),5),""),"")</f>
        <v/>
      </c>
      <c r="F94" s="1056" t="str">
        <f>IFERROR(IF(AND(B94&gt;0,B94/1),INDEX(Заказ!$B$1:$AV$3196,MATCH(B94,Заказ!$AV$1:$AV$3196,0),16)/INDEX(Заказ!$B$1:$AV$3196,MATCH(B94,Заказ!$AV$1:$AV$3196,0),5),""),"")</f>
        <v/>
      </c>
      <c r="G94" s="1059" t="str">
        <f>IFERROR(IF(AND(B94&gt;0,B94/1),INDEX(Заказ!$B$1:$AV$3196,MATCH(B94,Заказ!$AV$1:$AV$3196,0),16),""),"")</f>
        <v/>
      </c>
      <c r="H94" s="1"/>
    </row>
    <row r="95" spans="1:8" ht="12" customHeight="1" x14ac:dyDescent="0.25">
      <c r="A95" s="1051" t="str">
        <f>IFERROR(IF(AND(B95&gt;0,B95/1),INDEX(Заказ!$B$412:$AV$3196,MATCH(B95,Заказ!$AV$412:$AV$3196,0),1),""),"")</f>
        <v/>
      </c>
      <c r="B95" s="1056" t="str">
        <f>IFERROR(IF(B94&gt;0,SMALL(Заказ!$AV$1:$AV$3196,1+B94),""),"")</f>
        <v/>
      </c>
      <c r="C95" s="1057" t="str">
        <f>IFERROR(IF(AND(B95&gt;0,B95/1),INDEX(Заказ!$B$1:$AV$3196,MATCH(B95,Заказ!$AV$1:$AV$3196,0),3),""),"")</f>
        <v/>
      </c>
      <c r="D95" s="1058" t="str">
        <f>IFERROR(IF(AND(B95&gt;0,B95/1),INDEX(Заказ!$B$1:$AV$3196,MATCH(B95,Заказ!$AV$1:$AV$3196,0),9),""),"")</f>
        <v/>
      </c>
      <c r="E95" s="1056" t="str">
        <f>IFERROR(IF(AND(B95&gt;0,B95/1),INDEX(Заказ!$B$1:$AV$3196,MATCH(B95,Заказ!$AV$1:$AV$3196,0),5),""),"")</f>
        <v/>
      </c>
      <c r="F95" s="1056" t="str">
        <f>IFERROR(IF(AND(B95&gt;0,B95/1),INDEX(Заказ!$B$1:$AV$3196,MATCH(B95,Заказ!$AV$1:$AV$3196,0),16)/INDEX(Заказ!$B$1:$AV$3196,MATCH(B95,Заказ!$AV$1:$AV$3196,0),5),""),"")</f>
        <v/>
      </c>
      <c r="G95" s="1059" t="str">
        <f>IFERROR(IF(AND(B95&gt;0,B95/1),INDEX(Заказ!$B$1:$AV$3196,MATCH(B95,Заказ!$AV$1:$AV$3196,0),16),""),"")</f>
        <v/>
      </c>
      <c r="H95" s="1"/>
    </row>
    <row r="96" spans="1:8" ht="12" customHeight="1" x14ac:dyDescent="0.25">
      <c r="A96" s="1051" t="str">
        <f>IFERROR(IF(AND(B96&gt;0,B96/1),INDEX(Заказ!$B$412:$AV$3196,MATCH(B96,Заказ!$AV$412:$AV$3196,0),1),""),"")</f>
        <v/>
      </c>
      <c r="B96" s="1056" t="str">
        <f>IFERROR(IF(B95&gt;0,SMALL(Заказ!$AV$1:$AV$3196,1+B95),""),"")</f>
        <v/>
      </c>
      <c r="C96" s="1057" t="str">
        <f>IFERROR(IF(AND(B96&gt;0,B96/1),INDEX(Заказ!$B$1:$AV$3196,MATCH(B96,Заказ!$AV$1:$AV$3196,0),3),""),"")</f>
        <v/>
      </c>
      <c r="D96" s="1058" t="str">
        <f>IFERROR(IF(AND(B96&gt;0,B96/1),INDEX(Заказ!$B$1:$AV$3196,MATCH(B96,Заказ!$AV$1:$AV$3196,0),9),""),"")</f>
        <v/>
      </c>
      <c r="E96" s="1056" t="str">
        <f>IFERROR(IF(AND(B96&gt;0,B96/1),INDEX(Заказ!$B$1:$AV$3196,MATCH(B96,Заказ!$AV$1:$AV$3196,0),5),""),"")</f>
        <v/>
      </c>
      <c r="F96" s="1056" t="str">
        <f>IFERROR(IF(AND(B96&gt;0,B96/1),INDEX(Заказ!$B$1:$AV$3196,MATCH(B96,Заказ!$AV$1:$AV$3196,0),16)/INDEX(Заказ!$B$1:$AV$3196,MATCH(B96,Заказ!$AV$1:$AV$3196,0),5),""),"")</f>
        <v/>
      </c>
      <c r="G96" s="1059" t="str">
        <f>IFERROR(IF(AND(B96&gt;0,B96/1),INDEX(Заказ!$B$1:$AV$3196,MATCH(B96,Заказ!$AV$1:$AV$3196,0),16),""),"")</f>
        <v/>
      </c>
      <c r="H96" s="1"/>
    </row>
    <row r="97" spans="1:8" ht="12" customHeight="1" x14ac:dyDescent="0.25">
      <c r="A97" s="1051" t="str">
        <f>IFERROR(IF(AND(B97&gt;0,B97/1),INDEX(Заказ!$B$412:$AV$3196,MATCH(B97,Заказ!$AV$412:$AV$3196,0),1),""),"")</f>
        <v/>
      </c>
      <c r="B97" s="1056" t="str">
        <f>IFERROR(IF(B96&gt;0,SMALL(Заказ!$AV$1:$AV$3196,1+B96),""),"")</f>
        <v/>
      </c>
      <c r="C97" s="1057" t="str">
        <f>IFERROR(IF(AND(B97&gt;0,B97/1),INDEX(Заказ!$B$1:$AV$3196,MATCH(B97,Заказ!$AV$1:$AV$3196,0),3),""),"")</f>
        <v/>
      </c>
      <c r="D97" s="1058" t="str">
        <f>IFERROR(IF(AND(B97&gt;0,B97/1),INDEX(Заказ!$B$1:$AV$3196,MATCH(B97,Заказ!$AV$1:$AV$3196,0),9),""),"")</f>
        <v/>
      </c>
      <c r="E97" s="1056" t="str">
        <f>IFERROR(IF(AND(B97&gt;0,B97/1),INDEX(Заказ!$B$1:$AV$3196,MATCH(B97,Заказ!$AV$1:$AV$3196,0),5),""),"")</f>
        <v/>
      </c>
      <c r="F97" s="1056" t="str">
        <f>IFERROR(IF(AND(B97&gt;0,B97/1),INDEX(Заказ!$B$1:$AV$3196,MATCH(B97,Заказ!$AV$1:$AV$3196,0),16)/INDEX(Заказ!$B$1:$AV$3196,MATCH(B97,Заказ!$AV$1:$AV$3196,0),5),""),"")</f>
        <v/>
      </c>
      <c r="G97" s="1059" t="str">
        <f>IFERROR(IF(AND(B97&gt;0,B97/1),INDEX(Заказ!$B$1:$AV$3196,MATCH(B97,Заказ!$AV$1:$AV$3196,0),16),""),"")</f>
        <v/>
      </c>
      <c r="H97" s="1"/>
    </row>
    <row r="98" spans="1:8" ht="12" customHeight="1" x14ac:dyDescent="0.25">
      <c r="A98" s="1051" t="str">
        <f>IFERROR(IF(AND(B98&gt;0,B98/1),INDEX(Заказ!$B$412:$AV$3196,MATCH(B98,Заказ!$AV$412:$AV$3196,0),1),""),"")</f>
        <v/>
      </c>
      <c r="B98" s="1056" t="str">
        <f>IFERROR(IF(B97&gt;0,SMALL(Заказ!$AV$1:$AV$3196,1+B97),""),"")</f>
        <v/>
      </c>
      <c r="C98" s="1057" t="str">
        <f>IFERROR(IF(AND(B98&gt;0,B98/1),INDEX(Заказ!$B$1:$AV$3196,MATCH(B98,Заказ!$AV$1:$AV$3196,0),3),""),"")</f>
        <v/>
      </c>
      <c r="D98" s="1058" t="str">
        <f>IFERROR(IF(AND(B98&gt;0,B98/1),INDEX(Заказ!$B$1:$AV$3196,MATCH(B98,Заказ!$AV$1:$AV$3196,0),9),""),"")</f>
        <v/>
      </c>
      <c r="E98" s="1056" t="str">
        <f>IFERROR(IF(AND(B98&gt;0,B98/1),INDEX(Заказ!$B$1:$AV$3196,MATCH(B98,Заказ!$AV$1:$AV$3196,0),5),""),"")</f>
        <v/>
      </c>
      <c r="F98" s="1056" t="str">
        <f>IFERROR(IF(AND(B98&gt;0,B98/1),INDEX(Заказ!$B$1:$AV$3196,MATCH(B98,Заказ!$AV$1:$AV$3196,0),16)/INDEX(Заказ!$B$1:$AV$3196,MATCH(B98,Заказ!$AV$1:$AV$3196,0),5),""),"")</f>
        <v/>
      </c>
      <c r="G98" s="1059" t="str">
        <f>IFERROR(IF(AND(B98&gt;0,B98/1),INDEX(Заказ!$B$1:$AV$3196,MATCH(B98,Заказ!$AV$1:$AV$3196,0),16),""),"")</f>
        <v/>
      </c>
      <c r="H98" s="1"/>
    </row>
    <row r="99" spans="1:8" ht="12" customHeight="1" x14ac:dyDescent="0.25">
      <c r="A99" s="1051" t="str">
        <f>IFERROR(IF(AND(B99&gt;0,B99/1),INDEX(Заказ!$B$412:$AV$3196,MATCH(B99,Заказ!$AV$412:$AV$3196,0),1),""),"")</f>
        <v/>
      </c>
      <c r="B99" s="1056" t="str">
        <f>IFERROR(IF(B98&gt;0,SMALL(Заказ!$AV$1:$AV$3196,1+B98),""),"")</f>
        <v/>
      </c>
      <c r="C99" s="1057" t="str">
        <f>IFERROR(IF(AND(B99&gt;0,B99/1),INDEX(Заказ!$B$1:$AV$3196,MATCH(B99,Заказ!$AV$1:$AV$3196,0),3),""),"")</f>
        <v/>
      </c>
      <c r="D99" s="1058" t="str">
        <f>IFERROR(IF(AND(B99&gt;0,B99/1),INDEX(Заказ!$B$1:$AV$3196,MATCH(B99,Заказ!$AV$1:$AV$3196,0),9),""),"")</f>
        <v/>
      </c>
      <c r="E99" s="1056" t="str">
        <f>IFERROR(IF(AND(B99&gt;0,B99/1),INDEX(Заказ!$B$1:$AV$3196,MATCH(B99,Заказ!$AV$1:$AV$3196,0),5),""),"")</f>
        <v/>
      </c>
      <c r="F99" s="1056" t="str">
        <f>IFERROR(IF(AND(B99&gt;0,B99/1),INDEX(Заказ!$B$1:$AV$3196,MATCH(B99,Заказ!$AV$1:$AV$3196,0),16)/INDEX(Заказ!$B$1:$AV$3196,MATCH(B99,Заказ!$AV$1:$AV$3196,0),5),""),"")</f>
        <v/>
      </c>
      <c r="G99" s="1059" t="str">
        <f>IFERROR(IF(AND(B99&gt;0,B99/1),INDEX(Заказ!$B$1:$AV$3196,MATCH(B99,Заказ!$AV$1:$AV$3196,0),16),""),"")</f>
        <v/>
      </c>
      <c r="H99" s="1"/>
    </row>
    <row r="100" spans="1:8" ht="12" customHeight="1" x14ac:dyDescent="0.25">
      <c r="A100" s="1051" t="str">
        <f>IFERROR(IF(AND(B100&gt;0,B100/1),INDEX(Заказ!$B$412:$AV$3196,MATCH(B100,Заказ!$AV$412:$AV$3196,0),1),""),"")</f>
        <v/>
      </c>
      <c r="B100" s="1056" t="str">
        <f>IFERROR(IF(B99&gt;0,SMALL(Заказ!$AV$1:$AV$3196,1+B99),""),"")</f>
        <v/>
      </c>
      <c r="C100" s="1057" t="str">
        <f>IFERROR(IF(AND(B100&gt;0,B100/1),INDEX(Заказ!$B$1:$AV$3196,MATCH(B100,Заказ!$AV$1:$AV$3196,0),3),""),"")</f>
        <v/>
      </c>
      <c r="D100" s="1058" t="str">
        <f>IFERROR(IF(AND(B100&gt;0,B100/1),INDEX(Заказ!$B$1:$AV$3196,MATCH(B100,Заказ!$AV$1:$AV$3196,0),9),""),"")</f>
        <v/>
      </c>
      <c r="E100" s="1056" t="str">
        <f>IFERROR(IF(AND(B100&gt;0,B100/1),INDEX(Заказ!$B$1:$AV$3196,MATCH(B100,Заказ!$AV$1:$AV$3196,0),5),""),"")</f>
        <v/>
      </c>
      <c r="F100" s="1056" t="str">
        <f>IFERROR(IF(AND(B100&gt;0,B100/1),INDEX(Заказ!$B$1:$AV$3196,MATCH(B100,Заказ!$AV$1:$AV$3196,0),16)/INDEX(Заказ!$B$1:$AV$3196,MATCH(B100,Заказ!$AV$1:$AV$3196,0),5),""),"")</f>
        <v/>
      </c>
      <c r="G100" s="1059" t="str">
        <f>IFERROR(IF(AND(B100&gt;0,B100/1),INDEX(Заказ!$B$1:$AV$3196,MATCH(B100,Заказ!$AV$1:$AV$3196,0),16),""),"")</f>
        <v/>
      </c>
      <c r="H100" s="1"/>
    </row>
    <row r="101" spans="1:8" ht="12" customHeight="1" x14ac:dyDescent="0.25">
      <c r="A101" s="1051" t="str">
        <f>IFERROR(IF(AND(B101&gt;0,B101/1),INDEX(Заказ!$B$412:$AV$3196,MATCH(B101,Заказ!$AV$412:$AV$3196,0),1),""),"")</f>
        <v/>
      </c>
      <c r="B101" s="1056" t="str">
        <f>IFERROR(IF(B100&gt;0,SMALL(Заказ!$AV$1:$AV$3196,1+B100),""),"")</f>
        <v/>
      </c>
      <c r="C101" s="1057" t="str">
        <f>IFERROR(IF(AND(B101&gt;0,B101/1),INDEX(Заказ!$B$1:$AV$3196,MATCH(B101,Заказ!$AV$1:$AV$3196,0),3),""),"")</f>
        <v/>
      </c>
      <c r="D101" s="1058" t="str">
        <f>IFERROR(IF(AND(B101&gt;0,B101/1),INDEX(Заказ!$B$1:$AV$3196,MATCH(B101,Заказ!$AV$1:$AV$3196,0),9),""),"")</f>
        <v/>
      </c>
      <c r="E101" s="1056" t="str">
        <f>IFERROR(IF(AND(B101&gt;0,B101/1),INDEX(Заказ!$B$1:$AV$3196,MATCH(B101,Заказ!$AV$1:$AV$3196,0),5),""),"")</f>
        <v/>
      </c>
      <c r="F101" s="1056" t="str">
        <f>IFERROR(IF(AND(B101&gt;0,B101/1),INDEX(Заказ!$B$1:$AV$3196,MATCH(B101,Заказ!$AV$1:$AV$3196,0),16)/INDEX(Заказ!$B$1:$AV$3196,MATCH(B101,Заказ!$AV$1:$AV$3196,0),5),""),"")</f>
        <v/>
      </c>
      <c r="G101" s="1059" t="str">
        <f>IFERROR(IF(AND(B101&gt;0,B101/1),INDEX(Заказ!$B$1:$AV$3196,MATCH(B101,Заказ!$AV$1:$AV$3196,0),16),""),"")</f>
        <v/>
      </c>
      <c r="H101" s="1"/>
    </row>
    <row r="102" spans="1:8" ht="12" customHeight="1" x14ac:dyDescent="0.25">
      <c r="A102" s="1051" t="str">
        <f>IFERROR(IF(AND(B102&gt;0,B102/1),INDEX(Заказ!$B$412:$AV$3196,MATCH(B102,Заказ!$AV$412:$AV$3196,0),1),""),"")</f>
        <v/>
      </c>
      <c r="B102" s="1056" t="str">
        <f>IFERROR(IF(B101&gt;0,SMALL(Заказ!$AV$1:$AV$3196,1+B101),""),"")</f>
        <v/>
      </c>
      <c r="C102" s="1057" t="str">
        <f>IFERROR(IF(AND(B102&gt;0,B102/1),INDEX(Заказ!$B$1:$AV$3196,MATCH(B102,Заказ!$AV$1:$AV$3196,0),3),""),"")</f>
        <v/>
      </c>
      <c r="D102" s="1058" t="str">
        <f>IFERROR(IF(AND(B102&gt;0,B102/1),INDEX(Заказ!$B$1:$AV$3196,MATCH(B102,Заказ!$AV$1:$AV$3196,0),9),""),"")</f>
        <v/>
      </c>
      <c r="E102" s="1056" t="str">
        <f>IFERROR(IF(AND(B102&gt;0,B102/1),INDEX(Заказ!$B$1:$AV$3196,MATCH(B102,Заказ!$AV$1:$AV$3196,0),5),""),"")</f>
        <v/>
      </c>
      <c r="F102" s="1056" t="str">
        <f>IFERROR(IF(AND(B102&gt;0,B102/1),INDEX(Заказ!$B$1:$AV$3196,MATCH(B102,Заказ!$AV$1:$AV$3196,0),16)/INDEX(Заказ!$B$1:$AV$3196,MATCH(B102,Заказ!$AV$1:$AV$3196,0),5),""),"")</f>
        <v/>
      </c>
      <c r="G102" s="1059" t="str">
        <f>IFERROR(IF(AND(B102&gt;0,B102/1),INDEX(Заказ!$B$1:$AV$3196,MATCH(B102,Заказ!$AV$1:$AV$3196,0),16),""),"")</f>
        <v/>
      </c>
      <c r="H102" s="1"/>
    </row>
    <row r="103" spans="1:8" ht="12" customHeight="1" x14ac:dyDescent="0.25">
      <c r="A103" s="1051" t="str">
        <f>IFERROR(IF(AND(B103&gt;0,B103/1),INDEX(Заказ!$B$412:$AV$3196,MATCH(B103,Заказ!$AV$412:$AV$3196,0),1),""),"")</f>
        <v/>
      </c>
      <c r="B103" s="1056" t="str">
        <f>IFERROR(IF(B102&gt;0,SMALL(Заказ!$AV$1:$AV$3196,1+B102),""),"")</f>
        <v/>
      </c>
      <c r="C103" s="1057" t="str">
        <f>IFERROR(IF(AND(B103&gt;0,B103/1),INDEX(Заказ!$B$1:$AV$3196,MATCH(B103,Заказ!$AV$1:$AV$3196,0),3),""),"")</f>
        <v/>
      </c>
      <c r="D103" s="1058" t="str">
        <f>IFERROR(IF(AND(B103&gt;0,B103/1),INDEX(Заказ!$B$1:$AV$3196,MATCH(B103,Заказ!$AV$1:$AV$3196,0),9),""),"")</f>
        <v/>
      </c>
      <c r="E103" s="1056" t="str">
        <f>IFERROR(IF(AND(B103&gt;0,B103/1),INDEX(Заказ!$B$1:$AV$3196,MATCH(B103,Заказ!$AV$1:$AV$3196,0),5),""),"")</f>
        <v/>
      </c>
      <c r="F103" s="1056" t="str">
        <f>IFERROR(IF(AND(B103&gt;0,B103/1),INDEX(Заказ!$B$1:$AV$3196,MATCH(B103,Заказ!$AV$1:$AV$3196,0),16)/INDEX(Заказ!$B$1:$AV$3196,MATCH(B103,Заказ!$AV$1:$AV$3196,0),5),""),"")</f>
        <v/>
      </c>
      <c r="G103" s="1059" t="str">
        <f>IFERROR(IF(AND(B103&gt;0,B103/1),INDEX(Заказ!$B$1:$AV$3196,MATCH(B103,Заказ!$AV$1:$AV$3196,0),16),""),"")</f>
        <v/>
      </c>
      <c r="H103" s="1"/>
    </row>
    <row r="104" spans="1:8" ht="12" customHeight="1" x14ac:dyDescent="0.25">
      <c r="A104" s="1051" t="str">
        <f>IFERROR(IF(AND(B104&gt;0,B104/1),INDEX(Заказ!$B$412:$AV$3196,MATCH(B104,Заказ!$AV$412:$AV$3196,0),1),""),"")</f>
        <v/>
      </c>
      <c r="B104" s="1056" t="str">
        <f>IFERROR(IF(B103&gt;0,SMALL(Заказ!$AV$1:$AV$3196,1+B103),""),"")</f>
        <v/>
      </c>
      <c r="C104" s="1057" t="str">
        <f>IFERROR(IF(AND(B104&gt;0,B104/1),INDEX(Заказ!$B$1:$AV$3196,MATCH(B104,Заказ!$AV$1:$AV$3196,0),3),""),"")</f>
        <v/>
      </c>
      <c r="D104" s="1058" t="str">
        <f>IFERROR(IF(AND(B104&gt;0,B104/1),INDEX(Заказ!$B$1:$AV$3196,MATCH(B104,Заказ!$AV$1:$AV$3196,0),9),""),"")</f>
        <v/>
      </c>
      <c r="E104" s="1056" t="str">
        <f>IFERROR(IF(AND(B104&gt;0,B104/1),INDEX(Заказ!$B$1:$AV$3196,MATCH(B104,Заказ!$AV$1:$AV$3196,0),5),""),"")</f>
        <v/>
      </c>
      <c r="F104" s="1056" t="str">
        <f>IFERROR(IF(AND(B104&gt;0,B104/1),INDEX(Заказ!$B$1:$AV$3196,MATCH(B104,Заказ!$AV$1:$AV$3196,0),16)/INDEX(Заказ!$B$1:$AV$3196,MATCH(B104,Заказ!$AV$1:$AV$3196,0),5),""),"")</f>
        <v/>
      </c>
      <c r="G104" s="1059" t="str">
        <f>IFERROR(IF(AND(B104&gt;0,B104/1),INDEX(Заказ!$B$1:$AV$3196,MATCH(B104,Заказ!$AV$1:$AV$3196,0),16),""),"")</f>
        <v/>
      </c>
      <c r="H104" s="1"/>
    </row>
    <row r="105" spans="1:8" ht="12" customHeight="1" x14ac:dyDescent="0.25">
      <c r="A105" s="1051" t="str">
        <f>IFERROR(IF(AND(B105&gt;0,B105/1),INDEX(Заказ!$B$412:$AV$3196,MATCH(B105,Заказ!$AV$412:$AV$3196,0),1),""),"")</f>
        <v/>
      </c>
      <c r="B105" s="1056" t="str">
        <f>IFERROR(IF(B104&gt;0,SMALL(Заказ!$AV$1:$AV$3196,1+B104),""),"")</f>
        <v/>
      </c>
      <c r="C105" s="1057" t="str">
        <f>IFERROR(IF(AND(B105&gt;0,B105/1),INDEX(Заказ!$B$1:$AV$3196,MATCH(B105,Заказ!$AV$1:$AV$3196,0),3),""),"")</f>
        <v/>
      </c>
      <c r="D105" s="1058" t="str">
        <f>IFERROR(IF(AND(B105&gt;0,B105/1),INDEX(Заказ!$B$1:$AV$3196,MATCH(B105,Заказ!$AV$1:$AV$3196,0),9),""),"")</f>
        <v/>
      </c>
      <c r="E105" s="1056" t="str">
        <f>IFERROR(IF(AND(B105&gt;0,B105/1),INDEX(Заказ!$B$1:$AV$3196,MATCH(B105,Заказ!$AV$1:$AV$3196,0),5),""),"")</f>
        <v/>
      </c>
      <c r="F105" s="1056" t="str">
        <f>IFERROR(IF(AND(B105&gt;0,B105/1),INDEX(Заказ!$B$1:$AV$3196,MATCH(B105,Заказ!$AV$1:$AV$3196,0),16)/INDEX(Заказ!$B$1:$AV$3196,MATCH(B105,Заказ!$AV$1:$AV$3196,0),5),""),"")</f>
        <v/>
      </c>
      <c r="G105" s="1059" t="str">
        <f>IFERROR(IF(AND(B105&gt;0,B105/1),INDEX(Заказ!$B$1:$AV$3196,MATCH(B105,Заказ!$AV$1:$AV$3196,0),16),""),"")</f>
        <v/>
      </c>
      <c r="H105" s="1"/>
    </row>
    <row r="106" spans="1:8" ht="12" customHeight="1" x14ac:dyDescent="0.25">
      <c r="A106" s="1051" t="str">
        <f>IFERROR(IF(AND(B106&gt;0,B106/1),INDEX(Заказ!$B$412:$AV$3196,MATCH(B106,Заказ!$AV$412:$AV$3196,0),1),""),"")</f>
        <v/>
      </c>
      <c r="B106" s="1056" t="str">
        <f>IFERROR(IF(B105&gt;0,SMALL(Заказ!$AV$1:$AV$3196,1+B105),""),"")</f>
        <v/>
      </c>
      <c r="C106" s="1057" t="str">
        <f>IFERROR(IF(AND(B106&gt;0,B106/1),INDEX(Заказ!$B$1:$AV$3196,MATCH(B106,Заказ!$AV$1:$AV$3196,0),3),""),"")</f>
        <v/>
      </c>
      <c r="D106" s="1058" t="str">
        <f>IFERROR(IF(AND(B106&gt;0,B106/1),INDEX(Заказ!$B$1:$AV$3196,MATCH(B106,Заказ!$AV$1:$AV$3196,0),9),""),"")</f>
        <v/>
      </c>
      <c r="E106" s="1056" t="str">
        <f>IFERROR(IF(AND(B106&gt;0,B106/1),INDEX(Заказ!$B$1:$AV$3196,MATCH(B106,Заказ!$AV$1:$AV$3196,0),5),""),"")</f>
        <v/>
      </c>
      <c r="F106" s="1056" t="str">
        <f>IFERROR(IF(AND(B106&gt;0,B106/1),INDEX(Заказ!$B$1:$AV$3196,MATCH(B106,Заказ!$AV$1:$AV$3196,0),16)/INDEX(Заказ!$B$1:$AV$3196,MATCH(B106,Заказ!$AV$1:$AV$3196,0),5),""),"")</f>
        <v/>
      </c>
      <c r="G106" s="1059" t="str">
        <f>IFERROR(IF(AND(B106&gt;0,B106/1),INDEX(Заказ!$B$1:$AV$3196,MATCH(B106,Заказ!$AV$1:$AV$3196,0),16),""),"")</f>
        <v/>
      </c>
      <c r="H106" s="1"/>
    </row>
    <row r="107" spans="1:8" ht="12" customHeight="1" x14ac:dyDescent="0.25">
      <c r="A107" s="1051" t="str">
        <f>IFERROR(IF(AND(B107&gt;0,B107/1),INDEX(Заказ!$B$412:$AV$3196,MATCH(B107,Заказ!$AV$412:$AV$3196,0),1),""),"")</f>
        <v/>
      </c>
      <c r="B107" s="1056" t="str">
        <f>IFERROR(IF(B106&gt;0,SMALL(Заказ!$AV$1:$AV$3196,1+B106),""),"")</f>
        <v/>
      </c>
      <c r="C107" s="1057" t="str">
        <f>IFERROR(IF(AND(B107&gt;0,B107/1),INDEX(Заказ!$B$1:$AV$3196,MATCH(B107,Заказ!$AV$1:$AV$3196,0),3),""),"")</f>
        <v/>
      </c>
      <c r="D107" s="1058" t="str">
        <f>IFERROR(IF(AND(B107&gt;0,B107/1),INDEX(Заказ!$B$1:$AV$3196,MATCH(B107,Заказ!$AV$1:$AV$3196,0),9),""),"")</f>
        <v/>
      </c>
      <c r="E107" s="1056" t="str">
        <f>IFERROR(IF(AND(B107&gt;0,B107/1),INDEX(Заказ!$B$1:$AV$3196,MATCH(B107,Заказ!$AV$1:$AV$3196,0),5),""),"")</f>
        <v/>
      </c>
      <c r="F107" s="1056" t="str">
        <f>IFERROR(IF(AND(B107&gt;0,B107/1),INDEX(Заказ!$B$1:$AV$3196,MATCH(B107,Заказ!$AV$1:$AV$3196,0),16)/INDEX(Заказ!$B$1:$AV$3196,MATCH(B107,Заказ!$AV$1:$AV$3196,0),5),""),"")</f>
        <v/>
      </c>
      <c r="G107" s="1059" t="str">
        <f>IFERROR(IF(AND(B107&gt;0,B107/1),INDEX(Заказ!$B$1:$AV$3196,MATCH(B107,Заказ!$AV$1:$AV$3196,0),16),""),"")</f>
        <v/>
      </c>
      <c r="H107" s="1"/>
    </row>
    <row r="108" spans="1:8" ht="12" customHeight="1" x14ac:dyDescent="0.25">
      <c r="A108" s="1051" t="str">
        <f>IFERROR(IF(AND(B108&gt;0,B108/1),INDEX(Заказ!$B$412:$AV$3196,MATCH(B108,Заказ!$AV$412:$AV$3196,0),1),""),"")</f>
        <v/>
      </c>
      <c r="B108" s="1056" t="str">
        <f>IFERROR(IF(B107&gt;0,SMALL(Заказ!$AV$1:$AV$3196,1+B107),""),"")</f>
        <v/>
      </c>
      <c r="C108" s="1057" t="str">
        <f>IFERROR(IF(AND(B108&gt;0,B108/1),INDEX(Заказ!$B$1:$AV$3196,MATCH(B108,Заказ!$AV$1:$AV$3196,0),3),""),"")</f>
        <v/>
      </c>
      <c r="D108" s="1058" t="str">
        <f>IFERROR(IF(AND(B108&gt;0,B108/1),INDEX(Заказ!$B$1:$AV$3196,MATCH(B108,Заказ!$AV$1:$AV$3196,0),9),""),"")</f>
        <v/>
      </c>
      <c r="E108" s="1056" t="str">
        <f>IFERROR(IF(AND(B108&gt;0,B108/1),INDEX(Заказ!$B$1:$AV$3196,MATCH(B108,Заказ!$AV$1:$AV$3196,0),5),""),"")</f>
        <v/>
      </c>
      <c r="F108" s="1056" t="str">
        <f>IFERROR(IF(AND(B108&gt;0,B108/1),INDEX(Заказ!$B$1:$AV$3196,MATCH(B108,Заказ!$AV$1:$AV$3196,0),16)/INDEX(Заказ!$B$1:$AV$3196,MATCH(B108,Заказ!$AV$1:$AV$3196,0),5),""),"")</f>
        <v/>
      </c>
      <c r="G108" s="1059" t="str">
        <f>IFERROR(IF(AND(B108&gt;0,B108/1),INDEX(Заказ!$B$1:$AV$3196,MATCH(B108,Заказ!$AV$1:$AV$3196,0),16),""),"")</f>
        <v/>
      </c>
      <c r="H108" s="1"/>
    </row>
    <row r="109" spans="1:8" ht="12" customHeight="1" x14ac:dyDescent="0.25">
      <c r="A109" s="1051" t="str">
        <f>IFERROR(IF(AND(B109&gt;0,B109/1),INDEX(Заказ!$B$412:$AV$3196,MATCH(B109,Заказ!$AV$412:$AV$3196,0),1),""),"")</f>
        <v/>
      </c>
      <c r="B109" s="1056" t="str">
        <f>IFERROR(IF(B108&gt;0,SMALL(Заказ!$AV$1:$AV$3196,1+B108),""),"")</f>
        <v/>
      </c>
      <c r="C109" s="1057" t="str">
        <f>IFERROR(IF(AND(B109&gt;0,B109/1),INDEX(Заказ!$B$1:$AV$3196,MATCH(B109,Заказ!$AV$1:$AV$3196,0),3),""),"")</f>
        <v/>
      </c>
      <c r="D109" s="1058" t="str">
        <f>IFERROR(IF(AND(B109&gt;0,B109/1),INDEX(Заказ!$B$1:$AV$3196,MATCH(B109,Заказ!$AV$1:$AV$3196,0),9),""),"")</f>
        <v/>
      </c>
      <c r="E109" s="1056" t="str">
        <f>IFERROR(IF(AND(B109&gt;0,B109/1),INDEX(Заказ!$B$1:$AV$3196,MATCH(B109,Заказ!$AV$1:$AV$3196,0),5),""),"")</f>
        <v/>
      </c>
      <c r="F109" s="1056" t="str">
        <f>IFERROR(IF(AND(B109&gt;0,B109/1),INDEX(Заказ!$B$1:$AV$3196,MATCH(B109,Заказ!$AV$1:$AV$3196,0),16)/INDEX(Заказ!$B$1:$AV$3196,MATCH(B109,Заказ!$AV$1:$AV$3196,0),5),""),"")</f>
        <v/>
      </c>
      <c r="G109" s="1059" t="str">
        <f>IFERROR(IF(AND(B109&gt;0,B109/1),INDEX(Заказ!$B$1:$AV$3196,MATCH(B109,Заказ!$AV$1:$AV$3196,0),16),""),"")</f>
        <v/>
      </c>
      <c r="H109" s="1"/>
    </row>
    <row r="110" spans="1:8" ht="12" customHeight="1" x14ac:dyDescent="0.25">
      <c r="A110" s="1051" t="str">
        <f>IFERROR(IF(AND(B110&gt;0,B110/1),INDEX(Заказ!$B$412:$AV$3196,MATCH(B110,Заказ!$AV$412:$AV$3196,0),1),""),"")</f>
        <v/>
      </c>
      <c r="B110" s="1056" t="str">
        <f>IFERROR(IF(B109&gt;0,SMALL(Заказ!$AV$1:$AV$3196,1+B109),""),"")</f>
        <v/>
      </c>
      <c r="C110" s="1057" t="str">
        <f>IFERROR(IF(AND(B110&gt;0,B110/1),INDEX(Заказ!$B$1:$AV$3196,MATCH(B110,Заказ!$AV$1:$AV$3196,0),3),""),"")</f>
        <v/>
      </c>
      <c r="D110" s="1058" t="str">
        <f>IFERROR(IF(AND(B110&gt;0,B110/1),INDEX(Заказ!$B$1:$AV$3196,MATCH(B110,Заказ!$AV$1:$AV$3196,0),9),""),"")</f>
        <v/>
      </c>
      <c r="E110" s="1056" t="str">
        <f>IFERROR(IF(AND(B110&gt;0,B110/1),INDEX(Заказ!$B$1:$AV$3196,MATCH(B110,Заказ!$AV$1:$AV$3196,0),5),""),"")</f>
        <v/>
      </c>
      <c r="F110" s="1056" t="str">
        <f>IFERROR(IF(AND(B110&gt;0,B110/1),INDEX(Заказ!$B$1:$AV$3196,MATCH(B110,Заказ!$AV$1:$AV$3196,0),16)/INDEX(Заказ!$B$1:$AV$3196,MATCH(B110,Заказ!$AV$1:$AV$3196,0),5),""),"")</f>
        <v/>
      </c>
      <c r="G110" s="1059" t="str">
        <f>IFERROR(IF(AND(B110&gt;0,B110/1),INDEX(Заказ!$B$1:$AV$3196,MATCH(B110,Заказ!$AV$1:$AV$3196,0),16),""),"")</f>
        <v/>
      </c>
      <c r="H110" s="1"/>
    </row>
    <row r="111" spans="1:8" ht="12" customHeight="1" x14ac:dyDescent="0.25">
      <c r="A111" s="1051" t="str">
        <f>IFERROR(IF(AND(B111&gt;0,B111/1),INDEX(Заказ!$B$412:$AV$3196,MATCH(B111,Заказ!$AV$412:$AV$3196,0),1),""),"")</f>
        <v/>
      </c>
      <c r="B111" s="1056" t="str">
        <f>IFERROR(IF(B110&gt;0,SMALL(Заказ!$AV$1:$AV$3196,1+B110),""),"")</f>
        <v/>
      </c>
      <c r="C111" s="1057" t="str">
        <f>IFERROR(IF(AND(B111&gt;0,B111/1),INDEX(Заказ!$B$1:$AV$3196,MATCH(B111,Заказ!$AV$1:$AV$3196,0),3),""),"")</f>
        <v/>
      </c>
      <c r="D111" s="1058" t="str">
        <f>IFERROR(IF(AND(B111&gt;0,B111/1),INDEX(Заказ!$B$1:$AV$3196,MATCH(B111,Заказ!$AV$1:$AV$3196,0),9),""),"")</f>
        <v/>
      </c>
      <c r="E111" s="1056" t="str">
        <f>IFERROR(IF(AND(B111&gt;0,B111/1),INDEX(Заказ!$B$1:$AV$3196,MATCH(B111,Заказ!$AV$1:$AV$3196,0),5),""),"")</f>
        <v/>
      </c>
      <c r="F111" s="1056" t="str">
        <f>IFERROR(IF(AND(B111&gt;0,B111/1),INDEX(Заказ!$B$1:$AV$3196,MATCH(B111,Заказ!$AV$1:$AV$3196,0),16)/INDEX(Заказ!$B$1:$AV$3196,MATCH(B111,Заказ!$AV$1:$AV$3196,0),5),""),"")</f>
        <v/>
      </c>
      <c r="G111" s="1059" t="str">
        <f>IFERROR(IF(AND(B111&gt;0,B111/1),INDEX(Заказ!$B$1:$AV$3196,MATCH(B111,Заказ!$AV$1:$AV$3196,0),16),""),"")</f>
        <v/>
      </c>
      <c r="H111" s="1"/>
    </row>
    <row r="112" spans="1:8" ht="12" customHeight="1" x14ac:dyDescent="0.25">
      <c r="A112" s="1051" t="str">
        <f>IFERROR(IF(AND(B112&gt;0,B112/1),INDEX(Заказ!$B$412:$AV$3196,MATCH(B112,Заказ!$AV$412:$AV$3196,0),1),""),"")</f>
        <v/>
      </c>
      <c r="B112" s="1056" t="str">
        <f>IFERROR(IF(B111&gt;0,SMALL(Заказ!$AV$1:$AV$3196,1+B111),""),"")</f>
        <v/>
      </c>
      <c r="C112" s="1057" t="str">
        <f>IFERROR(IF(AND(B112&gt;0,B112/1),INDEX(Заказ!$B$1:$AV$3196,MATCH(B112,Заказ!$AV$1:$AV$3196,0),3),""),"")</f>
        <v/>
      </c>
      <c r="D112" s="1058" t="str">
        <f>IFERROR(IF(AND(B112&gt;0,B112/1),INDEX(Заказ!$B$1:$AV$3196,MATCH(B112,Заказ!$AV$1:$AV$3196,0),9),""),"")</f>
        <v/>
      </c>
      <c r="E112" s="1056" t="str">
        <f>IFERROR(IF(AND(B112&gt;0,B112/1),INDEX(Заказ!$B$1:$AV$3196,MATCH(B112,Заказ!$AV$1:$AV$3196,0),5),""),"")</f>
        <v/>
      </c>
      <c r="F112" s="1056" t="str">
        <f>IFERROR(IF(AND(B112&gt;0,B112/1),INDEX(Заказ!$B$1:$AV$3196,MATCH(B112,Заказ!$AV$1:$AV$3196,0),16)/INDEX(Заказ!$B$1:$AV$3196,MATCH(B112,Заказ!$AV$1:$AV$3196,0),5),""),"")</f>
        <v/>
      </c>
      <c r="G112" s="1059" t="str">
        <f>IFERROR(IF(AND(B112&gt;0,B112/1),INDEX(Заказ!$B$1:$AV$3196,MATCH(B112,Заказ!$AV$1:$AV$3196,0),16),""),"")</f>
        <v/>
      </c>
      <c r="H112" s="1"/>
    </row>
    <row r="113" spans="1:8" ht="12" customHeight="1" x14ac:dyDescent="0.25">
      <c r="A113" s="1051" t="str">
        <f>IFERROR(IF(AND(B113&gt;0,B113/1),INDEX(Заказ!$B$412:$AV$3196,MATCH(B113,Заказ!$AV$412:$AV$3196,0),1),""),"")</f>
        <v/>
      </c>
      <c r="B113" s="1056" t="str">
        <f>IFERROR(IF(B112&gt;0,SMALL(Заказ!$AV$1:$AV$3196,1+B112),""),"")</f>
        <v/>
      </c>
      <c r="C113" s="1057" t="str">
        <f>IFERROR(IF(AND(B113&gt;0,B113/1),INDEX(Заказ!$B$1:$AV$3196,MATCH(B113,Заказ!$AV$1:$AV$3196,0),3),""),"")</f>
        <v/>
      </c>
      <c r="D113" s="1058" t="str">
        <f>IFERROR(IF(AND(B113&gt;0,B113/1),INDEX(Заказ!$B$1:$AV$3196,MATCH(B113,Заказ!$AV$1:$AV$3196,0),9),""),"")</f>
        <v/>
      </c>
      <c r="E113" s="1056" t="str">
        <f>IFERROR(IF(AND(B113&gt;0,B113/1),INDEX(Заказ!$B$1:$AV$3196,MATCH(B113,Заказ!$AV$1:$AV$3196,0),5),""),"")</f>
        <v/>
      </c>
      <c r="F113" s="1056" t="str">
        <f>IFERROR(IF(AND(B113&gt;0,B113/1),INDEX(Заказ!$B$1:$AV$3196,MATCH(B113,Заказ!$AV$1:$AV$3196,0),16)/INDEX(Заказ!$B$1:$AV$3196,MATCH(B113,Заказ!$AV$1:$AV$3196,0),5),""),"")</f>
        <v/>
      </c>
      <c r="G113" s="1059" t="str">
        <f>IFERROR(IF(AND(B113&gt;0,B113/1),INDEX(Заказ!$B$1:$AV$3196,MATCH(B113,Заказ!$AV$1:$AV$3196,0),16),""),"")</f>
        <v/>
      </c>
      <c r="H113" s="1"/>
    </row>
    <row r="114" spans="1:8" ht="12" customHeight="1" x14ac:dyDescent="0.25">
      <c r="A114" s="1051" t="str">
        <f>IFERROR(IF(AND(B114&gt;0,B114/1),INDEX(Заказ!$B$412:$AV$3196,MATCH(B114,Заказ!$AV$412:$AV$3196,0),1),""),"")</f>
        <v/>
      </c>
      <c r="B114" s="1056" t="str">
        <f>IFERROR(IF(B113&gt;0,SMALL(Заказ!$AV$1:$AV$3196,1+B113),""),"")</f>
        <v/>
      </c>
      <c r="C114" s="1057" t="str">
        <f>IFERROR(IF(AND(B114&gt;0,B114/1),INDEX(Заказ!$B$1:$AV$3196,MATCH(B114,Заказ!$AV$1:$AV$3196,0),3),""),"")</f>
        <v/>
      </c>
      <c r="D114" s="1058" t="str">
        <f>IFERROR(IF(AND(B114&gt;0,B114/1),INDEX(Заказ!$B$1:$AV$3196,MATCH(B114,Заказ!$AV$1:$AV$3196,0),9),""),"")</f>
        <v/>
      </c>
      <c r="E114" s="1056" t="str">
        <f>IFERROR(IF(AND(B114&gt;0,B114/1),INDEX(Заказ!$B$1:$AV$3196,MATCH(B114,Заказ!$AV$1:$AV$3196,0),5),""),"")</f>
        <v/>
      </c>
      <c r="F114" s="1056" t="str">
        <f>IFERROR(IF(AND(B114&gt;0,B114/1),INDEX(Заказ!$B$1:$AV$3196,MATCH(B114,Заказ!$AV$1:$AV$3196,0),16)/INDEX(Заказ!$B$1:$AV$3196,MATCH(B114,Заказ!$AV$1:$AV$3196,0),5),""),"")</f>
        <v/>
      </c>
      <c r="G114" s="1059" t="str">
        <f>IFERROR(IF(AND(B114&gt;0,B114/1),INDEX(Заказ!$B$1:$AV$3196,MATCH(B114,Заказ!$AV$1:$AV$3196,0),16),""),"")</f>
        <v/>
      </c>
      <c r="H114" s="1"/>
    </row>
    <row r="115" spans="1:8" ht="12" customHeight="1" x14ac:dyDescent="0.25">
      <c r="A115" s="1051" t="str">
        <f>IFERROR(IF(AND(B115&gt;0,B115/1),INDEX(Заказ!$B$412:$AV$3196,MATCH(B115,Заказ!$AV$412:$AV$3196,0),1),""),"")</f>
        <v/>
      </c>
      <c r="B115" s="1056" t="str">
        <f>IFERROR(IF(B114&gt;0,SMALL(Заказ!$AV$1:$AV$3196,1+B114),""),"")</f>
        <v/>
      </c>
      <c r="C115" s="1057" t="str">
        <f>IFERROR(IF(AND(B115&gt;0,B115/1),INDEX(Заказ!$B$1:$AV$3196,MATCH(B115,Заказ!$AV$1:$AV$3196,0),3),""),"")</f>
        <v/>
      </c>
      <c r="D115" s="1058" t="str">
        <f>IFERROR(IF(AND(B115&gt;0,B115/1),INDEX(Заказ!$B$1:$AV$3196,MATCH(B115,Заказ!$AV$1:$AV$3196,0),9),""),"")</f>
        <v/>
      </c>
      <c r="E115" s="1056" t="str">
        <f>IFERROR(IF(AND(B115&gt;0,B115/1),INDEX(Заказ!$B$1:$AV$3196,MATCH(B115,Заказ!$AV$1:$AV$3196,0),5),""),"")</f>
        <v/>
      </c>
      <c r="F115" s="1056" t="str">
        <f>IFERROR(IF(AND(B115&gt;0,B115/1),INDEX(Заказ!$B$1:$AV$3196,MATCH(B115,Заказ!$AV$1:$AV$3196,0),16)/INDEX(Заказ!$B$1:$AV$3196,MATCH(B115,Заказ!$AV$1:$AV$3196,0),5),""),"")</f>
        <v/>
      </c>
      <c r="G115" s="1059" t="str">
        <f>IFERROR(IF(AND(B115&gt;0,B115/1),INDEX(Заказ!$B$1:$AV$3196,MATCH(B115,Заказ!$AV$1:$AV$3196,0),16),""),"")</f>
        <v/>
      </c>
      <c r="H115" s="1"/>
    </row>
    <row r="116" spans="1:8" ht="12" customHeight="1" x14ac:dyDescent="0.25">
      <c r="A116" s="1051" t="str">
        <f>IFERROR(IF(AND(B116&gt;0,B116/1),INDEX(Заказ!$B$412:$AV$3196,MATCH(B116,Заказ!$AV$412:$AV$3196,0),1),""),"")</f>
        <v/>
      </c>
      <c r="B116" s="1056" t="str">
        <f>IFERROR(IF(B115&gt;0,SMALL(Заказ!$AV$1:$AV$3196,1+B115),""),"")</f>
        <v/>
      </c>
      <c r="C116" s="1057" t="str">
        <f>IFERROR(IF(AND(B116&gt;0,B116/1),INDEX(Заказ!$B$1:$AV$3196,MATCH(B116,Заказ!$AV$1:$AV$3196,0),3),""),"")</f>
        <v/>
      </c>
      <c r="D116" s="1058" t="str">
        <f>IFERROR(IF(AND(B116&gt;0,B116/1),INDEX(Заказ!$B$1:$AV$3196,MATCH(B116,Заказ!$AV$1:$AV$3196,0),9),""),"")</f>
        <v/>
      </c>
      <c r="E116" s="1056" t="str">
        <f>IFERROR(IF(AND(B116&gt;0,B116/1),INDEX(Заказ!$B$1:$AV$3196,MATCH(B116,Заказ!$AV$1:$AV$3196,0),5),""),"")</f>
        <v/>
      </c>
      <c r="F116" s="1056" t="str">
        <f>IFERROR(IF(AND(B116&gt;0,B116/1),INDEX(Заказ!$B$1:$AV$3196,MATCH(B116,Заказ!$AV$1:$AV$3196,0),16)/INDEX(Заказ!$B$1:$AV$3196,MATCH(B116,Заказ!$AV$1:$AV$3196,0),5),""),"")</f>
        <v/>
      </c>
      <c r="G116" s="1059" t="str">
        <f>IFERROR(IF(AND(B116&gt;0,B116/1),INDEX(Заказ!$B$1:$AV$3196,MATCH(B116,Заказ!$AV$1:$AV$3196,0),16),""),"")</f>
        <v/>
      </c>
      <c r="H116" s="1"/>
    </row>
    <row r="117" spans="1:8" ht="12" customHeight="1" x14ac:dyDescent="0.25">
      <c r="A117" s="1051" t="str">
        <f>IFERROR(IF(AND(B117&gt;0,B117/1),INDEX(Заказ!$B$412:$AV$3196,MATCH(B117,Заказ!$AV$412:$AV$3196,0),1),""),"")</f>
        <v/>
      </c>
      <c r="B117" s="1056" t="str">
        <f>IFERROR(IF(B116&gt;0,SMALL(Заказ!$AV$1:$AV$3196,1+B116),""),"")</f>
        <v/>
      </c>
      <c r="C117" s="1057" t="str">
        <f>IFERROR(IF(AND(B117&gt;0,B117/1),INDEX(Заказ!$B$1:$AV$3196,MATCH(B117,Заказ!$AV$1:$AV$3196,0),3),""),"")</f>
        <v/>
      </c>
      <c r="D117" s="1058" t="str">
        <f>IFERROR(IF(AND(B117&gt;0,B117/1),INDEX(Заказ!$B$1:$AV$3196,MATCH(B117,Заказ!$AV$1:$AV$3196,0),9),""),"")</f>
        <v/>
      </c>
      <c r="E117" s="1056" t="str">
        <f>IFERROR(IF(AND(B117&gt;0,B117/1),INDEX(Заказ!$B$1:$AV$3196,MATCH(B117,Заказ!$AV$1:$AV$3196,0),5),""),"")</f>
        <v/>
      </c>
      <c r="F117" s="1056" t="str">
        <f>IFERROR(IF(AND(B117&gt;0,B117/1),INDEX(Заказ!$B$1:$AV$3196,MATCH(B117,Заказ!$AV$1:$AV$3196,0),16)/INDEX(Заказ!$B$1:$AV$3196,MATCH(B117,Заказ!$AV$1:$AV$3196,0),5),""),"")</f>
        <v/>
      </c>
      <c r="G117" s="1059" t="str">
        <f>IFERROR(IF(AND(B117&gt;0,B117/1),INDEX(Заказ!$B$1:$AV$3196,MATCH(B117,Заказ!$AV$1:$AV$3196,0),16),""),"")</f>
        <v/>
      </c>
      <c r="H117" s="1"/>
    </row>
    <row r="118" spans="1:8" ht="12" customHeight="1" x14ac:dyDescent="0.25">
      <c r="A118" s="1051" t="str">
        <f>IFERROR(IF(AND(B118&gt;0,B118/1),INDEX(Заказ!$B$412:$AV$3196,MATCH(B118,Заказ!$AV$412:$AV$3196,0),1),""),"")</f>
        <v/>
      </c>
      <c r="B118" s="1056" t="str">
        <f>IFERROR(IF(B117&gt;0,SMALL(Заказ!$AV$1:$AV$3196,1+B117),""),"")</f>
        <v/>
      </c>
      <c r="C118" s="1057" t="str">
        <f>IFERROR(IF(AND(B118&gt;0,B118/1),INDEX(Заказ!$B$1:$AV$3196,MATCH(B118,Заказ!$AV$1:$AV$3196,0),3),""),"")</f>
        <v/>
      </c>
      <c r="D118" s="1058" t="str">
        <f>IFERROR(IF(AND(B118&gt;0,B118/1),INDEX(Заказ!$B$1:$AV$3196,MATCH(B118,Заказ!$AV$1:$AV$3196,0),9),""),"")</f>
        <v/>
      </c>
      <c r="E118" s="1056" t="str">
        <f>IFERROR(IF(AND(B118&gt;0,B118/1),INDEX(Заказ!$B$1:$AV$3196,MATCH(B118,Заказ!$AV$1:$AV$3196,0),5),""),"")</f>
        <v/>
      </c>
      <c r="F118" s="1056" t="str">
        <f>IFERROR(IF(AND(B118&gt;0,B118/1),INDEX(Заказ!$B$1:$AV$3196,MATCH(B118,Заказ!$AV$1:$AV$3196,0),16)/INDEX(Заказ!$B$1:$AV$3196,MATCH(B118,Заказ!$AV$1:$AV$3196,0),5),""),"")</f>
        <v/>
      </c>
      <c r="G118" s="1059" t="str">
        <f>IFERROR(IF(AND(B118&gt;0,B118/1),INDEX(Заказ!$B$1:$AV$3196,MATCH(B118,Заказ!$AV$1:$AV$3196,0),16),""),"")</f>
        <v/>
      </c>
      <c r="H118" s="1"/>
    </row>
    <row r="119" spans="1:8" ht="12" customHeight="1" x14ac:dyDescent="0.25">
      <c r="A119" s="1051" t="str">
        <f>IFERROR(IF(AND(B119&gt;0,B119/1),INDEX(Заказ!$B$412:$AV$3196,MATCH(B119,Заказ!$AV$412:$AV$3196,0),1),""),"")</f>
        <v/>
      </c>
      <c r="B119" s="1056" t="str">
        <f>IFERROR(IF(B118&gt;0,SMALL(Заказ!$AV$1:$AV$3196,1+B118),""),"")</f>
        <v/>
      </c>
      <c r="C119" s="1057" t="str">
        <f>IFERROR(IF(AND(B119&gt;0,B119/1),INDEX(Заказ!$B$1:$AV$3196,MATCH(B119,Заказ!$AV$1:$AV$3196,0),3),""),"")</f>
        <v/>
      </c>
      <c r="D119" s="1058" t="str">
        <f>IFERROR(IF(AND(B119&gt;0,B119/1),INDEX(Заказ!$B$1:$AV$3196,MATCH(B119,Заказ!$AV$1:$AV$3196,0),9),""),"")</f>
        <v/>
      </c>
      <c r="E119" s="1056" t="str">
        <f>IFERROR(IF(AND(B119&gt;0,B119/1),INDEX(Заказ!$B$1:$AV$3196,MATCH(B119,Заказ!$AV$1:$AV$3196,0),5),""),"")</f>
        <v/>
      </c>
      <c r="F119" s="1056" t="str">
        <f>IFERROR(IF(AND(B119&gt;0,B119/1),INDEX(Заказ!$B$1:$AV$3196,MATCH(B119,Заказ!$AV$1:$AV$3196,0),16)/INDEX(Заказ!$B$1:$AV$3196,MATCH(B119,Заказ!$AV$1:$AV$3196,0),5),""),"")</f>
        <v/>
      </c>
      <c r="G119" s="1059" t="str">
        <f>IFERROR(IF(AND(B119&gt;0,B119/1),INDEX(Заказ!$B$1:$AV$3196,MATCH(B119,Заказ!$AV$1:$AV$3196,0),16),""),"")</f>
        <v/>
      </c>
      <c r="H119" s="1"/>
    </row>
    <row r="120" spans="1:8" ht="12" customHeight="1" x14ac:dyDescent="0.25">
      <c r="A120" s="1051" t="str">
        <f>IFERROR(IF(AND(B120&gt;0,B120/1),INDEX(Заказ!$B$412:$AV$3196,MATCH(B120,Заказ!$AV$412:$AV$3196,0),1),""),"")</f>
        <v/>
      </c>
      <c r="B120" s="1056" t="str">
        <f>IFERROR(IF(B119&gt;0,SMALL(Заказ!$AV$1:$AV$3196,1+B119),""),"")</f>
        <v/>
      </c>
      <c r="C120" s="1057" t="str">
        <f>IFERROR(IF(AND(B120&gt;0,B120/1),INDEX(Заказ!$B$1:$AV$3196,MATCH(B120,Заказ!$AV$1:$AV$3196,0),3),""),"")</f>
        <v/>
      </c>
      <c r="D120" s="1058" t="str">
        <f>IFERROR(IF(AND(B120&gt;0,B120/1),INDEX(Заказ!$B$1:$AV$3196,MATCH(B120,Заказ!$AV$1:$AV$3196,0),9),""),"")</f>
        <v/>
      </c>
      <c r="E120" s="1056" t="str">
        <f>IFERROR(IF(AND(B120&gt;0,B120/1),INDEX(Заказ!$B$1:$AV$3196,MATCH(B120,Заказ!$AV$1:$AV$3196,0),5),""),"")</f>
        <v/>
      </c>
      <c r="F120" s="1056" t="str">
        <f>IFERROR(IF(AND(B120&gt;0,B120/1),INDEX(Заказ!$B$1:$AV$3196,MATCH(B120,Заказ!$AV$1:$AV$3196,0),16)/INDEX(Заказ!$B$1:$AV$3196,MATCH(B120,Заказ!$AV$1:$AV$3196,0),5),""),"")</f>
        <v/>
      </c>
      <c r="G120" s="1059" t="str">
        <f>IFERROR(IF(AND(B120&gt;0,B120/1),INDEX(Заказ!$B$1:$AV$3196,MATCH(B120,Заказ!$AV$1:$AV$3196,0),16),""),"")</f>
        <v/>
      </c>
      <c r="H120" s="1"/>
    </row>
    <row r="121" spans="1:8" ht="12" customHeight="1" x14ac:dyDescent="0.25">
      <c r="A121" s="1051" t="str">
        <f>IFERROR(IF(AND(B121&gt;0,B121/1),INDEX(Заказ!$B$412:$AV$3196,MATCH(B121,Заказ!$AV$412:$AV$3196,0),1),""),"")</f>
        <v/>
      </c>
      <c r="B121" s="1056" t="str">
        <f>IFERROR(IF(B120&gt;0,SMALL(Заказ!$AV$1:$AV$3196,1+B120),""),"")</f>
        <v/>
      </c>
      <c r="C121" s="1057" t="str">
        <f>IFERROR(IF(AND(B121&gt;0,B121/1),INDEX(Заказ!$B$1:$AV$3196,MATCH(B121,Заказ!$AV$1:$AV$3196,0),3),""),"")</f>
        <v/>
      </c>
      <c r="D121" s="1058" t="str">
        <f>IFERROR(IF(AND(B121&gt;0,B121/1),INDEX(Заказ!$B$1:$AV$3196,MATCH(B121,Заказ!$AV$1:$AV$3196,0),9),""),"")</f>
        <v/>
      </c>
      <c r="E121" s="1056" t="str">
        <f>IFERROR(IF(AND(B121&gt;0,B121/1),INDEX(Заказ!$B$1:$AV$3196,MATCH(B121,Заказ!$AV$1:$AV$3196,0),5),""),"")</f>
        <v/>
      </c>
      <c r="F121" s="1056" t="str">
        <f>IFERROR(IF(AND(B121&gt;0,B121/1),INDEX(Заказ!$B$1:$AV$3196,MATCH(B121,Заказ!$AV$1:$AV$3196,0),16)/INDEX(Заказ!$B$1:$AV$3196,MATCH(B121,Заказ!$AV$1:$AV$3196,0),5),""),"")</f>
        <v/>
      </c>
      <c r="G121" s="1059" t="str">
        <f>IFERROR(IF(AND(B121&gt;0,B121/1),INDEX(Заказ!$B$1:$AV$3196,MATCH(B121,Заказ!$AV$1:$AV$3196,0),16),""),"")</f>
        <v/>
      </c>
      <c r="H121" s="1"/>
    </row>
    <row r="122" spans="1:8" ht="12" customHeight="1" x14ac:dyDescent="0.25">
      <c r="A122" s="1051" t="str">
        <f>IFERROR(IF(AND(B122&gt;0,B122/1),INDEX(Заказ!$B$412:$AV$3196,MATCH(B122,Заказ!$AV$412:$AV$3196,0),1),""),"")</f>
        <v/>
      </c>
      <c r="B122" s="1056" t="str">
        <f>IFERROR(IF(B121&gt;0,SMALL(Заказ!$AV$1:$AV$3196,1+B121),""),"")</f>
        <v/>
      </c>
      <c r="C122" s="1057" t="str">
        <f>IFERROR(IF(AND(B122&gt;0,B122/1),INDEX(Заказ!$B$1:$AV$3196,MATCH(B122,Заказ!$AV$1:$AV$3196,0),3),""),"")</f>
        <v/>
      </c>
      <c r="D122" s="1058" t="str">
        <f>IFERROR(IF(AND(B122&gt;0,B122/1),INDEX(Заказ!$B$1:$AV$3196,MATCH(B122,Заказ!$AV$1:$AV$3196,0),9),""),"")</f>
        <v/>
      </c>
      <c r="E122" s="1056" t="str">
        <f>IFERROR(IF(AND(B122&gt;0,B122/1),INDEX(Заказ!$B$1:$AV$3196,MATCH(B122,Заказ!$AV$1:$AV$3196,0),5),""),"")</f>
        <v/>
      </c>
      <c r="F122" s="1056" t="str">
        <f>IFERROR(IF(AND(B122&gt;0,B122/1),INDEX(Заказ!$B$1:$AV$3196,MATCH(B122,Заказ!$AV$1:$AV$3196,0),16)/INDEX(Заказ!$B$1:$AV$3196,MATCH(B122,Заказ!$AV$1:$AV$3196,0),5),""),"")</f>
        <v/>
      </c>
      <c r="G122" s="1059" t="str">
        <f>IFERROR(IF(AND(B122&gt;0,B122/1),INDEX(Заказ!$B$1:$AV$3196,MATCH(B122,Заказ!$AV$1:$AV$3196,0),16),""),"")</f>
        <v/>
      </c>
      <c r="H122" s="1"/>
    </row>
    <row r="123" spans="1:8" ht="12" customHeight="1" x14ac:dyDescent="0.25">
      <c r="A123" s="1051" t="str">
        <f>IFERROR(IF(AND(B123&gt;0,B123/1),INDEX(Заказ!$B$412:$AV$3196,MATCH(B123,Заказ!$AV$412:$AV$3196,0),1),""),"")</f>
        <v/>
      </c>
      <c r="B123" s="1056" t="str">
        <f>IFERROR(IF(B122&gt;0,SMALL(Заказ!$AV$1:$AV$3196,1+B122),""),"")</f>
        <v/>
      </c>
      <c r="C123" s="1057" t="str">
        <f>IFERROR(IF(AND(B123&gt;0,B123/1),INDEX(Заказ!$B$1:$AV$3196,MATCH(B123,Заказ!$AV$1:$AV$3196,0),3),""),"")</f>
        <v/>
      </c>
      <c r="D123" s="1058" t="str">
        <f>IFERROR(IF(AND(B123&gt;0,B123/1),INDEX(Заказ!$B$1:$AV$3196,MATCH(B123,Заказ!$AV$1:$AV$3196,0),9),""),"")</f>
        <v/>
      </c>
      <c r="E123" s="1056" t="str">
        <f>IFERROR(IF(AND(B123&gt;0,B123/1),INDEX(Заказ!$B$1:$AV$3196,MATCH(B123,Заказ!$AV$1:$AV$3196,0),5),""),"")</f>
        <v/>
      </c>
      <c r="F123" s="1056" t="str">
        <f>IFERROR(IF(AND(B123&gt;0,B123/1),INDEX(Заказ!$B$1:$AV$3196,MATCH(B123,Заказ!$AV$1:$AV$3196,0),16)/INDEX(Заказ!$B$1:$AV$3196,MATCH(B123,Заказ!$AV$1:$AV$3196,0),5),""),"")</f>
        <v/>
      </c>
      <c r="G123" s="1059" t="str">
        <f>IFERROR(IF(AND(B123&gt;0,B123/1),INDEX(Заказ!$B$1:$AV$3196,MATCH(B123,Заказ!$AV$1:$AV$3196,0),16),""),"")</f>
        <v/>
      </c>
      <c r="H123" s="1"/>
    </row>
    <row r="124" spans="1:8" ht="12" customHeight="1" x14ac:dyDescent="0.25">
      <c r="A124" s="1051" t="str">
        <f>IFERROR(IF(AND(B124&gt;0,B124/1),INDEX(Заказ!$B$412:$AV$3196,MATCH(B124,Заказ!$AV$412:$AV$3196,0),1),""),"")</f>
        <v/>
      </c>
      <c r="B124" s="1056" t="str">
        <f>IFERROR(IF(B123&gt;0,SMALL(Заказ!$AV$1:$AV$3196,1+B123),""),"")</f>
        <v/>
      </c>
      <c r="C124" s="1057" t="str">
        <f>IFERROR(IF(AND(B124&gt;0,B124/1),INDEX(Заказ!$B$1:$AV$3196,MATCH(B124,Заказ!$AV$1:$AV$3196,0),3),""),"")</f>
        <v/>
      </c>
      <c r="D124" s="1058" t="str">
        <f>IFERROR(IF(AND(B124&gt;0,B124/1),INDEX(Заказ!$B$1:$AV$3196,MATCH(B124,Заказ!$AV$1:$AV$3196,0),9),""),"")</f>
        <v/>
      </c>
      <c r="E124" s="1056" t="str">
        <f>IFERROR(IF(AND(B124&gt;0,B124/1),INDEX(Заказ!$B$1:$AV$3196,MATCH(B124,Заказ!$AV$1:$AV$3196,0),5),""),"")</f>
        <v/>
      </c>
      <c r="F124" s="1056" t="str">
        <f>IFERROR(IF(AND(B124&gt;0,B124/1),INDEX(Заказ!$B$1:$AV$3196,MATCH(B124,Заказ!$AV$1:$AV$3196,0),16)/INDEX(Заказ!$B$1:$AV$3196,MATCH(B124,Заказ!$AV$1:$AV$3196,0),5),""),"")</f>
        <v/>
      </c>
      <c r="G124" s="1059" t="str">
        <f>IFERROR(IF(AND(B124&gt;0,B124/1),INDEX(Заказ!$B$1:$AV$3196,MATCH(B124,Заказ!$AV$1:$AV$3196,0),16),""),"")</f>
        <v/>
      </c>
      <c r="H124" s="1"/>
    </row>
    <row r="125" spans="1:8" ht="12" customHeight="1" x14ac:dyDescent="0.25">
      <c r="A125" s="1051" t="str">
        <f>IFERROR(IF(AND(B125&gt;0,B125/1),INDEX(Заказ!$B$412:$AV$3196,MATCH(B125,Заказ!$AV$412:$AV$3196,0),1),""),"")</f>
        <v/>
      </c>
      <c r="B125" s="1056" t="str">
        <f>IFERROR(IF(B124&gt;0,SMALL(Заказ!$AV$1:$AV$3196,1+B124),""),"")</f>
        <v/>
      </c>
      <c r="C125" s="1057" t="str">
        <f>IFERROR(IF(AND(B125&gt;0,B125/1),INDEX(Заказ!$B$1:$AV$3196,MATCH(B125,Заказ!$AV$1:$AV$3196,0),3),""),"")</f>
        <v/>
      </c>
      <c r="D125" s="1058" t="str">
        <f>IFERROR(IF(AND(B125&gt;0,B125/1),INDEX(Заказ!$B$1:$AV$3196,MATCH(B125,Заказ!$AV$1:$AV$3196,0),9),""),"")</f>
        <v/>
      </c>
      <c r="E125" s="1056" t="str">
        <f>IFERROR(IF(AND(B125&gt;0,B125/1),INDEX(Заказ!$B$1:$AV$3196,MATCH(B125,Заказ!$AV$1:$AV$3196,0),5),""),"")</f>
        <v/>
      </c>
      <c r="F125" s="1056" t="str">
        <f>IFERROR(IF(AND(B125&gt;0,B125/1),INDEX(Заказ!$B$1:$AV$3196,MATCH(B125,Заказ!$AV$1:$AV$3196,0),16)/INDEX(Заказ!$B$1:$AV$3196,MATCH(B125,Заказ!$AV$1:$AV$3196,0),5),""),"")</f>
        <v/>
      </c>
      <c r="G125" s="1059" t="str">
        <f>IFERROR(IF(AND(B125&gt;0,B125/1),INDEX(Заказ!$B$1:$AV$3196,MATCH(B125,Заказ!$AV$1:$AV$3196,0),16),""),"")</f>
        <v/>
      </c>
      <c r="H125" s="1"/>
    </row>
    <row r="126" spans="1:8" ht="12" customHeight="1" x14ac:dyDescent="0.25">
      <c r="A126" s="1051" t="str">
        <f>IFERROR(IF(AND(B126&gt;0,B126/1),INDEX(Заказ!$B$412:$AV$3196,MATCH(B126,Заказ!$AV$412:$AV$3196,0),1),""),"")</f>
        <v/>
      </c>
      <c r="B126" s="1056" t="str">
        <f>IFERROR(IF(B125&gt;0,SMALL(Заказ!$AV$1:$AV$3196,1+B125),""),"")</f>
        <v/>
      </c>
      <c r="C126" s="1057" t="str">
        <f>IFERROR(IF(AND(B126&gt;0,B126/1),INDEX(Заказ!$B$1:$AV$3196,MATCH(B126,Заказ!$AV$1:$AV$3196,0),3),""),"")</f>
        <v/>
      </c>
      <c r="D126" s="1058" t="str">
        <f>IFERROR(IF(AND(B126&gt;0,B126/1),INDEX(Заказ!$B$1:$AV$3196,MATCH(B126,Заказ!$AV$1:$AV$3196,0),9),""),"")</f>
        <v/>
      </c>
      <c r="E126" s="1056" t="str">
        <f>IFERROR(IF(AND(B126&gt;0,B126/1),INDEX(Заказ!$B$1:$AV$3196,MATCH(B126,Заказ!$AV$1:$AV$3196,0),5),""),"")</f>
        <v/>
      </c>
      <c r="F126" s="1056" t="str">
        <f>IFERROR(IF(AND(B126&gt;0,B126/1),INDEX(Заказ!$B$1:$AV$3196,MATCH(B126,Заказ!$AV$1:$AV$3196,0),16)/INDEX(Заказ!$B$1:$AV$3196,MATCH(B126,Заказ!$AV$1:$AV$3196,0),5),""),"")</f>
        <v/>
      </c>
      <c r="G126" s="1059" t="str">
        <f>IFERROR(IF(AND(B126&gt;0,B126/1),INDEX(Заказ!$B$1:$AV$3196,MATCH(B126,Заказ!$AV$1:$AV$3196,0),16),""),"")</f>
        <v/>
      </c>
      <c r="H126" s="1"/>
    </row>
    <row r="127" spans="1:8" ht="12" customHeight="1" x14ac:dyDescent="0.25">
      <c r="A127" s="1051" t="str">
        <f>IFERROR(IF(AND(B127&gt;0,B127/1),INDEX(Заказ!$B$412:$AV$3196,MATCH(B127,Заказ!$AV$412:$AV$3196,0),1),""),"")</f>
        <v/>
      </c>
      <c r="B127" s="1056" t="str">
        <f>IFERROR(IF(B126&gt;0,SMALL(Заказ!$AV$1:$AV$3196,1+B126),""),"")</f>
        <v/>
      </c>
      <c r="C127" s="1057" t="str">
        <f>IFERROR(IF(AND(B127&gt;0,B127/1),INDEX(Заказ!$B$1:$AV$3196,MATCH(B127,Заказ!$AV$1:$AV$3196,0),3),""),"")</f>
        <v/>
      </c>
      <c r="D127" s="1058" t="str">
        <f>IFERROR(IF(AND(B127&gt;0,B127/1),INDEX(Заказ!$B$1:$AV$3196,MATCH(B127,Заказ!$AV$1:$AV$3196,0),9),""),"")</f>
        <v/>
      </c>
      <c r="E127" s="1056" t="str">
        <f>IFERROR(IF(AND(B127&gt;0,B127/1),INDEX(Заказ!$B$1:$AV$3196,MATCH(B127,Заказ!$AV$1:$AV$3196,0),5),""),"")</f>
        <v/>
      </c>
      <c r="F127" s="1056" t="str">
        <f>IFERROR(IF(AND(B127&gt;0,B127/1),INDEX(Заказ!$B$1:$AV$3196,MATCH(B127,Заказ!$AV$1:$AV$3196,0),16)/INDEX(Заказ!$B$1:$AV$3196,MATCH(B127,Заказ!$AV$1:$AV$3196,0),5),""),"")</f>
        <v/>
      </c>
      <c r="G127" s="1059" t="str">
        <f>IFERROR(IF(AND(B127&gt;0,B127/1),INDEX(Заказ!$B$1:$AV$3196,MATCH(B127,Заказ!$AV$1:$AV$3196,0),16),""),"")</f>
        <v/>
      </c>
      <c r="H127" s="1"/>
    </row>
    <row r="128" spans="1:8" ht="12" customHeight="1" x14ac:dyDescent="0.25">
      <c r="A128" s="1051" t="str">
        <f>IFERROR(IF(AND(B128&gt;0,B128/1),INDEX(Заказ!$B$412:$AV$3196,MATCH(B128,Заказ!$AV$412:$AV$3196,0),1),""),"")</f>
        <v/>
      </c>
      <c r="B128" s="1056" t="str">
        <f>IFERROR(IF(B127&gt;0,SMALL(Заказ!$AV$1:$AV$3196,1+B127),""),"")</f>
        <v/>
      </c>
      <c r="C128" s="1057" t="str">
        <f>IFERROR(IF(AND(B128&gt;0,B128/1),INDEX(Заказ!$B$1:$AV$3196,MATCH(B128,Заказ!$AV$1:$AV$3196,0),3),""),"")</f>
        <v/>
      </c>
      <c r="D128" s="1058" t="str">
        <f>IFERROR(IF(AND(B128&gt;0,B128/1),INDEX(Заказ!$B$1:$AV$3196,MATCH(B128,Заказ!$AV$1:$AV$3196,0),9),""),"")</f>
        <v/>
      </c>
      <c r="E128" s="1056" t="str">
        <f>IFERROR(IF(AND(B128&gt;0,B128/1),INDEX(Заказ!$B$1:$AV$3196,MATCH(B128,Заказ!$AV$1:$AV$3196,0),5),""),"")</f>
        <v/>
      </c>
      <c r="F128" s="1056" t="str">
        <f>IFERROR(IF(AND(B128&gt;0,B128/1),INDEX(Заказ!$B$1:$AV$3196,MATCH(B128,Заказ!$AV$1:$AV$3196,0),16)/INDEX(Заказ!$B$1:$AV$3196,MATCH(B128,Заказ!$AV$1:$AV$3196,0),5),""),"")</f>
        <v/>
      </c>
      <c r="G128" s="1059" t="str">
        <f>IFERROR(IF(AND(B128&gt;0,B128/1),INDEX(Заказ!$B$1:$AV$3196,MATCH(B128,Заказ!$AV$1:$AV$3196,0),16),""),"")</f>
        <v/>
      </c>
      <c r="H128" s="1"/>
    </row>
    <row r="129" spans="1:8" ht="12" customHeight="1" x14ac:dyDescent="0.25">
      <c r="A129" s="1051" t="str">
        <f>IFERROR(IF(AND(B129&gt;0,B129/1),INDEX(Заказ!$B$412:$AV$3196,MATCH(B129,Заказ!$AV$412:$AV$3196,0),1),""),"")</f>
        <v/>
      </c>
      <c r="B129" s="1056" t="str">
        <f>IFERROR(IF(B128&gt;0,SMALL(Заказ!$AV$1:$AV$3196,1+B128),""),"")</f>
        <v/>
      </c>
      <c r="C129" s="1057" t="str">
        <f>IFERROR(IF(AND(B129&gt;0,B129/1),INDEX(Заказ!$B$1:$AV$3196,MATCH(B129,Заказ!$AV$1:$AV$3196,0),3),""),"")</f>
        <v/>
      </c>
      <c r="D129" s="1058" t="str">
        <f>IFERROR(IF(AND(B129&gt;0,B129/1),INDEX(Заказ!$B$1:$AV$3196,MATCH(B129,Заказ!$AV$1:$AV$3196,0),9),""),"")</f>
        <v/>
      </c>
      <c r="E129" s="1056" t="str">
        <f>IFERROR(IF(AND(B129&gt;0,B129/1),INDEX(Заказ!$B$1:$AV$3196,MATCH(B129,Заказ!$AV$1:$AV$3196,0),5),""),"")</f>
        <v/>
      </c>
      <c r="F129" s="1056" t="str">
        <f>IFERROR(IF(AND(B129&gt;0,B129/1),INDEX(Заказ!$B$1:$AV$3196,MATCH(B129,Заказ!$AV$1:$AV$3196,0),16)/INDEX(Заказ!$B$1:$AV$3196,MATCH(B129,Заказ!$AV$1:$AV$3196,0),5),""),"")</f>
        <v/>
      </c>
      <c r="G129" s="1059" t="str">
        <f>IFERROR(IF(AND(B129&gt;0,B129/1),INDEX(Заказ!$B$1:$AV$3196,MATCH(B129,Заказ!$AV$1:$AV$3196,0),16),""),"")</f>
        <v/>
      </c>
      <c r="H129" s="1"/>
    </row>
    <row r="130" spans="1:8" ht="12" customHeight="1" x14ac:dyDescent="0.25">
      <c r="A130" s="1051" t="str">
        <f>IFERROR(IF(AND(B130&gt;0,B130/1),INDEX(Заказ!$B$412:$AV$3196,MATCH(B130,Заказ!$AV$412:$AV$3196,0),1),""),"")</f>
        <v/>
      </c>
      <c r="B130" s="1056" t="str">
        <f>IFERROR(IF(B129&gt;0,SMALL(Заказ!$AV$1:$AV$3196,1+B129),""),"")</f>
        <v/>
      </c>
      <c r="C130" s="1057" t="str">
        <f>IFERROR(IF(AND(B130&gt;0,B130/1),INDEX(Заказ!$B$1:$AV$3196,MATCH(B130,Заказ!$AV$1:$AV$3196,0),3),""),"")</f>
        <v/>
      </c>
      <c r="D130" s="1058" t="str">
        <f>IFERROR(IF(AND(B130&gt;0,B130/1),INDEX(Заказ!$B$1:$AV$3196,MATCH(B130,Заказ!$AV$1:$AV$3196,0),9),""),"")</f>
        <v/>
      </c>
      <c r="E130" s="1056" t="str">
        <f>IFERROR(IF(AND(B130&gt;0,B130/1),INDEX(Заказ!$B$1:$AV$3196,MATCH(B130,Заказ!$AV$1:$AV$3196,0),5),""),"")</f>
        <v/>
      </c>
      <c r="F130" s="1056" t="str">
        <f>IFERROR(IF(AND(B130&gt;0,B130/1),INDEX(Заказ!$B$1:$AV$3196,MATCH(B130,Заказ!$AV$1:$AV$3196,0),16)/INDEX(Заказ!$B$1:$AV$3196,MATCH(B130,Заказ!$AV$1:$AV$3196,0),5),""),"")</f>
        <v/>
      </c>
      <c r="G130" s="1059" t="str">
        <f>IFERROR(IF(AND(B130&gt;0,B130/1),INDEX(Заказ!$B$1:$AV$3196,MATCH(B130,Заказ!$AV$1:$AV$3196,0),16),""),"")</f>
        <v/>
      </c>
      <c r="H130" s="1"/>
    </row>
    <row r="131" spans="1:8" ht="12" customHeight="1" x14ac:dyDescent="0.25">
      <c r="A131" s="1051" t="str">
        <f>IFERROR(IF(AND(B131&gt;0,B131/1),INDEX(Заказ!$B$412:$AV$3196,MATCH(B131,Заказ!$AV$412:$AV$3196,0),1),""),"")</f>
        <v/>
      </c>
      <c r="B131" s="1056" t="str">
        <f>IFERROR(IF(B130&gt;0,SMALL(Заказ!$AV$1:$AV$3196,1+B130),""),"")</f>
        <v/>
      </c>
      <c r="C131" s="1057" t="str">
        <f>IFERROR(IF(AND(B131&gt;0,B131/1),INDEX(Заказ!$B$1:$AV$3196,MATCH(B131,Заказ!$AV$1:$AV$3196,0),3),""),"")</f>
        <v/>
      </c>
      <c r="D131" s="1058" t="str">
        <f>IFERROR(IF(AND(B131&gt;0,B131/1),INDEX(Заказ!$B$1:$AV$3196,MATCH(B131,Заказ!$AV$1:$AV$3196,0),9),""),"")</f>
        <v/>
      </c>
      <c r="E131" s="1056" t="str">
        <f>IFERROR(IF(AND(B131&gt;0,B131/1),INDEX(Заказ!$B$1:$AV$3196,MATCH(B131,Заказ!$AV$1:$AV$3196,0),5),""),"")</f>
        <v/>
      </c>
      <c r="F131" s="1056" t="str">
        <f>IFERROR(IF(AND(B131&gt;0,B131/1),INDEX(Заказ!$B$1:$AV$3196,MATCH(B131,Заказ!$AV$1:$AV$3196,0),16)/INDEX(Заказ!$B$1:$AV$3196,MATCH(B131,Заказ!$AV$1:$AV$3196,0),5),""),"")</f>
        <v/>
      </c>
      <c r="G131" s="1059" t="str">
        <f>IFERROR(IF(AND(B131&gt;0,B131/1),INDEX(Заказ!$B$1:$AV$3196,MATCH(B131,Заказ!$AV$1:$AV$3196,0),16),""),"")</f>
        <v/>
      </c>
      <c r="H131" s="1"/>
    </row>
    <row r="132" spans="1:8" ht="12" customHeight="1" x14ac:dyDescent="0.25">
      <c r="A132" s="1051" t="str">
        <f>IFERROR(IF(AND(B132&gt;0,B132/1),INDEX(Заказ!$B$412:$AV$3196,MATCH(B132,Заказ!$AV$412:$AV$3196,0),1),""),"")</f>
        <v/>
      </c>
      <c r="B132" s="1056" t="str">
        <f>IFERROR(IF(B131&gt;0,SMALL(Заказ!$AV$1:$AV$3196,1+B131),""),"")</f>
        <v/>
      </c>
      <c r="C132" s="1057" t="str">
        <f>IFERROR(IF(AND(B132&gt;0,B132/1),INDEX(Заказ!$B$1:$AV$3196,MATCH(B132,Заказ!$AV$1:$AV$3196,0),3),""),"")</f>
        <v/>
      </c>
      <c r="D132" s="1058" t="str">
        <f>IFERROR(IF(AND(B132&gt;0,B132/1),INDEX(Заказ!$B$1:$AV$3196,MATCH(B132,Заказ!$AV$1:$AV$3196,0),9),""),"")</f>
        <v/>
      </c>
      <c r="E132" s="1056" t="str">
        <f>IFERROR(IF(AND(B132&gt;0,B132/1),INDEX(Заказ!$B$1:$AV$3196,MATCH(B132,Заказ!$AV$1:$AV$3196,0),5),""),"")</f>
        <v/>
      </c>
      <c r="F132" s="1056" t="str">
        <f>IFERROR(IF(AND(B132&gt;0,B132/1),INDEX(Заказ!$B$1:$AV$3196,MATCH(B132,Заказ!$AV$1:$AV$3196,0),16)/INDEX(Заказ!$B$1:$AV$3196,MATCH(B132,Заказ!$AV$1:$AV$3196,0),5),""),"")</f>
        <v/>
      </c>
      <c r="G132" s="1059" t="str">
        <f>IFERROR(IF(AND(B132&gt;0,B132/1),INDEX(Заказ!$B$1:$AV$3196,MATCH(B132,Заказ!$AV$1:$AV$3196,0),16),""),"")</f>
        <v/>
      </c>
      <c r="H132" s="1"/>
    </row>
    <row r="133" spans="1:8" ht="12" customHeight="1" x14ac:dyDescent="0.25">
      <c r="A133" s="1051" t="str">
        <f>IFERROR(IF(AND(B133&gt;0,B133/1),INDEX(Заказ!$B$412:$AV$3196,MATCH(B133,Заказ!$AV$412:$AV$3196,0),1),""),"")</f>
        <v/>
      </c>
      <c r="B133" s="1056" t="str">
        <f>IFERROR(IF(B132&gt;0,SMALL(Заказ!$AV$1:$AV$3196,1+B132),""),"")</f>
        <v/>
      </c>
      <c r="C133" s="1057" t="str">
        <f>IFERROR(IF(AND(B133&gt;0,B133/1),INDEX(Заказ!$B$1:$AV$3196,MATCH(B133,Заказ!$AV$1:$AV$3196,0),3),""),"")</f>
        <v/>
      </c>
      <c r="D133" s="1058" t="str">
        <f>IFERROR(IF(AND(B133&gt;0,B133/1),INDEX(Заказ!$B$1:$AV$3196,MATCH(B133,Заказ!$AV$1:$AV$3196,0),9),""),"")</f>
        <v/>
      </c>
      <c r="E133" s="1056" t="str">
        <f>IFERROR(IF(AND(B133&gt;0,B133/1),INDEX(Заказ!$B$1:$AV$3196,MATCH(B133,Заказ!$AV$1:$AV$3196,0),5),""),"")</f>
        <v/>
      </c>
      <c r="F133" s="1056" t="str">
        <f>IFERROR(IF(AND(B133&gt;0,B133/1),INDEX(Заказ!$B$1:$AV$3196,MATCH(B133,Заказ!$AV$1:$AV$3196,0),16)/INDEX(Заказ!$B$1:$AV$3196,MATCH(B133,Заказ!$AV$1:$AV$3196,0),5),""),"")</f>
        <v/>
      </c>
      <c r="G133" s="1059" t="str">
        <f>IFERROR(IF(AND(B133&gt;0,B133/1),INDEX(Заказ!$B$1:$AV$3196,MATCH(B133,Заказ!$AV$1:$AV$3196,0),16),""),"")</f>
        <v/>
      </c>
      <c r="H133" s="1"/>
    </row>
    <row r="134" spans="1:8" ht="12" customHeight="1" x14ac:dyDescent="0.25">
      <c r="A134" s="1051" t="str">
        <f>IFERROR(IF(AND(B134&gt;0,B134/1),INDEX(Заказ!$B$412:$AV$3196,MATCH(B134,Заказ!$AV$412:$AV$3196,0),1),""),"")</f>
        <v/>
      </c>
      <c r="B134" s="1056" t="str">
        <f>IFERROR(IF(B133&gt;0,SMALL(Заказ!$AV$1:$AV$3196,1+B133),""),"")</f>
        <v/>
      </c>
      <c r="C134" s="1057" t="str">
        <f>IFERROR(IF(AND(B134&gt;0,B134/1),INDEX(Заказ!$B$1:$AV$3196,MATCH(B134,Заказ!$AV$1:$AV$3196,0),3),""),"")</f>
        <v/>
      </c>
      <c r="D134" s="1058" t="str">
        <f>IFERROR(IF(AND(B134&gt;0,B134/1),INDEX(Заказ!$B$1:$AV$3196,MATCH(B134,Заказ!$AV$1:$AV$3196,0),9),""),"")</f>
        <v/>
      </c>
      <c r="E134" s="1056" t="str">
        <f>IFERROR(IF(AND(B134&gt;0,B134/1),INDEX(Заказ!$B$1:$AV$3196,MATCH(B134,Заказ!$AV$1:$AV$3196,0),5),""),"")</f>
        <v/>
      </c>
      <c r="F134" s="1056" t="str">
        <f>IFERROR(IF(AND(B134&gt;0,B134/1),INDEX(Заказ!$B$1:$AV$3196,MATCH(B134,Заказ!$AV$1:$AV$3196,0),16)/INDEX(Заказ!$B$1:$AV$3196,MATCH(B134,Заказ!$AV$1:$AV$3196,0),5),""),"")</f>
        <v/>
      </c>
      <c r="G134" s="1059" t="str">
        <f>IFERROR(IF(AND(B134&gt;0,B134/1),INDEX(Заказ!$B$1:$AV$3196,MATCH(B134,Заказ!$AV$1:$AV$3196,0),16),""),"")</f>
        <v/>
      </c>
      <c r="H134" s="1"/>
    </row>
    <row r="135" spans="1:8" ht="12" customHeight="1" x14ac:dyDescent="0.25">
      <c r="A135" s="1051" t="str">
        <f>IFERROR(IF(AND(B135&gt;0,B135/1),INDEX(Заказ!$B$412:$AV$3196,MATCH(B135,Заказ!$AV$412:$AV$3196,0),1),""),"")</f>
        <v/>
      </c>
      <c r="B135" s="1056" t="str">
        <f>IFERROR(IF(B134&gt;0,SMALL(Заказ!$AV$1:$AV$3196,1+B134),""),"")</f>
        <v/>
      </c>
      <c r="C135" s="1057" t="str">
        <f>IFERROR(IF(AND(B135&gt;0,B135/1),INDEX(Заказ!$B$1:$AV$3196,MATCH(B135,Заказ!$AV$1:$AV$3196,0),3),""),"")</f>
        <v/>
      </c>
      <c r="D135" s="1058" t="str">
        <f>IFERROR(IF(AND(B135&gt;0,B135/1),INDEX(Заказ!$B$1:$AV$3196,MATCH(B135,Заказ!$AV$1:$AV$3196,0),9),""),"")</f>
        <v/>
      </c>
      <c r="E135" s="1056" t="str">
        <f>IFERROR(IF(AND(B135&gt;0,B135/1),INDEX(Заказ!$B$1:$AV$3196,MATCH(B135,Заказ!$AV$1:$AV$3196,0),5),""),"")</f>
        <v/>
      </c>
      <c r="F135" s="1056" t="str">
        <f>IFERROR(IF(AND(B135&gt;0,B135/1),INDEX(Заказ!$B$1:$AV$3196,MATCH(B135,Заказ!$AV$1:$AV$3196,0),16)/INDEX(Заказ!$B$1:$AV$3196,MATCH(B135,Заказ!$AV$1:$AV$3196,0),5),""),"")</f>
        <v/>
      </c>
      <c r="G135" s="1059" t="str">
        <f>IFERROR(IF(AND(B135&gt;0,B135/1),INDEX(Заказ!$B$1:$AV$3196,MATCH(B135,Заказ!$AV$1:$AV$3196,0),16),""),"")</f>
        <v/>
      </c>
      <c r="H135" s="1"/>
    </row>
    <row r="136" spans="1:8" ht="12" customHeight="1" x14ac:dyDescent="0.25">
      <c r="A136" s="1051" t="str">
        <f>IFERROR(IF(AND(B136&gt;0,B136/1),INDEX(Заказ!$B$412:$AV$3196,MATCH(B136,Заказ!$AV$412:$AV$3196,0),1),""),"")</f>
        <v/>
      </c>
      <c r="B136" s="1056" t="str">
        <f>IFERROR(IF(B135&gt;0,SMALL(Заказ!$AV$1:$AV$3196,1+B135),""),"")</f>
        <v/>
      </c>
      <c r="C136" s="1057" t="str">
        <f>IFERROR(IF(AND(B136&gt;0,B136/1),INDEX(Заказ!$B$1:$AV$3196,MATCH(B136,Заказ!$AV$1:$AV$3196,0),3),""),"")</f>
        <v/>
      </c>
      <c r="D136" s="1058" t="str">
        <f>IFERROR(IF(AND(B136&gt;0,B136/1),INDEX(Заказ!$B$1:$AV$3196,MATCH(B136,Заказ!$AV$1:$AV$3196,0),9),""),"")</f>
        <v/>
      </c>
      <c r="E136" s="1056" t="str">
        <f>IFERROR(IF(AND(B136&gt;0,B136/1),INDEX(Заказ!$B$1:$AV$3196,MATCH(B136,Заказ!$AV$1:$AV$3196,0),5),""),"")</f>
        <v/>
      </c>
      <c r="F136" s="1056" t="str">
        <f>IFERROR(IF(AND(B136&gt;0,B136/1),INDEX(Заказ!$B$1:$AV$3196,MATCH(B136,Заказ!$AV$1:$AV$3196,0),16)/INDEX(Заказ!$B$1:$AV$3196,MATCH(B136,Заказ!$AV$1:$AV$3196,0),5),""),"")</f>
        <v/>
      </c>
      <c r="G136" s="1059" t="str">
        <f>IFERROR(IF(AND(B136&gt;0,B136/1),INDEX(Заказ!$B$1:$AV$3196,MATCH(B136,Заказ!$AV$1:$AV$3196,0),16),""),"")</f>
        <v/>
      </c>
      <c r="H136" s="1"/>
    </row>
    <row r="137" spans="1:8" ht="12" customHeight="1" x14ac:dyDescent="0.25">
      <c r="A137" s="1051" t="str">
        <f>IFERROR(IF(AND(B137&gt;0,B137/1),INDEX(Заказ!$B$412:$AV$3196,MATCH(B137,Заказ!$AV$412:$AV$3196,0),1),""),"")</f>
        <v/>
      </c>
      <c r="B137" s="1056" t="str">
        <f>IFERROR(IF(B136&gt;0,SMALL(Заказ!$AV$1:$AV$3196,1+B136),""),"")</f>
        <v/>
      </c>
      <c r="C137" s="1057" t="str">
        <f>IFERROR(IF(AND(B137&gt;0,B137/1),INDEX(Заказ!$B$1:$AV$3196,MATCH(B137,Заказ!$AV$1:$AV$3196,0),3),""),"")</f>
        <v/>
      </c>
      <c r="D137" s="1058" t="str">
        <f>IFERROR(IF(AND(B137&gt;0,B137/1),INDEX(Заказ!$B$1:$AV$3196,MATCH(B137,Заказ!$AV$1:$AV$3196,0),9),""),"")</f>
        <v/>
      </c>
      <c r="E137" s="1056" t="str">
        <f>IFERROR(IF(AND(B137&gt;0,B137/1),INDEX(Заказ!$B$1:$AV$3196,MATCH(B137,Заказ!$AV$1:$AV$3196,0),5),""),"")</f>
        <v/>
      </c>
      <c r="F137" s="1056" t="str">
        <f>IFERROR(IF(AND(B137&gt;0,B137/1),INDEX(Заказ!$B$1:$AV$3196,MATCH(B137,Заказ!$AV$1:$AV$3196,0),16)/INDEX(Заказ!$B$1:$AV$3196,MATCH(B137,Заказ!$AV$1:$AV$3196,0),5),""),"")</f>
        <v/>
      </c>
      <c r="G137" s="1059" t="str">
        <f>IFERROR(IF(AND(B137&gt;0,B137/1),INDEX(Заказ!$B$1:$AV$3196,MATCH(B137,Заказ!$AV$1:$AV$3196,0),16),""),"")</f>
        <v/>
      </c>
      <c r="H137" s="1"/>
    </row>
    <row r="138" spans="1:8" ht="12" customHeight="1" x14ac:dyDescent="0.25">
      <c r="A138" s="1051" t="str">
        <f>IFERROR(IF(AND(B138&gt;0,B138/1),INDEX(Заказ!$B$412:$AV$3196,MATCH(B138,Заказ!$AV$412:$AV$3196,0),1),""),"")</f>
        <v/>
      </c>
      <c r="B138" s="1056" t="str">
        <f>IFERROR(IF(B137&gt;0,SMALL(Заказ!$AV$1:$AV$3196,1+B137),""),"")</f>
        <v/>
      </c>
      <c r="C138" s="1057" t="str">
        <f>IFERROR(IF(AND(B138&gt;0,B138/1),INDEX(Заказ!$B$1:$AV$3196,MATCH(B138,Заказ!$AV$1:$AV$3196,0),3),""),"")</f>
        <v/>
      </c>
      <c r="D138" s="1058" t="str">
        <f>IFERROR(IF(AND(B138&gt;0,B138/1),INDEX(Заказ!$B$1:$AV$3196,MATCH(B138,Заказ!$AV$1:$AV$3196,0),9),""),"")</f>
        <v/>
      </c>
      <c r="E138" s="1056" t="str">
        <f>IFERROR(IF(AND(B138&gt;0,B138/1),INDEX(Заказ!$B$1:$AV$3196,MATCH(B138,Заказ!$AV$1:$AV$3196,0),5),""),"")</f>
        <v/>
      </c>
      <c r="F138" s="1056" t="str">
        <f>IFERROR(IF(AND(B138&gt;0,B138/1),INDEX(Заказ!$B$1:$AV$3196,MATCH(B138,Заказ!$AV$1:$AV$3196,0),16)/INDEX(Заказ!$B$1:$AV$3196,MATCH(B138,Заказ!$AV$1:$AV$3196,0),5),""),"")</f>
        <v/>
      </c>
      <c r="G138" s="1059" t="str">
        <f>IFERROR(IF(AND(B138&gt;0,B138/1),INDEX(Заказ!$B$1:$AV$3196,MATCH(B138,Заказ!$AV$1:$AV$3196,0),16),""),"")</f>
        <v/>
      </c>
      <c r="H138" s="1"/>
    </row>
    <row r="139" spans="1:8" ht="12" customHeight="1" x14ac:dyDescent="0.25">
      <c r="A139" s="1051" t="str">
        <f>IFERROR(IF(AND(B139&gt;0,B139/1),INDEX(Заказ!$B$412:$AV$3196,MATCH(B139,Заказ!$AV$412:$AV$3196,0),1),""),"")</f>
        <v/>
      </c>
      <c r="B139" s="1056" t="str">
        <f>IFERROR(IF(B138&gt;0,SMALL(Заказ!$AV$1:$AV$3196,1+B138),""),"")</f>
        <v/>
      </c>
      <c r="C139" s="1057" t="str">
        <f>IFERROR(IF(AND(B139&gt;0,B139/1),INDEX(Заказ!$B$1:$AV$3196,MATCH(B139,Заказ!$AV$1:$AV$3196,0),3),""),"")</f>
        <v/>
      </c>
      <c r="D139" s="1058" t="str">
        <f>IFERROR(IF(AND(B139&gt;0,B139/1),INDEX(Заказ!$B$1:$AV$3196,MATCH(B139,Заказ!$AV$1:$AV$3196,0),9),""),"")</f>
        <v/>
      </c>
      <c r="E139" s="1056" t="str">
        <f>IFERROR(IF(AND(B139&gt;0,B139/1),INDEX(Заказ!$B$1:$AV$3196,MATCH(B139,Заказ!$AV$1:$AV$3196,0),5),""),"")</f>
        <v/>
      </c>
      <c r="F139" s="1056" t="str">
        <f>IFERROR(IF(AND(B139&gt;0,B139/1),INDEX(Заказ!$B$1:$AV$3196,MATCH(B139,Заказ!$AV$1:$AV$3196,0),16)/INDEX(Заказ!$B$1:$AV$3196,MATCH(B139,Заказ!$AV$1:$AV$3196,0),5),""),"")</f>
        <v/>
      </c>
      <c r="G139" s="1059" t="str">
        <f>IFERROR(IF(AND(B139&gt;0,B139/1),INDEX(Заказ!$B$1:$AV$3196,MATCH(B139,Заказ!$AV$1:$AV$3196,0),16),""),"")</f>
        <v/>
      </c>
      <c r="H139" s="1"/>
    </row>
    <row r="140" spans="1:8" ht="12" customHeight="1" x14ac:dyDescent="0.25">
      <c r="A140" s="1051" t="str">
        <f>IFERROR(IF(AND(B140&gt;0,B140/1),INDEX(Заказ!$B$412:$AV$3196,MATCH(B140,Заказ!$AV$412:$AV$3196,0),1),""),"")</f>
        <v/>
      </c>
      <c r="B140" s="1056" t="str">
        <f>IFERROR(IF(B139&gt;0,SMALL(Заказ!$AV$1:$AV$3196,1+B139),""),"")</f>
        <v/>
      </c>
      <c r="C140" s="1057" t="str">
        <f>IFERROR(IF(AND(B140&gt;0,B140/1),INDEX(Заказ!$B$1:$AV$3196,MATCH(B140,Заказ!$AV$1:$AV$3196,0),3),""),"")</f>
        <v/>
      </c>
      <c r="D140" s="1058" t="str">
        <f>IFERROR(IF(AND(B140&gt;0,B140/1),INDEX(Заказ!$B$1:$AV$3196,MATCH(B140,Заказ!$AV$1:$AV$3196,0),9),""),"")</f>
        <v/>
      </c>
      <c r="E140" s="1056" t="str">
        <f>IFERROR(IF(AND(B140&gt;0,B140/1),INDEX(Заказ!$B$1:$AV$3196,MATCH(B140,Заказ!$AV$1:$AV$3196,0),5),""),"")</f>
        <v/>
      </c>
      <c r="F140" s="1056" t="str">
        <f>IFERROR(IF(AND(B140&gt;0,B140/1),INDEX(Заказ!$B$1:$AV$3196,MATCH(B140,Заказ!$AV$1:$AV$3196,0),16)/INDEX(Заказ!$B$1:$AV$3196,MATCH(B140,Заказ!$AV$1:$AV$3196,0),5),""),"")</f>
        <v/>
      </c>
      <c r="G140" s="1059" t="str">
        <f>IFERROR(IF(AND(B140&gt;0,B140/1),INDEX(Заказ!$B$1:$AV$3196,MATCH(B140,Заказ!$AV$1:$AV$3196,0),16),""),"")</f>
        <v/>
      </c>
      <c r="H140" s="1"/>
    </row>
    <row r="141" spans="1:8" ht="12" customHeight="1" x14ac:dyDescent="0.25">
      <c r="A141" s="1051" t="str">
        <f>IFERROR(IF(AND(B141&gt;0,B141/1),INDEX(Заказ!$B$412:$AV$3196,MATCH(B141,Заказ!$AV$412:$AV$3196,0),1),""),"")</f>
        <v/>
      </c>
      <c r="B141" s="1056" t="str">
        <f>IFERROR(IF(B140&gt;0,SMALL(Заказ!$AV$1:$AV$3196,1+B140),""),"")</f>
        <v/>
      </c>
      <c r="C141" s="1057" t="str">
        <f>IFERROR(IF(AND(B141&gt;0,B141/1),INDEX(Заказ!$B$1:$AV$3196,MATCH(B141,Заказ!$AV$1:$AV$3196,0),3),""),"")</f>
        <v/>
      </c>
      <c r="D141" s="1058" t="str">
        <f>IFERROR(IF(AND(B141&gt;0,B141/1),INDEX(Заказ!$B$1:$AV$3196,MATCH(B141,Заказ!$AV$1:$AV$3196,0),9),""),"")</f>
        <v/>
      </c>
      <c r="E141" s="1056" t="str">
        <f>IFERROR(IF(AND(B141&gt;0,B141/1),INDEX(Заказ!$B$1:$AV$3196,MATCH(B141,Заказ!$AV$1:$AV$3196,0),5),""),"")</f>
        <v/>
      </c>
      <c r="F141" s="1056" t="str">
        <f>IFERROR(IF(AND(B141&gt;0,B141/1),INDEX(Заказ!$B$1:$AV$3196,MATCH(B141,Заказ!$AV$1:$AV$3196,0),16)/INDEX(Заказ!$B$1:$AV$3196,MATCH(B141,Заказ!$AV$1:$AV$3196,0),5),""),"")</f>
        <v/>
      </c>
      <c r="G141" s="1059" t="str">
        <f>IFERROR(IF(AND(B141&gt;0,B141/1),INDEX(Заказ!$B$1:$AV$3196,MATCH(B141,Заказ!$AV$1:$AV$3196,0),16),""),"")</f>
        <v/>
      </c>
      <c r="H141" s="1"/>
    </row>
    <row r="142" spans="1:8" ht="12" customHeight="1" x14ac:dyDescent="0.25">
      <c r="A142" s="1051" t="str">
        <f>IFERROR(IF(AND(B142&gt;0,B142/1),INDEX(Заказ!$B$412:$AV$3196,MATCH(B142,Заказ!$AV$412:$AV$3196,0),1),""),"")</f>
        <v/>
      </c>
      <c r="B142" s="1056" t="str">
        <f>IFERROR(IF(B141&gt;0,SMALL(Заказ!$AV$1:$AV$3196,1+B141),""),"")</f>
        <v/>
      </c>
      <c r="C142" s="1057" t="str">
        <f>IFERROR(IF(AND(B142&gt;0,B142/1),INDEX(Заказ!$B$1:$AV$3196,MATCH(B142,Заказ!$AV$1:$AV$3196,0),3),""),"")</f>
        <v/>
      </c>
      <c r="D142" s="1058" t="str">
        <f>IFERROR(IF(AND(B142&gt;0,B142/1),INDEX(Заказ!$B$1:$AV$3196,MATCH(B142,Заказ!$AV$1:$AV$3196,0),9),""),"")</f>
        <v/>
      </c>
      <c r="E142" s="1056" t="str">
        <f>IFERROR(IF(AND(B142&gt;0,B142/1),INDEX(Заказ!$B$1:$AV$3196,MATCH(B142,Заказ!$AV$1:$AV$3196,0),5),""),"")</f>
        <v/>
      </c>
      <c r="F142" s="1056" t="str">
        <f>IFERROR(IF(AND(B142&gt;0,B142/1),INDEX(Заказ!$B$1:$AV$3196,MATCH(B142,Заказ!$AV$1:$AV$3196,0),16)/INDEX(Заказ!$B$1:$AV$3196,MATCH(B142,Заказ!$AV$1:$AV$3196,0),5),""),"")</f>
        <v/>
      </c>
      <c r="G142" s="1059" t="str">
        <f>IFERROR(IF(AND(B142&gt;0,B142/1),INDEX(Заказ!$B$1:$AV$3196,MATCH(B142,Заказ!$AV$1:$AV$3196,0),16),""),"")</f>
        <v/>
      </c>
      <c r="H142" s="1"/>
    </row>
    <row r="143" spans="1:8" ht="12" customHeight="1" x14ac:dyDescent="0.25">
      <c r="A143" s="1051" t="str">
        <f>IFERROR(IF(AND(B143&gt;0,B143/1),INDEX(Заказ!$B$412:$AV$3196,MATCH(B143,Заказ!$AV$412:$AV$3196,0),1),""),"")</f>
        <v/>
      </c>
      <c r="B143" s="1056" t="str">
        <f>IFERROR(IF(B142&gt;0,SMALL(Заказ!$AV$1:$AV$3196,1+B142),""),"")</f>
        <v/>
      </c>
      <c r="C143" s="1057" t="str">
        <f>IFERROR(IF(AND(B143&gt;0,B143/1),INDEX(Заказ!$B$1:$AV$3196,MATCH(B143,Заказ!$AV$1:$AV$3196,0),3),""),"")</f>
        <v/>
      </c>
      <c r="D143" s="1058" t="str">
        <f>IFERROR(IF(AND(B143&gt;0,B143/1),INDEX(Заказ!$B$1:$AV$3196,MATCH(B143,Заказ!$AV$1:$AV$3196,0),9),""),"")</f>
        <v/>
      </c>
      <c r="E143" s="1056" t="str">
        <f>IFERROR(IF(AND(B143&gt;0,B143/1),INDEX(Заказ!$B$1:$AV$3196,MATCH(B143,Заказ!$AV$1:$AV$3196,0),5),""),"")</f>
        <v/>
      </c>
      <c r="F143" s="1056" t="str">
        <f>IFERROR(IF(AND(B143&gt;0,B143/1),INDEX(Заказ!$B$1:$AV$3196,MATCH(B143,Заказ!$AV$1:$AV$3196,0),16)/INDEX(Заказ!$B$1:$AV$3196,MATCH(B143,Заказ!$AV$1:$AV$3196,0),5),""),"")</f>
        <v/>
      </c>
      <c r="G143" s="1059" t="str">
        <f>IFERROR(IF(AND(B143&gt;0,B143/1),INDEX(Заказ!$B$1:$AV$3196,MATCH(B143,Заказ!$AV$1:$AV$3196,0),16),""),"")</f>
        <v/>
      </c>
      <c r="H143" s="1"/>
    </row>
    <row r="144" spans="1:8" ht="12" customHeight="1" x14ac:dyDescent="0.25">
      <c r="A144" s="1051" t="str">
        <f>IFERROR(IF(AND(B144&gt;0,B144/1),INDEX(Заказ!$B$412:$AV$3196,MATCH(B144,Заказ!$AV$412:$AV$3196,0),1),""),"")</f>
        <v/>
      </c>
      <c r="B144" s="1056" t="str">
        <f>IFERROR(IF(B143&gt;0,SMALL(Заказ!$AV$1:$AV$3196,1+B143),""),"")</f>
        <v/>
      </c>
      <c r="C144" s="1057" t="str">
        <f>IFERROR(IF(AND(B144&gt;0,B144/1),INDEX(Заказ!$B$1:$AV$3196,MATCH(B144,Заказ!$AV$1:$AV$3196,0),3),""),"")</f>
        <v/>
      </c>
      <c r="D144" s="1058" t="str">
        <f>IFERROR(IF(AND(B144&gt;0,B144/1),INDEX(Заказ!$B$1:$AV$3196,MATCH(B144,Заказ!$AV$1:$AV$3196,0),9),""),"")</f>
        <v/>
      </c>
      <c r="E144" s="1056" t="str">
        <f>IFERROR(IF(AND(B144&gt;0,B144/1),INDEX(Заказ!$B$1:$AV$3196,MATCH(B144,Заказ!$AV$1:$AV$3196,0),5),""),"")</f>
        <v/>
      </c>
      <c r="F144" s="1056" t="str">
        <f>IFERROR(IF(AND(B144&gt;0,B144/1),INDEX(Заказ!$B$1:$AV$3196,MATCH(B144,Заказ!$AV$1:$AV$3196,0),16)/INDEX(Заказ!$B$1:$AV$3196,MATCH(B144,Заказ!$AV$1:$AV$3196,0),5),""),"")</f>
        <v/>
      </c>
      <c r="G144" s="1059" t="str">
        <f>IFERROR(IF(AND(B144&gt;0,B144/1),INDEX(Заказ!$B$1:$AV$3196,MATCH(B144,Заказ!$AV$1:$AV$3196,0),16),""),"")</f>
        <v/>
      </c>
      <c r="H144" s="1"/>
    </row>
    <row r="145" spans="1:8" ht="12" customHeight="1" x14ac:dyDescent="0.25">
      <c r="A145" s="1051" t="str">
        <f>IFERROR(IF(AND(B145&gt;0,B145/1),INDEX(Заказ!$B$412:$AV$3196,MATCH(B145,Заказ!$AV$412:$AV$3196,0),1),""),"")</f>
        <v/>
      </c>
      <c r="B145" s="1056" t="str">
        <f>IFERROR(IF(B144&gt;0,SMALL(Заказ!$AV$1:$AV$3196,1+B144),""),"")</f>
        <v/>
      </c>
      <c r="C145" s="1057" t="str">
        <f>IFERROR(IF(AND(B145&gt;0,B145/1),INDEX(Заказ!$B$1:$AV$3196,MATCH(B145,Заказ!$AV$1:$AV$3196,0),3),""),"")</f>
        <v/>
      </c>
      <c r="D145" s="1058" t="str">
        <f>IFERROR(IF(AND(B145&gt;0,B145/1),INDEX(Заказ!$B$1:$AV$3196,MATCH(B145,Заказ!$AV$1:$AV$3196,0),9),""),"")</f>
        <v/>
      </c>
      <c r="E145" s="1056" t="str">
        <f>IFERROR(IF(AND(B145&gt;0,B145/1),INDEX(Заказ!$B$1:$AV$3196,MATCH(B145,Заказ!$AV$1:$AV$3196,0),5),""),"")</f>
        <v/>
      </c>
      <c r="F145" s="1056" t="str">
        <f>IFERROR(IF(AND(B145&gt;0,B145/1),INDEX(Заказ!$B$1:$AV$3196,MATCH(B145,Заказ!$AV$1:$AV$3196,0),16)/INDEX(Заказ!$B$1:$AV$3196,MATCH(B145,Заказ!$AV$1:$AV$3196,0),5),""),"")</f>
        <v/>
      </c>
      <c r="G145" s="1059" t="str">
        <f>IFERROR(IF(AND(B145&gt;0,B145/1),INDEX(Заказ!$B$1:$AV$3196,MATCH(B145,Заказ!$AV$1:$AV$3196,0),16),""),"")</f>
        <v/>
      </c>
      <c r="H145" s="1"/>
    </row>
    <row r="146" spans="1:8" ht="12" customHeight="1" x14ac:dyDescent="0.25">
      <c r="A146" s="1051" t="str">
        <f>IFERROR(IF(AND(B146&gt;0,B146/1),INDEX(Заказ!$B$412:$AV$3196,MATCH(B146,Заказ!$AV$412:$AV$3196,0),1),""),"")</f>
        <v/>
      </c>
      <c r="B146" s="1056" t="str">
        <f>IFERROR(IF(B145&gt;0,SMALL(Заказ!$AV$1:$AV$3196,1+B145),""),"")</f>
        <v/>
      </c>
      <c r="C146" s="1057" t="str">
        <f>IFERROR(IF(AND(B146&gt;0,B146/1),INDEX(Заказ!$B$1:$AV$3196,MATCH(B146,Заказ!$AV$1:$AV$3196,0),3),""),"")</f>
        <v/>
      </c>
      <c r="D146" s="1058" t="str">
        <f>IFERROR(IF(AND(B146&gt;0,B146/1),INDEX(Заказ!$B$1:$AV$3196,MATCH(B146,Заказ!$AV$1:$AV$3196,0),9),""),"")</f>
        <v/>
      </c>
      <c r="E146" s="1056" t="str">
        <f>IFERROR(IF(AND(B146&gt;0,B146/1),INDEX(Заказ!$B$1:$AV$3196,MATCH(B146,Заказ!$AV$1:$AV$3196,0),5),""),"")</f>
        <v/>
      </c>
      <c r="F146" s="1056" t="str">
        <f>IFERROR(IF(AND(B146&gt;0,B146/1),INDEX(Заказ!$B$1:$AV$3196,MATCH(B146,Заказ!$AV$1:$AV$3196,0),16)/INDEX(Заказ!$B$1:$AV$3196,MATCH(B146,Заказ!$AV$1:$AV$3196,0),5),""),"")</f>
        <v/>
      </c>
      <c r="G146" s="1059" t="str">
        <f>IFERROR(IF(AND(B146&gt;0,B146/1),INDEX(Заказ!$B$1:$AV$3196,MATCH(B146,Заказ!$AV$1:$AV$3196,0),16),""),"")</f>
        <v/>
      </c>
      <c r="H146" s="1"/>
    </row>
    <row r="147" spans="1:8" ht="12" customHeight="1" x14ac:dyDescent="0.25">
      <c r="A147" s="1051" t="str">
        <f>IFERROR(IF(AND(B147&gt;0,B147/1),INDEX(Заказ!$B$412:$AV$3196,MATCH(B147,Заказ!$AV$412:$AV$3196,0),1),""),"")</f>
        <v/>
      </c>
      <c r="B147" s="1056" t="str">
        <f>IFERROR(IF(B146&gt;0,SMALL(Заказ!$AV$1:$AV$3196,1+B146),""),"")</f>
        <v/>
      </c>
      <c r="C147" s="1057" t="str">
        <f>IFERROR(IF(AND(B147&gt;0,B147/1),INDEX(Заказ!$B$1:$AV$3196,MATCH(B147,Заказ!$AV$1:$AV$3196,0),3),""),"")</f>
        <v/>
      </c>
      <c r="D147" s="1058" t="str">
        <f>IFERROR(IF(AND(B147&gt;0,B147/1),INDEX(Заказ!$B$1:$AV$3196,MATCH(B147,Заказ!$AV$1:$AV$3196,0),9),""),"")</f>
        <v/>
      </c>
      <c r="E147" s="1056" t="str">
        <f>IFERROR(IF(AND(B147&gt;0,B147/1),INDEX(Заказ!$B$1:$AV$3196,MATCH(B147,Заказ!$AV$1:$AV$3196,0),5),""),"")</f>
        <v/>
      </c>
      <c r="F147" s="1056" t="str">
        <f>IFERROR(IF(AND(B147&gt;0,B147/1),INDEX(Заказ!$B$1:$AV$3196,MATCH(B147,Заказ!$AV$1:$AV$3196,0),16)/INDEX(Заказ!$B$1:$AV$3196,MATCH(B147,Заказ!$AV$1:$AV$3196,0),5),""),"")</f>
        <v/>
      </c>
      <c r="G147" s="1059" t="str">
        <f>IFERROR(IF(AND(B147&gt;0,B147/1),INDEX(Заказ!$B$1:$AV$3196,MATCH(B147,Заказ!$AV$1:$AV$3196,0),16),""),"")</f>
        <v/>
      </c>
      <c r="H147" s="1"/>
    </row>
    <row r="148" spans="1:8" ht="12" customHeight="1" x14ac:dyDescent="0.25">
      <c r="A148" s="1051" t="str">
        <f>IFERROR(IF(AND(B148&gt;0,B148/1),INDEX(Заказ!$B$412:$AV$3196,MATCH(B148,Заказ!$AV$412:$AV$3196,0),1),""),"")</f>
        <v/>
      </c>
      <c r="B148" s="1056" t="str">
        <f>IFERROR(IF(B147&gt;0,SMALL(Заказ!$AV$1:$AV$3196,1+B147),""),"")</f>
        <v/>
      </c>
      <c r="C148" s="1057" t="str">
        <f>IFERROR(IF(AND(B148&gt;0,B148/1),INDEX(Заказ!$B$1:$AV$3196,MATCH(B148,Заказ!$AV$1:$AV$3196,0),3),""),"")</f>
        <v/>
      </c>
      <c r="D148" s="1058" t="str">
        <f>IFERROR(IF(AND(B148&gt;0,B148/1),INDEX(Заказ!$B$1:$AV$3196,MATCH(B148,Заказ!$AV$1:$AV$3196,0),9),""),"")</f>
        <v/>
      </c>
      <c r="E148" s="1056" t="str">
        <f>IFERROR(IF(AND(B148&gt;0,B148/1),INDEX(Заказ!$B$1:$AV$3196,MATCH(B148,Заказ!$AV$1:$AV$3196,0),5),""),"")</f>
        <v/>
      </c>
      <c r="F148" s="1056" t="str">
        <f>IFERROR(IF(AND(B148&gt;0,B148/1),INDEX(Заказ!$B$1:$AV$3196,MATCH(B148,Заказ!$AV$1:$AV$3196,0),16)/INDEX(Заказ!$B$1:$AV$3196,MATCH(B148,Заказ!$AV$1:$AV$3196,0),5),""),"")</f>
        <v/>
      </c>
      <c r="G148" s="1059" t="str">
        <f>IFERROR(IF(AND(B148&gt;0,B148/1),INDEX(Заказ!$B$1:$AV$3196,MATCH(B148,Заказ!$AV$1:$AV$3196,0),16),""),"")</f>
        <v/>
      </c>
      <c r="H148" s="1"/>
    </row>
    <row r="149" spans="1:8" ht="12" customHeight="1" x14ac:dyDescent="0.25">
      <c r="A149" s="1051" t="str">
        <f>IFERROR(IF(AND(B149&gt;0,B149/1),INDEX(Заказ!$B$412:$AV$3196,MATCH(B149,Заказ!$AV$412:$AV$3196,0),1),""),"")</f>
        <v/>
      </c>
      <c r="B149" s="1056" t="str">
        <f>IFERROR(IF(B148&gt;0,SMALL(Заказ!$AV$1:$AV$3196,1+B148),""),"")</f>
        <v/>
      </c>
      <c r="C149" s="1057" t="str">
        <f>IFERROR(IF(AND(B149&gt;0,B149/1),INDEX(Заказ!$B$1:$AV$3196,MATCH(B149,Заказ!$AV$1:$AV$3196,0),3),""),"")</f>
        <v/>
      </c>
      <c r="D149" s="1058" t="str">
        <f>IFERROR(IF(AND(B149&gt;0,B149/1),INDEX(Заказ!$B$1:$AV$3196,MATCH(B149,Заказ!$AV$1:$AV$3196,0),9),""),"")</f>
        <v/>
      </c>
      <c r="E149" s="1056" t="str">
        <f>IFERROR(IF(AND(B149&gt;0,B149/1),INDEX(Заказ!$B$1:$AV$3196,MATCH(B149,Заказ!$AV$1:$AV$3196,0),5),""),"")</f>
        <v/>
      </c>
      <c r="F149" s="1056" t="str">
        <f>IFERROR(IF(AND(B149&gt;0,B149/1),INDEX(Заказ!$B$1:$AV$3196,MATCH(B149,Заказ!$AV$1:$AV$3196,0),16)/INDEX(Заказ!$B$1:$AV$3196,MATCH(B149,Заказ!$AV$1:$AV$3196,0),5),""),"")</f>
        <v/>
      </c>
      <c r="G149" s="1059" t="str">
        <f>IFERROR(IF(AND(B149&gt;0,B149/1),INDEX(Заказ!$B$1:$AV$3196,MATCH(B149,Заказ!$AV$1:$AV$3196,0),16),""),"")</f>
        <v/>
      </c>
      <c r="H149" s="1"/>
    </row>
    <row r="150" spans="1:8" ht="12" customHeight="1" x14ac:dyDescent="0.25">
      <c r="A150" s="1051" t="str">
        <f>IFERROR(IF(AND(B150&gt;0,B150/1),INDEX(Заказ!$B$412:$AV$3196,MATCH(B150,Заказ!$AV$412:$AV$3196,0),1),""),"")</f>
        <v/>
      </c>
      <c r="B150" s="1056" t="str">
        <f>IFERROR(IF(B149&gt;0,SMALL(Заказ!$AV$1:$AV$3196,1+B149),""),"")</f>
        <v/>
      </c>
      <c r="C150" s="1057" t="str">
        <f>IFERROR(IF(AND(B150&gt;0,B150/1),INDEX(Заказ!$B$1:$AV$3196,MATCH(B150,Заказ!$AV$1:$AV$3196,0),3),""),"")</f>
        <v/>
      </c>
      <c r="D150" s="1058" t="str">
        <f>IFERROR(IF(AND(B150&gt;0,B150/1),INDEX(Заказ!$B$1:$AV$3196,MATCH(B150,Заказ!$AV$1:$AV$3196,0),9),""),"")</f>
        <v/>
      </c>
      <c r="E150" s="1056" t="str">
        <f>IFERROR(IF(AND(B150&gt;0,B150/1),INDEX(Заказ!$B$1:$AV$3196,MATCH(B150,Заказ!$AV$1:$AV$3196,0),5),""),"")</f>
        <v/>
      </c>
      <c r="F150" s="1056" t="str">
        <f>IFERROR(IF(AND(B150&gt;0,B150/1),INDEX(Заказ!$B$1:$AV$3196,MATCH(B150,Заказ!$AV$1:$AV$3196,0),16)/INDEX(Заказ!$B$1:$AV$3196,MATCH(B150,Заказ!$AV$1:$AV$3196,0),5),""),"")</f>
        <v/>
      </c>
      <c r="G150" s="1059" t="str">
        <f>IFERROR(IF(AND(B150&gt;0,B150/1),INDEX(Заказ!$B$1:$AV$3196,MATCH(B150,Заказ!$AV$1:$AV$3196,0),16),""),"")</f>
        <v/>
      </c>
      <c r="H150" s="1"/>
    </row>
    <row r="151" spans="1:8" ht="12" customHeight="1" x14ac:dyDescent="0.25">
      <c r="A151" s="1051" t="str">
        <f>IFERROR(IF(AND(B151&gt;0,B151/1),INDEX(Заказ!$B$412:$AV$3196,MATCH(B151,Заказ!$AV$412:$AV$3196,0),1),""),"")</f>
        <v/>
      </c>
      <c r="B151" s="1056" t="str">
        <f>IFERROR(IF(B150&gt;0,SMALL(Заказ!$AV$1:$AV$3196,1+B150),""),"")</f>
        <v/>
      </c>
      <c r="C151" s="1057" t="str">
        <f>IFERROR(IF(AND(B151&gt;0,B151/1),INDEX(Заказ!$B$1:$AV$3196,MATCH(B151,Заказ!$AV$1:$AV$3196,0),3),""),"")</f>
        <v/>
      </c>
      <c r="D151" s="1058" t="str">
        <f>IFERROR(IF(AND(B151&gt;0,B151/1),INDEX(Заказ!$B$1:$AV$3196,MATCH(B151,Заказ!$AV$1:$AV$3196,0),9),""),"")</f>
        <v/>
      </c>
      <c r="E151" s="1056" t="str">
        <f>IFERROR(IF(AND(B151&gt;0,B151/1),INDEX(Заказ!$B$1:$AV$3196,MATCH(B151,Заказ!$AV$1:$AV$3196,0),5),""),"")</f>
        <v/>
      </c>
      <c r="F151" s="1056" t="str">
        <f>IFERROR(IF(AND(B151&gt;0,B151/1),INDEX(Заказ!$B$1:$AV$3196,MATCH(B151,Заказ!$AV$1:$AV$3196,0),16)/INDEX(Заказ!$B$1:$AV$3196,MATCH(B151,Заказ!$AV$1:$AV$3196,0),5),""),"")</f>
        <v/>
      </c>
      <c r="G151" s="1059" t="str">
        <f>IFERROR(IF(AND(B151&gt;0,B151/1),INDEX(Заказ!$B$1:$AV$3196,MATCH(B151,Заказ!$AV$1:$AV$3196,0),16),""),"")</f>
        <v/>
      </c>
      <c r="H151" s="1"/>
    </row>
    <row r="152" spans="1:8" ht="12" customHeight="1" x14ac:dyDescent="0.25">
      <c r="A152" s="1051" t="str">
        <f>IFERROR(IF(AND(B152&gt;0,B152/1),INDEX(Заказ!$B$412:$AV$3196,MATCH(B152,Заказ!$AV$412:$AV$3196,0),1),""),"")</f>
        <v/>
      </c>
      <c r="B152" s="1056" t="str">
        <f>IFERROR(IF(B151&gt;0,SMALL(Заказ!$AV$1:$AV$3196,1+B151),""),"")</f>
        <v/>
      </c>
      <c r="C152" s="1057" t="str">
        <f>IFERROR(IF(AND(B152&gt;0,B152/1),INDEX(Заказ!$B$1:$AV$3196,MATCH(B152,Заказ!$AV$1:$AV$3196,0),3),""),"")</f>
        <v/>
      </c>
      <c r="D152" s="1058" t="str">
        <f>IFERROR(IF(AND(B152&gt;0,B152/1),INDEX(Заказ!$B$1:$AV$3196,MATCH(B152,Заказ!$AV$1:$AV$3196,0),9),""),"")</f>
        <v/>
      </c>
      <c r="E152" s="1056" t="str">
        <f>IFERROR(IF(AND(B152&gt;0,B152/1),INDEX(Заказ!$B$1:$AV$3196,MATCH(B152,Заказ!$AV$1:$AV$3196,0),5),""),"")</f>
        <v/>
      </c>
      <c r="F152" s="1056" t="str">
        <f>IFERROR(IF(AND(B152&gt;0,B152/1),INDEX(Заказ!$B$1:$AV$3196,MATCH(B152,Заказ!$AV$1:$AV$3196,0),16)/INDEX(Заказ!$B$1:$AV$3196,MATCH(B152,Заказ!$AV$1:$AV$3196,0),5),""),"")</f>
        <v/>
      </c>
      <c r="G152" s="1059" t="str">
        <f>IFERROR(IF(AND(B152&gt;0,B152/1),INDEX(Заказ!$B$1:$AV$3196,MATCH(B152,Заказ!$AV$1:$AV$3196,0),16),""),"")</f>
        <v/>
      </c>
      <c r="H152" s="1"/>
    </row>
    <row r="153" spans="1:8" ht="12" customHeight="1" x14ac:dyDescent="0.25">
      <c r="A153" s="1051" t="str">
        <f>IFERROR(IF(AND(B153&gt;0,B153/1),INDEX(Заказ!$B$412:$AV$3196,MATCH(B153,Заказ!$AV$412:$AV$3196,0),1),""),"")</f>
        <v/>
      </c>
      <c r="B153" s="1056" t="str">
        <f>IFERROR(IF(B152&gt;0,SMALL(Заказ!$AV$1:$AV$3196,1+B152),""),"")</f>
        <v/>
      </c>
      <c r="C153" s="1057" t="str">
        <f>IFERROR(IF(AND(B153&gt;0,B153/1),INDEX(Заказ!$B$1:$AV$3196,MATCH(B153,Заказ!$AV$1:$AV$3196,0),3),""),"")</f>
        <v/>
      </c>
      <c r="D153" s="1058" t="str">
        <f>IFERROR(IF(AND(B153&gt;0,B153/1),INDEX(Заказ!$B$1:$AV$3196,MATCH(B153,Заказ!$AV$1:$AV$3196,0),9),""),"")</f>
        <v/>
      </c>
      <c r="E153" s="1056" t="str">
        <f>IFERROR(IF(AND(B153&gt;0,B153/1),INDEX(Заказ!$B$1:$AV$3196,MATCH(B153,Заказ!$AV$1:$AV$3196,0),5),""),"")</f>
        <v/>
      </c>
      <c r="F153" s="1056" t="str">
        <f>IFERROR(IF(AND(B153&gt;0,B153/1),INDEX(Заказ!$B$1:$AV$3196,MATCH(B153,Заказ!$AV$1:$AV$3196,0),16)/INDEX(Заказ!$B$1:$AV$3196,MATCH(B153,Заказ!$AV$1:$AV$3196,0),5),""),"")</f>
        <v/>
      </c>
      <c r="G153" s="1059" t="str">
        <f>IFERROR(IF(AND(B153&gt;0,B153/1),INDEX(Заказ!$B$1:$AV$3196,MATCH(B153,Заказ!$AV$1:$AV$3196,0),16),""),"")</f>
        <v/>
      </c>
      <c r="H153" s="1"/>
    </row>
    <row r="154" spans="1:8" ht="12" customHeight="1" x14ac:dyDescent="0.25">
      <c r="A154" s="1051" t="str">
        <f>IFERROR(IF(AND(B154&gt;0,B154/1),INDEX(Заказ!$B$412:$AV$3196,MATCH(B154,Заказ!$AV$412:$AV$3196,0),1),""),"")</f>
        <v/>
      </c>
      <c r="B154" s="1056" t="str">
        <f>IFERROR(IF(B153&gt;0,SMALL(Заказ!$AV$1:$AV$3196,1+B153),""),"")</f>
        <v/>
      </c>
      <c r="C154" s="1057" t="str">
        <f>IFERROR(IF(AND(B154&gt;0,B154/1),INDEX(Заказ!$B$1:$AV$3196,MATCH(B154,Заказ!$AV$1:$AV$3196,0),3),""),"")</f>
        <v/>
      </c>
      <c r="D154" s="1058" t="str">
        <f>IFERROR(IF(AND(B154&gt;0,B154/1),INDEX(Заказ!$B$1:$AV$3196,MATCH(B154,Заказ!$AV$1:$AV$3196,0),9),""),"")</f>
        <v/>
      </c>
      <c r="E154" s="1056" t="str">
        <f>IFERROR(IF(AND(B154&gt;0,B154/1),INDEX(Заказ!$B$1:$AV$3196,MATCH(B154,Заказ!$AV$1:$AV$3196,0),5),""),"")</f>
        <v/>
      </c>
      <c r="F154" s="1056" t="str">
        <f>IFERROR(IF(AND(B154&gt;0,B154/1),INDEX(Заказ!$B$1:$AV$3196,MATCH(B154,Заказ!$AV$1:$AV$3196,0),16)/INDEX(Заказ!$B$1:$AV$3196,MATCH(B154,Заказ!$AV$1:$AV$3196,0),5),""),"")</f>
        <v/>
      </c>
      <c r="G154" s="1059" t="str">
        <f>IFERROR(IF(AND(B154&gt;0,B154/1),INDEX(Заказ!$B$1:$AV$3196,MATCH(B154,Заказ!$AV$1:$AV$3196,0),16),""),"")</f>
        <v/>
      </c>
      <c r="H154" s="1"/>
    </row>
    <row r="155" spans="1:8" ht="12" customHeight="1" x14ac:dyDescent="0.25">
      <c r="A155" s="1051" t="str">
        <f>IFERROR(IF(AND(B155&gt;0,B155/1),INDEX(Заказ!$B$412:$AV$3196,MATCH(B155,Заказ!$AV$412:$AV$3196,0),1),""),"")</f>
        <v/>
      </c>
      <c r="B155" s="1056" t="str">
        <f>IFERROR(IF(B154&gt;0,SMALL(Заказ!$AV$1:$AV$3196,1+B154),""),"")</f>
        <v/>
      </c>
      <c r="C155" s="1057" t="str">
        <f>IFERROR(IF(AND(B155&gt;0,B155/1),INDEX(Заказ!$B$1:$AV$3196,MATCH(B155,Заказ!$AV$1:$AV$3196,0),3),""),"")</f>
        <v/>
      </c>
      <c r="D155" s="1058" t="str">
        <f>IFERROR(IF(AND(B155&gt;0,B155/1),INDEX(Заказ!$B$1:$AV$3196,MATCH(B155,Заказ!$AV$1:$AV$3196,0),9),""),"")</f>
        <v/>
      </c>
      <c r="E155" s="1056" t="str">
        <f>IFERROR(IF(AND(B155&gt;0,B155/1),INDEX(Заказ!$B$1:$AV$3196,MATCH(B155,Заказ!$AV$1:$AV$3196,0),5),""),"")</f>
        <v/>
      </c>
      <c r="F155" s="1056" t="str">
        <f>IFERROR(IF(AND(B155&gt;0,B155/1),INDEX(Заказ!$B$1:$AV$3196,MATCH(B155,Заказ!$AV$1:$AV$3196,0),16)/INDEX(Заказ!$B$1:$AV$3196,MATCH(B155,Заказ!$AV$1:$AV$3196,0),5),""),"")</f>
        <v/>
      </c>
      <c r="G155" s="1059" t="str">
        <f>IFERROR(IF(AND(B155&gt;0,B155/1),INDEX(Заказ!$B$1:$AV$3196,MATCH(B155,Заказ!$AV$1:$AV$3196,0),16),""),"")</f>
        <v/>
      </c>
      <c r="H155" s="1"/>
    </row>
    <row r="156" spans="1:8" ht="12" customHeight="1" x14ac:dyDescent="0.25">
      <c r="A156" s="1051" t="str">
        <f>IFERROR(IF(AND(B156&gt;0,B156/1),INDEX(Заказ!$B$412:$AV$3196,MATCH(B156,Заказ!$AV$412:$AV$3196,0),1),""),"")</f>
        <v/>
      </c>
      <c r="B156" s="1056" t="str">
        <f>IFERROR(IF(B155&gt;0,SMALL(Заказ!$AV$1:$AV$3196,1+B155),""),"")</f>
        <v/>
      </c>
      <c r="C156" s="1057" t="str">
        <f>IFERROR(IF(AND(B156&gt;0,B156/1),INDEX(Заказ!$B$1:$AV$3196,MATCH(B156,Заказ!$AV$1:$AV$3196,0),3),""),"")</f>
        <v/>
      </c>
      <c r="D156" s="1058" t="str">
        <f>IFERROR(IF(AND(B156&gt;0,B156/1),INDEX(Заказ!$B$1:$AV$3196,MATCH(B156,Заказ!$AV$1:$AV$3196,0),9),""),"")</f>
        <v/>
      </c>
      <c r="E156" s="1056" t="str">
        <f>IFERROR(IF(AND(B156&gt;0,B156/1),INDEX(Заказ!$B$1:$AV$3196,MATCH(B156,Заказ!$AV$1:$AV$3196,0),5),""),"")</f>
        <v/>
      </c>
      <c r="F156" s="1056" t="str">
        <f>IFERROR(IF(AND(B156&gt;0,B156/1),INDEX(Заказ!$B$1:$AV$3196,MATCH(B156,Заказ!$AV$1:$AV$3196,0),16)/INDEX(Заказ!$B$1:$AV$3196,MATCH(B156,Заказ!$AV$1:$AV$3196,0),5),""),"")</f>
        <v/>
      </c>
      <c r="G156" s="1059" t="str">
        <f>IFERROR(IF(AND(B156&gt;0,B156/1),INDEX(Заказ!$B$1:$AV$3196,MATCH(B156,Заказ!$AV$1:$AV$3196,0),16),""),"")</f>
        <v/>
      </c>
      <c r="H156" s="1"/>
    </row>
    <row r="157" spans="1:8" ht="12" customHeight="1" x14ac:dyDescent="0.25">
      <c r="A157" s="1051" t="str">
        <f>IFERROR(IF(AND(B157&gt;0,B157/1),INDEX(Заказ!$B$412:$AV$3196,MATCH(B157,Заказ!$AV$412:$AV$3196,0),1),""),"")</f>
        <v/>
      </c>
      <c r="B157" s="1056" t="str">
        <f>IFERROR(IF(B156&gt;0,SMALL(Заказ!$AV$1:$AV$3196,1+B156),""),"")</f>
        <v/>
      </c>
      <c r="C157" s="1057" t="str">
        <f>IFERROR(IF(AND(B157&gt;0,B157/1),INDEX(Заказ!$B$1:$AV$3196,MATCH(B157,Заказ!$AV$1:$AV$3196,0),3),""),"")</f>
        <v/>
      </c>
      <c r="D157" s="1058" t="str">
        <f>IFERROR(IF(AND(B157&gt;0,B157/1),INDEX(Заказ!$B$1:$AV$3196,MATCH(B157,Заказ!$AV$1:$AV$3196,0),9),""),"")</f>
        <v/>
      </c>
      <c r="E157" s="1056" t="str">
        <f>IFERROR(IF(AND(B157&gt;0,B157/1),INDEX(Заказ!$B$1:$AV$3196,MATCH(B157,Заказ!$AV$1:$AV$3196,0),5),""),"")</f>
        <v/>
      </c>
      <c r="F157" s="1056" t="str">
        <f>IFERROR(IF(AND(B157&gt;0,B157/1),INDEX(Заказ!$B$1:$AV$3196,MATCH(B157,Заказ!$AV$1:$AV$3196,0),16)/INDEX(Заказ!$B$1:$AV$3196,MATCH(B157,Заказ!$AV$1:$AV$3196,0),5),""),"")</f>
        <v/>
      </c>
      <c r="G157" s="1059" t="str">
        <f>IFERROR(IF(AND(B157&gt;0,B157/1),INDEX(Заказ!$B$1:$AV$3196,MATCH(B157,Заказ!$AV$1:$AV$3196,0),16),""),"")</f>
        <v/>
      </c>
      <c r="H157" s="1"/>
    </row>
    <row r="158" spans="1:8" ht="12" customHeight="1" x14ac:dyDescent="0.25">
      <c r="A158" s="1051" t="str">
        <f>IFERROR(IF(AND(B158&gt;0,B158/1),INDEX(Заказ!$B$412:$AV$3196,MATCH(B158,Заказ!$AV$412:$AV$3196,0),1),""),"")</f>
        <v/>
      </c>
      <c r="B158" s="1056" t="str">
        <f>IFERROR(IF(B157&gt;0,SMALL(Заказ!$AV$1:$AV$3196,1+B157),""),"")</f>
        <v/>
      </c>
      <c r="C158" s="1057" t="str">
        <f>IFERROR(IF(AND(B158&gt;0,B158/1),INDEX(Заказ!$B$1:$AV$3196,MATCH(B158,Заказ!$AV$1:$AV$3196,0),3),""),"")</f>
        <v/>
      </c>
      <c r="D158" s="1058" t="str">
        <f>IFERROR(IF(AND(B158&gt;0,B158/1),INDEX(Заказ!$B$1:$AV$3196,MATCH(B158,Заказ!$AV$1:$AV$3196,0),9),""),"")</f>
        <v/>
      </c>
      <c r="E158" s="1056" t="str">
        <f>IFERROR(IF(AND(B158&gt;0,B158/1),INDEX(Заказ!$B$1:$AV$3196,MATCH(B158,Заказ!$AV$1:$AV$3196,0),5),""),"")</f>
        <v/>
      </c>
      <c r="F158" s="1056" t="str">
        <f>IFERROR(IF(AND(B158&gt;0,B158/1),INDEX(Заказ!$B$1:$AV$3196,MATCH(B158,Заказ!$AV$1:$AV$3196,0),16)/INDEX(Заказ!$B$1:$AV$3196,MATCH(B158,Заказ!$AV$1:$AV$3196,0),5),""),"")</f>
        <v/>
      </c>
      <c r="G158" s="1059" t="str">
        <f>IFERROR(IF(AND(B158&gt;0,B158/1),INDEX(Заказ!$B$1:$AV$3196,MATCH(B158,Заказ!$AV$1:$AV$3196,0),16),""),"")</f>
        <v/>
      </c>
      <c r="H158" s="1"/>
    </row>
    <row r="159" spans="1:8" ht="12" customHeight="1" x14ac:dyDescent="0.25">
      <c r="A159" s="1051" t="str">
        <f>IFERROR(IF(AND(B159&gt;0,B159/1),INDEX(Заказ!$B$412:$AV$3196,MATCH(B159,Заказ!$AV$412:$AV$3196,0),1),""),"")</f>
        <v/>
      </c>
      <c r="B159" s="1056" t="str">
        <f>IFERROR(IF(B158&gt;0,SMALL(Заказ!$AV$1:$AV$3196,1+B158),""),"")</f>
        <v/>
      </c>
      <c r="C159" s="1057" t="str">
        <f>IFERROR(IF(AND(B159&gt;0,B159/1),INDEX(Заказ!$B$1:$AV$3196,MATCH(B159,Заказ!$AV$1:$AV$3196,0),3),""),"")</f>
        <v/>
      </c>
      <c r="D159" s="1058" t="str">
        <f>IFERROR(IF(AND(B159&gt;0,B159/1),INDEX(Заказ!$B$1:$AV$3196,MATCH(B159,Заказ!$AV$1:$AV$3196,0),9),""),"")</f>
        <v/>
      </c>
      <c r="E159" s="1056" t="str">
        <f>IFERROR(IF(AND(B159&gt;0,B159/1),INDEX(Заказ!$B$1:$AV$3196,MATCH(B159,Заказ!$AV$1:$AV$3196,0),5),""),"")</f>
        <v/>
      </c>
      <c r="F159" s="1056" t="str">
        <f>IFERROR(IF(AND(B159&gt;0,B159/1),INDEX(Заказ!$B$1:$AV$3196,MATCH(B159,Заказ!$AV$1:$AV$3196,0),16)/INDEX(Заказ!$B$1:$AV$3196,MATCH(B159,Заказ!$AV$1:$AV$3196,0),5),""),"")</f>
        <v/>
      </c>
      <c r="G159" s="1059" t="str">
        <f>IFERROR(IF(AND(B159&gt;0,B159/1),INDEX(Заказ!$B$1:$AV$3196,MATCH(B159,Заказ!$AV$1:$AV$3196,0),16),""),"")</f>
        <v/>
      </c>
      <c r="H159" s="1"/>
    </row>
    <row r="160" spans="1:8" ht="12" customHeight="1" x14ac:dyDescent="0.25">
      <c r="A160" s="1051" t="str">
        <f>IFERROR(IF(AND(B160&gt;0,B160/1),INDEX(Заказ!$B$412:$AV$3196,MATCH(B160,Заказ!$AV$412:$AV$3196,0),1),""),"")</f>
        <v/>
      </c>
      <c r="B160" s="1056" t="str">
        <f>IFERROR(IF(B159&gt;0,SMALL(Заказ!$AV$1:$AV$3196,1+B159),""),"")</f>
        <v/>
      </c>
      <c r="C160" s="1057" t="str">
        <f>IFERROR(IF(AND(B160&gt;0,B160/1),INDEX(Заказ!$B$1:$AV$3196,MATCH(B160,Заказ!$AV$1:$AV$3196,0),3),""),"")</f>
        <v/>
      </c>
      <c r="D160" s="1058" t="str">
        <f>IFERROR(IF(AND(B160&gt;0,B160/1),INDEX(Заказ!$B$1:$AV$3196,MATCH(B160,Заказ!$AV$1:$AV$3196,0),9),""),"")</f>
        <v/>
      </c>
      <c r="E160" s="1056" t="str">
        <f>IFERROR(IF(AND(B160&gt;0,B160/1),INDEX(Заказ!$B$1:$AV$3196,MATCH(B160,Заказ!$AV$1:$AV$3196,0),5),""),"")</f>
        <v/>
      </c>
      <c r="F160" s="1056" t="str">
        <f>IFERROR(IF(AND(B160&gt;0,B160/1),INDEX(Заказ!$B$1:$AV$3196,MATCH(B160,Заказ!$AV$1:$AV$3196,0),16)/INDEX(Заказ!$B$1:$AV$3196,MATCH(B160,Заказ!$AV$1:$AV$3196,0),5),""),"")</f>
        <v/>
      </c>
      <c r="G160" s="1059" t="str">
        <f>IFERROR(IF(AND(B160&gt;0,B160/1),INDEX(Заказ!$B$1:$AV$3196,MATCH(B160,Заказ!$AV$1:$AV$3196,0),16),""),"")</f>
        <v/>
      </c>
      <c r="H160" s="1"/>
    </row>
    <row r="161" spans="1:8" ht="12" customHeight="1" x14ac:dyDescent="0.25">
      <c r="A161" s="1051" t="str">
        <f>IFERROR(IF(AND(B161&gt;0,B161/1),INDEX(Заказ!$B$412:$AV$3196,MATCH(B161,Заказ!$AV$412:$AV$3196,0),1),""),"")</f>
        <v/>
      </c>
      <c r="B161" s="1056" t="str">
        <f>IFERROR(IF(B160&gt;0,SMALL(Заказ!$AV$1:$AV$3196,1+B160),""),"")</f>
        <v/>
      </c>
      <c r="C161" s="1057" t="str">
        <f>IFERROR(IF(AND(B161&gt;0,B161/1),INDEX(Заказ!$B$1:$AV$3196,MATCH(B161,Заказ!$AV$1:$AV$3196,0),3),""),"")</f>
        <v/>
      </c>
      <c r="D161" s="1058" t="str">
        <f>IFERROR(IF(AND(B161&gt;0,B161/1),INDEX(Заказ!$B$1:$AV$3196,MATCH(B161,Заказ!$AV$1:$AV$3196,0),9),""),"")</f>
        <v/>
      </c>
      <c r="E161" s="1056" t="str">
        <f>IFERROR(IF(AND(B161&gt;0,B161/1),INDEX(Заказ!$B$1:$AV$3196,MATCH(B161,Заказ!$AV$1:$AV$3196,0),5),""),"")</f>
        <v/>
      </c>
      <c r="F161" s="1056" t="str">
        <f>IFERROR(IF(AND(B161&gt;0,B161/1),INDEX(Заказ!$B$1:$AV$3196,MATCH(B161,Заказ!$AV$1:$AV$3196,0),16)/INDEX(Заказ!$B$1:$AV$3196,MATCH(B161,Заказ!$AV$1:$AV$3196,0),5),""),"")</f>
        <v/>
      </c>
      <c r="G161" s="1059" t="str">
        <f>IFERROR(IF(AND(B161&gt;0,B161/1),INDEX(Заказ!$B$1:$AV$3196,MATCH(B161,Заказ!$AV$1:$AV$3196,0),16),""),"")</f>
        <v/>
      </c>
      <c r="H161" s="1"/>
    </row>
    <row r="162" spans="1:8" ht="12" customHeight="1" x14ac:dyDescent="0.25">
      <c r="A162" s="1051" t="str">
        <f>IFERROR(IF(AND(B162&gt;0,B162/1),INDEX(Заказ!$B$412:$AV$3196,MATCH(B162,Заказ!$AV$412:$AV$3196,0),1),""),"")</f>
        <v/>
      </c>
      <c r="B162" s="1056" t="str">
        <f>IFERROR(IF(B161&gt;0,SMALL(Заказ!$AV$1:$AV$3196,1+B161),""),"")</f>
        <v/>
      </c>
      <c r="C162" s="1057" t="str">
        <f>IFERROR(IF(AND(B162&gt;0,B162/1),INDEX(Заказ!$B$1:$AV$3196,MATCH(B162,Заказ!$AV$1:$AV$3196,0),3),""),"")</f>
        <v/>
      </c>
      <c r="D162" s="1058" t="str">
        <f>IFERROR(IF(AND(B162&gt;0,B162/1),INDEX(Заказ!$B$1:$AV$3196,MATCH(B162,Заказ!$AV$1:$AV$3196,0),9),""),"")</f>
        <v/>
      </c>
      <c r="E162" s="1056" t="str">
        <f>IFERROR(IF(AND(B162&gt;0,B162/1),INDEX(Заказ!$B$1:$AV$3196,MATCH(B162,Заказ!$AV$1:$AV$3196,0),5),""),"")</f>
        <v/>
      </c>
      <c r="F162" s="1056" t="str">
        <f>IFERROR(IF(AND(B162&gt;0,B162/1),INDEX(Заказ!$B$1:$AV$3196,MATCH(B162,Заказ!$AV$1:$AV$3196,0),16)/INDEX(Заказ!$B$1:$AV$3196,MATCH(B162,Заказ!$AV$1:$AV$3196,0),5),""),"")</f>
        <v/>
      </c>
      <c r="G162" s="1059" t="str">
        <f>IFERROR(IF(AND(B162&gt;0,B162/1),INDEX(Заказ!$B$1:$AV$3196,MATCH(B162,Заказ!$AV$1:$AV$3196,0),16),""),"")</f>
        <v/>
      </c>
      <c r="H162" s="1"/>
    </row>
    <row r="163" spans="1:8" ht="12" customHeight="1" x14ac:dyDescent="0.25">
      <c r="A163" s="1051" t="str">
        <f>IFERROR(IF(AND(B163&gt;0,B163/1),INDEX(Заказ!$B$412:$AV$3196,MATCH(B163,Заказ!$AV$412:$AV$3196,0),1),""),"")</f>
        <v/>
      </c>
      <c r="B163" s="1056" t="str">
        <f>IFERROR(IF(B162&gt;0,SMALL(Заказ!$AV$1:$AV$3196,1+B162),""),"")</f>
        <v/>
      </c>
      <c r="C163" s="1057" t="str">
        <f>IFERROR(IF(AND(B163&gt;0,B163/1),INDEX(Заказ!$B$1:$AV$3196,MATCH(B163,Заказ!$AV$1:$AV$3196,0),3),""),"")</f>
        <v/>
      </c>
      <c r="D163" s="1058" t="str">
        <f>IFERROR(IF(AND(B163&gt;0,B163/1),INDEX(Заказ!$B$1:$AV$3196,MATCH(B163,Заказ!$AV$1:$AV$3196,0),9),""),"")</f>
        <v/>
      </c>
      <c r="E163" s="1056" t="str">
        <f>IFERROR(IF(AND(B163&gt;0,B163/1),INDEX(Заказ!$B$1:$AV$3196,MATCH(B163,Заказ!$AV$1:$AV$3196,0),5),""),"")</f>
        <v/>
      </c>
      <c r="F163" s="1056" t="str">
        <f>IFERROR(IF(AND(B163&gt;0,B163/1),INDEX(Заказ!$B$1:$AV$3196,MATCH(B163,Заказ!$AV$1:$AV$3196,0),16)/INDEX(Заказ!$B$1:$AV$3196,MATCH(B163,Заказ!$AV$1:$AV$3196,0),5),""),"")</f>
        <v/>
      </c>
      <c r="G163" s="1059" t="str">
        <f>IFERROR(IF(AND(B163&gt;0,B163/1),INDEX(Заказ!$B$1:$AV$3196,MATCH(B163,Заказ!$AV$1:$AV$3196,0),16),""),"")</f>
        <v/>
      </c>
      <c r="H163" s="1"/>
    </row>
    <row r="164" spans="1:8" ht="12" customHeight="1" x14ac:dyDescent="0.25">
      <c r="A164" s="1051" t="str">
        <f>IFERROR(IF(AND(B164&gt;0,B164/1),INDEX(Заказ!$B$412:$AV$3196,MATCH(B164,Заказ!$AV$412:$AV$3196,0),1),""),"")</f>
        <v/>
      </c>
      <c r="B164" s="1056" t="str">
        <f>IFERROR(IF(B163&gt;0,SMALL(Заказ!$AV$1:$AV$3196,1+B163),""),"")</f>
        <v/>
      </c>
      <c r="C164" s="1057" t="str">
        <f>IFERROR(IF(AND(B164&gt;0,B164/1),INDEX(Заказ!$B$1:$AV$3196,MATCH(B164,Заказ!$AV$1:$AV$3196,0),3),""),"")</f>
        <v/>
      </c>
      <c r="D164" s="1058" t="str">
        <f>IFERROR(IF(AND(B164&gt;0,B164/1),INDEX(Заказ!$B$1:$AV$3196,MATCH(B164,Заказ!$AV$1:$AV$3196,0),9),""),"")</f>
        <v/>
      </c>
      <c r="E164" s="1056" t="str">
        <f>IFERROR(IF(AND(B164&gt;0,B164/1),INDEX(Заказ!$B$1:$AV$3196,MATCH(B164,Заказ!$AV$1:$AV$3196,0),5),""),"")</f>
        <v/>
      </c>
      <c r="F164" s="1056" t="str">
        <f>IFERROR(IF(AND(B164&gt;0,B164/1),INDEX(Заказ!$B$1:$AV$3196,MATCH(B164,Заказ!$AV$1:$AV$3196,0),16)/INDEX(Заказ!$B$1:$AV$3196,MATCH(B164,Заказ!$AV$1:$AV$3196,0),5),""),"")</f>
        <v/>
      </c>
      <c r="G164" s="1059" t="str">
        <f>IFERROR(IF(AND(B164&gt;0,B164/1),INDEX(Заказ!$B$1:$AV$3196,MATCH(B164,Заказ!$AV$1:$AV$3196,0),16),""),"")</f>
        <v/>
      </c>
      <c r="H164" s="1"/>
    </row>
    <row r="165" spans="1:8" ht="12" customHeight="1" x14ac:dyDescent="0.25">
      <c r="A165" s="1051" t="str">
        <f>IFERROR(IF(AND(B165&gt;0,B165/1),INDEX(Заказ!$B$412:$AV$3196,MATCH(B165,Заказ!$AV$412:$AV$3196,0),1),""),"")</f>
        <v/>
      </c>
      <c r="B165" s="1056" t="str">
        <f>IFERROR(IF(B164&gt;0,SMALL(Заказ!$AV$1:$AV$3196,1+B164),""),"")</f>
        <v/>
      </c>
      <c r="C165" s="1057" t="str">
        <f>IFERROR(IF(AND(B165&gt;0,B165/1),INDEX(Заказ!$B$1:$AV$3196,MATCH(B165,Заказ!$AV$1:$AV$3196,0),3),""),"")</f>
        <v/>
      </c>
      <c r="D165" s="1058" t="str">
        <f>IFERROR(IF(AND(B165&gt;0,B165/1),INDEX(Заказ!$B$1:$AV$3196,MATCH(B165,Заказ!$AV$1:$AV$3196,0),9),""),"")</f>
        <v/>
      </c>
      <c r="E165" s="1056" t="str">
        <f>IFERROR(IF(AND(B165&gt;0,B165/1),INDEX(Заказ!$B$1:$AV$3196,MATCH(B165,Заказ!$AV$1:$AV$3196,0),5),""),"")</f>
        <v/>
      </c>
      <c r="F165" s="1056" t="str">
        <f>IFERROR(IF(AND(B165&gt;0,B165/1),INDEX(Заказ!$B$1:$AV$3196,MATCH(B165,Заказ!$AV$1:$AV$3196,0),16)/INDEX(Заказ!$B$1:$AV$3196,MATCH(B165,Заказ!$AV$1:$AV$3196,0),5),""),"")</f>
        <v/>
      </c>
      <c r="G165" s="1059" t="str">
        <f>IFERROR(IF(AND(B165&gt;0,B165/1),INDEX(Заказ!$B$1:$AV$3196,MATCH(B165,Заказ!$AV$1:$AV$3196,0),16),""),"")</f>
        <v/>
      </c>
      <c r="H165" s="1"/>
    </row>
    <row r="166" spans="1:8" ht="12" customHeight="1" x14ac:dyDescent="0.25">
      <c r="A166" s="1051" t="str">
        <f>IFERROR(IF(AND(B166&gt;0,B166/1),INDEX(Заказ!$B$412:$AV$3196,MATCH(B166,Заказ!$AV$412:$AV$3196,0),1),""),"")</f>
        <v/>
      </c>
      <c r="B166" s="1056" t="str">
        <f>IFERROR(IF(B165&gt;0,SMALL(Заказ!$AV$1:$AV$3196,1+B165),""),"")</f>
        <v/>
      </c>
      <c r="C166" s="1057" t="str">
        <f>IFERROR(IF(AND(B166&gt;0,B166/1),INDEX(Заказ!$B$1:$AV$3196,MATCH(B166,Заказ!$AV$1:$AV$3196,0),3),""),"")</f>
        <v/>
      </c>
      <c r="D166" s="1058" t="str">
        <f>IFERROR(IF(AND(B166&gt;0,B166/1),INDEX(Заказ!$B$1:$AV$3196,MATCH(B166,Заказ!$AV$1:$AV$3196,0),9),""),"")</f>
        <v/>
      </c>
      <c r="E166" s="1056" t="str">
        <f>IFERROR(IF(AND(B166&gt;0,B166/1),INDEX(Заказ!$B$1:$AV$3196,MATCH(B166,Заказ!$AV$1:$AV$3196,0),5),""),"")</f>
        <v/>
      </c>
      <c r="F166" s="1056" t="str">
        <f>IFERROR(IF(AND(B166&gt;0,B166/1),INDEX(Заказ!$B$1:$AV$3196,MATCH(B166,Заказ!$AV$1:$AV$3196,0),16)/INDEX(Заказ!$B$1:$AV$3196,MATCH(B166,Заказ!$AV$1:$AV$3196,0),5),""),"")</f>
        <v/>
      </c>
      <c r="G166" s="1059" t="str">
        <f>IFERROR(IF(AND(B166&gt;0,B166/1),INDEX(Заказ!$B$1:$AV$3196,MATCH(B166,Заказ!$AV$1:$AV$3196,0),16),""),"")</f>
        <v/>
      </c>
      <c r="H166" s="1"/>
    </row>
    <row r="167" spans="1:8" ht="12" customHeight="1" x14ac:dyDescent="0.25">
      <c r="A167" s="1051" t="str">
        <f>IFERROR(IF(AND(B167&gt;0,B167/1),INDEX(Заказ!$B$412:$AV$3196,MATCH(B167,Заказ!$AV$412:$AV$3196,0),1),""),"")</f>
        <v/>
      </c>
      <c r="B167" s="1056" t="str">
        <f>IFERROR(IF(B166&gt;0,SMALL(Заказ!$AV$1:$AV$3196,1+B166),""),"")</f>
        <v/>
      </c>
      <c r="C167" s="1057" t="str">
        <f>IFERROR(IF(AND(B167&gt;0,B167/1),INDEX(Заказ!$B$1:$AV$3196,MATCH(B167,Заказ!$AV$1:$AV$3196,0),3),""),"")</f>
        <v/>
      </c>
      <c r="D167" s="1058" t="str">
        <f>IFERROR(IF(AND(B167&gt;0,B167/1),INDEX(Заказ!$B$1:$AV$3196,MATCH(B167,Заказ!$AV$1:$AV$3196,0),9),""),"")</f>
        <v/>
      </c>
      <c r="E167" s="1056" t="str">
        <f>IFERROR(IF(AND(B167&gt;0,B167/1),INDEX(Заказ!$B$1:$AV$3196,MATCH(B167,Заказ!$AV$1:$AV$3196,0),5),""),"")</f>
        <v/>
      </c>
      <c r="F167" s="1056" t="str">
        <f>IFERROR(IF(AND(B167&gt;0,B167/1),INDEX(Заказ!$B$1:$AV$3196,MATCH(B167,Заказ!$AV$1:$AV$3196,0),16)/INDEX(Заказ!$B$1:$AV$3196,MATCH(B167,Заказ!$AV$1:$AV$3196,0),5),""),"")</f>
        <v/>
      </c>
      <c r="G167" s="1059" t="str">
        <f>IFERROR(IF(AND(B167&gt;0,B167/1),INDEX(Заказ!$B$1:$AV$3196,MATCH(B167,Заказ!$AV$1:$AV$3196,0),16),""),"")</f>
        <v/>
      </c>
      <c r="H167" s="1"/>
    </row>
    <row r="168" spans="1:8" ht="12" customHeight="1" x14ac:dyDescent="0.25">
      <c r="A168" s="1051" t="str">
        <f>IFERROR(IF(AND(B168&gt;0,B168/1),INDEX(Заказ!$B$412:$AV$3196,MATCH(B168,Заказ!$AV$412:$AV$3196,0),1),""),"")</f>
        <v/>
      </c>
      <c r="B168" s="1056" t="str">
        <f>IFERROR(IF(B167&gt;0,SMALL(Заказ!$AV$1:$AV$3196,1+B167),""),"")</f>
        <v/>
      </c>
      <c r="C168" s="1057" t="str">
        <f>IFERROR(IF(AND(B168&gt;0,B168/1),INDEX(Заказ!$B$1:$AV$3196,MATCH(B168,Заказ!$AV$1:$AV$3196,0),3),""),"")</f>
        <v/>
      </c>
      <c r="D168" s="1058" t="str">
        <f>IFERROR(IF(AND(B168&gt;0,B168/1),INDEX(Заказ!$B$1:$AV$3196,MATCH(B168,Заказ!$AV$1:$AV$3196,0),9),""),"")</f>
        <v/>
      </c>
      <c r="E168" s="1056" t="str">
        <f>IFERROR(IF(AND(B168&gt;0,B168/1),INDEX(Заказ!$B$1:$AV$3196,MATCH(B168,Заказ!$AV$1:$AV$3196,0),5),""),"")</f>
        <v/>
      </c>
      <c r="F168" s="1056" t="str">
        <f>IFERROR(IF(AND(B168&gt;0,B168/1),INDEX(Заказ!$B$1:$AV$3196,MATCH(B168,Заказ!$AV$1:$AV$3196,0),16)/INDEX(Заказ!$B$1:$AV$3196,MATCH(B168,Заказ!$AV$1:$AV$3196,0),5),""),"")</f>
        <v/>
      </c>
      <c r="G168" s="1059" t="str">
        <f>IFERROR(IF(AND(B168&gt;0,B168/1),INDEX(Заказ!$B$1:$AV$3196,MATCH(B168,Заказ!$AV$1:$AV$3196,0),16),""),"")</f>
        <v/>
      </c>
      <c r="H168" s="1"/>
    </row>
    <row r="169" spans="1:8" ht="12" customHeight="1" x14ac:dyDescent="0.25">
      <c r="A169" s="1051" t="str">
        <f>IFERROR(IF(AND(B169&gt;0,B169/1),INDEX(Заказ!$B$412:$AV$3196,MATCH(B169,Заказ!$AV$412:$AV$3196,0),1),""),"")</f>
        <v/>
      </c>
      <c r="B169" s="1056" t="str">
        <f>IFERROR(IF(B168&gt;0,SMALL(Заказ!$AV$1:$AV$3196,1+B168),""),"")</f>
        <v/>
      </c>
      <c r="C169" s="1057" t="str">
        <f>IFERROR(IF(AND(B169&gt;0,B169/1),INDEX(Заказ!$B$1:$AV$3196,MATCH(B169,Заказ!$AV$1:$AV$3196,0),3),""),"")</f>
        <v/>
      </c>
      <c r="D169" s="1058" t="str">
        <f>IFERROR(IF(AND(B169&gt;0,B169/1),INDEX(Заказ!$B$1:$AV$3196,MATCH(B169,Заказ!$AV$1:$AV$3196,0),9),""),"")</f>
        <v/>
      </c>
      <c r="E169" s="1056" t="str">
        <f>IFERROR(IF(AND(B169&gt;0,B169/1),INDEX(Заказ!$B$1:$AV$3196,MATCH(B169,Заказ!$AV$1:$AV$3196,0),5),""),"")</f>
        <v/>
      </c>
      <c r="F169" s="1056" t="str">
        <f>IFERROR(IF(AND(B169&gt;0,B169/1),INDEX(Заказ!$B$1:$AV$3196,MATCH(B169,Заказ!$AV$1:$AV$3196,0),16)/INDEX(Заказ!$B$1:$AV$3196,MATCH(B169,Заказ!$AV$1:$AV$3196,0),5),""),"")</f>
        <v/>
      </c>
      <c r="G169" s="1059" t="str">
        <f>IFERROR(IF(AND(B169&gt;0,B169/1),INDEX(Заказ!$B$1:$AV$3196,MATCH(B169,Заказ!$AV$1:$AV$3196,0),16),""),"")</f>
        <v/>
      </c>
      <c r="H169" s="1"/>
    </row>
    <row r="170" spans="1:8" ht="12" customHeight="1" x14ac:dyDescent="0.25">
      <c r="A170" s="1051" t="str">
        <f>IFERROR(IF(AND(B170&gt;0,B170/1),INDEX(Заказ!$B$412:$AV$3196,MATCH(B170,Заказ!$AV$412:$AV$3196,0),1),""),"")</f>
        <v/>
      </c>
      <c r="B170" s="1056" t="str">
        <f>IFERROR(IF(B169&gt;0,SMALL(Заказ!$AV$1:$AV$3196,1+B169),""),"")</f>
        <v/>
      </c>
      <c r="C170" s="1057" t="str">
        <f>IFERROR(IF(AND(B170&gt;0,B170/1),INDEX(Заказ!$B$1:$AV$3196,MATCH(B170,Заказ!$AV$1:$AV$3196,0),3),""),"")</f>
        <v/>
      </c>
      <c r="D170" s="1058" t="str">
        <f>IFERROR(IF(AND(B170&gt;0,B170/1),INDEX(Заказ!$B$1:$AV$3196,MATCH(B170,Заказ!$AV$1:$AV$3196,0),9),""),"")</f>
        <v/>
      </c>
      <c r="E170" s="1056" t="str">
        <f>IFERROR(IF(AND(B170&gt;0,B170/1),INDEX(Заказ!$B$1:$AV$3196,MATCH(B170,Заказ!$AV$1:$AV$3196,0),5),""),"")</f>
        <v/>
      </c>
      <c r="F170" s="1056" t="str">
        <f>IFERROR(IF(AND(B170&gt;0,B170/1),INDEX(Заказ!$B$1:$AV$3196,MATCH(B170,Заказ!$AV$1:$AV$3196,0),16)/INDEX(Заказ!$B$1:$AV$3196,MATCH(B170,Заказ!$AV$1:$AV$3196,0),5),""),"")</f>
        <v/>
      </c>
      <c r="G170" s="1059" t="str">
        <f>IFERROR(IF(AND(B170&gt;0,B170/1),INDEX(Заказ!$B$1:$AV$3196,MATCH(B170,Заказ!$AV$1:$AV$3196,0),16),""),"")</f>
        <v/>
      </c>
      <c r="H170" s="1"/>
    </row>
    <row r="171" spans="1:8" ht="12" customHeight="1" x14ac:dyDescent="0.25">
      <c r="A171" s="1051" t="str">
        <f>IFERROR(IF(AND(B171&gt;0,B171/1),INDEX(Заказ!$B$412:$AV$3196,MATCH(B171,Заказ!$AV$412:$AV$3196,0),1),""),"")</f>
        <v/>
      </c>
      <c r="B171" s="1056" t="str">
        <f>IFERROR(IF(B170&gt;0,SMALL(Заказ!$AV$1:$AV$3196,1+B170),""),"")</f>
        <v/>
      </c>
      <c r="C171" s="1057" t="str">
        <f>IFERROR(IF(AND(B171&gt;0,B171/1),INDEX(Заказ!$B$1:$AV$3196,MATCH(B171,Заказ!$AV$1:$AV$3196,0),3),""),"")</f>
        <v/>
      </c>
      <c r="D171" s="1058" t="str">
        <f>IFERROR(IF(AND(B171&gt;0,B171/1),INDEX(Заказ!$B$1:$AV$3196,MATCH(B171,Заказ!$AV$1:$AV$3196,0),9),""),"")</f>
        <v/>
      </c>
      <c r="E171" s="1056" t="str">
        <f>IFERROR(IF(AND(B171&gt;0,B171/1),INDEX(Заказ!$B$1:$AV$3196,MATCH(B171,Заказ!$AV$1:$AV$3196,0),5),""),"")</f>
        <v/>
      </c>
      <c r="F171" s="1056" t="str">
        <f>IFERROR(IF(AND(B171&gt;0,B171/1),INDEX(Заказ!$B$1:$AV$3196,MATCH(B171,Заказ!$AV$1:$AV$3196,0),16)/INDEX(Заказ!$B$1:$AV$3196,MATCH(B171,Заказ!$AV$1:$AV$3196,0),5),""),"")</f>
        <v/>
      </c>
      <c r="G171" s="1059" t="str">
        <f>IFERROR(IF(AND(B171&gt;0,B171/1),INDEX(Заказ!$B$1:$AV$3196,MATCH(B171,Заказ!$AV$1:$AV$3196,0),16),""),"")</f>
        <v/>
      </c>
      <c r="H171" s="1"/>
    </row>
    <row r="172" spans="1:8" ht="12" customHeight="1" x14ac:dyDescent="0.25">
      <c r="A172" s="1051" t="str">
        <f>IFERROR(IF(AND(B172&gt;0,B172/1),INDEX(Заказ!$B$412:$AV$3196,MATCH(B172,Заказ!$AV$412:$AV$3196,0),1),""),"")</f>
        <v/>
      </c>
      <c r="B172" s="1056" t="str">
        <f>IFERROR(IF(B171&gt;0,SMALL(Заказ!$AV$1:$AV$3196,1+B171),""),"")</f>
        <v/>
      </c>
      <c r="C172" s="1057" t="str">
        <f>IFERROR(IF(AND(B172&gt;0,B172/1),INDEX(Заказ!$B$1:$AV$3196,MATCH(B172,Заказ!$AV$1:$AV$3196,0),3),""),"")</f>
        <v/>
      </c>
      <c r="D172" s="1058" t="str">
        <f>IFERROR(IF(AND(B172&gt;0,B172/1),INDEX(Заказ!$B$1:$AV$3196,MATCH(B172,Заказ!$AV$1:$AV$3196,0),9),""),"")</f>
        <v/>
      </c>
      <c r="E172" s="1056" t="str">
        <f>IFERROR(IF(AND(B172&gt;0,B172/1),INDEX(Заказ!$B$1:$AV$3196,MATCH(B172,Заказ!$AV$1:$AV$3196,0),5),""),"")</f>
        <v/>
      </c>
      <c r="F172" s="1056" t="str">
        <f>IFERROR(IF(AND(B172&gt;0,B172/1),INDEX(Заказ!$B$1:$AV$3196,MATCH(B172,Заказ!$AV$1:$AV$3196,0),16)/INDEX(Заказ!$B$1:$AV$3196,MATCH(B172,Заказ!$AV$1:$AV$3196,0),5),""),"")</f>
        <v/>
      </c>
      <c r="G172" s="1059" t="str">
        <f>IFERROR(IF(AND(B172&gt;0,B172/1),INDEX(Заказ!$B$1:$AV$3196,MATCH(B172,Заказ!$AV$1:$AV$3196,0),16),""),"")</f>
        <v/>
      </c>
      <c r="H172" s="1"/>
    </row>
    <row r="173" spans="1:8" ht="12" customHeight="1" x14ac:dyDescent="0.25">
      <c r="A173" s="1051" t="str">
        <f>IFERROR(IF(AND(B173&gt;0,B173/1),INDEX(Заказ!$B$412:$AV$3196,MATCH(B173,Заказ!$AV$412:$AV$3196,0),1),""),"")</f>
        <v/>
      </c>
      <c r="B173" s="1056" t="str">
        <f>IFERROR(IF(B172&gt;0,SMALL(Заказ!$AV$1:$AV$3196,1+B172),""),"")</f>
        <v/>
      </c>
      <c r="C173" s="1057" t="str">
        <f>IFERROR(IF(AND(B173&gt;0,B173/1),INDEX(Заказ!$B$1:$AV$3196,MATCH(B173,Заказ!$AV$1:$AV$3196,0),3),""),"")</f>
        <v/>
      </c>
      <c r="D173" s="1058" t="str">
        <f>IFERROR(IF(AND(B173&gt;0,B173/1),INDEX(Заказ!$B$1:$AV$3196,MATCH(B173,Заказ!$AV$1:$AV$3196,0),9),""),"")</f>
        <v/>
      </c>
      <c r="E173" s="1056" t="str">
        <f>IFERROR(IF(AND(B173&gt;0,B173/1),INDEX(Заказ!$B$1:$AV$3196,MATCH(B173,Заказ!$AV$1:$AV$3196,0),5),""),"")</f>
        <v/>
      </c>
      <c r="F173" s="1056" t="str">
        <f>IFERROR(IF(AND(B173&gt;0,B173/1),INDEX(Заказ!$B$1:$AV$3196,MATCH(B173,Заказ!$AV$1:$AV$3196,0),16)/INDEX(Заказ!$B$1:$AV$3196,MATCH(B173,Заказ!$AV$1:$AV$3196,0),5),""),"")</f>
        <v/>
      </c>
      <c r="G173" s="1059" t="str">
        <f>IFERROR(IF(AND(B173&gt;0,B173/1),INDEX(Заказ!$B$1:$AV$3196,MATCH(B173,Заказ!$AV$1:$AV$3196,0),16),""),"")</f>
        <v/>
      </c>
      <c r="H173" s="1"/>
    </row>
    <row r="174" spans="1:8" ht="12" customHeight="1" x14ac:dyDescent="0.25">
      <c r="A174" s="1051" t="str">
        <f>IFERROR(IF(AND(B174&gt;0,B174/1),INDEX(Заказ!$B$412:$AV$3196,MATCH(B174,Заказ!$AV$412:$AV$3196,0),1),""),"")</f>
        <v/>
      </c>
      <c r="B174" s="1056" t="str">
        <f>IFERROR(IF(B173&gt;0,SMALL(Заказ!$AV$1:$AV$3196,1+B173),""),"")</f>
        <v/>
      </c>
      <c r="C174" s="1057" t="str">
        <f>IFERROR(IF(AND(B174&gt;0,B174/1),INDEX(Заказ!$B$1:$AV$3196,MATCH(B174,Заказ!$AV$1:$AV$3196,0),3),""),"")</f>
        <v/>
      </c>
      <c r="D174" s="1058" t="str">
        <f>IFERROR(IF(AND(B174&gt;0,B174/1),INDEX(Заказ!$B$1:$AV$3196,MATCH(B174,Заказ!$AV$1:$AV$3196,0),9),""),"")</f>
        <v/>
      </c>
      <c r="E174" s="1056" t="str">
        <f>IFERROR(IF(AND(B174&gt;0,B174/1),INDEX(Заказ!$B$1:$AV$3196,MATCH(B174,Заказ!$AV$1:$AV$3196,0),5),""),"")</f>
        <v/>
      </c>
      <c r="F174" s="1056" t="str">
        <f>IFERROR(IF(AND(B174&gt;0,B174/1),INDEX(Заказ!$B$1:$AV$3196,MATCH(B174,Заказ!$AV$1:$AV$3196,0),16)/INDEX(Заказ!$B$1:$AV$3196,MATCH(B174,Заказ!$AV$1:$AV$3196,0),5),""),"")</f>
        <v/>
      </c>
      <c r="G174" s="1059" t="str">
        <f>IFERROR(IF(AND(B174&gt;0,B174/1),INDEX(Заказ!$B$1:$AV$3196,MATCH(B174,Заказ!$AV$1:$AV$3196,0),16),""),"")</f>
        <v/>
      </c>
      <c r="H174" s="1"/>
    </row>
    <row r="175" spans="1:8" ht="12" customHeight="1" x14ac:dyDescent="0.25">
      <c r="A175" s="1051" t="str">
        <f>IFERROR(IF(AND(B175&gt;0,B175/1),INDEX(Заказ!$B$412:$AV$3196,MATCH(B175,Заказ!$AV$412:$AV$3196,0),1),""),"")</f>
        <v/>
      </c>
      <c r="B175" s="1056" t="str">
        <f>IFERROR(IF(B174&gt;0,SMALL(Заказ!$AV$1:$AV$3196,1+B174),""),"")</f>
        <v/>
      </c>
      <c r="C175" s="1057" t="str">
        <f>IFERROR(IF(AND(B175&gt;0,B175/1),INDEX(Заказ!$B$1:$AV$3196,MATCH(B175,Заказ!$AV$1:$AV$3196,0),3),""),"")</f>
        <v/>
      </c>
      <c r="D175" s="1058" t="str">
        <f>IFERROR(IF(AND(B175&gt;0,B175/1),INDEX(Заказ!$B$1:$AV$3196,MATCH(B175,Заказ!$AV$1:$AV$3196,0),9),""),"")</f>
        <v/>
      </c>
      <c r="E175" s="1056" t="str">
        <f>IFERROR(IF(AND(B175&gt;0,B175/1),INDEX(Заказ!$B$1:$AV$3196,MATCH(B175,Заказ!$AV$1:$AV$3196,0),5),""),"")</f>
        <v/>
      </c>
      <c r="F175" s="1056" t="str">
        <f>IFERROR(IF(AND(B175&gt;0,B175/1),INDEX(Заказ!$B$1:$AV$3196,MATCH(B175,Заказ!$AV$1:$AV$3196,0),16)/INDEX(Заказ!$B$1:$AV$3196,MATCH(B175,Заказ!$AV$1:$AV$3196,0),5),""),"")</f>
        <v/>
      </c>
      <c r="G175" s="1059" t="str">
        <f>IFERROR(IF(AND(B175&gt;0,B175/1),INDEX(Заказ!$B$1:$AV$3196,MATCH(B175,Заказ!$AV$1:$AV$3196,0),16),""),"")</f>
        <v/>
      </c>
      <c r="H175" s="1"/>
    </row>
    <row r="176" spans="1:8" ht="12" customHeight="1" x14ac:dyDescent="0.25">
      <c r="A176" s="1051" t="str">
        <f>IFERROR(IF(AND(B176&gt;0,B176/1),INDEX(Заказ!$B$412:$AV$3196,MATCH(B176,Заказ!$AV$412:$AV$3196,0),1),""),"")</f>
        <v/>
      </c>
      <c r="B176" s="1056" t="str">
        <f>IFERROR(IF(B175&gt;0,SMALL(Заказ!$AV$1:$AV$3196,1+B175),""),"")</f>
        <v/>
      </c>
      <c r="C176" s="1057" t="str">
        <f>IFERROR(IF(AND(B176&gt;0,B176/1),INDEX(Заказ!$B$1:$AV$3196,MATCH(B176,Заказ!$AV$1:$AV$3196,0),3),""),"")</f>
        <v/>
      </c>
      <c r="D176" s="1058" t="str">
        <f>IFERROR(IF(AND(B176&gt;0,B176/1),INDEX(Заказ!$B$1:$AV$3196,MATCH(B176,Заказ!$AV$1:$AV$3196,0),9),""),"")</f>
        <v/>
      </c>
      <c r="E176" s="1056" t="str">
        <f>IFERROR(IF(AND(B176&gt;0,B176/1),INDEX(Заказ!$B$1:$AV$3196,MATCH(B176,Заказ!$AV$1:$AV$3196,0),5),""),"")</f>
        <v/>
      </c>
      <c r="F176" s="1056" t="str">
        <f>IFERROR(IF(AND(B176&gt;0,B176/1),INDEX(Заказ!$B$1:$AV$3196,MATCH(B176,Заказ!$AV$1:$AV$3196,0),16)/INDEX(Заказ!$B$1:$AV$3196,MATCH(B176,Заказ!$AV$1:$AV$3196,0),5),""),"")</f>
        <v/>
      </c>
      <c r="G176" s="1059" t="str">
        <f>IFERROR(IF(AND(B176&gt;0,B176/1),INDEX(Заказ!$B$1:$AV$3196,MATCH(B176,Заказ!$AV$1:$AV$3196,0),16),""),"")</f>
        <v/>
      </c>
      <c r="H176" s="1"/>
    </row>
    <row r="177" spans="1:8" ht="12" customHeight="1" x14ac:dyDescent="0.25">
      <c r="A177" s="1051" t="str">
        <f>IFERROR(IF(AND(B177&gt;0,B177/1),INDEX(Заказ!$B$412:$AV$3196,MATCH(B177,Заказ!$AV$412:$AV$3196,0),1),""),"")</f>
        <v/>
      </c>
      <c r="B177" s="1056" t="str">
        <f>IFERROR(IF(B176&gt;0,SMALL(Заказ!$AV$1:$AV$3196,1+B176),""),"")</f>
        <v/>
      </c>
      <c r="C177" s="1057" t="str">
        <f>IFERROR(IF(AND(B177&gt;0,B177/1),INDEX(Заказ!$B$1:$AV$3196,MATCH(B177,Заказ!$AV$1:$AV$3196,0),3),""),"")</f>
        <v/>
      </c>
      <c r="D177" s="1058" t="str">
        <f>IFERROR(IF(AND(B177&gt;0,B177/1),INDEX(Заказ!$B$1:$AV$3196,MATCH(B177,Заказ!$AV$1:$AV$3196,0),9),""),"")</f>
        <v/>
      </c>
      <c r="E177" s="1056" t="str">
        <f>IFERROR(IF(AND(B177&gt;0,B177/1),INDEX(Заказ!$B$1:$AV$3196,MATCH(B177,Заказ!$AV$1:$AV$3196,0),5),""),"")</f>
        <v/>
      </c>
      <c r="F177" s="1056" t="str">
        <f>IFERROR(IF(AND(B177&gt;0,B177/1),INDEX(Заказ!$B$1:$AV$3196,MATCH(B177,Заказ!$AV$1:$AV$3196,0),16)/INDEX(Заказ!$B$1:$AV$3196,MATCH(B177,Заказ!$AV$1:$AV$3196,0),5),""),"")</f>
        <v/>
      </c>
      <c r="G177" s="1059" t="str">
        <f>IFERROR(IF(AND(B177&gt;0,B177/1),INDEX(Заказ!$B$1:$AV$3196,MATCH(B177,Заказ!$AV$1:$AV$3196,0),16),""),"")</f>
        <v/>
      </c>
      <c r="H177" s="1"/>
    </row>
    <row r="178" spans="1:8" ht="12" customHeight="1" x14ac:dyDescent="0.25">
      <c r="A178" s="1051" t="str">
        <f>IFERROR(IF(AND(B178&gt;0,B178/1),INDEX(Заказ!$B$412:$AV$3196,MATCH(B178,Заказ!$AV$412:$AV$3196,0),1),""),"")</f>
        <v/>
      </c>
      <c r="B178" s="1056" t="str">
        <f>IFERROR(IF(B177&gt;0,SMALL(Заказ!$AV$1:$AV$3196,1+B177),""),"")</f>
        <v/>
      </c>
      <c r="C178" s="1057" t="str">
        <f>IFERROR(IF(AND(B178&gt;0,B178/1),INDEX(Заказ!$B$1:$AV$3196,MATCH(B178,Заказ!$AV$1:$AV$3196,0),3),""),"")</f>
        <v/>
      </c>
      <c r="D178" s="1058" t="str">
        <f>IFERROR(IF(AND(B178&gt;0,B178/1),INDEX(Заказ!$B$1:$AV$3196,MATCH(B178,Заказ!$AV$1:$AV$3196,0),9),""),"")</f>
        <v/>
      </c>
      <c r="E178" s="1056" t="str">
        <f>IFERROR(IF(AND(B178&gt;0,B178/1),INDEX(Заказ!$B$1:$AV$3196,MATCH(B178,Заказ!$AV$1:$AV$3196,0),5),""),"")</f>
        <v/>
      </c>
      <c r="F178" s="1056" t="str">
        <f>IFERROR(IF(AND(B178&gt;0,B178/1),INDEX(Заказ!$B$1:$AV$3196,MATCH(B178,Заказ!$AV$1:$AV$3196,0),16)/INDEX(Заказ!$B$1:$AV$3196,MATCH(B178,Заказ!$AV$1:$AV$3196,0),5),""),"")</f>
        <v/>
      </c>
      <c r="G178" s="1059" t="str">
        <f>IFERROR(IF(AND(B178&gt;0,B178/1),INDEX(Заказ!$B$1:$AV$3196,MATCH(B178,Заказ!$AV$1:$AV$3196,0),16),""),"")</f>
        <v/>
      </c>
      <c r="H178" s="1"/>
    </row>
    <row r="179" spans="1:8" ht="12" customHeight="1" x14ac:dyDescent="0.25">
      <c r="A179" s="1051" t="str">
        <f>IFERROR(IF(AND(B179&gt;0,B179/1),INDEX(Заказ!$B$412:$AV$3196,MATCH(B179,Заказ!$AV$412:$AV$3196,0),1),""),"")</f>
        <v/>
      </c>
      <c r="B179" s="1056" t="str">
        <f>IFERROR(IF(B178&gt;0,SMALL(Заказ!$AV$1:$AV$3196,1+B178),""),"")</f>
        <v/>
      </c>
      <c r="C179" s="1057" t="str">
        <f>IFERROR(IF(AND(B179&gt;0,B179/1),INDEX(Заказ!$B$1:$AV$3196,MATCH(B179,Заказ!$AV$1:$AV$3196,0),3),""),"")</f>
        <v/>
      </c>
      <c r="D179" s="1058" t="str">
        <f>IFERROR(IF(AND(B179&gt;0,B179/1),INDEX(Заказ!$B$1:$AV$3196,MATCH(B179,Заказ!$AV$1:$AV$3196,0),9),""),"")</f>
        <v/>
      </c>
      <c r="E179" s="1056" t="str">
        <f>IFERROR(IF(AND(B179&gt;0,B179/1),INDEX(Заказ!$B$1:$AV$3196,MATCH(B179,Заказ!$AV$1:$AV$3196,0),5),""),"")</f>
        <v/>
      </c>
      <c r="F179" s="1056" t="str">
        <f>IFERROR(IF(AND(B179&gt;0,B179/1),INDEX(Заказ!$B$1:$AV$3196,MATCH(B179,Заказ!$AV$1:$AV$3196,0),16)/INDEX(Заказ!$B$1:$AV$3196,MATCH(B179,Заказ!$AV$1:$AV$3196,0),5),""),"")</f>
        <v/>
      </c>
      <c r="G179" s="1059" t="str">
        <f>IFERROR(IF(AND(B179&gt;0,B179/1),INDEX(Заказ!$B$1:$AV$3196,MATCH(B179,Заказ!$AV$1:$AV$3196,0),16),""),"")</f>
        <v/>
      </c>
      <c r="H179" s="1"/>
    </row>
    <row r="180" spans="1:8" ht="12" customHeight="1" x14ac:dyDescent="0.25">
      <c r="A180" s="1051" t="str">
        <f>IFERROR(IF(AND(B180&gt;0,B180/1),INDEX(Заказ!$B$412:$AV$3196,MATCH(B180,Заказ!$AV$412:$AV$3196,0),1),""),"")</f>
        <v/>
      </c>
      <c r="B180" s="1056" t="str">
        <f>IFERROR(IF(B179&gt;0,SMALL(Заказ!$AV$1:$AV$3196,1+B179),""),"")</f>
        <v/>
      </c>
      <c r="C180" s="1057" t="str">
        <f>IFERROR(IF(AND(B180&gt;0,B180/1),INDEX(Заказ!$B$1:$AV$3196,MATCH(B180,Заказ!$AV$1:$AV$3196,0),3),""),"")</f>
        <v/>
      </c>
      <c r="D180" s="1058" t="str">
        <f>IFERROR(IF(AND(B180&gt;0,B180/1),INDEX(Заказ!$B$1:$AV$3196,MATCH(B180,Заказ!$AV$1:$AV$3196,0),9),""),"")</f>
        <v/>
      </c>
      <c r="E180" s="1056" t="str">
        <f>IFERROR(IF(AND(B180&gt;0,B180/1),INDEX(Заказ!$B$1:$AV$3196,MATCH(B180,Заказ!$AV$1:$AV$3196,0),5),""),"")</f>
        <v/>
      </c>
      <c r="F180" s="1056" t="str">
        <f>IFERROR(IF(AND(B180&gt;0,B180/1),INDEX(Заказ!$B$1:$AV$3196,MATCH(B180,Заказ!$AV$1:$AV$3196,0),16)/INDEX(Заказ!$B$1:$AV$3196,MATCH(B180,Заказ!$AV$1:$AV$3196,0),5),""),"")</f>
        <v/>
      </c>
      <c r="G180" s="1059" t="str">
        <f>IFERROR(IF(AND(B180&gt;0,B180/1),INDEX(Заказ!$B$1:$AV$3196,MATCH(B180,Заказ!$AV$1:$AV$3196,0),16),""),"")</f>
        <v/>
      </c>
      <c r="H180" s="1"/>
    </row>
    <row r="181" spans="1:8" ht="12" customHeight="1" x14ac:dyDescent="0.25">
      <c r="A181" s="1051" t="str">
        <f>IFERROR(IF(AND(B181&gt;0,B181/1),INDEX(Заказ!$B$412:$AV$3196,MATCH(B181,Заказ!$AV$412:$AV$3196,0),1),""),"")</f>
        <v/>
      </c>
      <c r="B181" s="1056" t="str">
        <f>IFERROR(IF(B180&gt;0,SMALL(Заказ!$AV$1:$AV$3196,1+B180),""),"")</f>
        <v/>
      </c>
      <c r="C181" s="1057" t="str">
        <f>IFERROR(IF(AND(B181&gt;0,B181/1),INDEX(Заказ!$B$1:$AV$3196,MATCH(B181,Заказ!$AV$1:$AV$3196,0),3),""),"")</f>
        <v/>
      </c>
      <c r="D181" s="1058" t="str">
        <f>IFERROR(IF(AND(B181&gt;0,B181/1),INDEX(Заказ!$B$1:$AV$3196,MATCH(B181,Заказ!$AV$1:$AV$3196,0),9),""),"")</f>
        <v/>
      </c>
      <c r="E181" s="1056" t="str">
        <f>IFERROR(IF(AND(B181&gt;0,B181/1),INDEX(Заказ!$B$1:$AV$3196,MATCH(B181,Заказ!$AV$1:$AV$3196,0),5),""),"")</f>
        <v/>
      </c>
      <c r="F181" s="1056" t="str">
        <f>IFERROR(IF(AND(B181&gt;0,B181/1),INDEX(Заказ!$B$1:$AV$3196,MATCH(B181,Заказ!$AV$1:$AV$3196,0),16)/INDEX(Заказ!$B$1:$AV$3196,MATCH(B181,Заказ!$AV$1:$AV$3196,0),5),""),"")</f>
        <v/>
      </c>
      <c r="G181" s="1059" t="str">
        <f>IFERROR(IF(AND(B181&gt;0,B181/1),INDEX(Заказ!$B$1:$AV$3196,MATCH(B181,Заказ!$AV$1:$AV$3196,0),16),""),"")</f>
        <v/>
      </c>
      <c r="H181" s="1"/>
    </row>
    <row r="182" spans="1:8" ht="12" customHeight="1" x14ac:dyDescent="0.25">
      <c r="A182" s="1051" t="str">
        <f>IFERROR(IF(AND(B182&gt;0,B182/1),INDEX(Заказ!$B$412:$AV$3196,MATCH(B182,Заказ!$AV$412:$AV$3196,0),1),""),"")</f>
        <v/>
      </c>
      <c r="B182" s="1056" t="str">
        <f>IFERROR(IF(B181&gt;0,SMALL(Заказ!$AV$1:$AV$3196,1+B181),""),"")</f>
        <v/>
      </c>
      <c r="C182" s="1057" t="str">
        <f>IFERROR(IF(AND(B182&gt;0,B182/1),INDEX(Заказ!$B$1:$AV$3196,MATCH(B182,Заказ!$AV$1:$AV$3196,0),3),""),"")</f>
        <v/>
      </c>
      <c r="D182" s="1058" t="str">
        <f>IFERROR(IF(AND(B182&gt;0,B182/1),INDEX(Заказ!$B$1:$AV$3196,MATCH(B182,Заказ!$AV$1:$AV$3196,0),9),""),"")</f>
        <v/>
      </c>
      <c r="E182" s="1056" t="str">
        <f>IFERROR(IF(AND(B182&gt;0,B182/1),INDEX(Заказ!$B$1:$AV$3196,MATCH(B182,Заказ!$AV$1:$AV$3196,0),5),""),"")</f>
        <v/>
      </c>
      <c r="F182" s="1056" t="str">
        <f>IFERROR(IF(AND(B182&gt;0,B182/1),INDEX(Заказ!$B$1:$AV$3196,MATCH(B182,Заказ!$AV$1:$AV$3196,0),16)/INDEX(Заказ!$B$1:$AV$3196,MATCH(B182,Заказ!$AV$1:$AV$3196,0),5),""),"")</f>
        <v/>
      </c>
      <c r="G182" s="1059" t="str">
        <f>IFERROR(IF(AND(B182&gt;0,B182/1),INDEX(Заказ!$B$1:$AV$3196,MATCH(B182,Заказ!$AV$1:$AV$3196,0),16),""),"")</f>
        <v/>
      </c>
      <c r="H182" s="1"/>
    </row>
    <row r="183" spans="1:8" ht="12" customHeight="1" x14ac:dyDescent="0.25">
      <c r="A183" s="1051" t="str">
        <f>IFERROR(IF(AND(B183&gt;0,B183/1),INDEX(Заказ!$B$412:$AV$3196,MATCH(B183,Заказ!$AV$412:$AV$3196,0),1),""),"")</f>
        <v/>
      </c>
      <c r="B183" s="1056" t="str">
        <f>IFERROR(IF(B182&gt;0,SMALL(Заказ!$AV$1:$AV$3196,1+B182),""),"")</f>
        <v/>
      </c>
      <c r="C183" s="1057" t="str">
        <f>IFERROR(IF(AND(B183&gt;0,B183/1),INDEX(Заказ!$B$1:$AV$3196,MATCH(B183,Заказ!$AV$1:$AV$3196,0),3),""),"")</f>
        <v/>
      </c>
      <c r="D183" s="1058" t="str">
        <f>IFERROR(IF(AND(B183&gt;0,B183/1),INDEX(Заказ!$B$1:$AV$3196,MATCH(B183,Заказ!$AV$1:$AV$3196,0),9),""),"")</f>
        <v/>
      </c>
      <c r="E183" s="1056" t="str">
        <f>IFERROR(IF(AND(B183&gt;0,B183/1),INDEX(Заказ!$B$1:$AV$3196,MATCH(B183,Заказ!$AV$1:$AV$3196,0),5),""),"")</f>
        <v/>
      </c>
      <c r="F183" s="1056" t="str">
        <f>IFERROR(IF(AND(B183&gt;0,B183/1),INDEX(Заказ!$B$1:$AV$3196,MATCH(B183,Заказ!$AV$1:$AV$3196,0),16)/INDEX(Заказ!$B$1:$AV$3196,MATCH(B183,Заказ!$AV$1:$AV$3196,0),5),""),"")</f>
        <v/>
      </c>
      <c r="G183" s="1059" t="str">
        <f>IFERROR(IF(AND(B183&gt;0,B183/1),INDEX(Заказ!$B$1:$AV$3196,MATCH(B183,Заказ!$AV$1:$AV$3196,0),16),""),"")</f>
        <v/>
      </c>
      <c r="H183" s="1"/>
    </row>
    <row r="184" spans="1:8" ht="12" customHeight="1" x14ac:dyDescent="0.25">
      <c r="A184" s="1051" t="str">
        <f>IFERROR(IF(AND(B184&gt;0,B184/1),INDEX(Заказ!$B$412:$AV$3196,MATCH(B184,Заказ!$AV$412:$AV$3196,0),1),""),"")</f>
        <v/>
      </c>
      <c r="B184" s="1056" t="str">
        <f>IFERROR(IF(B183&gt;0,SMALL(Заказ!$AV$1:$AV$3196,1+B183),""),"")</f>
        <v/>
      </c>
      <c r="C184" s="1057" t="str">
        <f>IFERROR(IF(AND(B184&gt;0,B184/1),INDEX(Заказ!$B$1:$AV$3196,MATCH(B184,Заказ!$AV$1:$AV$3196,0),3),""),"")</f>
        <v/>
      </c>
      <c r="D184" s="1058" t="str">
        <f>IFERROR(IF(AND(B184&gt;0,B184/1),INDEX(Заказ!$B$1:$AV$3196,MATCH(B184,Заказ!$AV$1:$AV$3196,0),9),""),"")</f>
        <v/>
      </c>
      <c r="E184" s="1056" t="str">
        <f>IFERROR(IF(AND(B184&gt;0,B184/1),INDEX(Заказ!$B$1:$AV$3196,MATCH(B184,Заказ!$AV$1:$AV$3196,0),5),""),"")</f>
        <v/>
      </c>
      <c r="F184" s="1056" t="str">
        <f>IFERROR(IF(AND(B184&gt;0,B184/1),INDEX(Заказ!$B$1:$AV$3196,MATCH(B184,Заказ!$AV$1:$AV$3196,0),16)/INDEX(Заказ!$B$1:$AV$3196,MATCH(B184,Заказ!$AV$1:$AV$3196,0),5),""),"")</f>
        <v/>
      </c>
      <c r="G184" s="1059" t="str">
        <f>IFERROR(IF(AND(B184&gt;0,B184/1),INDEX(Заказ!$B$1:$AV$3196,MATCH(B184,Заказ!$AV$1:$AV$3196,0),16),""),"")</f>
        <v/>
      </c>
      <c r="H184" s="1"/>
    </row>
    <row r="185" spans="1:8" ht="12" customHeight="1" x14ac:dyDescent="0.25">
      <c r="A185" s="1051" t="str">
        <f>IFERROR(IF(AND(B185&gt;0,B185/1),INDEX(Заказ!$B$412:$AV$3196,MATCH(B185,Заказ!$AV$412:$AV$3196,0),1),""),"")</f>
        <v/>
      </c>
      <c r="B185" s="1056" t="str">
        <f>IFERROR(IF(B184&gt;0,SMALL(Заказ!$AV$1:$AV$3196,1+B184),""),"")</f>
        <v/>
      </c>
      <c r="C185" s="1057" t="str">
        <f>IFERROR(IF(AND(B185&gt;0,B185/1),INDEX(Заказ!$B$1:$AV$3196,MATCH(B185,Заказ!$AV$1:$AV$3196,0),3),""),"")</f>
        <v/>
      </c>
      <c r="D185" s="1058" t="str">
        <f>IFERROR(IF(AND(B185&gt;0,B185/1),INDEX(Заказ!$B$1:$AV$3196,MATCH(B185,Заказ!$AV$1:$AV$3196,0),9),""),"")</f>
        <v/>
      </c>
      <c r="E185" s="1056" t="str">
        <f>IFERROR(IF(AND(B185&gt;0,B185/1),INDEX(Заказ!$B$1:$AV$3196,MATCH(B185,Заказ!$AV$1:$AV$3196,0),5),""),"")</f>
        <v/>
      </c>
      <c r="F185" s="1056" t="str">
        <f>IFERROR(IF(AND(B185&gt;0,B185/1),INDEX(Заказ!$B$1:$AV$3196,MATCH(B185,Заказ!$AV$1:$AV$3196,0),16)/INDEX(Заказ!$B$1:$AV$3196,MATCH(B185,Заказ!$AV$1:$AV$3196,0),5),""),"")</f>
        <v/>
      </c>
      <c r="G185" s="1059" t="str">
        <f>IFERROR(IF(AND(B185&gt;0,B185/1),INDEX(Заказ!$B$1:$AV$3196,MATCH(B185,Заказ!$AV$1:$AV$3196,0),16),""),"")</f>
        <v/>
      </c>
      <c r="H185" s="1"/>
    </row>
    <row r="186" spans="1:8" ht="12" customHeight="1" x14ac:dyDescent="0.25">
      <c r="A186" s="1051" t="str">
        <f>IFERROR(IF(AND(B186&gt;0,B186/1),INDEX(Заказ!$B$412:$AV$3196,MATCH(B186,Заказ!$AV$412:$AV$3196,0),1),""),"")</f>
        <v/>
      </c>
      <c r="B186" s="1056" t="str">
        <f>IFERROR(IF(B185&gt;0,SMALL(Заказ!$AV$1:$AV$3196,1+B185),""),"")</f>
        <v/>
      </c>
      <c r="C186" s="1057" t="str">
        <f>IFERROR(IF(AND(B186&gt;0,B186/1),INDEX(Заказ!$B$1:$AV$3196,MATCH(B186,Заказ!$AV$1:$AV$3196,0),3),""),"")</f>
        <v/>
      </c>
      <c r="D186" s="1058" t="str">
        <f>IFERROR(IF(AND(B186&gt;0,B186/1),INDEX(Заказ!$B$1:$AV$3196,MATCH(B186,Заказ!$AV$1:$AV$3196,0),9),""),"")</f>
        <v/>
      </c>
      <c r="E186" s="1056" t="str">
        <f>IFERROR(IF(AND(B186&gt;0,B186/1),INDEX(Заказ!$B$1:$AV$3196,MATCH(B186,Заказ!$AV$1:$AV$3196,0),5),""),"")</f>
        <v/>
      </c>
      <c r="F186" s="1056" t="str">
        <f>IFERROR(IF(AND(B186&gt;0,B186/1),INDEX(Заказ!$B$1:$AV$3196,MATCH(B186,Заказ!$AV$1:$AV$3196,0),16)/INDEX(Заказ!$B$1:$AV$3196,MATCH(B186,Заказ!$AV$1:$AV$3196,0),5),""),"")</f>
        <v/>
      </c>
      <c r="G186" s="1059" t="str">
        <f>IFERROR(IF(AND(B186&gt;0,B186/1),INDEX(Заказ!$B$1:$AV$3196,MATCH(B186,Заказ!$AV$1:$AV$3196,0),16),""),"")</f>
        <v/>
      </c>
      <c r="H186" s="1"/>
    </row>
    <row r="187" spans="1:8" ht="12" customHeight="1" x14ac:dyDescent="0.25">
      <c r="A187" s="1051" t="str">
        <f>IFERROR(IF(AND(B187&gt;0,B187/1),INDEX(Заказ!$B$412:$AV$3196,MATCH(B187,Заказ!$AV$412:$AV$3196,0),1),""),"")</f>
        <v/>
      </c>
      <c r="B187" s="1056" t="str">
        <f>IFERROR(IF(B186&gt;0,SMALL(Заказ!$AV$1:$AV$3196,1+B186),""),"")</f>
        <v/>
      </c>
      <c r="C187" s="1057" t="str">
        <f>IFERROR(IF(AND(B187&gt;0,B187/1),INDEX(Заказ!$B$1:$AV$3196,MATCH(B187,Заказ!$AV$1:$AV$3196,0),3),""),"")</f>
        <v/>
      </c>
      <c r="D187" s="1058" t="str">
        <f>IFERROR(IF(AND(B187&gt;0,B187/1),INDEX(Заказ!$B$1:$AV$3196,MATCH(B187,Заказ!$AV$1:$AV$3196,0),9),""),"")</f>
        <v/>
      </c>
      <c r="E187" s="1056" t="str">
        <f>IFERROR(IF(AND(B187&gt;0,B187/1),INDEX(Заказ!$B$1:$AV$3196,MATCH(B187,Заказ!$AV$1:$AV$3196,0),5),""),"")</f>
        <v/>
      </c>
      <c r="F187" s="1056" t="str">
        <f>IFERROR(IF(AND(B187&gt;0,B187/1),INDEX(Заказ!$B$1:$AV$3196,MATCH(B187,Заказ!$AV$1:$AV$3196,0),16)/INDEX(Заказ!$B$1:$AV$3196,MATCH(B187,Заказ!$AV$1:$AV$3196,0),5),""),"")</f>
        <v/>
      </c>
      <c r="G187" s="1059" t="str">
        <f>IFERROR(IF(AND(B187&gt;0,B187/1),INDEX(Заказ!$B$1:$AV$3196,MATCH(B187,Заказ!$AV$1:$AV$3196,0),16),""),"")</f>
        <v/>
      </c>
      <c r="H187" s="1"/>
    </row>
    <row r="188" spans="1:8" ht="12" customHeight="1" x14ac:dyDescent="0.25">
      <c r="A188" s="1051" t="str">
        <f>IFERROR(IF(AND(B188&gt;0,B188/1),INDEX(Заказ!$B$412:$AV$3196,MATCH(B188,Заказ!$AV$412:$AV$3196,0),1),""),"")</f>
        <v/>
      </c>
      <c r="B188" s="1056" t="str">
        <f>IFERROR(IF(B187&gt;0,SMALL(Заказ!$AV$1:$AV$3196,1+B187),""),"")</f>
        <v/>
      </c>
      <c r="C188" s="1057" t="str">
        <f>IFERROR(IF(AND(B188&gt;0,B188/1),INDEX(Заказ!$B$1:$AV$3196,MATCH(B188,Заказ!$AV$1:$AV$3196,0),3),""),"")</f>
        <v/>
      </c>
      <c r="D188" s="1058" t="str">
        <f>IFERROR(IF(AND(B188&gt;0,B188/1),INDEX(Заказ!$B$1:$AV$3196,MATCH(B188,Заказ!$AV$1:$AV$3196,0),9),""),"")</f>
        <v/>
      </c>
      <c r="E188" s="1056" t="str">
        <f>IFERROR(IF(AND(B188&gt;0,B188/1),INDEX(Заказ!$B$1:$AV$3196,MATCH(B188,Заказ!$AV$1:$AV$3196,0),5),""),"")</f>
        <v/>
      </c>
      <c r="F188" s="1056" t="str">
        <f>IFERROR(IF(AND(B188&gt;0,B188/1),INDEX(Заказ!$B$1:$AV$3196,MATCH(B188,Заказ!$AV$1:$AV$3196,0),16)/INDEX(Заказ!$B$1:$AV$3196,MATCH(B188,Заказ!$AV$1:$AV$3196,0),5),""),"")</f>
        <v/>
      </c>
      <c r="G188" s="1059" t="str">
        <f>IFERROR(IF(AND(B188&gt;0,B188/1),INDEX(Заказ!$B$1:$AV$3196,MATCH(B188,Заказ!$AV$1:$AV$3196,0),16),""),"")</f>
        <v/>
      </c>
      <c r="H188" s="1"/>
    </row>
    <row r="189" spans="1:8" ht="12" customHeight="1" x14ac:dyDescent="0.25">
      <c r="A189" s="1051" t="str">
        <f>IFERROR(IF(AND(B189&gt;0,B189/1),INDEX(Заказ!$B$412:$AV$3196,MATCH(B189,Заказ!$AV$412:$AV$3196,0),1),""),"")</f>
        <v/>
      </c>
      <c r="B189" s="1056" t="str">
        <f>IFERROR(IF(B188&gt;0,SMALL(Заказ!$AV$1:$AV$3196,1+B188),""),"")</f>
        <v/>
      </c>
      <c r="C189" s="1057" t="str">
        <f>IFERROR(IF(AND(B189&gt;0,B189/1),INDEX(Заказ!$B$1:$AV$3196,MATCH(B189,Заказ!$AV$1:$AV$3196,0),3),""),"")</f>
        <v/>
      </c>
      <c r="D189" s="1058" t="str">
        <f>IFERROR(IF(AND(B189&gt;0,B189/1),INDEX(Заказ!$B$1:$AV$3196,MATCH(B189,Заказ!$AV$1:$AV$3196,0),9),""),"")</f>
        <v/>
      </c>
      <c r="E189" s="1056" t="str">
        <f>IFERROR(IF(AND(B189&gt;0,B189/1),INDEX(Заказ!$B$1:$AV$3196,MATCH(B189,Заказ!$AV$1:$AV$3196,0),5),""),"")</f>
        <v/>
      </c>
      <c r="F189" s="1056" t="str">
        <f>IFERROR(IF(AND(B189&gt;0,B189/1),INDEX(Заказ!$B$1:$AV$3196,MATCH(B189,Заказ!$AV$1:$AV$3196,0),16)/INDEX(Заказ!$B$1:$AV$3196,MATCH(B189,Заказ!$AV$1:$AV$3196,0),5),""),"")</f>
        <v/>
      </c>
      <c r="G189" s="1059" t="str">
        <f>IFERROR(IF(AND(B189&gt;0,B189/1),INDEX(Заказ!$B$1:$AV$3196,MATCH(B189,Заказ!$AV$1:$AV$3196,0),16),""),"")</f>
        <v/>
      </c>
      <c r="H189" s="1"/>
    </row>
    <row r="190" spans="1:8" ht="12" customHeight="1" x14ac:dyDescent="0.25">
      <c r="A190" s="1051" t="str">
        <f>IFERROR(IF(AND(B190&gt;0,B190/1),INDEX(Заказ!$B$412:$AV$3196,MATCH(B190,Заказ!$AV$412:$AV$3196,0),1),""),"")</f>
        <v/>
      </c>
      <c r="B190" s="1056" t="str">
        <f>IFERROR(IF(B189&gt;0,SMALL(Заказ!$AV$1:$AV$3196,1+B189),""),"")</f>
        <v/>
      </c>
      <c r="C190" s="1057" t="str">
        <f>IFERROR(IF(AND(B190&gt;0,B190/1),INDEX(Заказ!$B$1:$AV$3196,MATCH(B190,Заказ!$AV$1:$AV$3196,0),3),""),"")</f>
        <v/>
      </c>
      <c r="D190" s="1058" t="str">
        <f>IFERROR(IF(AND(B190&gt;0,B190/1),INDEX(Заказ!$B$1:$AV$3196,MATCH(B190,Заказ!$AV$1:$AV$3196,0),9),""),"")</f>
        <v/>
      </c>
      <c r="E190" s="1056" t="str">
        <f>IFERROR(IF(AND(B190&gt;0,B190/1),INDEX(Заказ!$B$1:$AV$3196,MATCH(B190,Заказ!$AV$1:$AV$3196,0),5),""),"")</f>
        <v/>
      </c>
      <c r="F190" s="1056" t="str">
        <f>IFERROR(IF(AND(B190&gt;0,B190/1),INDEX(Заказ!$B$1:$AV$3196,MATCH(B190,Заказ!$AV$1:$AV$3196,0),16)/INDEX(Заказ!$B$1:$AV$3196,MATCH(B190,Заказ!$AV$1:$AV$3196,0),5),""),"")</f>
        <v/>
      </c>
      <c r="G190" s="1059" t="str">
        <f>IFERROR(IF(AND(B190&gt;0,B190/1),INDEX(Заказ!$B$1:$AV$3196,MATCH(B190,Заказ!$AV$1:$AV$3196,0),16),""),"")</f>
        <v/>
      </c>
      <c r="H190" s="1"/>
    </row>
    <row r="191" spans="1:8" ht="12" customHeight="1" x14ac:dyDescent="0.25">
      <c r="A191" s="1051" t="str">
        <f>IFERROR(IF(AND(B191&gt;0,B191/1),INDEX(Заказ!$B$412:$AV$3196,MATCH(B191,Заказ!$AV$412:$AV$3196,0),1),""),"")</f>
        <v/>
      </c>
      <c r="B191" s="1056" t="str">
        <f>IFERROR(IF(B190&gt;0,SMALL(Заказ!$AV$1:$AV$3196,1+B190),""),"")</f>
        <v/>
      </c>
      <c r="C191" s="1057" t="str">
        <f>IFERROR(IF(AND(B191&gt;0,B191/1),INDEX(Заказ!$B$1:$AV$3196,MATCH(B191,Заказ!$AV$1:$AV$3196,0),3),""),"")</f>
        <v/>
      </c>
      <c r="D191" s="1058" t="str">
        <f>IFERROR(IF(AND(B191&gt;0,B191/1),INDEX(Заказ!$B$1:$AV$3196,MATCH(B191,Заказ!$AV$1:$AV$3196,0),9),""),"")</f>
        <v/>
      </c>
      <c r="E191" s="1056" t="str">
        <f>IFERROR(IF(AND(B191&gt;0,B191/1),INDEX(Заказ!$B$1:$AV$3196,MATCH(B191,Заказ!$AV$1:$AV$3196,0),5),""),"")</f>
        <v/>
      </c>
      <c r="F191" s="1056" t="str">
        <f>IFERROR(IF(AND(B191&gt;0,B191/1),INDEX(Заказ!$B$1:$AV$3196,MATCH(B191,Заказ!$AV$1:$AV$3196,0),16)/INDEX(Заказ!$B$1:$AV$3196,MATCH(B191,Заказ!$AV$1:$AV$3196,0),5),""),"")</f>
        <v/>
      </c>
      <c r="G191" s="1059" t="str">
        <f>IFERROR(IF(AND(B191&gt;0,B191/1),INDEX(Заказ!$B$1:$AV$3196,MATCH(B191,Заказ!$AV$1:$AV$3196,0),16),""),"")</f>
        <v/>
      </c>
      <c r="H191" s="1"/>
    </row>
    <row r="192" spans="1:8" ht="12" customHeight="1" x14ac:dyDescent="0.25">
      <c r="A192" s="1051" t="str">
        <f>IFERROR(IF(AND(B192&gt;0,B192/1),INDEX(Заказ!$B$412:$AV$3196,MATCH(B192,Заказ!$AV$412:$AV$3196,0),1),""),"")</f>
        <v/>
      </c>
      <c r="B192" s="1056" t="str">
        <f>IFERROR(IF(B191&gt;0,SMALL(Заказ!$AV$1:$AV$3196,1+B191),""),"")</f>
        <v/>
      </c>
      <c r="C192" s="1057" t="str">
        <f>IFERROR(IF(AND(B192&gt;0,B192/1),INDEX(Заказ!$B$1:$AV$3196,MATCH(B192,Заказ!$AV$1:$AV$3196,0),3),""),"")</f>
        <v/>
      </c>
      <c r="D192" s="1058" t="str">
        <f>IFERROR(IF(AND(B192&gt;0,B192/1),INDEX(Заказ!$B$1:$AV$3196,MATCH(B192,Заказ!$AV$1:$AV$3196,0),9),""),"")</f>
        <v/>
      </c>
      <c r="E192" s="1056" t="str">
        <f>IFERROR(IF(AND(B192&gt;0,B192/1),INDEX(Заказ!$B$1:$AV$3196,MATCH(B192,Заказ!$AV$1:$AV$3196,0),5),""),"")</f>
        <v/>
      </c>
      <c r="F192" s="1056" t="str">
        <f>IFERROR(IF(AND(B192&gt;0,B192/1),INDEX(Заказ!$B$1:$AV$3196,MATCH(B192,Заказ!$AV$1:$AV$3196,0),16)/INDEX(Заказ!$B$1:$AV$3196,MATCH(B192,Заказ!$AV$1:$AV$3196,0),5),""),"")</f>
        <v/>
      </c>
      <c r="G192" s="1059" t="str">
        <f>IFERROR(IF(AND(B192&gt;0,B192/1),INDEX(Заказ!$B$1:$AV$3196,MATCH(B192,Заказ!$AV$1:$AV$3196,0),16),""),"")</f>
        <v/>
      </c>
      <c r="H192" s="1"/>
    </row>
    <row r="193" spans="1:8" ht="12" customHeight="1" x14ac:dyDescent="0.25">
      <c r="A193" s="1051" t="str">
        <f>IFERROR(IF(AND(B193&gt;0,B193/1),INDEX(Заказ!$B$412:$AV$3196,MATCH(B193,Заказ!$AV$412:$AV$3196,0),1),""),"")</f>
        <v/>
      </c>
      <c r="B193" s="1056" t="str">
        <f>IFERROR(IF(B192&gt;0,SMALL(Заказ!$AV$1:$AV$3196,1+B192),""),"")</f>
        <v/>
      </c>
      <c r="C193" s="1057" t="str">
        <f>IFERROR(IF(AND(B193&gt;0,B193/1),INDEX(Заказ!$B$1:$AV$3196,MATCH(B193,Заказ!$AV$1:$AV$3196,0),3),""),"")</f>
        <v/>
      </c>
      <c r="D193" s="1058" t="str">
        <f>IFERROR(IF(AND(B193&gt;0,B193/1),INDEX(Заказ!$B$1:$AV$3196,MATCH(B193,Заказ!$AV$1:$AV$3196,0),9),""),"")</f>
        <v/>
      </c>
      <c r="E193" s="1056" t="str">
        <f>IFERROR(IF(AND(B193&gt;0,B193/1),INDEX(Заказ!$B$1:$AV$3196,MATCH(B193,Заказ!$AV$1:$AV$3196,0),5),""),"")</f>
        <v/>
      </c>
      <c r="F193" s="1056" t="str">
        <f>IFERROR(IF(AND(B193&gt;0,B193/1),INDEX(Заказ!$B$1:$AV$3196,MATCH(B193,Заказ!$AV$1:$AV$3196,0),16)/INDEX(Заказ!$B$1:$AV$3196,MATCH(B193,Заказ!$AV$1:$AV$3196,0),5),""),"")</f>
        <v/>
      </c>
      <c r="G193" s="1059" t="str">
        <f>IFERROR(IF(AND(B193&gt;0,B193/1),INDEX(Заказ!$B$1:$AV$3196,MATCH(B193,Заказ!$AV$1:$AV$3196,0),16),""),"")</f>
        <v/>
      </c>
      <c r="H193" s="1"/>
    </row>
    <row r="194" spans="1:8" ht="12" customHeight="1" x14ac:dyDescent="0.25">
      <c r="A194" s="1051" t="str">
        <f>IFERROR(IF(AND(B194&gt;0,B194/1),INDEX(Заказ!$B$412:$AV$3196,MATCH(B194,Заказ!$AV$412:$AV$3196,0),1),""),"")</f>
        <v/>
      </c>
      <c r="B194" s="1056" t="str">
        <f>IFERROR(IF(B193&gt;0,SMALL(Заказ!$AV$1:$AV$3196,1+B193),""),"")</f>
        <v/>
      </c>
      <c r="C194" s="1057" t="str">
        <f>IFERROR(IF(AND(B194&gt;0,B194/1),INDEX(Заказ!$B$1:$AV$3196,MATCH(B194,Заказ!$AV$1:$AV$3196,0),3),""),"")</f>
        <v/>
      </c>
      <c r="D194" s="1058" t="str">
        <f>IFERROR(IF(AND(B194&gt;0,B194/1),INDEX(Заказ!$B$1:$AV$3196,MATCH(B194,Заказ!$AV$1:$AV$3196,0),9),""),"")</f>
        <v/>
      </c>
      <c r="E194" s="1056" t="str">
        <f>IFERROR(IF(AND(B194&gt;0,B194/1),INDEX(Заказ!$B$1:$AV$3196,MATCH(B194,Заказ!$AV$1:$AV$3196,0),5),""),"")</f>
        <v/>
      </c>
      <c r="F194" s="1056" t="str">
        <f>IFERROR(IF(AND(B194&gt;0,B194/1),INDEX(Заказ!$B$1:$AV$3196,MATCH(B194,Заказ!$AV$1:$AV$3196,0),16)/INDEX(Заказ!$B$1:$AV$3196,MATCH(B194,Заказ!$AV$1:$AV$3196,0),5),""),"")</f>
        <v/>
      </c>
      <c r="G194" s="1059" t="str">
        <f>IFERROR(IF(AND(B194&gt;0,B194/1),INDEX(Заказ!$B$1:$AV$3196,MATCH(B194,Заказ!$AV$1:$AV$3196,0),16),""),"")</f>
        <v/>
      </c>
      <c r="H194" s="1"/>
    </row>
    <row r="195" spans="1:8" ht="12" customHeight="1" x14ac:dyDescent="0.25">
      <c r="A195" s="1051" t="str">
        <f>IFERROR(IF(AND(B195&gt;0,B195/1),INDEX(Заказ!$B$412:$AV$3196,MATCH(B195,Заказ!$AV$412:$AV$3196,0),1),""),"")</f>
        <v/>
      </c>
      <c r="B195" s="1056" t="str">
        <f>IFERROR(IF(B194&gt;0,SMALL(Заказ!$AV$1:$AV$3196,1+B194),""),"")</f>
        <v/>
      </c>
      <c r="C195" s="1057" t="str">
        <f>IFERROR(IF(AND(B195&gt;0,B195/1),INDEX(Заказ!$B$1:$AV$3196,MATCH(B195,Заказ!$AV$1:$AV$3196,0),3),""),"")</f>
        <v/>
      </c>
      <c r="D195" s="1058" t="str">
        <f>IFERROR(IF(AND(B195&gt;0,B195/1),INDEX(Заказ!$B$1:$AV$3196,MATCH(B195,Заказ!$AV$1:$AV$3196,0),9),""),"")</f>
        <v/>
      </c>
      <c r="E195" s="1056" t="str">
        <f>IFERROR(IF(AND(B195&gt;0,B195/1),INDEX(Заказ!$B$1:$AV$3196,MATCH(B195,Заказ!$AV$1:$AV$3196,0),5),""),"")</f>
        <v/>
      </c>
      <c r="F195" s="1056" t="str">
        <f>IFERROR(IF(AND(B195&gt;0,B195/1),INDEX(Заказ!$B$1:$AV$3196,MATCH(B195,Заказ!$AV$1:$AV$3196,0),16)/INDEX(Заказ!$B$1:$AV$3196,MATCH(B195,Заказ!$AV$1:$AV$3196,0),5),""),"")</f>
        <v/>
      </c>
      <c r="G195" s="1059" t="str">
        <f>IFERROR(IF(AND(B195&gt;0,B195/1),INDEX(Заказ!$B$1:$AV$3196,MATCH(B195,Заказ!$AV$1:$AV$3196,0),16),""),"")</f>
        <v/>
      </c>
      <c r="H195" s="1"/>
    </row>
    <row r="196" spans="1:8" ht="12" customHeight="1" x14ac:dyDescent="0.25">
      <c r="A196" s="1051" t="str">
        <f>IFERROR(IF(AND(B196&gt;0,B196/1),INDEX(Заказ!$B$412:$AV$3196,MATCH(B196,Заказ!$AV$412:$AV$3196,0),1),""),"")</f>
        <v/>
      </c>
      <c r="B196" s="1056" t="str">
        <f>IFERROR(IF(B195&gt;0,SMALL(Заказ!$AV$1:$AV$3196,1+B195),""),"")</f>
        <v/>
      </c>
      <c r="C196" s="1057" t="str">
        <f>IFERROR(IF(AND(B196&gt;0,B196/1),INDEX(Заказ!$B$1:$AV$3196,MATCH(B196,Заказ!$AV$1:$AV$3196,0),3),""),"")</f>
        <v/>
      </c>
      <c r="D196" s="1058" t="str">
        <f>IFERROR(IF(AND(B196&gt;0,B196/1),INDEX(Заказ!$B$1:$AV$3196,MATCH(B196,Заказ!$AV$1:$AV$3196,0),9),""),"")</f>
        <v/>
      </c>
      <c r="E196" s="1056" t="str">
        <f>IFERROR(IF(AND(B196&gt;0,B196/1),INDEX(Заказ!$B$1:$AV$3196,MATCH(B196,Заказ!$AV$1:$AV$3196,0),5),""),"")</f>
        <v/>
      </c>
      <c r="F196" s="1056" t="str">
        <f>IFERROR(IF(AND(B196&gt;0,B196/1),INDEX(Заказ!$B$1:$AV$3196,MATCH(B196,Заказ!$AV$1:$AV$3196,0),16)/INDEX(Заказ!$B$1:$AV$3196,MATCH(B196,Заказ!$AV$1:$AV$3196,0),5),""),"")</f>
        <v/>
      </c>
      <c r="G196" s="1059" t="str">
        <f>IFERROR(IF(AND(B196&gt;0,B196/1),INDEX(Заказ!$B$1:$AV$3196,MATCH(B196,Заказ!$AV$1:$AV$3196,0),16),""),"")</f>
        <v/>
      </c>
      <c r="H196" s="1"/>
    </row>
    <row r="197" spans="1:8" ht="12" customHeight="1" x14ac:dyDescent="0.25">
      <c r="A197" s="1051" t="str">
        <f>IFERROR(IF(AND(B197&gt;0,B197/1),INDEX(Заказ!$B$412:$AV$3196,MATCH(B197,Заказ!$AV$412:$AV$3196,0),1),""),"")</f>
        <v/>
      </c>
      <c r="B197" s="1056" t="str">
        <f>IFERROR(IF(B196&gt;0,SMALL(Заказ!$AV$1:$AV$3196,1+B196),""),"")</f>
        <v/>
      </c>
      <c r="C197" s="1057" t="str">
        <f>IFERROR(IF(AND(B197&gt;0,B197/1),INDEX(Заказ!$B$1:$AV$3196,MATCH(B197,Заказ!$AV$1:$AV$3196,0),3),""),"")</f>
        <v/>
      </c>
      <c r="D197" s="1058" t="str">
        <f>IFERROR(IF(AND(B197&gt;0,B197/1),INDEX(Заказ!$B$1:$AV$3196,MATCH(B197,Заказ!$AV$1:$AV$3196,0),9),""),"")</f>
        <v/>
      </c>
      <c r="E197" s="1056" t="str">
        <f>IFERROR(IF(AND(B197&gt;0,B197/1),INDEX(Заказ!$B$1:$AV$3196,MATCH(B197,Заказ!$AV$1:$AV$3196,0),5),""),"")</f>
        <v/>
      </c>
      <c r="F197" s="1056" t="str">
        <f>IFERROR(IF(AND(B197&gt;0,B197/1),INDEX(Заказ!$B$1:$AV$3196,MATCH(B197,Заказ!$AV$1:$AV$3196,0),16)/INDEX(Заказ!$B$1:$AV$3196,MATCH(B197,Заказ!$AV$1:$AV$3196,0),5),""),"")</f>
        <v/>
      </c>
      <c r="G197" s="1059" t="str">
        <f>IFERROR(IF(AND(B197&gt;0,B197/1),INDEX(Заказ!$B$1:$AV$3196,MATCH(B197,Заказ!$AV$1:$AV$3196,0),16),""),"")</f>
        <v/>
      </c>
      <c r="H197" s="1"/>
    </row>
    <row r="198" spans="1:8" ht="12" customHeight="1" x14ac:dyDescent="0.25">
      <c r="A198" s="1051" t="str">
        <f>IFERROR(IF(AND(B198&gt;0,B198/1),INDEX(Заказ!$B$412:$AV$3196,MATCH(B198,Заказ!$AV$412:$AV$3196,0),1),""),"")</f>
        <v/>
      </c>
      <c r="B198" s="1056" t="str">
        <f>IFERROR(IF(B197&gt;0,SMALL(Заказ!$AV$1:$AV$3196,1+B197),""),"")</f>
        <v/>
      </c>
      <c r="C198" s="1057" t="str">
        <f>IFERROR(IF(AND(B198&gt;0,B198/1),INDEX(Заказ!$B$1:$AV$3196,MATCH(B198,Заказ!$AV$1:$AV$3196,0),3),""),"")</f>
        <v/>
      </c>
      <c r="D198" s="1058" t="str">
        <f>IFERROR(IF(AND(B198&gt;0,B198/1),INDEX(Заказ!$B$1:$AV$3196,MATCH(B198,Заказ!$AV$1:$AV$3196,0),9),""),"")</f>
        <v/>
      </c>
      <c r="E198" s="1056" t="str">
        <f>IFERROR(IF(AND(B198&gt;0,B198/1),INDEX(Заказ!$B$1:$AV$3196,MATCH(B198,Заказ!$AV$1:$AV$3196,0),5),""),"")</f>
        <v/>
      </c>
      <c r="F198" s="1056" t="str">
        <f>IFERROR(IF(AND(B198&gt;0,B198/1),INDEX(Заказ!$B$1:$AV$3196,MATCH(B198,Заказ!$AV$1:$AV$3196,0),16)/INDEX(Заказ!$B$1:$AV$3196,MATCH(B198,Заказ!$AV$1:$AV$3196,0),5),""),"")</f>
        <v/>
      </c>
      <c r="G198" s="1059" t="str">
        <f>IFERROR(IF(AND(B198&gt;0,B198/1),INDEX(Заказ!$B$1:$AV$3196,MATCH(B198,Заказ!$AV$1:$AV$3196,0),16),""),"")</f>
        <v/>
      </c>
      <c r="H198" s="1"/>
    </row>
    <row r="199" spans="1:8" ht="12" customHeight="1" x14ac:dyDescent="0.25">
      <c r="A199" s="1051" t="str">
        <f>IFERROR(IF(AND(B199&gt;0,B199/1),INDEX(Заказ!$B$412:$AV$3196,MATCH(B199,Заказ!$AV$412:$AV$3196,0),1),""),"")</f>
        <v/>
      </c>
      <c r="B199" s="1056" t="str">
        <f>IFERROR(IF(B198&gt;0,SMALL(Заказ!$AV$1:$AV$3196,1+B198),""),"")</f>
        <v/>
      </c>
      <c r="C199" s="1057" t="str">
        <f>IFERROR(IF(AND(B199&gt;0,B199/1),INDEX(Заказ!$B$1:$AV$3196,MATCH(B199,Заказ!$AV$1:$AV$3196,0),3),""),"")</f>
        <v/>
      </c>
      <c r="D199" s="1058" t="str">
        <f>IFERROR(IF(AND(B199&gt;0,B199/1),INDEX(Заказ!$B$1:$AV$3196,MATCH(B199,Заказ!$AV$1:$AV$3196,0),9),""),"")</f>
        <v/>
      </c>
      <c r="E199" s="1056" t="str">
        <f>IFERROR(IF(AND(B199&gt;0,B199/1),INDEX(Заказ!$B$1:$AV$3196,MATCH(B199,Заказ!$AV$1:$AV$3196,0),5),""),"")</f>
        <v/>
      </c>
      <c r="F199" s="1056" t="str">
        <f>IFERROR(IF(AND(B199&gt;0,B199/1),INDEX(Заказ!$B$1:$AV$3196,MATCH(B199,Заказ!$AV$1:$AV$3196,0),16)/INDEX(Заказ!$B$1:$AV$3196,MATCH(B199,Заказ!$AV$1:$AV$3196,0),5),""),"")</f>
        <v/>
      </c>
      <c r="G199" s="1059" t="str">
        <f>IFERROR(IF(AND(B199&gt;0,B199/1),INDEX(Заказ!$B$1:$AV$3196,MATCH(B199,Заказ!$AV$1:$AV$3196,0),16),""),"")</f>
        <v/>
      </c>
      <c r="H199" s="1"/>
    </row>
    <row r="200" spans="1:8" ht="12" customHeight="1" x14ac:dyDescent="0.25">
      <c r="A200" s="1051" t="str">
        <f>IFERROR(IF(AND(B200&gt;0,B200/1),INDEX(Заказ!$B$412:$AV$3196,MATCH(B200,Заказ!$AV$412:$AV$3196,0),1),""),"")</f>
        <v/>
      </c>
      <c r="B200" s="1056" t="str">
        <f>IFERROR(IF(B199&gt;0,SMALL(Заказ!$AV$1:$AV$3196,1+B199),""),"")</f>
        <v/>
      </c>
      <c r="C200" s="1057" t="str">
        <f>IFERROR(IF(AND(B200&gt;0,B200/1),INDEX(Заказ!$B$1:$AV$3196,MATCH(B200,Заказ!$AV$1:$AV$3196,0),3),""),"")</f>
        <v/>
      </c>
      <c r="D200" s="1058" t="str">
        <f>IFERROR(IF(AND(B200&gt;0,B200/1),INDEX(Заказ!$B$1:$AV$3196,MATCH(B200,Заказ!$AV$1:$AV$3196,0),9),""),"")</f>
        <v/>
      </c>
      <c r="E200" s="1056" t="str">
        <f>IFERROR(IF(AND(B200&gt;0,B200/1),INDEX(Заказ!$B$1:$AV$3196,MATCH(B200,Заказ!$AV$1:$AV$3196,0),5),""),"")</f>
        <v/>
      </c>
      <c r="F200" s="1056" t="str">
        <f>IFERROR(IF(AND(B200&gt;0,B200/1),INDEX(Заказ!$B$1:$AV$3196,MATCH(B200,Заказ!$AV$1:$AV$3196,0),16)/INDEX(Заказ!$B$1:$AV$3196,MATCH(B200,Заказ!$AV$1:$AV$3196,0),5),""),"")</f>
        <v/>
      </c>
      <c r="G200" s="1059" t="str">
        <f>IFERROR(IF(AND(B200&gt;0,B200/1),INDEX(Заказ!$B$1:$AV$3196,MATCH(B200,Заказ!$AV$1:$AV$3196,0),16),""),"")</f>
        <v/>
      </c>
      <c r="H200" s="1"/>
    </row>
    <row r="201" spans="1:8" ht="12" customHeight="1" x14ac:dyDescent="0.25">
      <c r="A201" s="1051" t="str">
        <f>IFERROR(IF(AND(B201&gt;0,B201/1),INDEX(Заказ!$B$412:$AV$3196,MATCH(B201,Заказ!$AV$412:$AV$3196,0),1),""),"")</f>
        <v/>
      </c>
      <c r="B201" s="1056" t="str">
        <f>IFERROR(IF(B200&gt;0,SMALL(Заказ!$AV$1:$AV$3196,1+B200),""),"")</f>
        <v/>
      </c>
      <c r="C201" s="1057" t="str">
        <f>IFERROR(IF(AND(B201&gt;0,B201/1),INDEX(Заказ!$B$1:$AV$3196,MATCH(B201,Заказ!$AV$1:$AV$3196,0),3),""),"")</f>
        <v/>
      </c>
      <c r="D201" s="1058" t="str">
        <f>IFERROR(IF(AND(B201&gt;0,B201/1),INDEX(Заказ!$B$1:$AV$3196,MATCH(B201,Заказ!$AV$1:$AV$3196,0),9),""),"")</f>
        <v/>
      </c>
      <c r="E201" s="1056" t="str">
        <f>IFERROR(IF(AND(B201&gt;0,B201/1),INDEX(Заказ!$B$1:$AV$3196,MATCH(B201,Заказ!$AV$1:$AV$3196,0),5),""),"")</f>
        <v/>
      </c>
      <c r="F201" s="1056" t="str">
        <f>IFERROR(IF(AND(B201&gt;0,B201/1),INDEX(Заказ!$B$1:$AV$3196,MATCH(B201,Заказ!$AV$1:$AV$3196,0),16)/INDEX(Заказ!$B$1:$AV$3196,MATCH(B201,Заказ!$AV$1:$AV$3196,0),5),""),"")</f>
        <v/>
      </c>
      <c r="G201" s="1059" t="str">
        <f>IFERROR(IF(AND(B201&gt;0,B201/1),INDEX(Заказ!$B$1:$AV$3196,MATCH(B201,Заказ!$AV$1:$AV$3196,0),16),""),"")</f>
        <v/>
      </c>
      <c r="H201" s="1"/>
    </row>
    <row r="202" spans="1:8" ht="12" customHeight="1" x14ac:dyDescent="0.25">
      <c r="A202" s="1051" t="str">
        <f>IFERROR(IF(AND(B202&gt;0,B202/1),INDEX(Заказ!$B$412:$AV$3196,MATCH(B202,Заказ!$AV$412:$AV$3196,0),1),""),"")</f>
        <v/>
      </c>
      <c r="B202" s="1056" t="str">
        <f>IFERROR(IF(B201&gt;0,SMALL(Заказ!$AV$1:$AV$3196,1+B201),""),"")</f>
        <v/>
      </c>
      <c r="C202" s="1057" t="str">
        <f>IFERROR(IF(AND(B202&gt;0,B202/1),INDEX(Заказ!$B$1:$AV$3196,MATCH(B202,Заказ!$AV$1:$AV$3196,0),3),""),"")</f>
        <v/>
      </c>
      <c r="D202" s="1058" t="str">
        <f>IFERROR(IF(AND(B202&gt;0,B202/1),INDEX(Заказ!$B$1:$AV$3196,MATCH(B202,Заказ!$AV$1:$AV$3196,0),9),""),"")</f>
        <v/>
      </c>
      <c r="E202" s="1056" t="str">
        <f>IFERROR(IF(AND(B202&gt;0,B202/1),INDEX(Заказ!$B$1:$AV$3196,MATCH(B202,Заказ!$AV$1:$AV$3196,0),5),""),"")</f>
        <v/>
      </c>
      <c r="F202" s="1056" t="str">
        <f>IFERROR(IF(AND(B202&gt;0,B202/1),INDEX(Заказ!$B$1:$AV$3196,MATCH(B202,Заказ!$AV$1:$AV$3196,0),16)/INDEX(Заказ!$B$1:$AV$3196,MATCH(B202,Заказ!$AV$1:$AV$3196,0),5),""),"")</f>
        <v/>
      </c>
      <c r="G202" s="1059" t="str">
        <f>IFERROR(IF(AND(B202&gt;0,B202/1),INDEX(Заказ!$B$1:$AV$3196,MATCH(B202,Заказ!$AV$1:$AV$3196,0),16),""),"")</f>
        <v/>
      </c>
      <c r="H202" s="1"/>
    </row>
    <row r="203" spans="1:8" ht="12" customHeight="1" x14ac:dyDescent="0.25">
      <c r="A203" s="1051" t="str">
        <f>IFERROR(IF(AND(B203&gt;0,B203/1),INDEX(Заказ!$B$412:$AV$3196,MATCH(B203,Заказ!$AV$412:$AV$3196,0),1),""),"")</f>
        <v/>
      </c>
      <c r="B203" s="1056" t="str">
        <f>IFERROR(IF(B202&gt;0,SMALL(Заказ!$AV$1:$AV$3196,1+B202),""),"")</f>
        <v/>
      </c>
      <c r="C203" s="1057" t="str">
        <f>IFERROR(IF(AND(B203&gt;0,B203/1),INDEX(Заказ!$B$1:$AV$3196,MATCH(B203,Заказ!$AV$1:$AV$3196,0),3),""),"")</f>
        <v/>
      </c>
      <c r="D203" s="1058" t="str">
        <f>IFERROR(IF(AND(B203&gt;0,B203/1),INDEX(Заказ!$B$1:$AV$3196,MATCH(B203,Заказ!$AV$1:$AV$3196,0),9),""),"")</f>
        <v/>
      </c>
      <c r="E203" s="1056" t="str">
        <f>IFERROR(IF(AND(B203&gt;0,B203/1),INDEX(Заказ!$B$1:$AV$3196,MATCH(B203,Заказ!$AV$1:$AV$3196,0),5),""),"")</f>
        <v/>
      </c>
      <c r="F203" s="1056" t="str">
        <f>IFERROR(IF(AND(B203&gt;0,B203/1),INDEX(Заказ!$B$1:$AV$3196,MATCH(B203,Заказ!$AV$1:$AV$3196,0),16)/INDEX(Заказ!$B$1:$AV$3196,MATCH(B203,Заказ!$AV$1:$AV$3196,0),5),""),"")</f>
        <v/>
      </c>
      <c r="G203" s="1059" t="str">
        <f>IFERROR(IF(AND(B203&gt;0,B203/1),INDEX(Заказ!$B$1:$AV$3196,MATCH(B203,Заказ!$AV$1:$AV$3196,0),16),""),"")</f>
        <v/>
      </c>
      <c r="H203" s="1"/>
    </row>
    <row r="204" spans="1:8" ht="12" customHeight="1" x14ac:dyDescent="0.25">
      <c r="A204" s="1051" t="str">
        <f>IFERROR(IF(AND(B204&gt;0,B204/1),INDEX(Заказ!$B$412:$AV$3196,MATCH(B204,Заказ!$AV$412:$AV$3196,0),1),""),"")</f>
        <v/>
      </c>
      <c r="B204" s="1056" t="str">
        <f>IFERROR(IF(B203&gt;0,SMALL(Заказ!$AV$1:$AV$3196,1+B203),""),"")</f>
        <v/>
      </c>
      <c r="C204" s="1057" t="str">
        <f>IFERROR(IF(AND(B204&gt;0,B204/1),INDEX(Заказ!$B$1:$AV$3196,MATCH(B204,Заказ!$AV$1:$AV$3196,0),3),""),"")</f>
        <v/>
      </c>
      <c r="D204" s="1058" t="str">
        <f>IFERROR(IF(AND(B204&gt;0,B204/1),INDEX(Заказ!$B$1:$AV$3196,MATCH(B204,Заказ!$AV$1:$AV$3196,0),9),""),"")</f>
        <v/>
      </c>
      <c r="E204" s="1056" t="str">
        <f>IFERROR(IF(AND(B204&gt;0,B204/1),INDEX(Заказ!$B$1:$AV$3196,MATCH(B204,Заказ!$AV$1:$AV$3196,0),5),""),"")</f>
        <v/>
      </c>
      <c r="F204" s="1056" t="str">
        <f>IFERROR(IF(AND(B204&gt;0,B204/1),INDEX(Заказ!$B$1:$AV$3196,MATCH(B204,Заказ!$AV$1:$AV$3196,0),16)/INDEX(Заказ!$B$1:$AV$3196,MATCH(B204,Заказ!$AV$1:$AV$3196,0),5),""),"")</f>
        <v/>
      </c>
      <c r="G204" s="1059" t="str">
        <f>IFERROR(IF(AND(B204&gt;0,B204/1),INDEX(Заказ!$B$1:$AV$3196,MATCH(B204,Заказ!$AV$1:$AV$3196,0),16),""),"")</f>
        <v/>
      </c>
      <c r="H204" s="1"/>
    </row>
    <row r="205" spans="1:8" ht="12" customHeight="1" x14ac:dyDescent="0.25">
      <c r="A205" s="1051" t="str">
        <f>IFERROR(IF(AND(B205&gt;0,B205/1),INDEX(Заказ!$B$412:$AV$3196,MATCH(B205,Заказ!$AV$412:$AV$3196,0),1),""),"")</f>
        <v/>
      </c>
      <c r="B205" s="1056" t="str">
        <f>IFERROR(IF(B204&gt;0,SMALL(Заказ!$AV$1:$AV$3196,1+B204),""),"")</f>
        <v/>
      </c>
      <c r="C205" s="1057" t="str">
        <f>IFERROR(IF(AND(B205&gt;0,B205/1),INDEX(Заказ!$B$1:$AV$3196,MATCH(B205,Заказ!$AV$1:$AV$3196,0),3),""),"")</f>
        <v/>
      </c>
      <c r="D205" s="1058" t="str">
        <f>IFERROR(IF(AND(B205&gt;0,B205/1),INDEX(Заказ!$B$1:$AV$3196,MATCH(B205,Заказ!$AV$1:$AV$3196,0),9),""),"")</f>
        <v/>
      </c>
      <c r="E205" s="1056" t="str">
        <f>IFERROR(IF(AND(B205&gt;0,B205/1),INDEX(Заказ!$B$1:$AV$3196,MATCH(B205,Заказ!$AV$1:$AV$3196,0),5),""),"")</f>
        <v/>
      </c>
      <c r="F205" s="1056" t="str">
        <f>IFERROR(IF(AND(B205&gt;0,B205/1),INDEX(Заказ!$B$1:$AV$3196,MATCH(B205,Заказ!$AV$1:$AV$3196,0),16)/INDEX(Заказ!$B$1:$AV$3196,MATCH(B205,Заказ!$AV$1:$AV$3196,0),5),""),"")</f>
        <v/>
      </c>
      <c r="G205" s="1059" t="str">
        <f>IFERROR(IF(AND(B205&gt;0,B205/1),INDEX(Заказ!$B$1:$AV$3196,MATCH(B205,Заказ!$AV$1:$AV$3196,0),16),""),"")</f>
        <v/>
      </c>
      <c r="H205" s="1"/>
    </row>
    <row r="206" spans="1:8" ht="12" customHeight="1" x14ac:dyDescent="0.25">
      <c r="A206" s="1051" t="str">
        <f>IFERROR(IF(AND(B206&gt;0,B206/1),INDEX(Заказ!$B$412:$AV$3196,MATCH(B206,Заказ!$AV$412:$AV$3196,0),1),""),"")</f>
        <v/>
      </c>
      <c r="B206" s="1056" t="str">
        <f>IFERROR(IF(B205&gt;0,SMALL(Заказ!$AV$1:$AV$3196,1+B205),""),"")</f>
        <v/>
      </c>
      <c r="C206" s="1057" t="str">
        <f>IFERROR(IF(AND(B206&gt;0,B206/1),INDEX(Заказ!$B$1:$AV$3196,MATCH(B206,Заказ!$AV$1:$AV$3196,0),3),""),"")</f>
        <v/>
      </c>
      <c r="D206" s="1058" t="str">
        <f>IFERROR(IF(AND(B206&gt;0,B206/1),INDEX(Заказ!$B$1:$AV$3196,MATCH(B206,Заказ!$AV$1:$AV$3196,0),9),""),"")</f>
        <v/>
      </c>
      <c r="E206" s="1056" t="str">
        <f>IFERROR(IF(AND(B206&gt;0,B206/1),INDEX(Заказ!$B$1:$AV$3196,MATCH(B206,Заказ!$AV$1:$AV$3196,0),5),""),"")</f>
        <v/>
      </c>
      <c r="F206" s="1056" t="str">
        <f>IFERROR(IF(AND(B206&gt;0,B206/1),INDEX(Заказ!$B$1:$AV$3196,MATCH(B206,Заказ!$AV$1:$AV$3196,0),16)/INDEX(Заказ!$B$1:$AV$3196,MATCH(B206,Заказ!$AV$1:$AV$3196,0),5),""),"")</f>
        <v/>
      </c>
      <c r="G206" s="1059" t="str">
        <f>IFERROR(IF(AND(B206&gt;0,B206/1),INDEX(Заказ!$B$1:$AV$3196,MATCH(B206,Заказ!$AV$1:$AV$3196,0),16),""),"")</f>
        <v/>
      </c>
      <c r="H206" s="1"/>
    </row>
    <row r="207" spans="1:8" ht="12" customHeight="1" x14ac:dyDescent="0.25">
      <c r="A207" s="1051" t="str">
        <f>IFERROR(IF(AND(B207&gt;0,B207/1),INDEX(Заказ!$B$412:$AV$3196,MATCH(B207,Заказ!$AV$412:$AV$3196,0),1),""),"")</f>
        <v/>
      </c>
      <c r="B207" s="1056" t="str">
        <f>IFERROR(IF(B206&gt;0,SMALL(Заказ!$AV$1:$AV$3196,1+B206),""),"")</f>
        <v/>
      </c>
      <c r="C207" s="1057" t="str">
        <f>IFERROR(IF(AND(B207&gt;0,B207/1),INDEX(Заказ!$B$1:$AV$3196,MATCH(B207,Заказ!$AV$1:$AV$3196,0),3),""),"")</f>
        <v/>
      </c>
      <c r="D207" s="1058" t="str">
        <f>IFERROR(IF(AND(B207&gt;0,B207/1),INDEX(Заказ!$B$1:$AV$3196,MATCH(B207,Заказ!$AV$1:$AV$3196,0),9),""),"")</f>
        <v/>
      </c>
      <c r="E207" s="1056" t="str">
        <f>IFERROR(IF(AND(B207&gt;0,B207/1),INDEX(Заказ!$B$1:$AV$3196,MATCH(B207,Заказ!$AV$1:$AV$3196,0),5),""),"")</f>
        <v/>
      </c>
      <c r="F207" s="1056" t="str">
        <f>IFERROR(IF(AND(B207&gt;0,B207/1),INDEX(Заказ!$B$1:$AV$3196,MATCH(B207,Заказ!$AV$1:$AV$3196,0),16)/INDEX(Заказ!$B$1:$AV$3196,MATCH(B207,Заказ!$AV$1:$AV$3196,0),5),""),"")</f>
        <v/>
      </c>
      <c r="G207" s="1059" t="str">
        <f>IFERROR(IF(AND(B207&gt;0,B207/1),INDEX(Заказ!$B$1:$AV$3196,MATCH(B207,Заказ!$AV$1:$AV$3196,0),16),""),"")</f>
        <v/>
      </c>
      <c r="H207" s="1"/>
    </row>
    <row r="208" spans="1:8" ht="12" customHeight="1" x14ac:dyDescent="0.25">
      <c r="A208" s="1051" t="str">
        <f>IFERROR(IF(AND(B208&gt;0,B208/1),INDEX(Заказ!$B$412:$AV$3196,MATCH(B208,Заказ!$AV$412:$AV$3196,0),1),""),"")</f>
        <v/>
      </c>
      <c r="B208" s="1056" t="str">
        <f>IFERROR(IF(B207&gt;0,SMALL(Заказ!$AV$1:$AV$3196,1+B207),""),"")</f>
        <v/>
      </c>
      <c r="C208" s="1057" t="str">
        <f>IFERROR(IF(AND(B208&gt;0,B208/1),INDEX(Заказ!$B$1:$AV$3196,MATCH(B208,Заказ!$AV$1:$AV$3196,0),3),""),"")</f>
        <v/>
      </c>
      <c r="D208" s="1058" t="str">
        <f>IFERROR(IF(AND(B208&gt;0,B208/1),INDEX(Заказ!$B$1:$AV$3196,MATCH(B208,Заказ!$AV$1:$AV$3196,0),9),""),"")</f>
        <v/>
      </c>
      <c r="E208" s="1056" t="str">
        <f>IFERROR(IF(AND(B208&gt;0,B208/1),INDEX(Заказ!$B$1:$AV$3196,MATCH(B208,Заказ!$AV$1:$AV$3196,0),5),""),"")</f>
        <v/>
      </c>
      <c r="F208" s="1056" t="str">
        <f>IFERROR(IF(AND(B208&gt;0,B208/1),INDEX(Заказ!$B$1:$AV$3196,MATCH(B208,Заказ!$AV$1:$AV$3196,0),16)/INDEX(Заказ!$B$1:$AV$3196,MATCH(B208,Заказ!$AV$1:$AV$3196,0),5),""),"")</f>
        <v/>
      </c>
      <c r="G208" s="1059" t="str">
        <f>IFERROR(IF(AND(B208&gt;0,B208/1),INDEX(Заказ!$B$1:$AV$3196,MATCH(B208,Заказ!$AV$1:$AV$3196,0),16),""),"")</f>
        <v/>
      </c>
      <c r="H208" s="1"/>
    </row>
    <row r="209" spans="1:8" ht="12" customHeight="1" x14ac:dyDescent="0.25">
      <c r="A209" s="1051" t="str">
        <f>IFERROR(IF(AND(B209&gt;0,B209/1),INDEX(Заказ!$B$412:$AV$3196,MATCH(B209,Заказ!$AV$412:$AV$3196,0),1),""),"")</f>
        <v/>
      </c>
      <c r="B209" s="1056" t="str">
        <f>IFERROR(IF(B208&gt;0,SMALL(Заказ!$AV$1:$AV$3196,1+B208),""),"")</f>
        <v/>
      </c>
      <c r="C209" s="1057" t="str">
        <f>IFERROR(IF(AND(B209&gt;0,B209/1),INDEX(Заказ!$B$1:$AV$3196,MATCH(B209,Заказ!$AV$1:$AV$3196,0),3),""),"")</f>
        <v/>
      </c>
      <c r="D209" s="1058" t="str">
        <f>IFERROR(IF(AND(B209&gt;0,B209/1),INDEX(Заказ!$B$1:$AV$3196,MATCH(B209,Заказ!$AV$1:$AV$3196,0),9),""),"")</f>
        <v/>
      </c>
      <c r="E209" s="1056" t="str">
        <f>IFERROR(IF(AND(B209&gt;0,B209/1),INDEX(Заказ!$B$1:$AV$3196,MATCH(B209,Заказ!$AV$1:$AV$3196,0),5),""),"")</f>
        <v/>
      </c>
      <c r="F209" s="1056" t="str">
        <f>IFERROR(IF(AND(B209&gt;0,B209/1),INDEX(Заказ!$B$1:$AV$3196,MATCH(B209,Заказ!$AV$1:$AV$3196,0),16)/INDEX(Заказ!$B$1:$AV$3196,MATCH(B209,Заказ!$AV$1:$AV$3196,0),5),""),"")</f>
        <v/>
      </c>
      <c r="G209" s="1059" t="str">
        <f>IFERROR(IF(AND(B209&gt;0,B209/1),INDEX(Заказ!$B$1:$AV$3196,MATCH(B209,Заказ!$AV$1:$AV$3196,0),16),""),"")</f>
        <v/>
      </c>
      <c r="H209" s="1"/>
    </row>
    <row r="210" spans="1:8" ht="12" customHeight="1" x14ac:dyDescent="0.25">
      <c r="A210" s="1051" t="str">
        <f>IFERROR(IF(AND(B210&gt;0,B210/1),INDEX(Заказ!$B$412:$AV$3196,MATCH(B210,Заказ!$AV$412:$AV$3196,0),1),""),"")</f>
        <v/>
      </c>
      <c r="B210" s="1056" t="str">
        <f>IFERROR(IF(B209&gt;0,SMALL(Заказ!$AV$1:$AV$3196,1+B209),""),"")</f>
        <v/>
      </c>
      <c r="C210" s="1057" t="str">
        <f>IFERROR(IF(AND(B210&gt;0,B210/1),INDEX(Заказ!$B$1:$AV$3196,MATCH(B210,Заказ!$AV$1:$AV$3196,0),3),""),"")</f>
        <v/>
      </c>
      <c r="D210" s="1058" t="str">
        <f>IFERROR(IF(AND(B210&gt;0,B210/1),INDEX(Заказ!$B$1:$AV$3196,MATCH(B210,Заказ!$AV$1:$AV$3196,0),9),""),"")</f>
        <v/>
      </c>
      <c r="E210" s="1056" t="str">
        <f>IFERROR(IF(AND(B210&gt;0,B210/1),INDEX(Заказ!$B$1:$AV$3196,MATCH(B210,Заказ!$AV$1:$AV$3196,0),5),""),"")</f>
        <v/>
      </c>
      <c r="F210" s="1056" t="str">
        <f>IFERROR(IF(AND(B210&gt;0,B210/1),INDEX(Заказ!$B$1:$AV$3196,MATCH(B210,Заказ!$AV$1:$AV$3196,0),16)/INDEX(Заказ!$B$1:$AV$3196,MATCH(B210,Заказ!$AV$1:$AV$3196,0),5),""),"")</f>
        <v/>
      </c>
      <c r="G210" s="1059" t="str">
        <f>IFERROR(IF(AND(B210&gt;0,B210/1),INDEX(Заказ!$B$1:$AV$3196,MATCH(B210,Заказ!$AV$1:$AV$3196,0),16),""),"")</f>
        <v/>
      </c>
      <c r="H210" s="1"/>
    </row>
    <row r="211" spans="1:8" ht="12" customHeight="1" x14ac:dyDescent="0.25">
      <c r="A211" s="1051" t="str">
        <f>IFERROR(IF(AND(B211&gt;0,B211/1),INDEX(Заказ!$B$412:$AV$3196,MATCH(B211,Заказ!$AV$412:$AV$3196,0),1),""),"")</f>
        <v/>
      </c>
      <c r="B211" s="1056" t="str">
        <f>IFERROR(IF(B210&gt;0,SMALL(Заказ!$AV$1:$AV$3196,1+B210),""),"")</f>
        <v/>
      </c>
      <c r="C211" s="1057" t="str">
        <f>IFERROR(IF(AND(B211&gt;0,B211/1),INDEX(Заказ!$B$1:$AV$3196,MATCH(B211,Заказ!$AV$1:$AV$3196,0),3),""),"")</f>
        <v/>
      </c>
      <c r="D211" s="1058" t="str">
        <f>IFERROR(IF(AND(B211&gt;0,B211/1),INDEX(Заказ!$B$1:$AV$3196,MATCH(B211,Заказ!$AV$1:$AV$3196,0),9),""),"")</f>
        <v/>
      </c>
      <c r="E211" s="1056" t="str">
        <f>IFERROR(IF(AND(B211&gt;0,B211/1),INDEX(Заказ!$B$1:$AV$3196,MATCH(B211,Заказ!$AV$1:$AV$3196,0),5),""),"")</f>
        <v/>
      </c>
      <c r="F211" s="1056" t="str">
        <f>IFERROR(IF(AND(B211&gt;0,B211/1),INDEX(Заказ!$B$1:$AV$3196,MATCH(B211,Заказ!$AV$1:$AV$3196,0),16)/INDEX(Заказ!$B$1:$AV$3196,MATCH(B211,Заказ!$AV$1:$AV$3196,0),5),""),"")</f>
        <v/>
      </c>
      <c r="G211" s="1059" t="str">
        <f>IFERROR(IF(AND(B211&gt;0,B211/1),INDEX(Заказ!$B$1:$AV$3196,MATCH(B211,Заказ!$AV$1:$AV$3196,0),16),""),"")</f>
        <v/>
      </c>
      <c r="H211" s="1"/>
    </row>
    <row r="212" spans="1:8" ht="12" customHeight="1" x14ac:dyDescent="0.25">
      <c r="A212" s="1051" t="str">
        <f>IFERROR(IF(AND(B212&gt;0,B212/1),INDEX(Заказ!$B$412:$AV$3196,MATCH(B212,Заказ!$AV$412:$AV$3196,0),1),""),"")</f>
        <v/>
      </c>
      <c r="B212" s="1056" t="str">
        <f>IFERROR(IF(B211&gt;0,SMALL(Заказ!$AV$1:$AV$3196,1+B211),""),"")</f>
        <v/>
      </c>
      <c r="C212" s="1057" t="str">
        <f>IFERROR(IF(AND(B212&gt;0,B212/1),INDEX(Заказ!$B$1:$AV$3196,MATCH(B212,Заказ!$AV$1:$AV$3196,0),3),""),"")</f>
        <v/>
      </c>
      <c r="D212" s="1058" t="str">
        <f>IFERROR(IF(AND(B212&gt;0,B212/1),INDEX(Заказ!$B$1:$AV$3196,MATCH(B212,Заказ!$AV$1:$AV$3196,0),9),""),"")</f>
        <v/>
      </c>
      <c r="E212" s="1056" t="str">
        <f>IFERROR(IF(AND(B212&gt;0,B212/1),INDEX(Заказ!$B$1:$AV$3196,MATCH(B212,Заказ!$AV$1:$AV$3196,0),5),""),"")</f>
        <v/>
      </c>
      <c r="F212" s="1056" t="str">
        <f>IFERROR(IF(AND(B212&gt;0,B212/1),INDEX(Заказ!$B$1:$AV$3196,MATCH(B212,Заказ!$AV$1:$AV$3196,0),16)/INDEX(Заказ!$B$1:$AV$3196,MATCH(B212,Заказ!$AV$1:$AV$3196,0),5),""),"")</f>
        <v/>
      </c>
      <c r="G212" s="1059" t="str">
        <f>IFERROR(IF(AND(B212&gt;0,B212/1),INDEX(Заказ!$B$1:$AV$3196,MATCH(B212,Заказ!$AV$1:$AV$3196,0),16),""),"")</f>
        <v/>
      </c>
      <c r="H212" s="1"/>
    </row>
    <row r="213" spans="1:8" ht="12" customHeight="1" x14ac:dyDescent="0.25">
      <c r="A213" s="1051" t="str">
        <f>IFERROR(IF(AND(B213&gt;0,B213/1),INDEX(Заказ!$B$412:$AV$3196,MATCH(B213,Заказ!$AV$412:$AV$3196,0),1),""),"")</f>
        <v/>
      </c>
      <c r="B213" s="1056" t="str">
        <f>IFERROR(IF(B212&gt;0,SMALL(Заказ!$AV$1:$AV$3196,1+B212),""),"")</f>
        <v/>
      </c>
      <c r="C213" s="1057" t="str">
        <f>IFERROR(IF(AND(B213&gt;0,B213/1),INDEX(Заказ!$B$1:$AV$3196,MATCH(B213,Заказ!$AV$1:$AV$3196,0),3),""),"")</f>
        <v/>
      </c>
      <c r="D213" s="1058" t="str">
        <f>IFERROR(IF(AND(B213&gt;0,B213/1),INDEX(Заказ!$B$1:$AV$3196,MATCH(B213,Заказ!$AV$1:$AV$3196,0),9),""),"")</f>
        <v/>
      </c>
      <c r="E213" s="1056" t="str">
        <f>IFERROR(IF(AND(B213&gt;0,B213/1),INDEX(Заказ!$B$1:$AV$3196,MATCH(B213,Заказ!$AV$1:$AV$3196,0),5),""),"")</f>
        <v/>
      </c>
      <c r="F213" s="1056" t="str">
        <f>IFERROR(IF(AND(B213&gt;0,B213/1),INDEX(Заказ!$B$1:$AV$3196,MATCH(B213,Заказ!$AV$1:$AV$3196,0),16)/INDEX(Заказ!$B$1:$AV$3196,MATCH(B213,Заказ!$AV$1:$AV$3196,0),5),""),"")</f>
        <v/>
      </c>
      <c r="G213" s="1059" t="str">
        <f>IFERROR(IF(AND(B213&gt;0,B213/1),INDEX(Заказ!$B$1:$AV$3196,MATCH(B213,Заказ!$AV$1:$AV$3196,0),16),""),"")</f>
        <v/>
      </c>
      <c r="H213" s="1"/>
    </row>
    <row r="214" spans="1:8" ht="12" customHeight="1" x14ac:dyDescent="0.25">
      <c r="A214" s="1051" t="str">
        <f>IFERROR(IF(AND(B214&gt;0,B214/1),INDEX(Заказ!$B$412:$AV$3196,MATCH(B214,Заказ!$AV$412:$AV$3196,0),1),""),"")</f>
        <v/>
      </c>
      <c r="B214" s="1056" t="str">
        <f>IFERROR(IF(B213&gt;0,SMALL(Заказ!$AV$1:$AV$3196,1+B213),""),"")</f>
        <v/>
      </c>
      <c r="C214" s="1057" t="str">
        <f>IFERROR(IF(AND(B214&gt;0,B214/1),INDEX(Заказ!$B$1:$AV$3196,MATCH(B214,Заказ!$AV$1:$AV$3196,0),3),""),"")</f>
        <v/>
      </c>
      <c r="D214" s="1058" t="str">
        <f>IFERROR(IF(AND(B214&gt;0,B214/1),INDEX(Заказ!$B$1:$AV$3196,MATCH(B214,Заказ!$AV$1:$AV$3196,0),9),""),"")</f>
        <v/>
      </c>
      <c r="E214" s="1056" t="str">
        <f>IFERROR(IF(AND(B214&gt;0,B214/1),INDEX(Заказ!$B$1:$AV$3196,MATCH(B214,Заказ!$AV$1:$AV$3196,0),5),""),"")</f>
        <v/>
      </c>
      <c r="F214" s="1056" t="str">
        <f>IFERROR(IF(AND(B214&gt;0,B214/1),INDEX(Заказ!$B$1:$AV$3196,MATCH(B214,Заказ!$AV$1:$AV$3196,0),16)/INDEX(Заказ!$B$1:$AV$3196,MATCH(B214,Заказ!$AV$1:$AV$3196,0),5),""),"")</f>
        <v/>
      </c>
      <c r="G214" s="1059" t="str">
        <f>IFERROR(IF(AND(B214&gt;0,B214/1),INDEX(Заказ!$B$1:$AV$3196,MATCH(B214,Заказ!$AV$1:$AV$3196,0),16),""),"")</f>
        <v/>
      </c>
      <c r="H214" s="1"/>
    </row>
    <row r="215" spans="1:8" ht="12" customHeight="1" x14ac:dyDescent="0.25">
      <c r="A215" s="1051" t="str">
        <f>IFERROR(IF(AND(B215&gt;0,B215/1),INDEX(Заказ!$B$412:$AV$3196,MATCH(B215,Заказ!$AV$412:$AV$3196,0),1),""),"")</f>
        <v/>
      </c>
      <c r="B215" s="1056" t="str">
        <f>IFERROR(IF(B214&gt;0,SMALL(Заказ!$AV$1:$AV$3196,1+B214),""),"")</f>
        <v/>
      </c>
      <c r="C215" s="1057" t="str">
        <f>IFERROR(IF(AND(B215&gt;0,B215/1),INDEX(Заказ!$B$1:$AV$3196,MATCH(B215,Заказ!$AV$1:$AV$3196,0),3),""),"")</f>
        <v/>
      </c>
      <c r="D215" s="1058" t="str">
        <f>IFERROR(IF(AND(B215&gt;0,B215/1),INDEX(Заказ!$B$1:$AV$3196,MATCH(B215,Заказ!$AV$1:$AV$3196,0),9),""),"")</f>
        <v/>
      </c>
      <c r="E215" s="1056" t="str">
        <f>IFERROR(IF(AND(B215&gt;0,B215/1),INDEX(Заказ!$B$1:$AV$3196,MATCH(B215,Заказ!$AV$1:$AV$3196,0),5),""),"")</f>
        <v/>
      </c>
      <c r="F215" s="1056" t="str">
        <f>IFERROR(IF(AND(B215&gt;0,B215/1),INDEX(Заказ!$B$1:$AV$3196,MATCH(B215,Заказ!$AV$1:$AV$3196,0),16)/INDEX(Заказ!$B$1:$AV$3196,MATCH(B215,Заказ!$AV$1:$AV$3196,0),5),""),"")</f>
        <v/>
      </c>
      <c r="G215" s="1059" t="str">
        <f>IFERROR(IF(AND(B215&gt;0,B215/1),INDEX(Заказ!$B$1:$AV$3196,MATCH(B215,Заказ!$AV$1:$AV$3196,0),16),""),"")</f>
        <v/>
      </c>
      <c r="H215" s="1"/>
    </row>
    <row r="216" spans="1:8" ht="12" customHeight="1" x14ac:dyDescent="0.25">
      <c r="A216" s="1051" t="str">
        <f>IFERROR(IF(AND(B216&gt;0,B216/1),INDEX(Заказ!$B$412:$AV$3196,MATCH(B216,Заказ!$AV$412:$AV$3196,0),1),""),"")</f>
        <v/>
      </c>
      <c r="B216" s="1056" t="str">
        <f>IFERROR(IF(B215&gt;0,SMALL(Заказ!$AV$1:$AV$3196,1+B215),""),"")</f>
        <v/>
      </c>
      <c r="C216" s="1057" t="str">
        <f>IFERROR(IF(AND(B216&gt;0,B216/1),INDEX(Заказ!$B$1:$AV$3196,MATCH(B216,Заказ!$AV$1:$AV$3196,0),3),""),"")</f>
        <v/>
      </c>
      <c r="D216" s="1058" t="str">
        <f>IFERROR(IF(AND(B216&gt;0,B216/1),INDEX(Заказ!$B$1:$AV$3196,MATCH(B216,Заказ!$AV$1:$AV$3196,0),9),""),"")</f>
        <v/>
      </c>
      <c r="E216" s="1056" t="str">
        <f>IFERROR(IF(AND(B216&gt;0,B216/1),INDEX(Заказ!$B$1:$AV$3196,MATCH(B216,Заказ!$AV$1:$AV$3196,0),5),""),"")</f>
        <v/>
      </c>
      <c r="F216" s="1056" t="str">
        <f>IFERROR(IF(AND(B216&gt;0,B216/1),INDEX(Заказ!$B$1:$AV$3196,MATCH(B216,Заказ!$AV$1:$AV$3196,0),16)/INDEX(Заказ!$B$1:$AV$3196,MATCH(B216,Заказ!$AV$1:$AV$3196,0),5),""),"")</f>
        <v/>
      </c>
      <c r="G216" s="1059" t="str">
        <f>IFERROR(IF(AND(B216&gt;0,B216/1),INDEX(Заказ!$B$1:$AV$3196,MATCH(B216,Заказ!$AV$1:$AV$3196,0),16),""),"")</f>
        <v/>
      </c>
      <c r="H216" s="1"/>
    </row>
    <row r="217" spans="1:8" ht="12" customHeight="1" x14ac:dyDescent="0.25">
      <c r="A217" s="1051" t="str">
        <f>IFERROR(IF(AND(B217&gt;0,B217/1),INDEX(Заказ!$B$412:$AV$3196,MATCH(B217,Заказ!$AV$412:$AV$3196,0),1),""),"")</f>
        <v/>
      </c>
      <c r="B217" s="1056" t="str">
        <f>IFERROR(IF(B216&gt;0,SMALL(Заказ!$AV$1:$AV$3196,1+B216),""),"")</f>
        <v/>
      </c>
      <c r="C217" s="1057" t="str">
        <f>IFERROR(IF(AND(B217&gt;0,B217/1),INDEX(Заказ!$B$1:$AV$3196,MATCH(B217,Заказ!$AV$1:$AV$3196,0),3),""),"")</f>
        <v/>
      </c>
      <c r="D217" s="1058" t="str">
        <f>IFERROR(IF(AND(B217&gt;0,B217/1),INDEX(Заказ!$B$1:$AV$3196,MATCH(B217,Заказ!$AV$1:$AV$3196,0),9),""),"")</f>
        <v/>
      </c>
      <c r="E217" s="1056" t="str">
        <f>IFERROR(IF(AND(B217&gt;0,B217/1),INDEX(Заказ!$B$1:$AV$3196,MATCH(B217,Заказ!$AV$1:$AV$3196,0),5),""),"")</f>
        <v/>
      </c>
      <c r="F217" s="1056" t="str">
        <f>IFERROR(IF(AND(B217&gt;0,B217/1),INDEX(Заказ!$B$1:$AV$3196,MATCH(B217,Заказ!$AV$1:$AV$3196,0),16)/INDEX(Заказ!$B$1:$AV$3196,MATCH(B217,Заказ!$AV$1:$AV$3196,0),5),""),"")</f>
        <v/>
      </c>
      <c r="G217" s="1059" t="str">
        <f>IFERROR(IF(AND(B217&gt;0,B217/1),INDEX(Заказ!$B$1:$AV$3196,MATCH(B217,Заказ!$AV$1:$AV$3196,0),16),""),"")</f>
        <v/>
      </c>
      <c r="H217" s="1"/>
    </row>
    <row r="218" spans="1:8" ht="12" customHeight="1" x14ac:dyDescent="0.25">
      <c r="A218" s="1051" t="str">
        <f>IFERROR(IF(AND(B218&gt;0,B218/1),INDEX(Заказ!$B$412:$AV$3196,MATCH(B218,Заказ!$AV$412:$AV$3196,0),1),""),"")</f>
        <v/>
      </c>
      <c r="B218" s="1056" t="str">
        <f>IFERROR(IF(B217&gt;0,SMALL(Заказ!$AV$1:$AV$3196,1+B217),""),"")</f>
        <v/>
      </c>
      <c r="C218" s="1057" t="str">
        <f>IFERROR(IF(AND(B218&gt;0,B218/1),INDEX(Заказ!$B$1:$AV$3196,MATCH(B218,Заказ!$AV$1:$AV$3196,0),3),""),"")</f>
        <v/>
      </c>
      <c r="D218" s="1058" t="str">
        <f>IFERROR(IF(AND(B218&gt;0,B218/1),INDEX(Заказ!$B$1:$AV$3196,MATCH(B218,Заказ!$AV$1:$AV$3196,0),9),""),"")</f>
        <v/>
      </c>
      <c r="E218" s="1056" t="str">
        <f>IFERROR(IF(AND(B218&gt;0,B218/1),INDEX(Заказ!$B$1:$AV$3196,MATCH(B218,Заказ!$AV$1:$AV$3196,0),5),""),"")</f>
        <v/>
      </c>
      <c r="F218" s="1056" t="str">
        <f>IFERROR(IF(AND(B218&gt;0,B218/1),INDEX(Заказ!$B$1:$AV$3196,MATCH(B218,Заказ!$AV$1:$AV$3196,0),16)/INDEX(Заказ!$B$1:$AV$3196,MATCH(B218,Заказ!$AV$1:$AV$3196,0),5),""),"")</f>
        <v/>
      </c>
      <c r="G218" s="1059" t="str">
        <f>IFERROR(IF(AND(B218&gt;0,B218/1),INDEX(Заказ!$B$1:$AV$3196,MATCH(B218,Заказ!$AV$1:$AV$3196,0),16),""),"")</f>
        <v/>
      </c>
      <c r="H218" s="1"/>
    </row>
    <row r="219" spans="1:8" ht="12" customHeight="1" x14ac:dyDescent="0.25">
      <c r="A219" s="1051" t="str">
        <f>IFERROR(IF(AND(B219&gt;0,B219/1),INDEX(Заказ!$B$412:$AV$3196,MATCH(B219,Заказ!$AV$412:$AV$3196,0),1),""),"")</f>
        <v/>
      </c>
      <c r="B219" s="1056" t="str">
        <f>IFERROR(IF(B218&gt;0,SMALL(Заказ!$AV$1:$AV$3196,1+B218),""),"")</f>
        <v/>
      </c>
      <c r="C219" s="1057" t="str">
        <f>IFERROR(IF(AND(B219&gt;0,B219/1),INDEX(Заказ!$B$1:$AV$3196,MATCH(B219,Заказ!$AV$1:$AV$3196,0),3),""),"")</f>
        <v/>
      </c>
      <c r="D219" s="1058" t="str">
        <f>IFERROR(IF(AND(B219&gt;0,B219/1),INDEX(Заказ!$B$1:$AV$3196,MATCH(B219,Заказ!$AV$1:$AV$3196,0),9),""),"")</f>
        <v/>
      </c>
      <c r="E219" s="1056" t="str">
        <f>IFERROR(IF(AND(B219&gt;0,B219/1),INDEX(Заказ!$B$1:$AV$3196,MATCH(B219,Заказ!$AV$1:$AV$3196,0),5),""),"")</f>
        <v/>
      </c>
      <c r="F219" s="1056" t="str">
        <f>IFERROR(IF(AND(B219&gt;0,B219/1),INDEX(Заказ!$B$1:$AV$3196,MATCH(B219,Заказ!$AV$1:$AV$3196,0),16)/INDEX(Заказ!$B$1:$AV$3196,MATCH(B219,Заказ!$AV$1:$AV$3196,0),5),""),"")</f>
        <v/>
      </c>
      <c r="G219" s="1059" t="str">
        <f>IFERROR(IF(AND(B219&gt;0,B219/1),INDEX(Заказ!$B$1:$AV$3196,MATCH(B219,Заказ!$AV$1:$AV$3196,0),16),""),"")</f>
        <v/>
      </c>
      <c r="H219" s="1"/>
    </row>
    <row r="220" spans="1:8" ht="12" customHeight="1" x14ac:dyDescent="0.25">
      <c r="A220" s="1051" t="str">
        <f>IFERROR(IF(AND(B220&gt;0,B220/1),INDEX(Заказ!$B$412:$AV$3196,MATCH(B220,Заказ!$AV$412:$AV$3196,0),1),""),"")</f>
        <v/>
      </c>
      <c r="B220" s="1056" t="str">
        <f>IFERROR(IF(B219&gt;0,SMALL(Заказ!$AV$1:$AV$3196,1+B219),""),"")</f>
        <v/>
      </c>
      <c r="C220" s="1057" t="str">
        <f>IFERROR(IF(AND(B220&gt;0,B220/1),INDEX(Заказ!$B$1:$AV$3196,MATCH(B220,Заказ!$AV$1:$AV$3196,0),3),""),"")</f>
        <v/>
      </c>
      <c r="D220" s="1058" t="str">
        <f>IFERROR(IF(AND(B220&gt;0,B220/1),INDEX(Заказ!$B$1:$AV$3196,MATCH(B220,Заказ!$AV$1:$AV$3196,0),9),""),"")</f>
        <v/>
      </c>
      <c r="E220" s="1056" t="str">
        <f>IFERROR(IF(AND(B220&gt;0,B220/1),INDEX(Заказ!$B$1:$AV$3196,MATCH(B220,Заказ!$AV$1:$AV$3196,0),5),""),"")</f>
        <v/>
      </c>
      <c r="F220" s="1056" t="str">
        <f>IFERROR(IF(AND(B220&gt;0,B220/1),INDEX(Заказ!$B$1:$AV$3196,MATCH(B220,Заказ!$AV$1:$AV$3196,0),16)/INDEX(Заказ!$B$1:$AV$3196,MATCH(B220,Заказ!$AV$1:$AV$3196,0),5),""),"")</f>
        <v/>
      </c>
      <c r="G220" s="1059" t="str">
        <f>IFERROR(IF(AND(B220&gt;0,B220/1),INDEX(Заказ!$B$1:$AV$3196,MATCH(B220,Заказ!$AV$1:$AV$3196,0),16),""),"")</f>
        <v/>
      </c>
      <c r="H220" s="1"/>
    </row>
    <row r="221" spans="1:8" ht="12" customHeight="1" x14ac:dyDescent="0.25">
      <c r="A221" s="1051" t="str">
        <f>IFERROR(IF(AND(B221&gt;0,B221/1),INDEX(Заказ!$B$412:$AV$3196,MATCH(B221,Заказ!$AV$412:$AV$3196,0),1),""),"")</f>
        <v/>
      </c>
      <c r="B221" s="1056" t="str">
        <f>IFERROR(IF(B220&gt;0,SMALL(Заказ!$AV$1:$AV$3196,1+B220),""),"")</f>
        <v/>
      </c>
      <c r="C221" s="1057" t="str">
        <f>IFERROR(IF(AND(B221&gt;0,B221/1),INDEX(Заказ!$B$1:$AV$3196,MATCH(B221,Заказ!$AV$1:$AV$3196,0),3),""),"")</f>
        <v/>
      </c>
      <c r="D221" s="1058" t="str">
        <f>IFERROR(IF(AND(B221&gt;0,B221/1),INDEX(Заказ!$B$1:$AV$3196,MATCH(B221,Заказ!$AV$1:$AV$3196,0),9),""),"")</f>
        <v/>
      </c>
      <c r="E221" s="1056" t="str">
        <f>IFERROR(IF(AND(B221&gt;0,B221/1),INDEX(Заказ!$B$1:$AV$3196,MATCH(B221,Заказ!$AV$1:$AV$3196,0),5),""),"")</f>
        <v/>
      </c>
      <c r="F221" s="1056" t="str">
        <f>IFERROR(IF(AND(B221&gt;0,B221/1),INDEX(Заказ!$B$1:$AV$3196,MATCH(B221,Заказ!$AV$1:$AV$3196,0),16)/INDEX(Заказ!$B$1:$AV$3196,MATCH(B221,Заказ!$AV$1:$AV$3196,0),5),""),"")</f>
        <v/>
      </c>
      <c r="G221" s="1059" t="str">
        <f>IFERROR(IF(AND(B221&gt;0,B221/1),INDEX(Заказ!$B$1:$AV$3196,MATCH(B221,Заказ!$AV$1:$AV$3196,0),16),""),"")</f>
        <v/>
      </c>
      <c r="H221" s="1"/>
    </row>
    <row r="222" spans="1:8" ht="12" customHeight="1" x14ac:dyDescent="0.25">
      <c r="A222" s="1051" t="str">
        <f>IFERROR(IF(AND(B222&gt;0,B222/1),INDEX(Заказ!$B$412:$AV$3196,MATCH(B222,Заказ!$AV$412:$AV$3196,0),1),""),"")</f>
        <v/>
      </c>
      <c r="B222" s="1056" t="str">
        <f>IFERROR(IF(B221&gt;0,SMALL(Заказ!$AV$1:$AV$3196,1+B221),""),"")</f>
        <v/>
      </c>
      <c r="C222" s="1057" t="str">
        <f>IFERROR(IF(AND(B222&gt;0,B222/1),INDEX(Заказ!$B$1:$AV$3196,MATCH(B222,Заказ!$AV$1:$AV$3196,0),3),""),"")</f>
        <v/>
      </c>
      <c r="D222" s="1058" t="str">
        <f>IFERROR(IF(AND(B222&gt;0,B222/1),INDEX(Заказ!$B$1:$AV$3196,MATCH(B222,Заказ!$AV$1:$AV$3196,0),9),""),"")</f>
        <v/>
      </c>
      <c r="E222" s="1056" t="str">
        <f>IFERROR(IF(AND(B222&gt;0,B222/1),INDEX(Заказ!$B$1:$AV$3196,MATCH(B222,Заказ!$AV$1:$AV$3196,0),5),""),"")</f>
        <v/>
      </c>
      <c r="F222" s="1056" t="str">
        <f>IFERROR(IF(AND(B222&gt;0,B222/1),INDEX(Заказ!$B$1:$AV$3196,MATCH(B222,Заказ!$AV$1:$AV$3196,0),16)/INDEX(Заказ!$B$1:$AV$3196,MATCH(B222,Заказ!$AV$1:$AV$3196,0),5),""),"")</f>
        <v/>
      </c>
      <c r="G222" s="1059" t="str">
        <f>IFERROR(IF(AND(B222&gt;0,B222/1),INDEX(Заказ!$B$1:$AV$3196,MATCH(B222,Заказ!$AV$1:$AV$3196,0),16),""),"")</f>
        <v/>
      </c>
      <c r="H222" s="1"/>
    </row>
    <row r="223" spans="1:8" ht="12" customHeight="1" x14ac:dyDescent="0.25">
      <c r="A223" s="1051" t="str">
        <f>IFERROR(IF(AND(B223&gt;0,B223/1),INDEX(Заказ!$B$412:$AV$3196,MATCH(B223,Заказ!$AV$412:$AV$3196,0),1),""),"")</f>
        <v/>
      </c>
      <c r="B223" s="1056" t="str">
        <f>IFERROR(IF(B222&gt;0,SMALL(Заказ!$AV$1:$AV$3196,1+B222),""),"")</f>
        <v/>
      </c>
      <c r="C223" s="1057" t="str">
        <f>IFERROR(IF(AND(B223&gt;0,B223/1),INDEX(Заказ!$B$1:$AV$3196,MATCH(B223,Заказ!$AV$1:$AV$3196,0),3),""),"")</f>
        <v/>
      </c>
      <c r="D223" s="1058" t="str">
        <f>IFERROR(IF(AND(B223&gt;0,B223/1),INDEX(Заказ!$B$1:$AV$3196,MATCH(B223,Заказ!$AV$1:$AV$3196,0),9),""),"")</f>
        <v/>
      </c>
      <c r="E223" s="1056" t="str">
        <f>IFERROR(IF(AND(B223&gt;0,B223/1),INDEX(Заказ!$B$1:$AV$3196,MATCH(B223,Заказ!$AV$1:$AV$3196,0),5),""),"")</f>
        <v/>
      </c>
      <c r="F223" s="1056" t="str">
        <f>IFERROR(IF(AND(B223&gt;0,B223/1),INDEX(Заказ!$B$1:$AV$3196,MATCH(B223,Заказ!$AV$1:$AV$3196,0),16)/INDEX(Заказ!$B$1:$AV$3196,MATCH(B223,Заказ!$AV$1:$AV$3196,0),5),""),"")</f>
        <v/>
      </c>
      <c r="G223" s="1059" t="str">
        <f>IFERROR(IF(AND(B223&gt;0,B223/1),INDEX(Заказ!$B$1:$AV$3196,MATCH(B223,Заказ!$AV$1:$AV$3196,0),16),""),"")</f>
        <v/>
      </c>
      <c r="H223" s="1"/>
    </row>
    <row r="224" spans="1:8" ht="12" customHeight="1" x14ac:dyDescent="0.25">
      <c r="A224" s="1051" t="str">
        <f>IFERROR(IF(AND(B224&gt;0,B224/1),INDEX(Заказ!$B$412:$AV$3196,MATCH(B224,Заказ!$AV$412:$AV$3196,0),1),""),"")</f>
        <v/>
      </c>
      <c r="B224" s="1056" t="str">
        <f>IFERROR(IF(B223&gt;0,SMALL(Заказ!$AV$1:$AV$3196,1+B223),""),"")</f>
        <v/>
      </c>
      <c r="C224" s="1057" t="str">
        <f>IFERROR(IF(AND(B224&gt;0,B224/1),INDEX(Заказ!$B$1:$AV$3196,MATCH(B224,Заказ!$AV$1:$AV$3196,0),3),""),"")</f>
        <v/>
      </c>
      <c r="D224" s="1058" t="str">
        <f>IFERROR(IF(AND(B224&gt;0,B224/1),INDEX(Заказ!$B$1:$AV$3196,MATCH(B224,Заказ!$AV$1:$AV$3196,0),9),""),"")</f>
        <v/>
      </c>
      <c r="E224" s="1056" t="str">
        <f>IFERROR(IF(AND(B224&gt;0,B224/1),INDEX(Заказ!$B$1:$AV$3196,MATCH(B224,Заказ!$AV$1:$AV$3196,0),5),""),"")</f>
        <v/>
      </c>
      <c r="F224" s="1056" t="str">
        <f>IFERROR(IF(AND(B224&gt;0,B224/1),INDEX(Заказ!$B$1:$AV$3196,MATCH(B224,Заказ!$AV$1:$AV$3196,0),16)/INDEX(Заказ!$B$1:$AV$3196,MATCH(B224,Заказ!$AV$1:$AV$3196,0),5),""),"")</f>
        <v/>
      </c>
      <c r="G224" s="1059" t="str">
        <f>IFERROR(IF(AND(B224&gt;0,B224/1),INDEX(Заказ!$B$1:$AV$3196,MATCH(B224,Заказ!$AV$1:$AV$3196,0),16),""),"")</f>
        <v/>
      </c>
      <c r="H224" s="1"/>
    </row>
    <row r="225" spans="1:8" ht="12" customHeight="1" x14ac:dyDescent="0.25">
      <c r="A225" s="1051" t="str">
        <f>IFERROR(IF(AND(B225&gt;0,B225/1),INDEX(Заказ!$B$412:$AV$3196,MATCH(B225,Заказ!$AV$412:$AV$3196,0),1),""),"")</f>
        <v/>
      </c>
      <c r="B225" s="1056" t="str">
        <f>IFERROR(IF(B224&gt;0,SMALL(Заказ!$AV$1:$AV$3196,1+B224),""),"")</f>
        <v/>
      </c>
      <c r="C225" s="1057" t="str">
        <f>IFERROR(IF(AND(B225&gt;0,B225/1),INDEX(Заказ!$B$1:$AV$3196,MATCH(B225,Заказ!$AV$1:$AV$3196,0),3),""),"")</f>
        <v/>
      </c>
      <c r="D225" s="1058" t="str">
        <f>IFERROR(IF(AND(B225&gt;0,B225/1),INDEX(Заказ!$B$1:$AV$3196,MATCH(B225,Заказ!$AV$1:$AV$3196,0),9),""),"")</f>
        <v/>
      </c>
      <c r="E225" s="1056" t="str">
        <f>IFERROR(IF(AND(B225&gt;0,B225/1),INDEX(Заказ!$B$1:$AV$3196,MATCH(B225,Заказ!$AV$1:$AV$3196,0),5),""),"")</f>
        <v/>
      </c>
      <c r="F225" s="1056" t="str">
        <f>IFERROR(IF(AND(B225&gt;0,B225/1),INDEX(Заказ!$B$1:$AV$3196,MATCH(B225,Заказ!$AV$1:$AV$3196,0),16)/INDEX(Заказ!$B$1:$AV$3196,MATCH(B225,Заказ!$AV$1:$AV$3196,0),5),""),"")</f>
        <v/>
      </c>
      <c r="G225" s="1059" t="str">
        <f>IFERROR(IF(AND(B225&gt;0,B225/1),INDEX(Заказ!$B$1:$AV$3196,MATCH(B225,Заказ!$AV$1:$AV$3196,0),16),""),"")</f>
        <v/>
      </c>
      <c r="H225" s="1"/>
    </row>
    <row r="226" spans="1:8" ht="12" customHeight="1" x14ac:dyDescent="0.25">
      <c r="A226" s="1051" t="str">
        <f>IFERROR(IF(AND(B226&gt;0,B226/1),INDEX(Заказ!$B$412:$AV$3196,MATCH(B226,Заказ!$AV$412:$AV$3196,0),1),""),"")</f>
        <v/>
      </c>
      <c r="B226" s="1056" t="str">
        <f>IFERROR(IF(B225&gt;0,SMALL(Заказ!$AV$1:$AV$3196,1+B225),""),"")</f>
        <v/>
      </c>
      <c r="C226" s="1057" t="str">
        <f>IFERROR(IF(AND(B226&gt;0,B226/1),INDEX(Заказ!$B$1:$AV$3196,MATCH(B226,Заказ!$AV$1:$AV$3196,0),3),""),"")</f>
        <v/>
      </c>
      <c r="D226" s="1058" t="str">
        <f>IFERROR(IF(AND(B226&gt;0,B226/1),INDEX(Заказ!$B$1:$AV$3196,MATCH(B226,Заказ!$AV$1:$AV$3196,0),9),""),"")</f>
        <v/>
      </c>
      <c r="E226" s="1056" t="str">
        <f>IFERROR(IF(AND(B226&gt;0,B226/1),INDEX(Заказ!$B$1:$AV$3196,MATCH(B226,Заказ!$AV$1:$AV$3196,0),5),""),"")</f>
        <v/>
      </c>
      <c r="F226" s="1056" t="str">
        <f>IFERROR(IF(AND(B226&gt;0,B226/1),INDEX(Заказ!$B$1:$AV$3196,MATCH(B226,Заказ!$AV$1:$AV$3196,0),16)/INDEX(Заказ!$B$1:$AV$3196,MATCH(B226,Заказ!$AV$1:$AV$3196,0),5),""),"")</f>
        <v/>
      </c>
      <c r="G226" s="1059" t="str">
        <f>IFERROR(IF(AND(B226&gt;0,B226/1),INDEX(Заказ!$B$1:$AV$3196,MATCH(B226,Заказ!$AV$1:$AV$3196,0),16),""),"")</f>
        <v/>
      </c>
      <c r="H226" s="1"/>
    </row>
    <row r="227" spans="1:8" ht="12" customHeight="1" x14ac:dyDescent="0.25">
      <c r="A227" s="1051" t="str">
        <f>IFERROR(IF(AND(B227&gt;0,B227/1),INDEX(Заказ!$B$412:$AV$3196,MATCH(B227,Заказ!$AV$412:$AV$3196,0),1),""),"")</f>
        <v/>
      </c>
      <c r="B227" s="1056" t="str">
        <f>IFERROR(IF(B226&gt;0,SMALL(Заказ!$AV$1:$AV$3196,1+B226),""),"")</f>
        <v/>
      </c>
      <c r="C227" s="1057" t="str">
        <f>IFERROR(IF(AND(B227&gt;0,B227/1),INDEX(Заказ!$B$1:$AV$3196,MATCH(B227,Заказ!$AV$1:$AV$3196,0),3),""),"")</f>
        <v/>
      </c>
      <c r="D227" s="1058" t="str">
        <f>IFERROR(IF(AND(B227&gt;0,B227/1),INDEX(Заказ!$B$1:$AV$3196,MATCH(B227,Заказ!$AV$1:$AV$3196,0),9),""),"")</f>
        <v/>
      </c>
      <c r="E227" s="1056" t="str">
        <f>IFERROR(IF(AND(B227&gt;0,B227/1),INDEX(Заказ!$B$1:$AV$3196,MATCH(B227,Заказ!$AV$1:$AV$3196,0),5),""),"")</f>
        <v/>
      </c>
      <c r="F227" s="1056" t="str">
        <f>IFERROR(IF(AND(B227&gt;0,B227/1),INDEX(Заказ!$B$1:$AV$3196,MATCH(B227,Заказ!$AV$1:$AV$3196,0),16)/INDEX(Заказ!$B$1:$AV$3196,MATCH(B227,Заказ!$AV$1:$AV$3196,0),5),""),"")</f>
        <v/>
      </c>
      <c r="G227" s="1059" t="str">
        <f>IFERROR(IF(AND(B227&gt;0,B227/1),INDEX(Заказ!$B$1:$AV$3196,MATCH(B227,Заказ!$AV$1:$AV$3196,0),16),""),"")</f>
        <v/>
      </c>
      <c r="H227" s="1"/>
    </row>
    <row r="228" spans="1:8" ht="12" customHeight="1" x14ac:dyDescent="0.25">
      <c r="A228" s="1051" t="str">
        <f>IFERROR(IF(AND(B228&gt;0,B228/1),INDEX(Заказ!$B$412:$AV$3196,MATCH(B228,Заказ!$AV$412:$AV$3196,0),1),""),"")</f>
        <v/>
      </c>
      <c r="B228" s="1056" t="str">
        <f>IFERROR(IF(B227&gt;0,SMALL(Заказ!$AV$1:$AV$3196,1+B227),""),"")</f>
        <v/>
      </c>
      <c r="C228" s="1057" t="str">
        <f>IFERROR(IF(AND(B228&gt;0,B228/1),INDEX(Заказ!$B$1:$AV$3196,MATCH(B228,Заказ!$AV$1:$AV$3196,0),3),""),"")</f>
        <v/>
      </c>
      <c r="D228" s="1058" t="str">
        <f>IFERROR(IF(AND(B228&gt;0,B228/1),INDEX(Заказ!$B$1:$AV$3196,MATCH(B228,Заказ!$AV$1:$AV$3196,0),9),""),"")</f>
        <v/>
      </c>
      <c r="E228" s="1056" t="str">
        <f>IFERROR(IF(AND(B228&gt;0,B228/1),INDEX(Заказ!$B$1:$AV$3196,MATCH(B228,Заказ!$AV$1:$AV$3196,0),5),""),"")</f>
        <v/>
      </c>
      <c r="F228" s="1056" t="str">
        <f>IFERROR(IF(AND(B228&gt;0,B228/1),INDEX(Заказ!$B$1:$AV$3196,MATCH(B228,Заказ!$AV$1:$AV$3196,0),16)/INDEX(Заказ!$B$1:$AV$3196,MATCH(B228,Заказ!$AV$1:$AV$3196,0),5),""),"")</f>
        <v/>
      </c>
      <c r="G228" s="1059" t="str">
        <f>IFERROR(IF(AND(B228&gt;0,B228/1),INDEX(Заказ!$B$1:$AV$3196,MATCH(B228,Заказ!$AV$1:$AV$3196,0),16),""),"")</f>
        <v/>
      </c>
      <c r="H228" s="1"/>
    </row>
    <row r="229" spans="1:8" ht="12" customHeight="1" x14ac:dyDescent="0.25">
      <c r="A229" s="1051" t="str">
        <f>IFERROR(IF(AND(B229&gt;0,B229/1),INDEX(Заказ!$B$412:$AV$3196,MATCH(B229,Заказ!$AV$412:$AV$3196,0),1),""),"")</f>
        <v/>
      </c>
      <c r="B229" s="1056" t="str">
        <f>IFERROR(IF(B228&gt;0,SMALL(Заказ!$AV$1:$AV$3196,1+B228),""),"")</f>
        <v/>
      </c>
      <c r="C229" s="1057" t="str">
        <f>IFERROR(IF(AND(B229&gt;0,B229/1),INDEX(Заказ!$B$1:$AV$3196,MATCH(B229,Заказ!$AV$1:$AV$3196,0),3),""),"")</f>
        <v/>
      </c>
      <c r="D229" s="1058" t="str">
        <f>IFERROR(IF(AND(B229&gt;0,B229/1),INDEX(Заказ!$B$1:$AV$3196,MATCH(B229,Заказ!$AV$1:$AV$3196,0),9),""),"")</f>
        <v/>
      </c>
      <c r="E229" s="1056" t="str">
        <f>IFERROR(IF(AND(B229&gt;0,B229/1),INDEX(Заказ!$B$1:$AV$3196,MATCH(B229,Заказ!$AV$1:$AV$3196,0),5),""),"")</f>
        <v/>
      </c>
      <c r="F229" s="1056" t="str">
        <f>IFERROR(IF(AND(B229&gt;0,B229/1),INDEX(Заказ!$B$1:$AV$3196,MATCH(B229,Заказ!$AV$1:$AV$3196,0),16)/INDEX(Заказ!$B$1:$AV$3196,MATCH(B229,Заказ!$AV$1:$AV$3196,0),5),""),"")</f>
        <v/>
      </c>
      <c r="G229" s="1059" t="str">
        <f>IFERROR(IF(AND(B229&gt;0,B229/1),INDEX(Заказ!$B$1:$AV$3196,MATCH(B229,Заказ!$AV$1:$AV$3196,0),16),""),"")</f>
        <v/>
      </c>
      <c r="H229" s="1"/>
    </row>
    <row r="230" spans="1:8" ht="12" customHeight="1" x14ac:dyDescent="0.25">
      <c r="A230" s="1051" t="str">
        <f>IFERROR(IF(AND(B230&gt;0,B230/1),INDEX(Заказ!$B$412:$AV$3196,MATCH(B230,Заказ!$AV$412:$AV$3196,0),1),""),"")</f>
        <v/>
      </c>
      <c r="B230" s="1056" t="str">
        <f>IFERROR(IF(B229&gt;0,SMALL(Заказ!$AV$1:$AV$3196,1+B229),""),"")</f>
        <v/>
      </c>
      <c r="C230" s="1057" t="str">
        <f>IFERROR(IF(AND(B230&gt;0,B230/1),INDEX(Заказ!$B$1:$AV$3196,MATCH(B230,Заказ!$AV$1:$AV$3196,0),3),""),"")</f>
        <v/>
      </c>
      <c r="D230" s="1058" t="str">
        <f>IFERROR(IF(AND(B230&gt;0,B230/1),INDEX(Заказ!$B$1:$AV$3196,MATCH(B230,Заказ!$AV$1:$AV$3196,0),9),""),"")</f>
        <v/>
      </c>
      <c r="E230" s="1056" t="str">
        <f>IFERROR(IF(AND(B230&gt;0,B230/1),INDEX(Заказ!$B$1:$AV$3196,MATCH(B230,Заказ!$AV$1:$AV$3196,0),5),""),"")</f>
        <v/>
      </c>
      <c r="F230" s="1056" t="str">
        <f>IFERROR(IF(AND(B230&gt;0,B230/1),INDEX(Заказ!$B$1:$AV$3196,MATCH(B230,Заказ!$AV$1:$AV$3196,0),16)/INDEX(Заказ!$B$1:$AV$3196,MATCH(B230,Заказ!$AV$1:$AV$3196,0),5),""),"")</f>
        <v/>
      </c>
      <c r="G230" s="1059" t="str">
        <f>IFERROR(IF(AND(B230&gt;0,B230/1),INDEX(Заказ!$B$1:$AV$3196,MATCH(B230,Заказ!$AV$1:$AV$3196,0),16),""),"")</f>
        <v/>
      </c>
      <c r="H230" s="1"/>
    </row>
    <row r="231" spans="1:8" ht="12" customHeight="1" x14ac:dyDescent="0.25">
      <c r="A231" s="1051" t="str">
        <f>IFERROR(IF(AND(B231&gt;0,B231/1),INDEX(Заказ!$B$412:$AV$3196,MATCH(B231,Заказ!$AV$412:$AV$3196,0),1),""),"")</f>
        <v/>
      </c>
      <c r="B231" s="1056" t="str">
        <f>IFERROR(IF(B230&gt;0,SMALL(Заказ!$AV$1:$AV$3196,1+B230),""),"")</f>
        <v/>
      </c>
      <c r="C231" s="1057" t="str">
        <f>IFERROR(IF(AND(B231&gt;0,B231/1),INDEX(Заказ!$B$1:$AV$3196,MATCH(B231,Заказ!$AV$1:$AV$3196,0),3),""),"")</f>
        <v/>
      </c>
      <c r="D231" s="1058" t="str">
        <f>IFERROR(IF(AND(B231&gt;0,B231/1),INDEX(Заказ!$B$1:$AV$3196,MATCH(B231,Заказ!$AV$1:$AV$3196,0),9),""),"")</f>
        <v/>
      </c>
      <c r="E231" s="1056" t="str">
        <f>IFERROR(IF(AND(B231&gt;0,B231/1),INDEX(Заказ!$B$1:$AV$3196,MATCH(B231,Заказ!$AV$1:$AV$3196,0),5),""),"")</f>
        <v/>
      </c>
      <c r="F231" s="1056" t="str">
        <f>IFERROR(IF(AND(B231&gt;0,B231/1),INDEX(Заказ!$B$1:$AV$3196,MATCH(B231,Заказ!$AV$1:$AV$3196,0),16)/INDEX(Заказ!$B$1:$AV$3196,MATCH(B231,Заказ!$AV$1:$AV$3196,0),5),""),"")</f>
        <v/>
      </c>
      <c r="G231" s="1059" t="str">
        <f>IFERROR(IF(AND(B231&gt;0,B231/1),INDEX(Заказ!$B$1:$AV$3196,MATCH(B231,Заказ!$AV$1:$AV$3196,0),16),""),"")</f>
        <v/>
      </c>
      <c r="H231" s="1"/>
    </row>
    <row r="232" spans="1:8" ht="12" customHeight="1" x14ac:dyDescent="0.25">
      <c r="A232" s="1051" t="str">
        <f>IFERROR(IF(AND(B232&gt;0,B232/1),INDEX(Заказ!$B$412:$AV$3196,MATCH(B232,Заказ!$AV$412:$AV$3196,0),1),""),"")</f>
        <v/>
      </c>
      <c r="B232" s="1056" t="str">
        <f>IFERROR(IF(B231&gt;0,SMALL(Заказ!$AV$1:$AV$3196,1+B231),""),"")</f>
        <v/>
      </c>
      <c r="C232" s="1057" t="str">
        <f>IFERROR(IF(AND(B232&gt;0,B232/1),INDEX(Заказ!$B$1:$AV$3196,MATCH(B232,Заказ!$AV$1:$AV$3196,0),3),""),"")</f>
        <v/>
      </c>
      <c r="D232" s="1058" t="str">
        <f>IFERROR(IF(AND(B232&gt;0,B232/1),INDEX(Заказ!$B$1:$AV$3196,MATCH(B232,Заказ!$AV$1:$AV$3196,0),9),""),"")</f>
        <v/>
      </c>
      <c r="E232" s="1056" t="str">
        <f>IFERROR(IF(AND(B232&gt;0,B232/1),INDEX(Заказ!$B$1:$AV$3196,MATCH(B232,Заказ!$AV$1:$AV$3196,0),5),""),"")</f>
        <v/>
      </c>
      <c r="F232" s="1056" t="str">
        <f>IFERROR(IF(AND(B232&gt;0,B232/1),INDEX(Заказ!$B$1:$AV$3196,MATCH(B232,Заказ!$AV$1:$AV$3196,0),16)/INDEX(Заказ!$B$1:$AV$3196,MATCH(B232,Заказ!$AV$1:$AV$3196,0),5),""),"")</f>
        <v/>
      </c>
      <c r="G232" s="1059" t="str">
        <f>IFERROR(IF(AND(B232&gt;0,B232/1),INDEX(Заказ!$B$1:$AV$3196,MATCH(B232,Заказ!$AV$1:$AV$3196,0),16),""),"")</f>
        <v/>
      </c>
      <c r="H232" s="1"/>
    </row>
    <row r="233" spans="1:8" ht="12" customHeight="1" x14ac:dyDescent="0.25">
      <c r="A233" s="1051" t="str">
        <f>IFERROR(IF(AND(B233&gt;0,B233/1),INDEX(Заказ!$B$412:$AV$3196,MATCH(B233,Заказ!$AV$412:$AV$3196,0),1),""),"")</f>
        <v/>
      </c>
      <c r="B233" s="1056" t="str">
        <f>IFERROR(IF(B232&gt;0,SMALL(Заказ!$AV$1:$AV$3196,1+B232),""),"")</f>
        <v/>
      </c>
      <c r="C233" s="1057" t="str">
        <f>IFERROR(IF(AND(B233&gt;0,B233/1),INDEX(Заказ!$B$1:$AV$3196,MATCH(B233,Заказ!$AV$1:$AV$3196,0),3),""),"")</f>
        <v/>
      </c>
      <c r="D233" s="1058" t="str">
        <f>IFERROR(IF(AND(B233&gt;0,B233/1),INDEX(Заказ!$B$1:$AV$3196,MATCH(B233,Заказ!$AV$1:$AV$3196,0),9),""),"")</f>
        <v/>
      </c>
      <c r="E233" s="1056" t="str">
        <f>IFERROR(IF(AND(B233&gt;0,B233/1),INDEX(Заказ!$B$1:$AV$3196,MATCH(B233,Заказ!$AV$1:$AV$3196,0),5),""),"")</f>
        <v/>
      </c>
      <c r="F233" s="1056" t="str">
        <f>IFERROR(IF(AND(B233&gt;0,B233/1),INDEX(Заказ!$B$1:$AV$3196,MATCH(B233,Заказ!$AV$1:$AV$3196,0),16)/INDEX(Заказ!$B$1:$AV$3196,MATCH(B233,Заказ!$AV$1:$AV$3196,0),5),""),"")</f>
        <v/>
      </c>
      <c r="G233" s="1059" t="str">
        <f>IFERROR(IF(AND(B233&gt;0,B233/1),INDEX(Заказ!$B$1:$AV$3196,MATCH(B233,Заказ!$AV$1:$AV$3196,0),16),""),"")</f>
        <v/>
      </c>
      <c r="H233" s="1"/>
    </row>
    <row r="234" spans="1:8" ht="12" customHeight="1" x14ac:dyDescent="0.25">
      <c r="A234" s="1051" t="str">
        <f>IFERROR(IF(AND(B234&gt;0,B234/1),INDEX(Заказ!$B$412:$AV$3196,MATCH(B234,Заказ!$AV$412:$AV$3196,0),1),""),"")</f>
        <v/>
      </c>
      <c r="B234" s="1056" t="str">
        <f>IFERROR(IF(B233&gt;0,SMALL(Заказ!$AV$1:$AV$3196,1+B233),""),"")</f>
        <v/>
      </c>
      <c r="C234" s="1057" t="str">
        <f>IFERROR(IF(AND(B234&gt;0,B234/1),INDEX(Заказ!$B$1:$AV$3196,MATCH(B234,Заказ!$AV$1:$AV$3196,0),3),""),"")</f>
        <v/>
      </c>
      <c r="D234" s="1058" t="str">
        <f>IFERROR(IF(AND(B234&gt;0,B234/1),INDEX(Заказ!$B$1:$AV$3196,MATCH(B234,Заказ!$AV$1:$AV$3196,0),9),""),"")</f>
        <v/>
      </c>
      <c r="E234" s="1056" t="str">
        <f>IFERROR(IF(AND(B234&gt;0,B234/1),INDEX(Заказ!$B$1:$AV$3196,MATCH(B234,Заказ!$AV$1:$AV$3196,0),5),""),"")</f>
        <v/>
      </c>
      <c r="F234" s="1056" t="str">
        <f>IFERROR(IF(AND(B234&gt;0,B234/1),INDEX(Заказ!$B$1:$AV$3196,MATCH(B234,Заказ!$AV$1:$AV$3196,0),16)/INDEX(Заказ!$B$1:$AV$3196,MATCH(B234,Заказ!$AV$1:$AV$3196,0),5),""),"")</f>
        <v/>
      </c>
      <c r="G234" s="1059" t="str">
        <f>IFERROR(IF(AND(B234&gt;0,B234/1),INDEX(Заказ!$B$1:$AV$3196,MATCH(B234,Заказ!$AV$1:$AV$3196,0),16),""),"")</f>
        <v/>
      </c>
      <c r="H234" s="1"/>
    </row>
    <row r="235" spans="1:8" ht="12" customHeight="1" x14ac:dyDescent="0.25">
      <c r="A235" s="1051" t="str">
        <f>IFERROR(IF(AND(B235&gt;0,B235/1),INDEX(Заказ!$B$412:$AV$3196,MATCH(B235,Заказ!$AV$412:$AV$3196,0),1),""),"")</f>
        <v/>
      </c>
      <c r="B235" s="1056" t="str">
        <f>IFERROR(IF(B234&gt;0,SMALL(Заказ!$AV$1:$AV$3196,1+B234),""),"")</f>
        <v/>
      </c>
      <c r="C235" s="1057" t="str">
        <f>IFERROR(IF(AND(B235&gt;0,B235/1),INDEX(Заказ!$B$1:$AV$3196,MATCH(B235,Заказ!$AV$1:$AV$3196,0),3),""),"")</f>
        <v/>
      </c>
      <c r="D235" s="1058" t="str">
        <f>IFERROR(IF(AND(B235&gt;0,B235/1),INDEX(Заказ!$B$1:$AV$3196,MATCH(B235,Заказ!$AV$1:$AV$3196,0),9),""),"")</f>
        <v/>
      </c>
      <c r="E235" s="1056" t="str">
        <f>IFERROR(IF(AND(B235&gt;0,B235/1),INDEX(Заказ!$B$1:$AV$3196,MATCH(B235,Заказ!$AV$1:$AV$3196,0),5),""),"")</f>
        <v/>
      </c>
      <c r="F235" s="1056" t="str">
        <f>IFERROR(IF(AND(B235&gt;0,B235/1),INDEX(Заказ!$B$1:$AV$3196,MATCH(B235,Заказ!$AV$1:$AV$3196,0),16)/INDEX(Заказ!$B$1:$AV$3196,MATCH(B235,Заказ!$AV$1:$AV$3196,0),5),""),"")</f>
        <v/>
      </c>
      <c r="G235" s="1059" t="str">
        <f>IFERROR(IF(AND(B235&gt;0,B235/1),INDEX(Заказ!$B$1:$AV$3196,MATCH(B235,Заказ!$AV$1:$AV$3196,0),16),""),"")</f>
        <v/>
      </c>
      <c r="H235" s="1"/>
    </row>
    <row r="236" spans="1:8" ht="12" customHeight="1" x14ac:dyDescent="0.25">
      <c r="A236" s="1051" t="str">
        <f>IFERROR(IF(AND(B236&gt;0,B236/1),INDEX(Заказ!$B$412:$AV$3196,MATCH(B236,Заказ!$AV$412:$AV$3196,0),1),""),"")</f>
        <v/>
      </c>
      <c r="B236" s="1056" t="str">
        <f>IFERROR(IF(B235&gt;0,SMALL(Заказ!$AV$1:$AV$3196,1+B235),""),"")</f>
        <v/>
      </c>
      <c r="C236" s="1057" t="str">
        <f>IFERROR(IF(AND(B236&gt;0,B236/1),INDEX(Заказ!$B$1:$AV$3196,MATCH(B236,Заказ!$AV$1:$AV$3196,0),3),""),"")</f>
        <v/>
      </c>
      <c r="D236" s="1058" t="str">
        <f>IFERROR(IF(AND(B236&gt;0,B236/1),INDEX(Заказ!$B$1:$AV$3196,MATCH(B236,Заказ!$AV$1:$AV$3196,0),9),""),"")</f>
        <v/>
      </c>
      <c r="E236" s="1056" t="str">
        <f>IFERROR(IF(AND(B236&gt;0,B236/1),INDEX(Заказ!$B$1:$AV$3196,MATCH(B236,Заказ!$AV$1:$AV$3196,0),5),""),"")</f>
        <v/>
      </c>
      <c r="F236" s="1056" t="str">
        <f>IFERROR(IF(AND(B236&gt;0,B236/1),INDEX(Заказ!$B$1:$AV$3196,MATCH(B236,Заказ!$AV$1:$AV$3196,0),16)/INDEX(Заказ!$B$1:$AV$3196,MATCH(B236,Заказ!$AV$1:$AV$3196,0),5),""),"")</f>
        <v/>
      </c>
      <c r="G236" s="1059" t="str">
        <f>IFERROR(IF(AND(B236&gt;0,B236/1),INDEX(Заказ!$B$1:$AV$3196,MATCH(B236,Заказ!$AV$1:$AV$3196,0),16),""),"")</f>
        <v/>
      </c>
      <c r="H236" s="1"/>
    </row>
    <row r="237" spans="1:8" ht="12" customHeight="1" x14ac:dyDescent="0.25">
      <c r="A237" s="1051" t="str">
        <f>IFERROR(IF(AND(B237&gt;0,B237/1),INDEX(Заказ!$B$412:$AV$3196,MATCH(B237,Заказ!$AV$412:$AV$3196,0),1),""),"")</f>
        <v/>
      </c>
      <c r="B237" s="1056" t="str">
        <f>IFERROR(IF(B236&gt;0,SMALL(Заказ!$AV$1:$AV$3196,1+B236),""),"")</f>
        <v/>
      </c>
      <c r="C237" s="1057" t="str">
        <f>IFERROR(IF(AND(B237&gt;0,B237/1),INDEX(Заказ!$B$1:$AV$3196,MATCH(B237,Заказ!$AV$1:$AV$3196,0),3),""),"")</f>
        <v/>
      </c>
      <c r="D237" s="1058" t="str">
        <f>IFERROR(IF(AND(B237&gt;0,B237/1),INDEX(Заказ!$B$1:$AV$3196,MATCH(B237,Заказ!$AV$1:$AV$3196,0),9),""),"")</f>
        <v/>
      </c>
      <c r="E237" s="1056" t="str">
        <f>IFERROR(IF(AND(B237&gt;0,B237/1),INDEX(Заказ!$B$1:$AV$3196,MATCH(B237,Заказ!$AV$1:$AV$3196,0),5),""),"")</f>
        <v/>
      </c>
      <c r="F237" s="1056" t="str">
        <f>IFERROR(IF(AND(B237&gt;0,B237/1),INDEX(Заказ!$B$1:$AV$3196,MATCH(B237,Заказ!$AV$1:$AV$3196,0),16)/INDEX(Заказ!$B$1:$AV$3196,MATCH(B237,Заказ!$AV$1:$AV$3196,0),5),""),"")</f>
        <v/>
      </c>
      <c r="G237" s="1059" t="str">
        <f>IFERROR(IF(AND(B237&gt;0,B237/1),INDEX(Заказ!$B$1:$AV$3196,MATCH(B237,Заказ!$AV$1:$AV$3196,0),16),""),"")</f>
        <v/>
      </c>
      <c r="H237" s="1"/>
    </row>
    <row r="238" spans="1:8" ht="12" customHeight="1" x14ac:dyDescent="0.25">
      <c r="A238" s="1051" t="str">
        <f>IFERROR(IF(AND(B238&gt;0,B238/1),INDEX(Заказ!$B$412:$AV$3196,MATCH(B238,Заказ!$AV$412:$AV$3196,0),1),""),"")</f>
        <v/>
      </c>
      <c r="B238" s="1056" t="str">
        <f>IFERROR(IF(B237&gt;0,SMALL(Заказ!$AV$1:$AV$3196,1+B237),""),"")</f>
        <v/>
      </c>
      <c r="C238" s="1057" t="str">
        <f>IFERROR(IF(AND(B238&gt;0,B238/1),INDEX(Заказ!$B$1:$AV$3196,MATCH(B238,Заказ!$AV$1:$AV$3196,0),3),""),"")</f>
        <v/>
      </c>
      <c r="D238" s="1058" t="str">
        <f>IFERROR(IF(AND(B238&gt;0,B238/1),INDEX(Заказ!$B$1:$AV$3196,MATCH(B238,Заказ!$AV$1:$AV$3196,0),9),""),"")</f>
        <v/>
      </c>
      <c r="E238" s="1056" t="str">
        <f>IFERROR(IF(AND(B238&gt;0,B238/1),INDEX(Заказ!$B$1:$AV$3196,MATCH(B238,Заказ!$AV$1:$AV$3196,0),5),""),"")</f>
        <v/>
      </c>
      <c r="F238" s="1056" t="str">
        <f>IFERROR(IF(AND(B238&gt;0,B238/1),INDEX(Заказ!$B$1:$AV$3196,MATCH(B238,Заказ!$AV$1:$AV$3196,0),16)/INDEX(Заказ!$B$1:$AV$3196,MATCH(B238,Заказ!$AV$1:$AV$3196,0),5),""),"")</f>
        <v/>
      </c>
      <c r="G238" s="1059" t="str">
        <f>IFERROR(IF(AND(B238&gt;0,B238/1),INDEX(Заказ!$B$1:$AV$3196,MATCH(B238,Заказ!$AV$1:$AV$3196,0),16),""),"")</f>
        <v/>
      </c>
      <c r="H238" s="1"/>
    </row>
    <row r="239" spans="1:8" ht="12" customHeight="1" x14ac:dyDescent="0.25">
      <c r="A239" s="1051" t="str">
        <f>IFERROR(IF(AND(B239&gt;0,B239/1),INDEX(Заказ!$B$412:$AV$3196,MATCH(B239,Заказ!$AV$412:$AV$3196,0),1),""),"")</f>
        <v/>
      </c>
      <c r="B239" s="1056" t="str">
        <f>IFERROR(IF(B238&gt;0,SMALL(Заказ!$AV$1:$AV$3196,1+B238),""),"")</f>
        <v/>
      </c>
      <c r="C239" s="1057" t="str">
        <f>IFERROR(IF(AND(B239&gt;0,B239/1),INDEX(Заказ!$B$1:$AV$3196,MATCH(B239,Заказ!$AV$1:$AV$3196,0),3),""),"")</f>
        <v/>
      </c>
      <c r="D239" s="1058" t="str">
        <f>IFERROR(IF(AND(B239&gt;0,B239/1),INDEX(Заказ!$B$1:$AV$3196,MATCH(B239,Заказ!$AV$1:$AV$3196,0),9),""),"")</f>
        <v/>
      </c>
      <c r="E239" s="1056" t="str">
        <f>IFERROR(IF(AND(B239&gt;0,B239/1),INDEX(Заказ!$B$1:$AV$3196,MATCH(B239,Заказ!$AV$1:$AV$3196,0),5),""),"")</f>
        <v/>
      </c>
      <c r="F239" s="1056" t="str">
        <f>IFERROR(IF(AND(B239&gt;0,B239/1),INDEX(Заказ!$B$1:$AV$3196,MATCH(B239,Заказ!$AV$1:$AV$3196,0),16)/INDEX(Заказ!$B$1:$AV$3196,MATCH(B239,Заказ!$AV$1:$AV$3196,0),5),""),"")</f>
        <v/>
      </c>
      <c r="G239" s="1059" t="str">
        <f>IFERROR(IF(AND(B239&gt;0,B239/1),INDEX(Заказ!$B$1:$AV$3196,MATCH(B239,Заказ!$AV$1:$AV$3196,0),16),""),"")</f>
        <v/>
      </c>
      <c r="H239" s="1"/>
    </row>
    <row r="240" spans="1:8" ht="12" customHeight="1" x14ac:dyDescent="0.25">
      <c r="A240" s="1051" t="str">
        <f>IFERROR(IF(AND(B240&gt;0,B240/1),INDEX(Заказ!$B$412:$AV$3196,MATCH(B240,Заказ!$AV$412:$AV$3196,0),1),""),"")</f>
        <v/>
      </c>
      <c r="B240" s="1056" t="str">
        <f>IFERROR(IF(B239&gt;0,SMALL(Заказ!$AV$1:$AV$3196,1+B239),""),"")</f>
        <v/>
      </c>
      <c r="C240" s="1057" t="str">
        <f>IFERROR(IF(AND(B240&gt;0,B240/1),INDEX(Заказ!$B$1:$AV$3196,MATCH(B240,Заказ!$AV$1:$AV$3196,0),3),""),"")</f>
        <v/>
      </c>
      <c r="D240" s="1058" t="str">
        <f>IFERROR(IF(AND(B240&gt;0,B240/1),INDEX(Заказ!$B$1:$AV$3196,MATCH(B240,Заказ!$AV$1:$AV$3196,0),9),""),"")</f>
        <v/>
      </c>
      <c r="E240" s="1056" t="str">
        <f>IFERROR(IF(AND(B240&gt;0,B240/1),INDEX(Заказ!$B$1:$AV$3196,MATCH(B240,Заказ!$AV$1:$AV$3196,0),5),""),"")</f>
        <v/>
      </c>
      <c r="F240" s="1056" t="str">
        <f>IFERROR(IF(AND(B240&gt;0,B240/1),INDEX(Заказ!$B$1:$AV$3196,MATCH(B240,Заказ!$AV$1:$AV$3196,0),16)/INDEX(Заказ!$B$1:$AV$3196,MATCH(B240,Заказ!$AV$1:$AV$3196,0),5),""),"")</f>
        <v/>
      </c>
      <c r="G240" s="1059" t="str">
        <f>IFERROR(IF(AND(B240&gt;0,B240/1),INDEX(Заказ!$B$1:$AV$3196,MATCH(B240,Заказ!$AV$1:$AV$3196,0),16),""),"")</f>
        <v/>
      </c>
      <c r="H240" s="1"/>
    </row>
    <row r="241" spans="1:8" ht="12" customHeight="1" x14ac:dyDescent="0.25">
      <c r="A241" s="1051" t="str">
        <f>IFERROR(IF(AND(B241&gt;0,B241/1),INDEX(Заказ!$B$412:$AV$3196,MATCH(B241,Заказ!$AV$412:$AV$3196,0),1),""),"")</f>
        <v/>
      </c>
      <c r="B241" s="1056" t="str">
        <f>IFERROR(IF(B240&gt;0,SMALL(Заказ!$AV$1:$AV$3196,1+B240),""),"")</f>
        <v/>
      </c>
      <c r="C241" s="1057" t="str">
        <f>IFERROR(IF(AND(B241&gt;0,B241/1),INDEX(Заказ!$B$1:$AV$3196,MATCH(B241,Заказ!$AV$1:$AV$3196,0),3),""),"")</f>
        <v/>
      </c>
      <c r="D241" s="1058" t="str">
        <f>IFERROR(IF(AND(B241&gt;0,B241/1),INDEX(Заказ!$B$1:$AV$3196,MATCH(B241,Заказ!$AV$1:$AV$3196,0),9),""),"")</f>
        <v/>
      </c>
      <c r="E241" s="1056" t="str">
        <f>IFERROR(IF(AND(B241&gt;0,B241/1),INDEX(Заказ!$B$1:$AV$3196,MATCH(B241,Заказ!$AV$1:$AV$3196,0),5),""),"")</f>
        <v/>
      </c>
      <c r="F241" s="1056" t="str">
        <f>IFERROR(IF(AND(B241&gt;0,B241/1),INDEX(Заказ!$B$1:$AV$3196,MATCH(B241,Заказ!$AV$1:$AV$3196,0),16)/INDEX(Заказ!$B$1:$AV$3196,MATCH(B241,Заказ!$AV$1:$AV$3196,0),5),""),"")</f>
        <v/>
      </c>
      <c r="G241" s="1059" t="str">
        <f>IFERROR(IF(AND(B241&gt;0,B241/1),INDEX(Заказ!$B$1:$AV$3196,MATCH(B241,Заказ!$AV$1:$AV$3196,0),16),""),"")</f>
        <v/>
      </c>
      <c r="H241" s="1"/>
    </row>
    <row r="242" spans="1:8" ht="12" customHeight="1" x14ac:dyDescent="0.25">
      <c r="A242" s="1051" t="str">
        <f>IFERROR(IF(AND(B242&gt;0,B242/1),INDEX(Заказ!$B$412:$AV$3196,MATCH(B242,Заказ!$AV$412:$AV$3196,0),1),""),"")</f>
        <v/>
      </c>
      <c r="B242" s="1056" t="str">
        <f>IFERROR(IF(B241&gt;0,SMALL(Заказ!$AV$1:$AV$3196,1+B241),""),"")</f>
        <v/>
      </c>
      <c r="C242" s="1057" t="str">
        <f>IFERROR(IF(AND(B242&gt;0,B242/1),INDEX(Заказ!$B$1:$AV$3196,MATCH(B242,Заказ!$AV$1:$AV$3196,0),3),""),"")</f>
        <v/>
      </c>
      <c r="D242" s="1058" t="str">
        <f>IFERROR(IF(AND(B242&gt;0,B242/1),INDEX(Заказ!$B$1:$AV$3196,MATCH(B242,Заказ!$AV$1:$AV$3196,0),9),""),"")</f>
        <v/>
      </c>
      <c r="E242" s="1056" t="str">
        <f>IFERROR(IF(AND(B242&gt;0,B242/1),INDEX(Заказ!$B$1:$AV$3196,MATCH(B242,Заказ!$AV$1:$AV$3196,0),5),""),"")</f>
        <v/>
      </c>
      <c r="F242" s="1056" t="str">
        <f>IFERROR(IF(AND(B242&gt;0,B242/1),INDEX(Заказ!$B$1:$AV$3196,MATCH(B242,Заказ!$AV$1:$AV$3196,0),16)/INDEX(Заказ!$B$1:$AV$3196,MATCH(B242,Заказ!$AV$1:$AV$3196,0),5),""),"")</f>
        <v/>
      </c>
      <c r="G242" s="1059" t="str">
        <f>IFERROR(IF(AND(B242&gt;0,B242/1),INDEX(Заказ!$B$1:$AV$3196,MATCH(B242,Заказ!$AV$1:$AV$3196,0),16),""),"")</f>
        <v/>
      </c>
      <c r="H242" s="1"/>
    </row>
    <row r="243" spans="1:8" ht="12" customHeight="1" x14ac:dyDescent="0.25">
      <c r="A243" s="1051" t="str">
        <f>IFERROR(IF(AND(B243&gt;0,B243/1),INDEX(Заказ!$B$412:$AV$3196,MATCH(B243,Заказ!$AV$412:$AV$3196,0),1),""),"")</f>
        <v/>
      </c>
      <c r="B243" s="1056" t="str">
        <f>IFERROR(IF(B242&gt;0,SMALL(Заказ!$AV$1:$AV$3196,1+B242),""),"")</f>
        <v/>
      </c>
      <c r="C243" s="1057" t="str">
        <f>IFERROR(IF(AND(B243&gt;0,B243/1),INDEX(Заказ!$B$1:$AV$3196,MATCH(B243,Заказ!$AV$1:$AV$3196,0),3),""),"")</f>
        <v/>
      </c>
      <c r="D243" s="1058" t="str">
        <f>IFERROR(IF(AND(B243&gt;0,B243/1),INDEX(Заказ!$B$1:$AV$3196,MATCH(B243,Заказ!$AV$1:$AV$3196,0),9),""),"")</f>
        <v/>
      </c>
      <c r="E243" s="1056" t="str">
        <f>IFERROR(IF(AND(B243&gt;0,B243/1),INDEX(Заказ!$B$1:$AV$3196,MATCH(B243,Заказ!$AV$1:$AV$3196,0),5),""),"")</f>
        <v/>
      </c>
      <c r="F243" s="1056" t="str">
        <f>IFERROR(IF(AND(B243&gt;0,B243/1),INDEX(Заказ!$B$1:$AV$3196,MATCH(B243,Заказ!$AV$1:$AV$3196,0),16)/INDEX(Заказ!$B$1:$AV$3196,MATCH(B243,Заказ!$AV$1:$AV$3196,0),5),""),"")</f>
        <v/>
      </c>
      <c r="G243" s="1059" t="str">
        <f>IFERROR(IF(AND(B243&gt;0,B243/1),INDEX(Заказ!$B$1:$AV$3196,MATCH(B243,Заказ!$AV$1:$AV$3196,0),16),""),"")</f>
        <v/>
      </c>
      <c r="H243" s="1"/>
    </row>
    <row r="244" spans="1:8" ht="12" customHeight="1" x14ac:dyDescent="0.25">
      <c r="A244" s="1051" t="str">
        <f>IFERROR(IF(AND(B244&gt;0,B244/1),INDEX(Заказ!$B$412:$AV$3196,MATCH(B244,Заказ!$AV$412:$AV$3196,0),1),""),"")</f>
        <v/>
      </c>
      <c r="B244" s="1056" t="str">
        <f>IFERROR(IF(B243&gt;0,SMALL(Заказ!$AV$1:$AV$3196,1+B243),""),"")</f>
        <v/>
      </c>
      <c r="C244" s="1057" t="str">
        <f>IFERROR(IF(AND(B244&gt;0,B244/1),INDEX(Заказ!$B$1:$AV$3196,MATCH(B244,Заказ!$AV$1:$AV$3196,0),3),""),"")</f>
        <v/>
      </c>
      <c r="D244" s="1058" t="str">
        <f>IFERROR(IF(AND(B244&gt;0,B244/1),INDEX(Заказ!$B$1:$AV$3196,MATCH(B244,Заказ!$AV$1:$AV$3196,0),9),""),"")</f>
        <v/>
      </c>
      <c r="E244" s="1056" t="str">
        <f>IFERROR(IF(AND(B244&gt;0,B244/1),INDEX(Заказ!$B$1:$AV$3196,MATCH(B244,Заказ!$AV$1:$AV$3196,0),5),""),"")</f>
        <v/>
      </c>
      <c r="F244" s="1056" t="str">
        <f>IFERROR(IF(AND(B244&gt;0,B244/1),INDEX(Заказ!$B$1:$AV$3196,MATCH(B244,Заказ!$AV$1:$AV$3196,0),16)/INDEX(Заказ!$B$1:$AV$3196,MATCH(B244,Заказ!$AV$1:$AV$3196,0),5),""),"")</f>
        <v/>
      </c>
      <c r="G244" s="1059" t="str">
        <f>IFERROR(IF(AND(B244&gt;0,B244/1),INDEX(Заказ!$B$1:$AV$3196,MATCH(B244,Заказ!$AV$1:$AV$3196,0),16),""),"")</f>
        <v/>
      </c>
      <c r="H244" s="1"/>
    </row>
    <row r="245" spans="1:8" ht="12" customHeight="1" x14ac:dyDescent="0.25">
      <c r="A245" s="1051" t="str">
        <f>IFERROR(IF(AND(B245&gt;0,B245/1),INDEX(Заказ!$B$412:$AV$3196,MATCH(B245,Заказ!$AV$412:$AV$3196,0),1),""),"")</f>
        <v/>
      </c>
      <c r="B245" s="1056" t="str">
        <f>IFERROR(IF(B244&gt;0,SMALL(Заказ!$AV$1:$AV$3196,1+B244),""),"")</f>
        <v/>
      </c>
      <c r="C245" s="1057" t="str">
        <f>IFERROR(IF(AND(B245&gt;0,B245/1),INDEX(Заказ!$B$1:$AV$3196,MATCH(B245,Заказ!$AV$1:$AV$3196,0),3),""),"")</f>
        <v/>
      </c>
      <c r="D245" s="1058" t="str">
        <f>IFERROR(IF(AND(B245&gt;0,B245/1),INDEX(Заказ!$B$1:$AV$3196,MATCH(B245,Заказ!$AV$1:$AV$3196,0),9),""),"")</f>
        <v/>
      </c>
      <c r="E245" s="1056" t="str">
        <f>IFERROR(IF(AND(B245&gt;0,B245/1),INDEX(Заказ!$B$1:$AV$3196,MATCH(B245,Заказ!$AV$1:$AV$3196,0),5),""),"")</f>
        <v/>
      </c>
      <c r="F245" s="1056" t="str">
        <f>IFERROR(IF(AND(B245&gt;0,B245/1),INDEX(Заказ!$B$1:$AV$3196,MATCH(B245,Заказ!$AV$1:$AV$3196,0),16)/INDEX(Заказ!$B$1:$AV$3196,MATCH(B245,Заказ!$AV$1:$AV$3196,0),5),""),"")</f>
        <v/>
      </c>
      <c r="G245" s="1059" t="str">
        <f>IFERROR(IF(AND(B245&gt;0,B245/1),INDEX(Заказ!$B$1:$AV$3196,MATCH(B245,Заказ!$AV$1:$AV$3196,0),16),""),"")</f>
        <v/>
      </c>
      <c r="H245" s="1"/>
    </row>
    <row r="246" spans="1:8" ht="12" customHeight="1" x14ac:dyDescent="0.25">
      <c r="A246" s="1051" t="str">
        <f>IFERROR(IF(AND(B246&gt;0,B246/1),INDEX(Заказ!$B$412:$AV$3196,MATCH(B246,Заказ!$AV$412:$AV$3196,0),1),""),"")</f>
        <v/>
      </c>
      <c r="B246" s="1056" t="str">
        <f>IFERROR(IF(B245&gt;0,SMALL(Заказ!$AV$1:$AV$3196,1+B245),""),"")</f>
        <v/>
      </c>
      <c r="C246" s="1057" t="str">
        <f>IFERROR(IF(AND(B246&gt;0,B246/1),INDEX(Заказ!$B$1:$AV$3196,MATCH(B246,Заказ!$AV$1:$AV$3196,0),3),""),"")</f>
        <v/>
      </c>
      <c r="D246" s="1058" t="str">
        <f>IFERROR(IF(AND(B246&gt;0,B246/1),INDEX(Заказ!$B$1:$AV$3196,MATCH(B246,Заказ!$AV$1:$AV$3196,0),9),""),"")</f>
        <v/>
      </c>
      <c r="E246" s="1056" t="str">
        <f>IFERROR(IF(AND(B246&gt;0,B246/1),INDEX(Заказ!$B$1:$AV$3196,MATCH(B246,Заказ!$AV$1:$AV$3196,0),5),""),"")</f>
        <v/>
      </c>
      <c r="F246" s="1056" t="str">
        <f>IFERROR(IF(AND(B246&gt;0,B246/1),INDEX(Заказ!$B$1:$AV$3196,MATCH(B246,Заказ!$AV$1:$AV$3196,0),16)/INDEX(Заказ!$B$1:$AV$3196,MATCH(B246,Заказ!$AV$1:$AV$3196,0),5),""),"")</f>
        <v/>
      </c>
      <c r="G246" s="1059" t="str">
        <f>IFERROR(IF(AND(B246&gt;0,B246/1),INDEX(Заказ!$B$1:$AV$3196,MATCH(B246,Заказ!$AV$1:$AV$3196,0),16),""),"")</f>
        <v/>
      </c>
      <c r="H246" s="1"/>
    </row>
    <row r="247" spans="1:8" ht="12" customHeight="1" x14ac:dyDescent="0.25">
      <c r="A247" s="1051" t="str">
        <f>IFERROR(IF(AND(B247&gt;0,B247/1),INDEX(Заказ!$B$412:$AV$3196,MATCH(B247,Заказ!$AV$412:$AV$3196,0),1),""),"")</f>
        <v/>
      </c>
      <c r="B247" s="1056" t="str">
        <f>IFERROR(IF(B246&gt;0,SMALL(Заказ!$AV$1:$AV$3196,1+B246),""),"")</f>
        <v/>
      </c>
      <c r="C247" s="1057" t="str">
        <f>IFERROR(IF(AND(B247&gt;0,B247/1),INDEX(Заказ!$B$1:$AV$3196,MATCH(B247,Заказ!$AV$1:$AV$3196,0),3),""),"")</f>
        <v/>
      </c>
      <c r="D247" s="1058" t="str">
        <f>IFERROR(IF(AND(B247&gt;0,B247/1),INDEX(Заказ!$B$1:$AV$3196,MATCH(B247,Заказ!$AV$1:$AV$3196,0),9),""),"")</f>
        <v/>
      </c>
      <c r="E247" s="1056" t="str">
        <f>IFERROR(IF(AND(B247&gt;0,B247/1),INDEX(Заказ!$B$1:$AV$3196,MATCH(B247,Заказ!$AV$1:$AV$3196,0),5),""),"")</f>
        <v/>
      </c>
      <c r="F247" s="1056" t="str">
        <f>IFERROR(IF(AND(B247&gt;0,B247/1),INDEX(Заказ!$B$1:$AV$3196,MATCH(B247,Заказ!$AV$1:$AV$3196,0),16)/INDEX(Заказ!$B$1:$AV$3196,MATCH(B247,Заказ!$AV$1:$AV$3196,0),5),""),"")</f>
        <v/>
      </c>
      <c r="G247" s="1059" t="str">
        <f>IFERROR(IF(AND(B247&gt;0,B247/1),INDEX(Заказ!$B$1:$AV$3196,MATCH(B247,Заказ!$AV$1:$AV$3196,0),16),""),"")</f>
        <v/>
      </c>
      <c r="H247" s="1"/>
    </row>
    <row r="248" spans="1:8" ht="12" customHeight="1" x14ac:dyDescent="0.25">
      <c r="A248" s="1051" t="str">
        <f>IFERROR(IF(AND(B248&gt;0,B248/1),INDEX(Заказ!$B$412:$AV$3196,MATCH(B248,Заказ!$AV$412:$AV$3196,0),1),""),"")</f>
        <v/>
      </c>
      <c r="B248" s="1056" t="str">
        <f>IFERROR(IF(B247&gt;0,SMALL(Заказ!$AV$1:$AV$3196,1+B247),""),"")</f>
        <v/>
      </c>
      <c r="C248" s="1057" t="str">
        <f>IFERROR(IF(AND(B248&gt;0,B248/1),INDEX(Заказ!$B$1:$AV$3196,MATCH(B248,Заказ!$AV$1:$AV$3196,0),3),""),"")</f>
        <v/>
      </c>
      <c r="D248" s="1058" t="str">
        <f>IFERROR(IF(AND(B248&gt;0,B248/1),INDEX(Заказ!$B$1:$AV$3196,MATCH(B248,Заказ!$AV$1:$AV$3196,0),9),""),"")</f>
        <v/>
      </c>
      <c r="E248" s="1056" t="str">
        <f>IFERROR(IF(AND(B248&gt;0,B248/1),INDEX(Заказ!$B$1:$AV$3196,MATCH(B248,Заказ!$AV$1:$AV$3196,0),5),""),"")</f>
        <v/>
      </c>
      <c r="F248" s="1056" t="str">
        <f>IFERROR(IF(AND(B248&gt;0,B248/1),INDEX(Заказ!$B$1:$AV$3196,MATCH(B248,Заказ!$AV$1:$AV$3196,0),16)/INDEX(Заказ!$B$1:$AV$3196,MATCH(B248,Заказ!$AV$1:$AV$3196,0),5),""),"")</f>
        <v/>
      </c>
      <c r="G248" s="1059" t="str">
        <f>IFERROR(IF(AND(B248&gt;0,B248/1),INDEX(Заказ!$B$1:$AV$3196,MATCH(B248,Заказ!$AV$1:$AV$3196,0),16),""),"")</f>
        <v/>
      </c>
      <c r="H248" s="1"/>
    </row>
    <row r="249" spans="1:8" ht="12" customHeight="1" x14ac:dyDescent="0.25">
      <c r="A249" s="1051" t="str">
        <f>IFERROR(IF(AND(B249&gt;0,B249/1),INDEX(Заказ!$B$412:$AV$3196,MATCH(B249,Заказ!$AV$412:$AV$3196,0),1),""),"")</f>
        <v/>
      </c>
      <c r="B249" s="1056" t="str">
        <f>IFERROR(IF(B248&gt;0,SMALL(Заказ!$AV$1:$AV$3196,1+B248),""),"")</f>
        <v/>
      </c>
      <c r="C249" s="1057" t="str">
        <f>IFERROR(IF(AND(B249&gt;0,B249/1),INDEX(Заказ!$B$1:$AV$3196,MATCH(B249,Заказ!$AV$1:$AV$3196,0),3),""),"")</f>
        <v/>
      </c>
      <c r="D249" s="1058" t="str">
        <f>IFERROR(IF(AND(B249&gt;0,B249/1),INDEX(Заказ!$B$1:$AV$3196,MATCH(B249,Заказ!$AV$1:$AV$3196,0),9),""),"")</f>
        <v/>
      </c>
      <c r="E249" s="1056" t="str">
        <f>IFERROR(IF(AND(B249&gt;0,B249/1),INDEX(Заказ!$B$1:$AV$3196,MATCH(B249,Заказ!$AV$1:$AV$3196,0),5),""),"")</f>
        <v/>
      </c>
      <c r="F249" s="1056" t="str">
        <f>IFERROR(IF(AND(B249&gt;0,B249/1),INDEX(Заказ!$B$1:$AV$3196,MATCH(B249,Заказ!$AV$1:$AV$3196,0),16)/INDEX(Заказ!$B$1:$AV$3196,MATCH(B249,Заказ!$AV$1:$AV$3196,0),5),""),"")</f>
        <v/>
      </c>
      <c r="G249" s="1059" t="str">
        <f>IFERROR(IF(AND(B249&gt;0,B249/1),INDEX(Заказ!$B$1:$AV$3196,MATCH(B249,Заказ!$AV$1:$AV$3196,0),16),""),"")</f>
        <v/>
      </c>
      <c r="H249" s="1"/>
    </row>
    <row r="250" spans="1:8" ht="12" customHeight="1" x14ac:dyDescent="0.25">
      <c r="A250" s="1051" t="str">
        <f>IFERROR(IF(AND(B250&gt;0,B250/1),INDEX(Заказ!$B$412:$AV$3196,MATCH(B250,Заказ!$AV$412:$AV$3196,0),1),""),"")</f>
        <v/>
      </c>
      <c r="B250" s="1056" t="str">
        <f>IFERROR(IF(B249&gt;0,SMALL(Заказ!$AV$1:$AV$3196,1+B249),""),"")</f>
        <v/>
      </c>
      <c r="C250" s="1057" t="str">
        <f>IFERROR(IF(AND(B250&gt;0,B250/1),INDEX(Заказ!$B$1:$AV$3196,MATCH(B250,Заказ!$AV$1:$AV$3196,0),3),""),"")</f>
        <v/>
      </c>
      <c r="D250" s="1058" t="str">
        <f>IFERROR(IF(AND(B250&gt;0,B250/1),INDEX(Заказ!$B$1:$AV$3196,MATCH(B250,Заказ!$AV$1:$AV$3196,0),9),""),"")</f>
        <v/>
      </c>
      <c r="E250" s="1056" t="str">
        <f>IFERROR(IF(AND(B250&gt;0,B250/1),INDEX(Заказ!$B$1:$AV$3196,MATCH(B250,Заказ!$AV$1:$AV$3196,0),5),""),"")</f>
        <v/>
      </c>
      <c r="F250" s="1056" t="str">
        <f>IFERROR(IF(AND(B250&gt;0,B250/1),INDEX(Заказ!$B$1:$AV$3196,MATCH(B250,Заказ!$AV$1:$AV$3196,0),16)/INDEX(Заказ!$B$1:$AV$3196,MATCH(B250,Заказ!$AV$1:$AV$3196,0),5),""),"")</f>
        <v/>
      </c>
      <c r="G250" s="1059" t="str">
        <f>IFERROR(IF(AND(B250&gt;0,B250/1),INDEX(Заказ!$B$1:$AV$3196,MATCH(B250,Заказ!$AV$1:$AV$3196,0),16),""),"")</f>
        <v/>
      </c>
      <c r="H250" s="1"/>
    </row>
    <row r="251" spans="1:8" ht="12" customHeight="1" x14ac:dyDescent="0.25">
      <c r="A251" s="1051" t="str">
        <f>IFERROR(IF(AND(B251&gt;0,B251/1),INDEX(Заказ!$B$412:$AV$3196,MATCH(B251,Заказ!$AV$412:$AV$3196,0),1),""),"")</f>
        <v/>
      </c>
      <c r="B251" s="1056" t="str">
        <f>IFERROR(IF(B250&gt;0,SMALL(Заказ!$AV$1:$AV$3196,1+B250),""),"")</f>
        <v/>
      </c>
      <c r="C251" s="1057" t="str">
        <f>IFERROR(IF(AND(B251&gt;0,B251/1),INDEX(Заказ!$B$1:$AV$3196,MATCH(B251,Заказ!$AV$1:$AV$3196,0),3),""),"")</f>
        <v/>
      </c>
      <c r="D251" s="1058" t="str">
        <f>IFERROR(IF(AND(B251&gt;0,B251/1),INDEX(Заказ!$B$1:$AV$3196,MATCH(B251,Заказ!$AV$1:$AV$3196,0),9),""),"")</f>
        <v/>
      </c>
      <c r="E251" s="1056" t="str">
        <f>IFERROR(IF(AND(B251&gt;0,B251/1),INDEX(Заказ!$B$1:$AV$3196,MATCH(B251,Заказ!$AV$1:$AV$3196,0),5),""),"")</f>
        <v/>
      </c>
      <c r="F251" s="1056" t="str">
        <f>IFERROR(IF(AND(B251&gt;0,B251/1),INDEX(Заказ!$B$1:$AV$3196,MATCH(B251,Заказ!$AV$1:$AV$3196,0),16)/INDEX(Заказ!$B$1:$AV$3196,MATCH(B251,Заказ!$AV$1:$AV$3196,0),5),""),"")</f>
        <v/>
      </c>
      <c r="G251" s="1059" t="str">
        <f>IFERROR(IF(AND(B251&gt;0,B251/1),INDEX(Заказ!$B$1:$AV$3196,MATCH(B251,Заказ!$AV$1:$AV$3196,0),16),""),"")</f>
        <v/>
      </c>
      <c r="H251" s="1"/>
    </row>
    <row r="252" spans="1:8" ht="12" customHeight="1" x14ac:dyDescent="0.25">
      <c r="A252" s="1051" t="str">
        <f>IFERROR(IF(AND(B252&gt;0,B252/1),INDEX(Заказ!$B$412:$AV$3196,MATCH(B252,Заказ!$AV$412:$AV$3196,0),1),""),"")</f>
        <v/>
      </c>
      <c r="B252" s="1056" t="str">
        <f>IFERROR(IF(B251&gt;0,SMALL(Заказ!$AV$1:$AV$3196,1+B251),""),"")</f>
        <v/>
      </c>
      <c r="C252" s="1057" t="str">
        <f>IFERROR(IF(AND(B252&gt;0,B252/1),INDEX(Заказ!$B$1:$AV$3196,MATCH(B252,Заказ!$AV$1:$AV$3196,0),3),""),"")</f>
        <v/>
      </c>
      <c r="D252" s="1058" t="str">
        <f>IFERROR(IF(AND(B252&gt;0,B252/1),INDEX(Заказ!$B$1:$AV$3196,MATCH(B252,Заказ!$AV$1:$AV$3196,0),9),""),"")</f>
        <v/>
      </c>
      <c r="E252" s="1056" t="str">
        <f>IFERROR(IF(AND(B252&gt;0,B252/1),INDEX(Заказ!$B$1:$AV$3196,MATCH(B252,Заказ!$AV$1:$AV$3196,0),5),""),"")</f>
        <v/>
      </c>
      <c r="F252" s="1056" t="str">
        <f>IFERROR(IF(AND(B252&gt;0,B252/1),INDEX(Заказ!$B$1:$AV$3196,MATCH(B252,Заказ!$AV$1:$AV$3196,0),16)/INDEX(Заказ!$B$1:$AV$3196,MATCH(B252,Заказ!$AV$1:$AV$3196,0),5),""),"")</f>
        <v/>
      </c>
      <c r="G252" s="1059" t="str">
        <f>IFERROR(IF(AND(B252&gt;0,B252/1),INDEX(Заказ!$B$1:$AV$3196,MATCH(B252,Заказ!$AV$1:$AV$3196,0),16),""),"")</f>
        <v/>
      </c>
      <c r="H252" s="1"/>
    </row>
    <row r="253" spans="1:8" ht="12" customHeight="1" x14ac:dyDescent="0.25">
      <c r="A253" s="1051" t="str">
        <f>IFERROR(IF(AND(B253&gt;0,B253/1),INDEX(Заказ!$B$412:$AV$3196,MATCH(B253,Заказ!$AV$412:$AV$3196,0),1),""),"")</f>
        <v/>
      </c>
      <c r="B253" s="1056" t="str">
        <f>IFERROR(IF(B252&gt;0,SMALL(Заказ!$AV$1:$AV$3196,1+B252),""),"")</f>
        <v/>
      </c>
      <c r="C253" s="1057" t="str">
        <f>IFERROR(IF(AND(B253&gt;0,B253/1),INDEX(Заказ!$B$1:$AV$3196,MATCH(B253,Заказ!$AV$1:$AV$3196,0),3),""),"")</f>
        <v/>
      </c>
      <c r="D253" s="1058" t="str">
        <f>IFERROR(IF(AND(B253&gt;0,B253/1),INDEX(Заказ!$B$1:$AV$3196,MATCH(B253,Заказ!$AV$1:$AV$3196,0),9),""),"")</f>
        <v/>
      </c>
      <c r="E253" s="1056" t="str">
        <f>IFERROR(IF(AND(B253&gt;0,B253/1),INDEX(Заказ!$B$1:$AV$3196,MATCH(B253,Заказ!$AV$1:$AV$3196,0),5),""),"")</f>
        <v/>
      </c>
      <c r="F253" s="1056" t="str">
        <f>IFERROR(IF(AND(B253&gt;0,B253/1),INDEX(Заказ!$B$1:$AV$3196,MATCH(B253,Заказ!$AV$1:$AV$3196,0),16)/INDEX(Заказ!$B$1:$AV$3196,MATCH(B253,Заказ!$AV$1:$AV$3196,0),5),""),"")</f>
        <v/>
      </c>
      <c r="G253" s="1059" t="str">
        <f>IFERROR(IF(AND(B253&gt;0,B253/1),INDEX(Заказ!$B$1:$AV$3196,MATCH(B253,Заказ!$AV$1:$AV$3196,0),16),""),"")</f>
        <v/>
      </c>
      <c r="H253" s="1"/>
    </row>
    <row r="254" spans="1:8" ht="12" customHeight="1" x14ac:dyDescent="0.25">
      <c r="A254" s="1051" t="str">
        <f>IFERROR(IF(AND(B254&gt;0,B254/1),INDEX(Заказ!$B$412:$AV$3196,MATCH(B254,Заказ!$AV$412:$AV$3196,0),1),""),"")</f>
        <v/>
      </c>
      <c r="B254" s="1056" t="str">
        <f>IFERROR(IF(B253&gt;0,SMALL(Заказ!$AV$1:$AV$3196,1+B253),""),"")</f>
        <v/>
      </c>
      <c r="C254" s="1057" t="str">
        <f>IFERROR(IF(AND(B254&gt;0,B254/1),INDEX(Заказ!$B$1:$AV$3196,MATCH(B254,Заказ!$AV$1:$AV$3196,0),3),""),"")</f>
        <v/>
      </c>
      <c r="D254" s="1058" t="str">
        <f>IFERROR(IF(AND(B254&gt;0,B254/1),INDEX(Заказ!$B$1:$AV$3196,MATCH(B254,Заказ!$AV$1:$AV$3196,0),9),""),"")</f>
        <v/>
      </c>
      <c r="E254" s="1056" t="str">
        <f>IFERROR(IF(AND(B254&gt;0,B254/1),INDEX(Заказ!$B$1:$AV$3196,MATCH(B254,Заказ!$AV$1:$AV$3196,0),5),""),"")</f>
        <v/>
      </c>
      <c r="F254" s="1056" t="str">
        <f>IFERROR(IF(AND(B254&gt;0,B254/1),INDEX(Заказ!$B$1:$AV$3196,MATCH(B254,Заказ!$AV$1:$AV$3196,0),16)/INDEX(Заказ!$B$1:$AV$3196,MATCH(B254,Заказ!$AV$1:$AV$3196,0),5),""),"")</f>
        <v/>
      </c>
      <c r="G254" s="1059" t="str">
        <f>IFERROR(IF(AND(B254&gt;0,B254/1),INDEX(Заказ!$B$1:$AV$3196,MATCH(B254,Заказ!$AV$1:$AV$3196,0),16),""),"")</f>
        <v/>
      </c>
      <c r="H254" s="1"/>
    </row>
    <row r="255" spans="1:8" ht="12" customHeight="1" x14ac:dyDescent="0.25">
      <c r="A255" s="1051" t="str">
        <f>IFERROR(IF(AND(B255&gt;0,B255/1),INDEX(Заказ!$B$412:$AV$3196,MATCH(B255,Заказ!$AV$412:$AV$3196,0),1),""),"")</f>
        <v/>
      </c>
      <c r="B255" s="1056" t="str">
        <f>IFERROR(IF(B254&gt;0,SMALL(Заказ!$AV$1:$AV$3196,1+B254),""),"")</f>
        <v/>
      </c>
      <c r="C255" s="1057" t="str">
        <f>IFERROR(IF(AND(B255&gt;0,B255/1),INDEX(Заказ!$B$1:$AV$3196,MATCH(B255,Заказ!$AV$1:$AV$3196,0),3),""),"")</f>
        <v/>
      </c>
      <c r="D255" s="1058" t="str">
        <f>IFERROR(IF(AND(B255&gt;0,B255/1),INDEX(Заказ!$B$1:$AV$3196,MATCH(B255,Заказ!$AV$1:$AV$3196,0),9),""),"")</f>
        <v/>
      </c>
      <c r="E255" s="1056" t="str">
        <f>IFERROR(IF(AND(B255&gt;0,B255/1),INDEX(Заказ!$B$1:$AV$3196,MATCH(B255,Заказ!$AV$1:$AV$3196,0),5),""),"")</f>
        <v/>
      </c>
      <c r="F255" s="1056" t="str">
        <f>IFERROR(IF(AND(B255&gt;0,B255/1),INDEX(Заказ!$B$1:$AV$3196,MATCH(B255,Заказ!$AV$1:$AV$3196,0),16)/INDEX(Заказ!$B$1:$AV$3196,MATCH(B255,Заказ!$AV$1:$AV$3196,0),5),""),"")</f>
        <v/>
      </c>
      <c r="G255" s="1059" t="str">
        <f>IFERROR(IF(AND(B255&gt;0,B255/1),INDEX(Заказ!$B$1:$AV$3196,MATCH(B255,Заказ!$AV$1:$AV$3196,0),16),""),"")</f>
        <v/>
      </c>
      <c r="H255" s="1"/>
    </row>
    <row r="256" spans="1:8" ht="12" customHeight="1" x14ac:dyDescent="0.25">
      <c r="A256" s="1051" t="str">
        <f>IFERROR(IF(AND(B256&gt;0,B256/1),INDEX(Заказ!$B$412:$AV$3196,MATCH(B256,Заказ!$AV$412:$AV$3196,0),1),""),"")</f>
        <v/>
      </c>
      <c r="B256" s="1056" t="str">
        <f>IFERROR(IF(B255&gt;0,SMALL(Заказ!$AV$1:$AV$3196,1+B255),""),"")</f>
        <v/>
      </c>
      <c r="C256" s="1057" t="str">
        <f>IFERROR(IF(AND(B256&gt;0,B256/1),INDEX(Заказ!$B$1:$AV$3196,MATCH(B256,Заказ!$AV$1:$AV$3196,0),3),""),"")</f>
        <v/>
      </c>
      <c r="D256" s="1058" t="str">
        <f>IFERROR(IF(AND(B256&gt;0,B256/1),INDEX(Заказ!$B$1:$AV$3196,MATCH(B256,Заказ!$AV$1:$AV$3196,0),9),""),"")</f>
        <v/>
      </c>
      <c r="E256" s="1056" t="str">
        <f>IFERROR(IF(AND(B256&gt;0,B256/1),INDEX(Заказ!$B$1:$AV$3196,MATCH(B256,Заказ!$AV$1:$AV$3196,0),5),""),"")</f>
        <v/>
      </c>
      <c r="F256" s="1056" t="str">
        <f>IFERROR(IF(AND(B256&gt;0,B256/1),INDEX(Заказ!$B$1:$AV$3196,MATCH(B256,Заказ!$AV$1:$AV$3196,0),16)/INDEX(Заказ!$B$1:$AV$3196,MATCH(B256,Заказ!$AV$1:$AV$3196,0),5),""),"")</f>
        <v/>
      </c>
      <c r="G256" s="1059" t="str">
        <f>IFERROR(IF(AND(B256&gt;0,B256/1),INDEX(Заказ!$B$1:$AV$3196,MATCH(B256,Заказ!$AV$1:$AV$3196,0),16),""),"")</f>
        <v/>
      </c>
      <c r="H256" s="1"/>
    </row>
    <row r="257" spans="1:8" ht="12" customHeight="1" x14ac:dyDescent="0.25">
      <c r="A257" s="1051" t="str">
        <f>IFERROR(IF(AND(B257&gt;0,B257/1),INDEX(Заказ!$B$412:$AV$3196,MATCH(B257,Заказ!$AV$412:$AV$3196,0),1),""),"")</f>
        <v/>
      </c>
      <c r="B257" s="1056" t="str">
        <f>IFERROR(IF(B256&gt;0,SMALL(Заказ!$AV$1:$AV$3196,1+B256),""),"")</f>
        <v/>
      </c>
      <c r="C257" s="1057" t="str">
        <f>IFERROR(IF(AND(B257&gt;0,B257/1),INDEX(Заказ!$B$1:$AV$3196,MATCH(B257,Заказ!$AV$1:$AV$3196,0),3),""),"")</f>
        <v/>
      </c>
      <c r="D257" s="1058" t="str">
        <f>IFERROR(IF(AND(B257&gt;0,B257/1),INDEX(Заказ!$B$1:$AV$3196,MATCH(B257,Заказ!$AV$1:$AV$3196,0),9),""),"")</f>
        <v/>
      </c>
      <c r="E257" s="1056" t="str">
        <f>IFERROR(IF(AND(B257&gt;0,B257/1),INDEX(Заказ!$B$1:$AV$3196,MATCH(B257,Заказ!$AV$1:$AV$3196,0),5),""),"")</f>
        <v/>
      </c>
      <c r="F257" s="1056" t="str">
        <f>IFERROR(IF(AND(B257&gt;0,B257/1),INDEX(Заказ!$B$1:$AV$3196,MATCH(B257,Заказ!$AV$1:$AV$3196,0),16)/INDEX(Заказ!$B$1:$AV$3196,MATCH(B257,Заказ!$AV$1:$AV$3196,0),5),""),"")</f>
        <v/>
      </c>
      <c r="G257" s="1059" t="str">
        <f>IFERROR(IF(AND(B257&gt;0,B257/1),INDEX(Заказ!$B$1:$AV$3196,MATCH(B257,Заказ!$AV$1:$AV$3196,0),16),""),"")</f>
        <v/>
      </c>
      <c r="H257" s="1"/>
    </row>
    <row r="258" spans="1:8" ht="12" customHeight="1" x14ac:dyDescent="0.25">
      <c r="A258" s="1051" t="str">
        <f>IFERROR(IF(AND(B258&gt;0,B258/1),INDEX(Заказ!$B$412:$AV$3196,MATCH(B258,Заказ!$AV$412:$AV$3196,0),1),""),"")</f>
        <v/>
      </c>
      <c r="B258" s="1056" t="str">
        <f>IFERROR(IF(B257&gt;0,SMALL(Заказ!$AV$1:$AV$3196,1+B257),""),"")</f>
        <v/>
      </c>
      <c r="C258" s="1057" t="str">
        <f>IFERROR(IF(AND(B258&gt;0,B258/1),INDEX(Заказ!$B$1:$AV$3196,MATCH(B258,Заказ!$AV$1:$AV$3196,0),3),""),"")</f>
        <v/>
      </c>
      <c r="D258" s="1058" t="str">
        <f>IFERROR(IF(AND(B258&gt;0,B258/1),INDEX(Заказ!$B$1:$AV$3196,MATCH(B258,Заказ!$AV$1:$AV$3196,0),9),""),"")</f>
        <v/>
      </c>
      <c r="E258" s="1056" t="str">
        <f>IFERROR(IF(AND(B258&gt;0,B258/1),INDEX(Заказ!$B$1:$AV$3196,MATCH(B258,Заказ!$AV$1:$AV$3196,0),5),""),"")</f>
        <v/>
      </c>
      <c r="F258" s="1056" t="str">
        <f>IFERROR(IF(AND(B258&gt;0,B258/1),INDEX(Заказ!$B$1:$AV$3196,MATCH(B258,Заказ!$AV$1:$AV$3196,0),16)/INDEX(Заказ!$B$1:$AV$3196,MATCH(B258,Заказ!$AV$1:$AV$3196,0),5),""),"")</f>
        <v/>
      </c>
      <c r="G258" s="1059" t="str">
        <f>IFERROR(IF(AND(B258&gt;0,B258/1),INDEX(Заказ!$B$1:$AV$3196,MATCH(B258,Заказ!$AV$1:$AV$3196,0),16),""),"")</f>
        <v/>
      </c>
      <c r="H258" s="1"/>
    </row>
    <row r="259" spans="1:8" ht="12" customHeight="1" x14ac:dyDescent="0.25">
      <c r="A259" s="1051" t="str">
        <f>IFERROR(IF(AND(B259&gt;0,B259/1),INDEX(Заказ!$B$412:$AV$3196,MATCH(B259,Заказ!$AV$412:$AV$3196,0),1),""),"")</f>
        <v/>
      </c>
      <c r="B259" s="1056" t="str">
        <f>IFERROR(IF(B258&gt;0,SMALL(Заказ!$AV$1:$AV$3196,1+B258),""),"")</f>
        <v/>
      </c>
      <c r="C259" s="1057" t="str">
        <f>IFERROR(IF(AND(B259&gt;0,B259/1),INDEX(Заказ!$B$1:$AV$3196,MATCH(B259,Заказ!$AV$1:$AV$3196,0),3),""),"")</f>
        <v/>
      </c>
      <c r="D259" s="1058" t="str">
        <f>IFERROR(IF(AND(B259&gt;0,B259/1),INDEX(Заказ!$B$1:$AV$3196,MATCH(B259,Заказ!$AV$1:$AV$3196,0),9),""),"")</f>
        <v/>
      </c>
      <c r="E259" s="1056" t="str">
        <f>IFERROR(IF(AND(B259&gt;0,B259/1),INDEX(Заказ!$B$1:$AV$3196,MATCH(B259,Заказ!$AV$1:$AV$3196,0),5),""),"")</f>
        <v/>
      </c>
      <c r="F259" s="1056" t="str">
        <f>IFERROR(IF(AND(B259&gt;0,B259/1),INDEX(Заказ!$B$1:$AV$3196,MATCH(B259,Заказ!$AV$1:$AV$3196,0),16)/INDEX(Заказ!$B$1:$AV$3196,MATCH(B259,Заказ!$AV$1:$AV$3196,0),5),""),"")</f>
        <v/>
      </c>
      <c r="G259" s="1059" t="str">
        <f>IFERROR(IF(AND(B259&gt;0,B259/1),INDEX(Заказ!$B$1:$AV$3196,MATCH(B259,Заказ!$AV$1:$AV$3196,0),16),""),"")</f>
        <v/>
      </c>
      <c r="H259" s="1"/>
    </row>
    <row r="260" spans="1:8" ht="12" customHeight="1" x14ac:dyDescent="0.25">
      <c r="A260" s="1051" t="str">
        <f>IFERROR(IF(AND(B260&gt;0,B260/1),INDEX(Заказ!$B$412:$AV$3196,MATCH(B260,Заказ!$AV$412:$AV$3196,0),1),""),"")</f>
        <v/>
      </c>
      <c r="B260" s="1056" t="str">
        <f>IFERROR(IF(B259&gt;0,SMALL(Заказ!$AV$1:$AV$3196,1+B259),""),"")</f>
        <v/>
      </c>
      <c r="C260" s="1057" t="str">
        <f>IFERROR(IF(AND(B260&gt;0,B260/1),INDEX(Заказ!$B$1:$AV$3196,MATCH(B260,Заказ!$AV$1:$AV$3196,0),3),""),"")</f>
        <v/>
      </c>
      <c r="D260" s="1058" t="str">
        <f>IFERROR(IF(AND(B260&gt;0,B260/1),INDEX(Заказ!$B$1:$AV$3196,MATCH(B260,Заказ!$AV$1:$AV$3196,0),9),""),"")</f>
        <v/>
      </c>
      <c r="E260" s="1056" t="str">
        <f>IFERROR(IF(AND(B260&gt;0,B260/1),INDEX(Заказ!$B$1:$AV$3196,MATCH(B260,Заказ!$AV$1:$AV$3196,0),5),""),"")</f>
        <v/>
      </c>
      <c r="F260" s="1056" t="str">
        <f>IFERROR(IF(AND(B260&gt;0,B260/1),INDEX(Заказ!$B$1:$AV$3196,MATCH(B260,Заказ!$AV$1:$AV$3196,0),16)/INDEX(Заказ!$B$1:$AV$3196,MATCH(B260,Заказ!$AV$1:$AV$3196,0),5),""),"")</f>
        <v/>
      </c>
      <c r="G260" s="1059" t="str">
        <f>IFERROR(IF(AND(B260&gt;0,B260/1),INDEX(Заказ!$B$1:$AV$3196,MATCH(B260,Заказ!$AV$1:$AV$3196,0),16),""),"")</f>
        <v/>
      </c>
      <c r="H260" s="1"/>
    </row>
    <row r="261" spans="1:8" ht="12" customHeight="1" x14ac:dyDescent="0.25">
      <c r="A261" s="1051" t="str">
        <f>IFERROR(IF(AND(B261&gt;0,B261/1),INDEX(Заказ!$B$412:$AV$3196,MATCH(B261,Заказ!$AV$412:$AV$3196,0),1),""),"")</f>
        <v/>
      </c>
      <c r="B261" s="1056" t="str">
        <f>IFERROR(IF(B260&gt;0,SMALL(Заказ!$AV$1:$AV$3196,1+B260),""),"")</f>
        <v/>
      </c>
      <c r="C261" s="1057" t="str">
        <f>IFERROR(IF(AND(B261&gt;0,B261/1),INDEX(Заказ!$B$1:$AV$3196,MATCH(B261,Заказ!$AV$1:$AV$3196,0),3),""),"")</f>
        <v/>
      </c>
      <c r="D261" s="1058" t="str">
        <f>IFERROR(IF(AND(B261&gt;0,B261/1),INDEX(Заказ!$B$1:$AV$3196,MATCH(B261,Заказ!$AV$1:$AV$3196,0),9),""),"")</f>
        <v/>
      </c>
      <c r="E261" s="1056" t="str">
        <f>IFERROR(IF(AND(B261&gt;0,B261/1),INDEX(Заказ!$B$1:$AV$3196,MATCH(B261,Заказ!$AV$1:$AV$3196,0),5),""),"")</f>
        <v/>
      </c>
      <c r="F261" s="1056" t="str">
        <f>IFERROR(IF(AND(B261&gt;0,B261/1),INDEX(Заказ!$B$1:$AV$3196,MATCH(B261,Заказ!$AV$1:$AV$3196,0),16)/INDEX(Заказ!$B$1:$AV$3196,MATCH(B261,Заказ!$AV$1:$AV$3196,0),5),""),"")</f>
        <v/>
      </c>
      <c r="G261" s="1059" t="str">
        <f>IFERROR(IF(AND(B261&gt;0,B261/1),INDEX(Заказ!$B$1:$AV$3196,MATCH(B261,Заказ!$AV$1:$AV$3196,0),16),""),"")</f>
        <v/>
      </c>
      <c r="H261" s="1"/>
    </row>
    <row r="262" spans="1:8" ht="12" customHeight="1" x14ac:dyDescent="0.25">
      <c r="A262" s="1051" t="str">
        <f>IFERROR(IF(AND(B262&gt;0,B262/1),INDEX(Заказ!$B$412:$AV$3196,MATCH(B262,Заказ!$AV$412:$AV$3196,0),1),""),"")</f>
        <v/>
      </c>
      <c r="B262" s="1056" t="str">
        <f>IFERROR(IF(B261&gt;0,SMALL(Заказ!$AV$1:$AV$3196,1+B261),""),"")</f>
        <v/>
      </c>
      <c r="C262" s="1057" t="str">
        <f>IFERROR(IF(AND(B262&gt;0,B262/1),INDEX(Заказ!$B$1:$AV$3196,MATCH(B262,Заказ!$AV$1:$AV$3196,0),3),""),"")</f>
        <v/>
      </c>
      <c r="D262" s="1058" t="str">
        <f>IFERROR(IF(AND(B262&gt;0,B262/1),INDEX(Заказ!$B$1:$AV$3196,MATCH(B262,Заказ!$AV$1:$AV$3196,0),9),""),"")</f>
        <v/>
      </c>
      <c r="E262" s="1056" t="str">
        <f>IFERROR(IF(AND(B262&gt;0,B262/1),INDEX(Заказ!$B$1:$AV$3196,MATCH(B262,Заказ!$AV$1:$AV$3196,0),5),""),"")</f>
        <v/>
      </c>
      <c r="F262" s="1056" t="str">
        <f>IFERROR(IF(AND(B262&gt;0,B262/1),INDEX(Заказ!$B$1:$AV$3196,MATCH(B262,Заказ!$AV$1:$AV$3196,0),16)/INDEX(Заказ!$B$1:$AV$3196,MATCH(B262,Заказ!$AV$1:$AV$3196,0),5),""),"")</f>
        <v/>
      </c>
      <c r="G262" s="1059" t="str">
        <f>IFERROR(IF(AND(B262&gt;0,B262/1),INDEX(Заказ!$B$1:$AV$3196,MATCH(B262,Заказ!$AV$1:$AV$3196,0),16),""),"")</f>
        <v/>
      </c>
      <c r="H262" s="1"/>
    </row>
    <row r="263" spans="1:8" ht="12" customHeight="1" x14ac:dyDescent="0.25">
      <c r="A263" s="1051" t="str">
        <f>IFERROR(IF(AND(B263&gt;0,B263/1),INDEX(Заказ!$B$412:$AV$3196,MATCH(B263,Заказ!$AV$412:$AV$3196,0),1),""),"")</f>
        <v/>
      </c>
      <c r="B263" s="1056" t="str">
        <f>IFERROR(IF(B262&gt;0,SMALL(Заказ!$AV$1:$AV$3196,1+B262),""),"")</f>
        <v/>
      </c>
      <c r="C263" s="1057" t="str">
        <f>IFERROR(IF(AND(B263&gt;0,B263/1),INDEX(Заказ!$B$1:$AV$3196,MATCH(B263,Заказ!$AV$1:$AV$3196,0),3),""),"")</f>
        <v/>
      </c>
      <c r="D263" s="1058" t="str">
        <f>IFERROR(IF(AND(B263&gt;0,B263/1),INDEX(Заказ!$B$1:$AV$3196,MATCH(B263,Заказ!$AV$1:$AV$3196,0),9),""),"")</f>
        <v/>
      </c>
      <c r="E263" s="1056" t="str">
        <f>IFERROR(IF(AND(B263&gt;0,B263/1),INDEX(Заказ!$B$1:$AV$3196,MATCH(B263,Заказ!$AV$1:$AV$3196,0),5),""),"")</f>
        <v/>
      </c>
      <c r="F263" s="1056" t="str">
        <f>IFERROR(IF(AND(B263&gt;0,B263/1),INDEX(Заказ!$B$1:$AV$3196,MATCH(B263,Заказ!$AV$1:$AV$3196,0),16)/INDEX(Заказ!$B$1:$AV$3196,MATCH(B263,Заказ!$AV$1:$AV$3196,0),5),""),"")</f>
        <v/>
      </c>
      <c r="G263" s="1059" t="str">
        <f>IFERROR(IF(AND(B263&gt;0,B263/1),INDEX(Заказ!$B$1:$AV$3196,MATCH(B263,Заказ!$AV$1:$AV$3196,0),16),""),"")</f>
        <v/>
      </c>
      <c r="H263" s="1"/>
    </row>
    <row r="264" spans="1:8" ht="12" customHeight="1" x14ac:dyDescent="0.25">
      <c r="A264" s="1051" t="str">
        <f>IFERROR(IF(AND(B264&gt;0,B264/1),INDEX(Заказ!$B$412:$AV$3196,MATCH(B264,Заказ!$AV$412:$AV$3196,0),1),""),"")</f>
        <v/>
      </c>
      <c r="B264" s="1056" t="str">
        <f>IFERROR(IF(B263&gt;0,SMALL(Заказ!$AV$1:$AV$3196,1+B263),""),"")</f>
        <v/>
      </c>
      <c r="C264" s="1057" t="str">
        <f>IFERROR(IF(AND(B264&gt;0,B264/1),INDEX(Заказ!$B$1:$AV$3196,MATCH(B264,Заказ!$AV$1:$AV$3196,0),3),""),"")</f>
        <v/>
      </c>
      <c r="D264" s="1058" t="str">
        <f>IFERROR(IF(AND(B264&gt;0,B264/1),INDEX(Заказ!$B$1:$AV$3196,MATCH(B264,Заказ!$AV$1:$AV$3196,0),9),""),"")</f>
        <v/>
      </c>
      <c r="E264" s="1056" t="str">
        <f>IFERROR(IF(AND(B264&gt;0,B264/1),INDEX(Заказ!$B$1:$AV$3196,MATCH(B264,Заказ!$AV$1:$AV$3196,0),5),""),"")</f>
        <v/>
      </c>
      <c r="F264" s="1056" t="str">
        <f>IFERROR(IF(AND(B264&gt;0,B264/1),INDEX(Заказ!$B$1:$AV$3196,MATCH(B264,Заказ!$AV$1:$AV$3196,0),16)/INDEX(Заказ!$B$1:$AV$3196,MATCH(B264,Заказ!$AV$1:$AV$3196,0),5),""),"")</f>
        <v/>
      </c>
      <c r="G264" s="1059" t="str">
        <f>IFERROR(IF(AND(B264&gt;0,B264/1),INDEX(Заказ!$B$1:$AV$3196,MATCH(B264,Заказ!$AV$1:$AV$3196,0),16),""),"")</f>
        <v/>
      </c>
      <c r="H264" s="1"/>
    </row>
    <row r="265" spans="1:8" ht="12" customHeight="1" x14ac:dyDescent="0.25">
      <c r="A265" s="1051" t="str">
        <f>IFERROR(IF(AND(B265&gt;0,B265/1),INDEX(Заказ!$B$412:$AV$3196,MATCH(B265,Заказ!$AV$412:$AV$3196,0),1),""),"")</f>
        <v/>
      </c>
      <c r="B265" s="1056" t="str">
        <f>IFERROR(IF(B264&gt;0,SMALL(Заказ!$AV$1:$AV$3196,1+B264),""),"")</f>
        <v/>
      </c>
      <c r="C265" s="1057" t="str">
        <f>IFERROR(IF(AND(B265&gt;0,B265/1),INDEX(Заказ!$B$1:$AV$3196,MATCH(B265,Заказ!$AV$1:$AV$3196,0),3),""),"")</f>
        <v/>
      </c>
      <c r="D265" s="1058" t="str">
        <f>IFERROR(IF(AND(B265&gt;0,B265/1),INDEX(Заказ!$B$1:$AV$3196,MATCH(B265,Заказ!$AV$1:$AV$3196,0),9),""),"")</f>
        <v/>
      </c>
      <c r="E265" s="1056" t="str">
        <f>IFERROR(IF(AND(B265&gt;0,B265/1),INDEX(Заказ!$B$1:$AV$3196,MATCH(B265,Заказ!$AV$1:$AV$3196,0),5),""),"")</f>
        <v/>
      </c>
      <c r="F265" s="1056" t="str">
        <f>IFERROR(IF(AND(B265&gt;0,B265/1),INDEX(Заказ!$B$1:$AV$3196,MATCH(B265,Заказ!$AV$1:$AV$3196,0),16)/INDEX(Заказ!$B$1:$AV$3196,MATCH(B265,Заказ!$AV$1:$AV$3196,0),5),""),"")</f>
        <v/>
      </c>
      <c r="G265" s="1059" t="str">
        <f>IFERROR(IF(AND(B265&gt;0,B265/1),INDEX(Заказ!$B$1:$AV$3196,MATCH(B265,Заказ!$AV$1:$AV$3196,0),16),""),"")</f>
        <v/>
      </c>
      <c r="H265" s="1"/>
    </row>
    <row r="266" spans="1:8" ht="12" customHeight="1" x14ac:dyDescent="0.25">
      <c r="A266" s="1051" t="str">
        <f>IFERROR(IF(AND(B266&gt;0,B266/1),INDEX(Заказ!$B$412:$AV$3196,MATCH(B266,Заказ!$AV$412:$AV$3196,0),1),""),"")</f>
        <v/>
      </c>
      <c r="B266" s="1056" t="str">
        <f>IFERROR(IF(B265&gt;0,SMALL(Заказ!$AV$1:$AV$3196,1+B265),""),"")</f>
        <v/>
      </c>
      <c r="C266" s="1057" t="str">
        <f>IFERROR(IF(AND(B266&gt;0,B266/1),INDEX(Заказ!$B$1:$AV$3196,MATCH(B266,Заказ!$AV$1:$AV$3196,0),3),""),"")</f>
        <v/>
      </c>
      <c r="D266" s="1058" t="str">
        <f>IFERROR(IF(AND(B266&gt;0,B266/1),INDEX(Заказ!$B$1:$AV$3196,MATCH(B266,Заказ!$AV$1:$AV$3196,0),9),""),"")</f>
        <v/>
      </c>
      <c r="E266" s="1056" t="str">
        <f>IFERROR(IF(AND(B266&gt;0,B266/1),INDEX(Заказ!$B$1:$AV$3196,MATCH(B266,Заказ!$AV$1:$AV$3196,0),5),""),"")</f>
        <v/>
      </c>
      <c r="F266" s="1056" t="str">
        <f>IFERROR(IF(AND(B266&gt;0,B266/1),INDEX(Заказ!$B$1:$AV$3196,MATCH(B266,Заказ!$AV$1:$AV$3196,0),16)/INDEX(Заказ!$B$1:$AV$3196,MATCH(B266,Заказ!$AV$1:$AV$3196,0),5),""),"")</f>
        <v/>
      </c>
      <c r="G266" s="1059" t="str">
        <f>IFERROR(IF(AND(B266&gt;0,B266/1),INDEX(Заказ!$B$1:$AV$3196,MATCH(B266,Заказ!$AV$1:$AV$3196,0),16),""),"")</f>
        <v/>
      </c>
      <c r="H266" s="1"/>
    </row>
    <row r="267" spans="1:8" ht="12" customHeight="1" x14ac:dyDescent="0.25">
      <c r="A267" s="1051" t="str">
        <f>IFERROR(IF(AND(B267&gt;0,B267/1),INDEX(Заказ!$B$412:$AV$3196,MATCH(B267,Заказ!$AV$412:$AV$3196,0),1),""),"")</f>
        <v/>
      </c>
      <c r="B267" s="1056" t="str">
        <f>IFERROR(IF(B266&gt;0,SMALL(Заказ!$AV$1:$AV$3196,1+B266),""),"")</f>
        <v/>
      </c>
      <c r="C267" s="1057" t="str">
        <f>IFERROR(IF(AND(B267&gt;0,B267/1),INDEX(Заказ!$B$1:$AV$3196,MATCH(B267,Заказ!$AV$1:$AV$3196,0),3),""),"")</f>
        <v/>
      </c>
      <c r="D267" s="1058" t="str">
        <f>IFERROR(IF(AND(B267&gt;0,B267/1),INDEX(Заказ!$B$1:$AV$3196,MATCH(B267,Заказ!$AV$1:$AV$3196,0),9),""),"")</f>
        <v/>
      </c>
      <c r="E267" s="1056" t="str">
        <f>IFERROR(IF(AND(B267&gt;0,B267/1),INDEX(Заказ!$B$1:$AV$3196,MATCH(B267,Заказ!$AV$1:$AV$3196,0),5),""),"")</f>
        <v/>
      </c>
      <c r="F267" s="1056" t="str">
        <f>IFERROR(IF(AND(B267&gt;0,B267/1),INDEX(Заказ!$B$1:$AV$3196,MATCH(B267,Заказ!$AV$1:$AV$3196,0),16)/INDEX(Заказ!$B$1:$AV$3196,MATCH(B267,Заказ!$AV$1:$AV$3196,0),5),""),"")</f>
        <v/>
      </c>
      <c r="G267" s="1059" t="str">
        <f>IFERROR(IF(AND(B267&gt;0,B267/1),INDEX(Заказ!$B$1:$AV$3196,MATCH(B267,Заказ!$AV$1:$AV$3196,0),16),""),"")</f>
        <v/>
      </c>
      <c r="H267" s="1"/>
    </row>
    <row r="268" spans="1:8" ht="12" customHeight="1" x14ac:dyDescent="0.25">
      <c r="A268" s="1051" t="str">
        <f>IFERROR(IF(AND(B268&gt;0,B268/1),INDEX(Заказ!$B$412:$AV$3196,MATCH(B268,Заказ!$AV$412:$AV$3196,0),1),""),"")</f>
        <v/>
      </c>
      <c r="B268" s="1056" t="str">
        <f>IFERROR(IF(B267&gt;0,SMALL(Заказ!$AV$1:$AV$3196,1+B267),""),"")</f>
        <v/>
      </c>
      <c r="C268" s="1057" t="str">
        <f>IFERROR(IF(AND(B268&gt;0,B268/1),INDEX(Заказ!$B$1:$AV$3196,MATCH(B268,Заказ!$AV$1:$AV$3196,0),3),""),"")</f>
        <v/>
      </c>
      <c r="D268" s="1058" t="str">
        <f>IFERROR(IF(AND(B268&gt;0,B268/1),INDEX(Заказ!$B$1:$AV$3196,MATCH(B268,Заказ!$AV$1:$AV$3196,0),9),""),"")</f>
        <v/>
      </c>
      <c r="E268" s="1056" t="str">
        <f>IFERROR(IF(AND(B268&gt;0,B268/1),INDEX(Заказ!$B$1:$AV$3196,MATCH(B268,Заказ!$AV$1:$AV$3196,0),5),""),"")</f>
        <v/>
      </c>
      <c r="F268" s="1056" t="str">
        <f>IFERROR(IF(AND(B268&gt;0,B268/1),INDEX(Заказ!$B$1:$AV$3196,MATCH(B268,Заказ!$AV$1:$AV$3196,0),16)/INDEX(Заказ!$B$1:$AV$3196,MATCH(B268,Заказ!$AV$1:$AV$3196,0),5),""),"")</f>
        <v/>
      </c>
      <c r="G268" s="1059" t="str">
        <f>IFERROR(IF(AND(B268&gt;0,B268/1),INDEX(Заказ!$B$1:$AV$3196,MATCH(B268,Заказ!$AV$1:$AV$3196,0),16),""),"")</f>
        <v/>
      </c>
      <c r="H268" s="1"/>
    </row>
    <row r="269" spans="1:8" ht="12" customHeight="1" x14ac:dyDescent="0.25">
      <c r="A269" s="1051" t="str">
        <f>IFERROR(IF(AND(B269&gt;0,B269/1),INDEX(Заказ!$B$412:$AV$3196,MATCH(B269,Заказ!$AV$412:$AV$3196,0),1),""),"")</f>
        <v/>
      </c>
      <c r="B269" s="1056" t="str">
        <f>IFERROR(IF(B268&gt;0,SMALL(Заказ!$AV$1:$AV$3196,1+B268),""),"")</f>
        <v/>
      </c>
      <c r="C269" s="1057" t="str">
        <f>IFERROR(IF(AND(B269&gt;0,B269/1),INDEX(Заказ!$B$1:$AV$3196,MATCH(B269,Заказ!$AV$1:$AV$3196,0),3),""),"")</f>
        <v/>
      </c>
      <c r="D269" s="1058" t="str">
        <f>IFERROR(IF(AND(B269&gt;0,B269/1),INDEX(Заказ!$B$1:$AV$3196,MATCH(B269,Заказ!$AV$1:$AV$3196,0),9),""),"")</f>
        <v/>
      </c>
      <c r="E269" s="1056" t="str">
        <f>IFERROR(IF(AND(B269&gt;0,B269/1),INDEX(Заказ!$B$1:$AV$3196,MATCH(B269,Заказ!$AV$1:$AV$3196,0),5),""),"")</f>
        <v/>
      </c>
      <c r="F269" s="1056" t="str">
        <f>IFERROR(IF(AND(B269&gt;0,B269/1),INDEX(Заказ!$B$1:$AV$3196,MATCH(B269,Заказ!$AV$1:$AV$3196,0),16)/INDEX(Заказ!$B$1:$AV$3196,MATCH(B269,Заказ!$AV$1:$AV$3196,0),5),""),"")</f>
        <v/>
      </c>
      <c r="G269" s="1059" t="str">
        <f>IFERROR(IF(AND(B269&gt;0,B269/1),INDEX(Заказ!$B$1:$AV$3196,MATCH(B269,Заказ!$AV$1:$AV$3196,0),16),""),"")</f>
        <v/>
      </c>
      <c r="H269" s="1"/>
    </row>
    <row r="270" spans="1:8" ht="12" customHeight="1" x14ac:dyDescent="0.25">
      <c r="A270" s="1051" t="str">
        <f>IFERROR(IF(AND(B270&gt;0,B270/1),INDEX(Заказ!$B$412:$AV$3196,MATCH(B270,Заказ!$AV$412:$AV$3196,0),1),""),"")</f>
        <v/>
      </c>
      <c r="B270" s="1056" t="str">
        <f>IFERROR(IF(B269&gt;0,SMALL(Заказ!$AV$1:$AV$3196,1+B269),""),"")</f>
        <v/>
      </c>
      <c r="C270" s="1057" t="str">
        <f>IFERROR(IF(AND(B270&gt;0,B270/1),INDEX(Заказ!$B$1:$AV$3196,MATCH(B270,Заказ!$AV$1:$AV$3196,0),3),""),"")</f>
        <v/>
      </c>
      <c r="D270" s="1058" t="str">
        <f>IFERROR(IF(AND(B270&gt;0,B270/1),INDEX(Заказ!$B$1:$AV$3196,MATCH(B270,Заказ!$AV$1:$AV$3196,0),9),""),"")</f>
        <v/>
      </c>
      <c r="E270" s="1056" t="str">
        <f>IFERROR(IF(AND(B270&gt;0,B270/1),INDEX(Заказ!$B$1:$AV$3196,MATCH(B270,Заказ!$AV$1:$AV$3196,0),5),""),"")</f>
        <v/>
      </c>
      <c r="F270" s="1056" t="str">
        <f>IFERROR(IF(AND(B270&gt;0,B270/1),INDEX(Заказ!$B$1:$AV$3196,MATCH(B270,Заказ!$AV$1:$AV$3196,0),16)/INDEX(Заказ!$B$1:$AV$3196,MATCH(B270,Заказ!$AV$1:$AV$3196,0),5),""),"")</f>
        <v/>
      </c>
      <c r="G270" s="1059" t="str">
        <f>IFERROR(IF(AND(B270&gt;0,B270/1),INDEX(Заказ!$B$1:$AV$3196,MATCH(B270,Заказ!$AV$1:$AV$3196,0),16),""),"")</f>
        <v/>
      </c>
      <c r="H270" s="1"/>
    </row>
    <row r="271" spans="1:8" ht="12" customHeight="1" x14ac:dyDescent="0.25">
      <c r="A271" s="1051" t="str">
        <f>IFERROR(IF(AND(B271&gt;0,B271/1),INDEX(Заказ!$B$412:$AV$3196,MATCH(B271,Заказ!$AV$412:$AV$3196,0),1),""),"")</f>
        <v/>
      </c>
      <c r="B271" s="1056" t="str">
        <f>IFERROR(IF(B270&gt;0,SMALL(Заказ!$AV$1:$AV$3196,1+B270),""),"")</f>
        <v/>
      </c>
      <c r="C271" s="1057" t="str">
        <f>IFERROR(IF(AND(B271&gt;0,B271/1),INDEX(Заказ!$B$1:$AV$3196,MATCH(B271,Заказ!$AV$1:$AV$3196,0),3),""),"")</f>
        <v/>
      </c>
      <c r="D271" s="1058" t="str">
        <f>IFERROR(IF(AND(B271&gt;0,B271/1),INDEX(Заказ!$B$1:$AV$3196,MATCH(B271,Заказ!$AV$1:$AV$3196,0),9),""),"")</f>
        <v/>
      </c>
      <c r="E271" s="1056" t="str">
        <f>IFERROR(IF(AND(B271&gt;0,B271/1),INDEX(Заказ!$B$1:$AV$3196,MATCH(B271,Заказ!$AV$1:$AV$3196,0),5),""),"")</f>
        <v/>
      </c>
      <c r="F271" s="1056" t="str">
        <f>IFERROR(IF(AND(B271&gt;0,B271/1),INDEX(Заказ!$B$1:$AV$3196,MATCH(B271,Заказ!$AV$1:$AV$3196,0),16)/INDEX(Заказ!$B$1:$AV$3196,MATCH(B271,Заказ!$AV$1:$AV$3196,0),5),""),"")</f>
        <v/>
      </c>
      <c r="G271" s="1059" t="str">
        <f>IFERROR(IF(AND(B271&gt;0,B271/1),INDEX(Заказ!$B$1:$AV$3196,MATCH(B271,Заказ!$AV$1:$AV$3196,0),16),""),"")</f>
        <v/>
      </c>
      <c r="H271" s="1"/>
    </row>
    <row r="272" spans="1:8" ht="12" customHeight="1" x14ac:dyDescent="0.25">
      <c r="A272" s="1051" t="str">
        <f>IFERROR(IF(AND(B272&gt;0,B272/1),INDEX(Заказ!$B$412:$AV$3196,MATCH(B272,Заказ!$AV$412:$AV$3196,0),1),""),"")</f>
        <v/>
      </c>
      <c r="B272" s="1056" t="str">
        <f>IFERROR(IF(B271&gt;0,SMALL(Заказ!$AV$1:$AV$3196,1+B271),""),"")</f>
        <v/>
      </c>
      <c r="C272" s="1057" t="str">
        <f>IFERROR(IF(AND(B272&gt;0,B272/1),INDEX(Заказ!$B$1:$AV$3196,MATCH(B272,Заказ!$AV$1:$AV$3196,0),3),""),"")</f>
        <v/>
      </c>
      <c r="D272" s="1058" t="str">
        <f>IFERROR(IF(AND(B272&gt;0,B272/1),INDEX(Заказ!$B$1:$AV$3196,MATCH(B272,Заказ!$AV$1:$AV$3196,0),9),""),"")</f>
        <v/>
      </c>
      <c r="E272" s="1056" t="str">
        <f>IFERROR(IF(AND(B272&gt;0,B272/1),INDEX(Заказ!$B$1:$AV$3196,MATCH(B272,Заказ!$AV$1:$AV$3196,0),5),""),"")</f>
        <v/>
      </c>
      <c r="F272" s="1056" t="str">
        <f>IFERROR(IF(AND(B272&gt;0,B272/1),INDEX(Заказ!$B$1:$AV$3196,MATCH(B272,Заказ!$AV$1:$AV$3196,0),16)/INDEX(Заказ!$B$1:$AV$3196,MATCH(B272,Заказ!$AV$1:$AV$3196,0),5),""),"")</f>
        <v/>
      </c>
      <c r="G272" s="1059" t="str">
        <f>IFERROR(IF(AND(B272&gt;0,B272/1),INDEX(Заказ!$B$1:$AV$3196,MATCH(B272,Заказ!$AV$1:$AV$3196,0),16),""),"")</f>
        <v/>
      </c>
      <c r="H272" s="1"/>
    </row>
    <row r="273" spans="1:8" ht="12" customHeight="1" x14ac:dyDescent="0.25">
      <c r="A273" s="1051" t="str">
        <f>IFERROR(IF(AND(B273&gt;0,B273/1),INDEX(Заказ!$B$412:$AV$3196,MATCH(B273,Заказ!$AV$412:$AV$3196,0),1),""),"")</f>
        <v/>
      </c>
      <c r="B273" s="1056" t="str">
        <f>IFERROR(IF(B272&gt;0,SMALL(Заказ!$AV$1:$AV$3196,1+B272),""),"")</f>
        <v/>
      </c>
      <c r="C273" s="1057" t="str">
        <f>IFERROR(IF(AND(B273&gt;0,B273/1),INDEX(Заказ!$B$1:$AV$3196,MATCH(B273,Заказ!$AV$1:$AV$3196,0),3),""),"")</f>
        <v/>
      </c>
      <c r="D273" s="1058" t="str">
        <f>IFERROR(IF(AND(B273&gt;0,B273/1),INDEX(Заказ!$B$1:$AV$3196,MATCH(B273,Заказ!$AV$1:$AV$3196,0),9),""),"")</f>
        <v/>
      </c>
      <c r="E273" s="1056" t="str">
        <f>IFERROR(IF(AND(B273&gt;0,B273/1),INDEX(Заказ!$B$1:$AV$3196,MATCH(B273,Заказ!$AV$1:$AV$3196,0),5),""),"")</f>
        <v/>
      </c>
      <c r="F273" s="1056" t="str">
        <f>IFERROR(IF(AND(B273&gt;0,B273/1),INDEX(Заказ!$B$1:$AV$3196,MATCH(B273,Заказ!$AV$1:$AV$3196,0),16)/INDEX(Заказ!$B$1:$AV$3196,MATCH(B273,Заказ!$AV$1:$AV$3196,0),5),""),"")</f>
        <v/>
      </c>
      <c r="G273" s="1059" t="str">
        <f>IFERROR(IF(AND(B273&gt;0,B273/1),INDEX(Заказ!$B$1:$AV$3196,MATCH(B273,Заказ!$AV$1:$AV$3196,0),16),""),"")</f>
        <v/>
      </c>
      <c r="H273" s="1"/>
    </row>
    <row r="274" spans="1:8" ht="12" customHeight="1" x14ac:dyDescent="0.25">
      <c r="A274" s="1051" t="str">
        <f>IFERROR(IF(AND(B274&gt;0,B274/1),INDEX(Заказ!$B$412:$AV$3196,MATCH(B274,Заказ!$AV$412:$AV$3196,0),1),""),"")</f>
        <v/>
      </c>
      <c r="B274" s="1056" t="str">
        <f>IFERROR(IF(B273&gt;0,SMALL(Заказ!$AV$1:$AV$3196,1+B273),""),"")</f>
        <v/>
      </c>
      <c r="C274" s="1057" t="str">
        <f>IFERROR(IF(AND(B274&gt;0,B274/1),INDEX(Заказ!$B$1:$AV$3196,MATCH(B274,Заказ!$AV$1:$AV$3196,0),3),""),"")</f>
        <v/>
      </c>
      <c r="D274" s="1058" t="str">
        <f>IFERROR(IF(AND(B274&gt;0,B274/1),INDEX(Заказ!$B$1:$AV$3196,MATCH(B274,Заказ!$AV$1:$AV$3196,0),9),""),"")</f>
        <v/>
      </c>
      <c r="E274" s="1056" t="str">
        <f>IFERROR(IF(AND(B274&gt;0,B274/1),INDEX(Заказ!$B$1:$AV$3196,MATCH(B274,Заказ!$AV$1:$AV$3196,0),5),""),"")</f>
        <v/>
      </c>
      <c r="F274" s="1056" t="str">
        <f>IFERROR(IF(AND(B274&gt;0,B274/1),INDEX(Заказ!$B$1:$AV$3196,MATCH(B274,Заказ!$AV$1:$AV$3196,0),16)/INDEX(Заказ!$B$1:$AV$3196,MATCH(B274,Заказ!$AV$1:$AV$3196,0),5),""),"")</f>
        <v/>
      </c>
      <c r="G274" s="1059" t="str">
        <f>IFERROR(IF(AND(B274&gt;0,B274/1),INDEX(Заказ!$B$1:$AV$3196,MATCH(B274,Заказ!$AV$1:$AV$3196,0),16),""),"")</f>
        <v/>
      </c>
      <c r="H274" s="1"/>
    </row>
    <row r="275" spans="1:8" ht="12" customHeight="1" x14ac:dyDescent="0.25">
      <c r="A275" s="1051" t="str">
        <f>IFERROR(IF(AND(B275&gt;0,B275/1),INDEX(Заказ!$B$412:$AV$3196,MATCH(B275,Заказ!$AV$412:$AV$3196,0),1),""),"")</f>
        <v/>
      </c>
      <c r="B275" s="1056" t="str">
        <f>IFERROR(IF(B274&gt;0,SMALL(Заказ!$AV$1:$AV$3196,1+B274),""),"")</f>
        <v/>
      </c>
      <c r="C275" s="1057" t="str">
        <f>IFERROR(IF(AND(B275&gt;0,B275/1),INDEX(Заказ!$B$1:$AV$3196,MATCH(B275,Заказ!$AV$1:$AV$3196,0),3),""),"")</f>
        <v/>
      </c>
      <c r="D275" s="1058" t="str">
        <f>IFERROR(IF(AND(B275&gt;0,B275/1),INDEX(Заказ!$B$1:$AV$3196,MATCH(B275,Заказ!$AV$1:$AV$3196,0),9),""),"")</f>
        <v/>
      </c>
      <c r="E275" s="1056" t="str">
        <f>IFERROR(IF(AND(B275&gt;0,B275/1),INDEX(Заказ!$B$1:$AV$3196,MATCH(B275,Заказ!$AV$1:$AV$3196,0),5),""),"")</f>
        <v/>
      </c>
      <c r="F275" s="1056" t="str">
        <f>IFERROR(IF(AND(B275&gt;0,B275/1),INDEX(Заказ!$B$1:$AV$3196,MATCH(B275,Заказ!$AV$1:$AV$3196,0),16)/INDEX(Заказ!$B$1:$AV$3196,MATCH(B275,Заказ!$AV$1:$AV$3196,0),5),""),"")</f>
        <v/>
      </c>
      <c r="G275" s="1059" t="str">
        <f>IFERROR(IF(AND(B275&gt;0,B275/1),INDEX(Заказ!$B$1:$AV$3196,MATCH(B275,Заказ!$AV$1:$AV$3196,0),16),""),"")</f>
        <v/>
      </c>
      <c r="H275" s="1"/>
    </row>
    <row r="276" spans="1:8" ht="12" customHeight="1" x14ac:dyDescent="0.25">
      <c r="A276" s="1051" t="str">
        <f>IFERROR(IF(AND(B276&gt;0,B276/1),INDEX(Заказ!$B$412:$AV$3196,MATCH(B276,Заказ!$AV$412:$AV$3196,0),1),""),"")</f>
        <v/>
      </c>
      <c r="B276" s="1056" t="str">
        <f>IFERROR(IF(B275&gt;0,SMALL(Заказ!$AV$1:$AV$3196,1+B275),""),"")</f>
        <v/>
      </c>
      <c r="C276" s="1057" t="str">
        <f>IFERROR(IF(AND(B276&gt;0,B276/1),INDEX(Заказ!$B$1:$AV$3196,MATCH(B276,Заказ!$AV$1:$AV$3196,0),3),""),"")</f>
        <v/>
      </c>
      <c r="D276" s="1058" t="str">
        <f>IFERROR(IF(AND(B276&gt;0,B276/1),INDEX(Заказ!$B$1:$AV$3196,MATCH(B276,Заказ!$AV$1:$AV$3196,0),9),""),"")</f>
        <v/>
      </c>
      <c r="E276" s="1056" t="str">
        <f>IFERROR(IF(AND(B276&gt;0,B276/1),INDEX(Заказ!$B$1:$AV$3196,MATCH(B276,Заказ!$AV$1:$AV$3196,0),5),""),"")</f>
        <v/>
      </c>
      <c r="F276" s="1056" t="str">
        <f>IFERROR(IF(AND(B276&gt;0,B276/1),INDEX(Заказ!$B$1:$AV$3196,MATCH(B276,Заказ!$AV$1:$AV$3196,0),16)/INDEX(Заказ!$B$1:$AV$3196,MATCH(B276,Заказ!$AV$1:$AV$3196,0),5),""),"")</f>
        <v/>
      </c>
      <c r="G276" s="1059" t="str">
        <f>IFERROR(IF(AND(B276&gt;0,B276/1),INDEX(Заказ!$B$1:$AV$3196,MATCH(B276,Заказ!$AV$1:$AV$3196,0),16),""),"")</f>
        <v/>
      </c>
      <c r="H276" s="1"/>
    </row>
    <row r="277" spans="1:8" ht="12" customHeight="1" x14ac:dyDescent="0.25">
      <c r="A277" s="1051" t="str">
        <f>IFERROR(IF(AND(B277&gt;0,B277/1),INDEX(Заказ!$B$412:$AV$3196,MATCH(B277,Заказ!$AV$412:$AV$3196,0),1),""),"")</f>
        <v/>
      </c>
      <c r="B277" s="1056" t="str">
        <f>IFERROR(IF(B276&gt;0,SMALL(Заказ!$AV$1:$AV$3196,1+B276),""),"")</f>
        <v/>
      </c>
      <c r="C277" s="1057" t="str">
        <f>IFERROR(IF(AND(B277&gt;0,B277/1),INDEX(Заказ!$B$1:$AV$3196,MATCH(B277,Заказ!$AV$1:$AV$3196,0),3),""),"")</f>
        <v/>
      </c>
      <c r="D277" s="1058" t="str">
        <f>IFERROR(IF(AND(B277&gt;0,B277/1),INDEX(Заказ!$B$1:$AV$3196,MATCH(B277,Заказ!$AV$1:$AV$3196,0),9),""),"")</f>
        <v/>
      </c>
      <c r="E277" s="1056" t="str">
        <f>IFERROR(IF(AND(B277&gt;0,B277/1),INDEX(Заказ!$B$1:$AV$3196,MATCH(B277,Заказ!$AV$1:$AV$3196,0),5),""),"")</f>
        <v/>
      </c>
      <c r="F277" s="1056" t="str">
        <f>IFERROR(IF(AND(B277&gt;0,B277/1),INDEX(Заказ!$B$1:$AV$3196,MATCH(B277,Заказ!$AV$1:$AV$3196,0),16)/INDEX(Заказ!$B$1:$AV$3196,MATCH(B277,Заказ!$AV$1:$AV$3196,0),5),""),"")</f>
        <v/>
      </c>
      <c r="G277" s="1059" t="str">
        <f>IFERROR(IF(AND(B277&gt;0,B277/1),INDEX(Заказ!$B$1:$AV$3196,MATCH(B277,Заказ!$AV$1:$AV$3196,0),16),""),"")</f>
        <v/>
      </c>
      <c r="H277" s="1"/>
    </row>
    <row r="278" spans="1:8" ht="12" customHeight="1" x14ac:dyDescent="0.25">
      <c r="A278" s="1051" t="str">
        <f>IFERROR(IF(AND(B278&gt;0,B278/1),INDEX(Заказ!$B$412:$AV$3196,MATCH(B278,Заказ!$AV$412:$AV$3196,0),1),""),"")</f>
        <v/>
      </c>
      <c r="B278" s="1056" t="str">
        <f>IFERROR(IF(B277&gt;0,SMALL(Заказ!$AV$1:$AV$3196,1+B277),""),"")</f>
        <v/>
      </c>
      <c r="C278" s="1057" t="str">
        <f>IFERROR(IF(AND(B278&gt;0,B278/1),INDEX(Заказ!$B$1:$AV$3196,MATCH(B278,Заказ!$AV$1:$AV$3196,0),3),""),"")</f>
        <v/>
      </c>
      <c r="D278" s="1058" t="str">
        <f>IFERROR(IF(AND(B278&gt;0,B278/1),INDEX(Заказ!$B$1:$AV$3196,MATCH(B278,Заказ!$AV$1:$AV$3196,0),9),""),"")</f>
        <v/>
      </c>
      <c r="E278" s="1056" t="str">
        <f>IFERROR(IF(AND(B278&gt;0,B278/1),INDEX(Заказ!$B$1:$AV$3196,MATCH(B278,Заказ!$AV$1:$AV$3196,0),5),""),"")</f>
        <v/>
      </c>
      <c r="F278" s="1056" t="str">
        <f>IFERROR(IF(AND(B278&gt;0,B278/1),INDEX(Заказ!$B$1:$AV$3196,MATCH(B278,Заказ!$AV$1:$AV$3196,0),16)/INDEX(Заказ!$B$1:$AV$3196,MATCH(B278,Заказ!$AV$1:$AV$3196,0),5),""),"")</f>
        <v/>
      </c>
      <c r="G278" s="1059" t="str">
        <f>IFERROR(IF(AND(B278&gt;0,B278/1),INDEX(Заказ!$B$1:$AV$3196,MATCH(B278,Заказ!$AV$1:$AV$3196,0),16),""),"")</f>
        <v/>
      </c>
      <c r="H278" s="1"/>
    </row>
    <row r="279" spans="1:8" ht="12" customHeight="1" x14ac:dyDescent="0.25">
      <c r="A279" s="1051" t="str">
        <f>IFERROR(IF(AND(B279&gt;0,B279/1),INDEX(Заказ!$B$412:$AV$3196,MATCH(B279,Заказ!$AV$412:$AV$3196,0),1),""),"")</f>
        <v/>
      </c>
      <c r="B279" s="1056" t="str">
        <f>IFERROR(IF(B278&gt;0,SMALL(Заказ!$AV$1:$AV$3196,1+B278),""),"")</f>
        <v/>
      </c>
      <c r="C279" s="1057" t="str">
        <f>IFERROR(IF(AND(B279&gt;0,B279/1),INDEX(Заказ!$B$1:$AV$3196,MATCH(B279,Заказ!$AV$1:$AV$3196,0),3),""),"")</f>
        <v/>
      </c>
      <c r="D279" s="1058" t="str">
        <f>IFERROR(IF(AND(B279&gt;0,B279/1),INDEX(Заказ!$B$1:$AV$3196,MATCH(B279,Заказ!$AV$1:$AV$3196,0),9),""),"")</f>
        <v/>
      </c>
      <c r="E279" s="1056" t="str">
        <f>IFERROR(IF(AND(B279&gt;0,B279/1),INDEX(Заказ!$B$1:$AV$3196,MATCH(B279,Заказ!$AV$1:$AV$3196,0),5),""),"")</f>
        <v/>
      </c>
      <c r="F279" s="1056" t="str">
        <f>IFERROR(IF(AND(B279&gt;0,B279/1),INDEX(Заказ!$B$1:$AV$3196,MATCH(B279,Заказ!$AV$1:$AV$3196,0),16)/INDEX(Заказ!$B$1:$AV$3196,MATCH(B279,Заказ!$AV$1:$AV$3196,0),5),""),"")</f>
        <v/>
      </c>
      <c r="G279" s="1059" t="str">
        <f>IFERROR(IF(AND(B279&gt;0,B279/1),INDEX(Заказ!$B$1:$AV$3196,MATCH(B279,Заказ!$AV$1:$AV$3196,0),16),""),"")</f>
        <v/>
      </c>
      <c r="H279" s="1"/>
    </row>
    <row r="280" spans="1:8" ht="12" customHeight="1" x14ac:dyDescent="0.25">
      <c r="A280" s="1051" t="str">
        <f>IFERROR(IF(AND(B280&gt;0,B280/1),INDEX(Заказ!$B$412:$AV$3196,MATCH(B280,Заказ!$AV$412:$AV$3196,0),1),""),"")</f>
        <v/>
      </c>
      <c r="B280" s="1056" t="str">
        <f>IFERROR(IF(B279&gt;0,SMALL(Заказ!$AV$1:$AV$3196,1+B279),""),"")</f>
        <v/>
      </c>
      <c r="C280" s="1057" t="str">
        <f>IFERROR(IF(AND(B280&gt;0,B280/1),INDEX(Заказ!$B$1:$AV$3196,MATCH(B280,Заказ!$AV$1:$AV$3196,0),3),""),"")</f>
        <v/>
      </c>
      <c r="D280" s="1058" t="str">
        <f>IFERROR(IF(AND(B280&gt;0,B280/1),INDEX(Заказ!$B$1:$AV$3196,MATCH(B280,Заказ!$AV$1:$AV$3196,0),9),""),"")</f>
        <v/>
      </c>
      <c r="E280" s="1056" t="str">
        <f>IFERROR(IF(AND(B280&gt;0,B280/1),INDEX(Заказ!$B$1:$AV$3196,MATCH(B280,Заказ!$AV$1:$AV$3196,0),5),""),"")</f>
        <v/>
      </c>
      <c r="F280" s="1056" t="str">
        <f>IFERROR(IF(AND(B280&gt;0,B280/1),INDEX(Заказ!$B$1:$AV$3196,MATCH(B280,Заказ!$AV$1:$AV$3196,0),16)/INDEX(Заказ!$B$1:$AV$3196,MATCH(B280,Заказ!$AV$1:$AV$3196,0),5),""),"")</f>
        <v/>
      </c>
      <c r="G280" s="1059" t="str">
        <f>IFERROR(IF(AND(B280&gt;0,B280/1),INDEX(Заказ!$B$1:$AV$3196,MATCH(B280,Заказ!$AV$1:$AV$3196,0),16),""),"")</f>
        <v/>
      </c>
      <c r="H280" s="1"/>
    </row>
    <row r="281" spans="1:8" ht="12" customHeight="1" x14ac:dyDescent="0.25">
      <c r="A281" s="1051" t="str">
        <f>IFERROR(IF(AND(B281&gt;0,B281/1),INDEX(Заказ!$B$412:$AV$3196,MATCH(B281,Заказ!$AV$412:$AV$3196,0),1),""),"")</f>
        <v/>
      </c>
      <c r="B281" s="1056" t="str">
        <f>IFERROR(IF(B280&gt;0,SMALL(Заказ!$AV$1:$AV$3196,1+B280),""),"")</f>
        <v/>
      </c>
      <c r="C281" s="1057" t="str">
        <f>IFERROR(IF(AND(B281&gt;0,B281/1),INDEX(Заказ!$B$1:$AV$3196,MATCH(B281,Заказ!$AV$1:$AV$3196,0),3),""),"")</f>
        <v/>
      </c>
      <c r="D281" s="1058" t="str">
        <f>IFERROR(IF(AND(B281&gt;0,B281/1),INDEX(Заказ!$B$1:$AV$3196,MATCH(B281,Заказ!$AV$1:$AV$3196,0),9),""),"")</f>
        <v/>
      </c>
      <c r="E281" s="1056" t="str">
        <f>IFERROR(IF(AND(B281&gt;0,B281/1),INDEX(Заказ!$B$1:$AV$3196,MATCH(B281,Заказ!$AV$1:$AV$3196,0),5),""),"")</f>
        <v/>
      </c>
      <c r="F281" s="1056" t="str">
        <f>IFERROR(IF(AND(B281&gt;0,B281/1),INDEX(Заказ!$B$1:$AV$3196,MATCH(B281,Заказ!$AV$1:$AV$3196,0),16)/INDEX(Заказ!$B$1:$AV$3196,MATCH(B281,Заказ!$AV$1:$AV$3196,0),5),""),"")</f>
        <v/>
      </c>
      <c r="G281" s="1059" t="str">
        <f>IFERROR(IF(AND(B281&gt;0,B281/1),INDEX(Заказ!$B$1:$AV$3196,MATCH(B281,Заказ!$AV$1:$AV$3196,0),16),""),"")</f>
        <v/>
      </c>
      <c r="H281" s="1"/>
    </row>
    <row r="282" spans="1:8" ht="12" customHeight="1" x14ac:dyDescent="0.25">
      <c r="A282" s="1051" t="str">
        <f>IFERROR(IF(AND(B282&gt;0,B282/1),INDEX(Заказ!$B$412:$AV$3196,MATCH(B282,Заказ!$AV$412:$AV$3196,0),1),""),"")</f>
        <v/>
      </c>
      <c r="B282" s="1056" t="str">
        <f>IFERROR(IF(B281&gt;0,SMALL(Заказ!$AV$1:$AV$3196,1+B281),""),"")</f>
        <v/>
      </c>
      <c r="C282" s="1057" t="str">
        <f>IFERROR(IF(AND(B282&gt;0,B282/1),INDEX(Заказ!$B$1:$AV$3196,MATCH(B282,Заказ!$AV$1:$AV$3196,0),3),""),"")</f>
        <v/>
      </c>
      <c r="D282" s="1058" t="str">
        <f>IFERROR(IF(AND(B282&gt;0,B282/1),INDEX(Заказ!$B$1:$AV$3196,MATCH(B282,Заказ!$AV$1:$AV$3196,0),9),""),"")</f>
        <v/>
      </c>
      <c r="E282" s="1056" t="str">
        <f>IFERROR(IF(AND(B282&gt;0,B282/1),INDEX(Заказ!$B$1:$AV$3196,MATCH(B282,Заказ!$AV$1:$AV$3196,0),5),""),"")</f>
        <v/>
      </c>
      <c r="F282" s="1056" t="str">
        <f>IFERROR(IF(AND(B282&gt;0,B282/1),INDEX(Заказ!$B$1:$AV$3196,MATCH(B282,Заказ!$AV$1:$AV$3196,0),16)/INDEX(Заказ!$B$1:$AV$3196,MATCH(B282,Заказ!$AV$1:$AV$3196,0),5),""),"")</f>
        <v/>
      </c>
      <c r="G282" s="1059" t="str">
        <f>IFERROR(IF(AND(B282&gt;0,B282/1),INDEX(Заказ!$B$1:$AV$3196,MATCH(B282,Заказ!$AV$1:$AV$3196,0),16),""),"")</f>
        <v/>
      </c>
      <c r="H282" s="1"/>
    </row>
    <row r="283" spans="1:8" ht="12" customHeight="1" x14ac:dyDescent="0.25">
      <c r="A283" s="1051" t="str">
        <f>IFERROR(IF(AND(B283&gt;0,B283/1),INDEX(Заказ!$B$412:$AV$3196,MATCH(B283,Заказ!$AV$412:$AV$3196,0),1),""),"")</f>
        <v/>
      </c>
      <c r="B283" s="1056" t="str">
        <f>IFERROR(IF(B282&gt;0,SMALL(Заказ!$AV$1:$AV$3196,1+B282),""),"")</f>
        <v/>
      </c>
      <c r="C283" s="1057" t="str">
        <f>IFERROR(IF(AND(B283&gt;0,B283/1),INDEX(Заказ!$B$1:$AV$3196,MATCH(B283,Заказ!$AV$1:$AV$3196,0),3),""),"")</f>
        <v/>
      </c>
      <c r="D283" s="1058" t="str">
        <f>IFERROR(IF(AND(B283&gt;0,B283/1),INDEX(Заказ!$B$1:$AV$3196,MATCH(B283,Заказ!$AV$1:$AV$3196,0),9),""),"")</f>
        <v/>
      </c>
      <c r="E283" s="1056" t="str">
        <f>IFERROR(IF(AND(B283&gt;0,B283/1),INDEX(Заказ!$B$1:$AV$3196,MATCH(B283,Заказ!$AV$1:$AV$3196,0),5),""),"")</f>
        <v/>
      </c>
      <c r="F283" s="1056" t="str">
        <f>IFERROR(IF(AND(B283&gt;0,B283/1),INDEX(Заказ!$B$1:$AV$3196,MATCH(B283,Заказ!$AV$1:$AV$3196,0),16)/INDEX(Заказ!$B$1:$AV$3196,MATCH(B283,Заказ!$AV$1:$AV$3196,0),5),""),"")</f>
        <v/>
      </c>
      <c r="G283" s="1059" t="str">
        <f>IFERROR(IF(AND(B283&gt;0,B283/1),INDEX(Заказ!$B$1:$AV$3196,MATCH(B283,Заказ!$AV$1:$AV$3196,0),16),""),"")</f>
        <v/>
      </c>
      <c r="H283" s="1"/>
    </row>
    <row r="284" spans="1:8" ht="12" customHeight="1" x14ac:dyDescent="0.25">
      <c r="A284" s="1051" t="str">
        <f>IFERROR(IF(AND(B284&gt;0,B284/1),INDEX(Заказ!$B$412:$AV$3196,MATCH(B284,Заказ!$AV$412:$AV$3196,0),1),""),"")</f>
        <v/>
      </c>
      <c r="B284" s="1056" t="str">
        <f>IFERROR(IF(B283&gt;0,SMALL(Заказ!$AV$1:$AV$3196,1+B283),""),"")</f>
        <v/>
      </c>
      <c r="C284" s="1057" t="str">
        <f>IFERROR(IF(AND(B284&gt;0,B284/1),INDEX(Заказ!$B$1:$AV$3196,MATCH(B284,Заказ!$AV$1:$AV$3196,0),3),""),"")</f>
        <v/>
      </c>
      <c r="D284" s="1058" t="str">
        <f>IFERROR(IF(AND(B284&gt;0,B284/1),INDEX(Заказ!$B$1:$AV$3196,MATCH(B284,Заказ!$AV$1:$AV$3196,0),9),""),"")</f>
        <v/>
      </c>
      <c r="E284" s="1056" t="str">
        <f>IFERROR(IF(AND(B284&gt;0,B284/1),INDEX(Заказ!$B$1:$AV$3196,MATCH(B284,Заказ!$AV$1:$AV$3196,0),5),""),"")</f>
        <v/>
      </c>
      <c r="F284" s="1056" t="str">
        <f>IFERROR(IF(AND(B284&gt;0,B284/1),INDEX(Заказ!$B$1:$AV$3196,MATCH(B284,Заказ!$AV$1:$AV$3196,0),16)/INDEX(Заказ!$B$1:$AV$3196,MATCH(B284,Заказ!$AV$1:$AV$3196,0),5),""),"")</f>
        <v/>
      </c>
      <c r="G284" s="1059" t="str">
        <f>IFERROR(IF(AND(B284&gt;0,B284/1),INDEX(Заказ!$B$1:$AV$3196,MATCH(B284,Заказ!$AV$1:$AV$3196,0),16),""),"")</f>
        <v/>
      </c>
      <c r="H284" s="1"/>
    </row>
    <row r="285" spans="1:8" ht="12" customHeight="1" x14ac:dyDescent="0.25">
      <c r="A285" s="1051" t="str">
        <f>IFERROR(IF(AND(B285&gt;0,B285/1),INDEX(Заказ!$B$412:$AV$3196,MATCH(B285,Заказ!$AV$412:$AV$3196,0),1),""),"")</f>
        <v/>
      </c>
      <c r="B285" s="1056" t="str">
        <f>IFERROR(IF(B284&gt;0,SMALL(Заказ!$AV$1:$AV$3196,1+B284),""),"")</f>
        <v/>
      </c>
      <c r="C285" s="1057" t="str">
        <f>IFERROR(IF(AND(B285&gt;0,B285/1),INDEX(Заказ!$B$1:$AV$3196,MATCH(B285,Заказ!$AV$1:$AV$3196,0),3),""),"")</f>
        <v/>
      </c>
      <c r="D285" s="1058" t="str">
        <f>IFERROR(IF(AND(B285&gt;0,B285/1),INDEX(Заказ!$B$1:$AV$3196,MATCH(B285,Заказ!$AV$1:$AV$3196,0),9),""),"")</f>
        <v/>
      </c>
      <c r="E285" s="1056" t="str">
        <f>IFERROR(IF(AND(B285&gt;0,B285/1),INDEX(Заказ!$B$1:$AV$3196,MATCH(B285,Заказ!$AV$1:$AV$3196,0),5),""),"")</f>
        <v/>
      </c>
      <c r="F285" s="1056" t="str">
        <f>IFERROR(IF(AND(B285&gt;0,B285/1),INDEX(Заказ!$B$1:$AV$3196,MATCH(B285,Заказ!$AV$1:$AV$3196,0),16)/INDEX(Заказ!$B$1:$AV$3196,MATCH(B285,Заказ!$AV$1:$AV$3196,0),5),""),"")</f>
        <v/>
      </c>
      <c r="G285" s="1059" t="str">
        <f>IFERROR(IF(AND(B285&gt;0,B285/1),INDEX(Заказ!$B$1:$AV$3196,MATCH(B285,Заказ!$AV$1:$AV$3196,0),16),""),"")</f>
        <v/>
      </c>
      <c r="H285" s="1"/>
    </row>
    <row r="286" spans="1:8" ht="12" customHeight="1" x14ac:dyDescent="0.25">
      <c r="A286" s="1051" t="str">
        <f>IFERROR(IF(AND(B286&gt;0,B286/1),INDEX(Заказ!$B$412:$AV$3196,MATCH(B286,Заказ!$AV$412:$AV$3196,0),1),""),"")</f>
        <v/>
      </c>
      <c r="B286" s="1056" t="str">
        <f>IFERROR(IF(B285&gt;0,SMALL(Заказ!$AV$1:$AV$3196,1+B285),""),"")</f>
        <v/>
      </c>
      <c r="C286" s="1057" t="str">
        <f>IFERROR(IF(AND(B286&gt;0,B286/1),INDEX(Заказ!$B$1:$AV$3196,MATCH(B286,Заказ!$AV$1:$AV$3196,0),3),""),"")</f>
        <v/>
      </c>
      <c r="D286" s="1058" t="str">
        <f>IFERROR(IF(AND(B286&gt;0,B286/1),INDEX(Заказ!$B$1:$AV$3196,MATCH(B286,Заказ!$AV$1:$AV$3196,0),9),""),"")</f>
        <v/>
      </c>
      <c r="E286" s="1056" t="str">
        <f>IFERROR(IF(AND(B286&gt;0,B286/1),INDEX(Заказ!$B$1:$AV$3196,MATCH(B286,Заказ!$AV$1:$AV$3196,0),5),""),"")</f>
        <v/>
      </c>
      <c r="F286" s="1056" t="str">
        <f>IFERROR(IF(AND(B286&gt;0,B286/1),INDEX(Заказ!$B$1:$AV$3196,MATCH(B286,Заказ!$AV$1:$AV$3196,0),16)/INDEX(Заказ!$B$1:$AV$3196,MATCH(B286,Заказ!$AV$1:$AV$3196,0),5),""),"")</f>
        <v/>
      </c>
      <c r="G286" s="1059" t="str">
        <f>IFERROR(IF(AND(B286&gt;0,B286/1),INDEX(Заказ!$B$1:$AV$3196,MATCH(B286,Заказ!$AV$1:$AV$3196,0),16),""),"")</f>
        <v/>
      </c>
      <c r="H286" s="1"/>
    </row>
    <row r="287" spans="1:8" ht="12" customHeight="1" x14ac:dyDescent="0.25">
      <c r="A287" s="1051" t="str">
        <f>IFERROR(IF(AND(B287&gt;0,B287/1),INDEX(Заказ!$B$412:$AV$3196,MATCH(B287,Заказ!$AV$412:$AV$3196,0),1),""),"")</f>
        <v/>
      </c>
      <c r="B287" s="1056" t="str">
        <f>IFERROR(IF(B286&gt;0,SMALL(Заказ!$AV$1:$AV$3196,1+B286),""),"")</f>
        <v/>
      </c>
      <c r="C287" s="1057" t="str">
        <f>IFERROR(IF(AND(B287&gt;0,B287/1),INDEX(Заказ!$B$1:$AV$3196,MATCH(B287,Заказ!$AV$1:$AV$3196,0),3),""),"")</f>
        <v/>
      </c>
      <c r="D287" s="1058" t="str">
        <f>IFERROR(IF(AND(B287&gt;0,B287/1),INDEX(Заказ!$B$1:$AV$3196,MATCH(B287,Заказ!$AV$1:$AV$3196,0),9),""),"")</f>
        <v/>
      </c>
      <c r="E287" s="1056" t="str">
        <f>IFERROR(IF(AND(B287&gt;0,B287/1),INDEX(Заказ!$B$1:$AV$3196,MATCH(B287,Заказ!$AV$1:$AV$3196,0),5),""),"")</f>
        <v/>
      </c>
      <c r="F287" s="1056" t="str">
        <f>IFERROR(IF(AND(B287&gt;0,B287/1),INDEX(Заказ!$B$1:$AV$3196,MATCH(B287,Заказ!$AV$1:$AV$3196,0),16)/INDEX(Заказ!$B$1:$AV$3196,MATCH(B287,Заказ!$AV$1:$AV$3196,0),5),""),"")</f>
        <v/>
      </c>
      <c r="G287" s="1059" t="str">
        <f>IFERROR(IF(AND(B287&gt;0,B287/1),INDEX(Заказ!$B$1:$AV$3196,MATCH(B287,Заказ!$AV$1:$AV$3196,0),16),""),"")</f>
        <v/>
      </c>
      <c r="H287" s="1"/>
    </row>
    <row r="288" spans="1:8" ht="12" customHeight="1" x14ac:dyDescent="0.25">
      <c r="A288" s="1051" t="str">
        <f>IFERROR(IF(AND(B288&gt;0,B288/1),INDEX(Заказ!$B$412:$AV$3196,MATCH(B288,Заказ!$AV$412:$AV$3196,0),1),""),"")</f>
        <v/>
      </c>
      <c r="B288" s="1056" t="str">
        <f>IFERROR(IF(B287&gt;0,SMALL(Заказ!$AV$1:$AV$3196,1+B287),""),"")</f>
        <v/>
      </c>
      <c r="C288" s="1057" t="str">
        <f>IFERROR(IF(AND(B288&gt;0,B288/1),INDEX(Заказ!$B$1:$AV$3196,MATCH(B288,Заказ!$AV$1:$AV$3196,0),3),""),"")</f>
        <v/>
      </c>
      <c r="D288" s="1058" t="str">
        <f>IFERROR(IF(AND(B288&gt;0,B288/1),INDEX(Заказ!$B$1:$AV$3196,MATCH(B288,Заказ!$AV$1:$AV$3196,0),9),""),"")</f>
        <v/>
      </c>
      <c r="E288" s="1056" t="str">
        <f>IFERROR(IF(AND(B288&gt;0,B288/1),INDEX(Заказ!$B$1:$AV$3196,MATCH(B288,Заказ!$AV$1:$AV$3196,0),5),""),"")</f>
        <v/>
      </c>
      <c r="F288" s="1056" t="str">
        <f>IFERROR(IF(AND(B288&gt;0,B288/1),INDEX(Заказ!$B$1:$AV$3196,MATCH(B288,Заказ!$AV$1:$AV$3196,0),16)/INDEX(Заказ!$B$1:$AV$3196,MATCH(B288,Заказ!$AV$1:$AV$3196,0),5),""),"")</f>
        <v/>
      </c>
      <c r="G288" s="1059" t="str">
        <f>IFERROR(IF(AND(B288&gt;0,B288/1),INDEX(Заказ!$B$1:$AV$3196,MATCH(B288,Заказ!$AV$1:$AV$3196,0),16),""),"")</f>
        <v/>
      </c>
      <c r="H288" s="1"/>
    </row>
    <row r="289" spans="1:8" ht="12" customHeight="1" x14ac:dyDescent="0.25">
      <c r="A289" s="1051" t="str">
        <f>IFERROR(IF(AND(B289&gt;0,B289/1),INDEX(Заказ!$B$412:$AV$3196,MATCH(B289,Заказ!$AV$412:$AV$3196,0),1),""),"")</f>
        <v/>
      </c>
      <c r="B289" s="1056" t="str">
        <f>IFERROR(IF(B288&gt;0,SMALL(Заказ!$AV$1:$AV$3196,1+B288),""),"")</f>
        <v/>
      </c>
      <c r="C289" s="1057" t="str">
        <f>IFERROR(IF(AND(B289&gt;0,B289/1),INDEX(Заказ!$B$1:$AV$3196,MATCH(B289,Заказ!$AV$1:$AV$3196,0),3),""),"")</f>
        <v/>
      </c>
      <c r="D289" s="1058" t="str">
        <f>IFERROR(IF(AND(B289&gt;0,B289/1),INDEX(Заказ!$B$1:$AV$3196,MATCH(B289,Заказ!$AV$1:$AV$3196,0),9),""),"")</f>
        <v/>
      </c>
      <c r="E289" s="1056" t="str">
        <f>IFERROR(IF(AND(B289&gt;0,B289/1),INDEX(Заказ!$B$1:$AV$3196,MATCH(B289,Заказ!$AV$1:$AV$3196,0),5),""),"")</f>
        <v/>
      </c>
      <c r="F289" s="1056" t="str">
        <f>IFERROR(IF(AND(B289&gt;0,B289/1),INDEX(Заказ!$B$1:$AV$3196,MATCH(B289,Заказ!$AV$1:$AV$3196,0),16)/INDEX(Заказ!$B$1:$AV$3196,MATCH(B289,Заказ!$AV$1:$AV$3196,0),5),""),"")</f>
        <v/>
      </c>
      <c r="G289" s="1059" t="str">
        <f>IFERROR(IF(AND(B289&gt;0,B289/1),INDEX(Заказ!$B$1:$AV$3196,MATCH(B289,Заказ!$AV$1:$AV$3196,0),16),""),"")</f>
        <v/>
      </c>
      <c r="H289" s="1"/>
    </row>
    <row r="290" spans="1:8" ht="12" customHeight="1" x14ac:dyDescent="0.25">
      <c r="A290" s="1051" t="str">
        <f>IFERROR(IF(AND(B290&gt;0,B290/1),INDEX(Заказ!$B$412:$AV$3196,MATCH(B290,Заказ!$AV$412:$AV$3196,0),1),""),"")</f>
        <v/>
      </c>
      <c r="B290" s="1056" t="str">
        <f>IFERROR(IF(B289&gt;0,SMALL(Заказ!$AV$1:$AV$3196,1+B289),""),"")</f>
        <v/>
      </c>
      <c r="C290" s="1057" t="str">
        <f>IFERROR(IF(AND(B290&gt;0,B290/1),INDEX(Заказ!$B$1:$AV$3196,MATCH(B290,Заказ!$AV$1:$AV$3196,0),3),""),"")</f>
        <v/>
      </c>
      <c r="D290" s="1058" t="str">
        <f>IFERROR(IF(AND(B290&gt;0,B290/1),INDEX(Заказ!$B$1:$AV$3196,MATCH(B290,Заказ!$AV$1:$AV$3196,0),9),""),"")</f>
        <v/>
      </c>
      <c r="E290" s="1056" t="str">
        <f>IFERROR(IF(AND(B290&gt;0,B290/1),INDEX(Заказ!$B$1:$AV$3196,MATCH(B290,Заказ!$AV$1:$AV$3196,0),5),""),"")</f>
        <v/>
      </c>
      <c r="F290" s="1056" t="str">
        <f>IFERROR(IF(AND(B290&gt;0,B290/1),INDEX(Заказ!$B$1:$AV$3196,MATCH(B290,Заказ!$AV$1:$AV$3196,0),16)/INDEX(Заказ!$B$1:$AV$3196,MATCH(B290,Заказ!$AV$1:$AV$3196,0),5),""),"")</f>
        <v/>
      </c>
      <c r="G290" s="1059" t="str">
        <f>IFERROR(IF(AND(B290&gt;0,B290/1),INDEX(Заказ!$B$1:$AV$3196,MATCH(B290,Заказ!$AV$1:$AV$3196,0),16),""),"")</f>
        <v/>
      </c>
      <c r="H290" s="1"/>
    </row>
    <row r="291" spans="1:8" ht="12" customHeight="1" x14ac:dyDescent="0.25">
      <c r="A291" s="1051" t="str">
        <f>IFERROR(IF(AND(B291&gt;0,B291/1),INDEX(Заказ!$B$412:$AV$3196,MATCH(B291,Заказ!$AV$412:$AV$3196,0),1),""),"")</f>
        <v/>
      </c>
      <c r="B291" s="1056" t="str">
        <f>IFERROR(IF(B290&gt;0,SMALL(Заказ!$AV$1:$AV$3196,1+B290),""),"")</f>
        <v/>
      </c>
      <c r="C291" s="1057" t="str">
        <f>IFERROR(IF(AND(B291&gt;0,B291/1),INDEX(Заказ!$B$1:$AV$3196,MATCH(B291,Заказ!$AV$1:$AV$3196,0),3),""),"")</f>
        <v/>
      </c>
      <c r="D291" s="1058" t="str">
        <f>IFERROR(IF(AND(B291&gt;0,B291/1),INDEX(Заказ!$B$1:$AV$3196,MATCH(B291,Заказ!$AV$1:$AV$3196,0),9),""),"")</f>
        <v/>
      </c>
      <c r="E291" s="1056" t="str">
        <f>IFERROR(IF(AND(B291&gt;0,B291/1),INDEX(Заказ!$B$1:$AV$3196,MATCH(B291,Заказ!$AV$1:$AV$3196,0),5),""),"")</f>
        <v/>
      </c>
      <c r="F291" s="1056" t="str">
        <f>IFERROR(IF(AND(B291&gt;0,B291/1),INDEX(Заказ!$B$1:$AV$3196,MATCH(B291,Заказ!$AV$1:$AV$3196,0),16)/INDEX(Заказ!$B$1:$AV$3196,MATCH(B291,Заказ!$AV$1:$AV$3196,0),5),""),"")</f>
        <v/>
      </c>
      <c r="G291" s="1059" t="str">
        <f>IFERROR(IF(AND(B291&gt;0,B291/1),INDEX(Заказ!$B$1:$AV$3196,MATCH(B291,Заказ!$AV$1:$AV$3196,0),16),""),"")</f>
        <v/>
      </c>
      <c r="H291" s="1"/>
    </row>
    <row r="292" spans="1:8" ht="12" customHeight="1" x14ac:dyDescent="0.25">
      <c r="A292" s="1051" t="str">
        <f>IFERROR(IF(AND(B292&gt;0,B292/1),INDEX(Заказ!$B$412:$AV$3196,MATCH(B292,Заказ!$AV$412:$AV$3196,0),1),""),"")</f>
        <v/>
      </c>
      <c r="B292" s="1056" t="str">
        <f>IFERROR(IF(B291&gt;0,SMALL(Заказ!$AV$1:$AV$3196,1+B291),""),"")</f>
        <v/>
      </c>
      <c r="C292" s="1057" t="str">
        <f>IFERROR(IF(AND(B292&gt;0,B292/1),INDEX(Заказ!$B$1:$AV$3196,MATCH(B292,Заказ!$AV$1:$AV$3196,0),3),""),"")</f>
        <v/>
      </c>
      <c r="D292" s="1058" t="str">
        <f>IFERROR(IF(AND(B292&gt;0,B292/1),INDEX(Заказ!$B$1:$AV$3196,MATCH(B292,Заказ!$AV$1:$AV$3196,0),9),""),"")</f>
        <v/>
      </c>
      <c r="E292" s="1056" t="str">
        <f>IFERROR(IF(AND(B292&gt;0,B292/1),INDEX(Заказ!$B$1:$AV$3196,MATCH(B292,Заказ!$AV$1:$AV$3196,0),5),""),"")</f>
        <v/>
      </c>
      <c r="F292" s="1056" t="str">
        <f>IFERROR(IF(AND(B292&gt;0,B292/1),INDEX(Заказ!$B$1:$AV$3196,MATCH(B292,Заказ!$AV$1:$AV$3196,0),16)/INDEX(Заказ!$B$1:$AV$3196,MATCH(B292,Заказ!$AV$1:$AV$3196,0),5),""),"")</f>
        <v/>
      </c>
      <c r="G292" s="1059" t="str">
        <f>IFERROR(IF(AND(B292&gt;0,B292/1),INDEX(Заказ!$B$1:$AV$3196,MATCH(B292,Заказ!$AV$1:$AV$3196,0),16),""),"")</f>
        <v/>
      </c>
      <c r="H292" s="1"/>
    </row>
    <row r="293" spans="1:8" ht="12" customHeight="1" x14ac:dyDescent="0.25">
      <c r="A293" s="1051" t="str">
        <f>IFERROR(IF(AND(B293&gt;0,B293/1),INDEX(Заказ!$B$412:$AV$3196,MATCH(B293,Заказ!$AV$412:$AV$3196,0),1),""),"")</f>
        <v/>
      </c>
      <c r="B293" s="1056" t="str">
        <f>IFERROR(IF(B292&gt;0,SMALL(Заказ!$AV$1:$AV$3196,1+B292),""),"")</f>
        <v/>
      </c>
      <c r="C293" s="1057" t="str">
        <f>IFERROR(IF(AND(B293&gt;0,B293/1),INDEX(Заказ!$B$1:$AV$3196,MATCH(B293,Заказ!$AV$1:$AV$3196,0),3),""),"")</f>
        <v/>
      </c>
      <c r="D293" s="1058" t="str">
        <f>IFERROR(IF(AND(B293&gt;0,B293/1),INDEX(Заказ!$B$1:$AV$3196,MATCH(B293,Заказ!$AV$1:$AV$3196,0),9),""),"")</f>
        <v/>
      </c>
      <c r="E293" s="1056" t="str">
        <f>IFERROR(IF(AND(B293&gt;0,B293/1),INDEX(Заказ!$B$1:$AV$3196,MATCH(B293,Заказ!$AV$1:$AV$3196,0),5),""),"")</f>
        <v/>
      </c>
      <c r="F293" s="1056" t="str">
        <f>IFERROR(IF(AND(B293&gt;0,B293/1),INDEX(Заказ!$B$1:$AV$3196,MATCH(B293,Заказ!$AV$1:$AV$3196,0),16)/INDEX(Заказ!$B$1:$AV$3196,MATCH(B293,Заказ!$AV$1:$AV$3196,0),5),""),"")</f>
        <v/>
      </c>
      <c r="G293" s="1059" t="str">
        <f>IFERROR(IF(AND(B293&gt;0,B293/1),INDEX(Заказ!$B$1:$AV$3196,MATCH(B293,Заказ!$AV$1:$AV$3196,0),16),""),"")</f>
        <v/>
      </c>
      <c r="H293" s="1"/>
    </row>
    <row r="294" spans="1:8" ht="12" customHeight="1" x14ac:dyDescent="0.25">
      <c r="A294" s="1051" t="str">
        <f>IFERROR(IF(AND(B294&gt;0,B294/1),INDEX(Заказ!$B$412:$AV$3196,MATCH(B294,Заказ!$AV$412:$AV$3196,0),1),""),"")</f>
        <v/>
      </c>
      <c r="B294" s="1056" t="str">
        <f>IFERROR(IF(B293&gt;0,SMALL(Заказ!$AV$1:$AV$3196,1+B293),""),"")</f>
        <v/>
      </c>
      <c r="C294" s="1057" t="str">
        <f>IFERROR(IF(AND(B294&gt;0,B294/1),INDEX(Заказ!$B$1:$AV$3196,MATCH(B294,Заказ!$AV$1:$AV$3196,0),3),""),"")</f>
        <v/>
      </c>
      <c r="D294" s="1058" t="str">
        <f>IFERROR(IF(AND(B294&gt;0,B294/1),INDEX(Заказ!$B$1:$AV$3196,MATCH(B294,Заказ!$AV$1:$AV$3196,0),9),""),"")</f>
        <v/>
      </c>
      <c r="E294" s="1056" t="str">
        <f>IFERROR(IF(AND(B294&gt;0,B294/1),INDEX(Заказ!$B$1:$AV$3196,MATCH(B294,Заказ!$AV$1:$AV$3196,0),5),""),"")</f>
        <v/>
      </c>
      <c r="F294" s="1056" t="str">
        <f>IFERROR(IF(AND(B294&gt;0,B294/1),INDEX(Заказ!$B$1:$AV$3196,MATCH(B294,Заказ!$AV$1:$AV$3196,0),16)/INDEX(Заказ!$B$1:$AV$3196,MATCH(B294,Заказ!$AV$1:$AV$3196,0),5),""),"")</f>
        <v/>
      </c>
      <c r="G294" s="1059" t="str">
        <f>IFERROR(IF(AND(B294&gt;0,B294/1),INDEX(Заказ!$B$1:$AV$3196,MATCH(B294,Заказ!$AV$1:$AV$3196,0),16),""),"")</f>
        <v/>
      </c>
      <c r="H294" s="1"/>
    </row>
    <row r="295" spans="1:8" ht="12" customHeight="1" x14ac:dyDescent="0.25">
      <c r="A295" s="1051" t="str">
        <f>IFERROR(IF(AND(B295&gt;0,B295/1),INDEX(Заказ!$B$412:$AV$3196,MATCH(B295,Заказ!$AV$412:$AV$3196,0),1),""),"")</f>
        <v/>
      </c>
      <c r="B295" s="1056" t="str">
        <f>IFERROR(IF(B294&gt;0,SMALL(Заказ!$AV$1:$AV$3196,1+B294),""),"")</f>
        <v/>
      </c>
      <c r="C295" s="1057" t="str">
        <f>IFERROR(IF(AND(B295&gt;0,B295/1),INDEX(Заказ!$B$1:$AV$3196,MATCH(B295,Заказ!$AV$1:$AV$3196,0),3),""),"")</f>
        <v/>
      </c>
      <c r="D295" s="1058" t="str">
        <f>IFERROR(IF(AND(B295&gt;0,B295/1),INDEX(Заказ!$B$1:$AV$3196,MATCH(B295,Заказ!$AV$1:$AV$3196,0),9),""),"")</f>
        <v/>
      </c>
      <c r="E295" s="1056" t="str">
        <f>IFERROR(IF(AND(B295&gt;0,B295/1),INDEX(Заказ!$B$1:$AV$3196,MATCH(B295,Заказ!$AV$1:$AV$3196,0),5),""),"")</f>
        <v/>
      </c>
      <c r="F295" s="1056" t="str">
        <f>IFERROR(IF(AND(B295&gt;0,B295/1),INDEX(Заказ!$B$1:$AV$3196,MATCH(B295,Заказ!$AV$1:$AV$3196,0),16)/INDEX(Заказ!$B$1:$AV$3196,MATCH(B295,Заказ!$AV$1:$AV$3196,0),5),""),"")</f>
        <v/>
      </c>
      <c r="G295" s="1059" t="str">
        <f>IFERROR(IF(AND(B295&gt;0,B295/1),INDEX(Заказ!$B$1:$AV$3196,MATCH(B295,Заказ!$AV$1:$AV$3196,0),16),""),"")</f>
        <v/>
      </c>
      <c r="H295" s="1"/>
    </row>
    <row r="296" spans="1:8" ht="12" customHeight="1" x14ac:dyDescent="0.25">
      <c r="A296" s="1051" t="str">
        <f>IFERROR(IF(AND(B296&gt;0,B296/1),INDEX(Заказ!$B$412:$AV$3196,MATCH(B296,Заказ!$AV$412:$AV$3196,0),1),""),"")</f>
        <v/>
      </c>
      <c r="B296" s="1056" t="str">
        <f>IFERROR(IF(B295&gt;0,SMALL(Заказ!$AV$1:$AV$3196,1+B295),""),"")</f>
        <v/>
      </c>
      <c r="C296" s="1057" t="str">
        <f>IFERROR(IF(AND(B296&gt;0,B296/1),INDEX(Заказ!$B$1:$AV$3196,MATCH(B296,Заказ!$AV$1:$AV$3196,0),3),""),"")</f>
        <v/>
      </c>
      <c r="D296" s="1058" t="str">
        <f>IFERROR(IF(AND(B296&gt;0,B296/1),INDEX(Заказ!$B$1:$AV$3196,MATCH(B296,Заказ!$AV$1:$AV$3196,0),9),""),"")</f>
        <v/>
      </c>
      <c r="E296" s="1056" t="str">
        <f>IFERROR(IF(AND(B296&gt;0,B296/1),INDEX(Заказ!$B$1:$AV$3196,MATCH(B296,Заказ!$AV$1:$AV$3196,0),5),""),"")</f>
        <v/>
      </c>
      <c r="F296" s="1056" t="str">
        <f>IFERROR(IF(AND(B296&gt;0,B296/1),INDEX(Заказ!$B$1:$AV$3196,MATCH(B296,Заказ!$AV$1:$AV$3196,0),16)/INDEX(Заказ!$B$1:$AV$3196,MATCH(B296,Заказ!$AV$1:$AV$3196,0),5),""),"")</f>
        <v/>
      </c>
      <c r="G296" s="1059" t="str">
        <f>IFERROR(IF(AND(B296&gt;0,B296/1),INDEX(Заказ!$B$1:$AV$3196,MATCH(B296,Заказ!$AV$1:$AV$3196,0),16),""),"")</f>
        <v/>
      </c>
      <c r="H296" s="1"/>
    </row>
    <row r="297" spans="1:8" ht="12" customHeight="1" x14ac:dyDescent="0.25">
      <c r="A297" s="1051" t="str">
        <f>IFERROR(IF(AND(B297&gt;0,B297/1),INDEX(Заказ!$B$412:$AV$3196,MATCH(B297,Заказ!$AV$412:$AV$3196,0),1),""),"")</f>
        <v/>
      </c>
      <c r="B297" s="1056" t="str">
        <f>IFERROR(IF(B296&gt;0,SMALL(Заказ!$AV$1:$AV$3196,1+B296),""),"")</f>
        <v/>
      </c>
      <c r="C297" s="1057" t="str">
        <f>IFERROR(IF(AND(B297&gt;0,B297/1),INDEX(Заказ!$B$1:$AV$3196,MATCH(B297,Заказ!$AV$1:$AV$3196,0),3),""),"")</f>
        <v/>
      </c>
      <c r="D297" s="1058" t="str">
        <f>IFERROR(IF(AND(B297&gt;0,B297/1),INDEX(Заказ!$B$1:$AV$3196,MATCH(B297,Заказ!$AV$1:$AV$3196,0),9),""),"")</f>
        <v/>
      </c>
      <c r="E297" s="1056" t="str">
        <f>IFERROR(IF(AND(B297&gt;0,B297/1),INDEX(Заказ!$B$1:$AV$3196,MATCH(B297,Заказ!$AV$1:$AV$3196,0),5),""),"")</f>
        <v/>
      </c>
      <c r="F297" s="1056" t="str">
        <f>IFERROR(IF(AND(B297&gt;0,B297/1),INDEX(Заказ!$B$1:$AV$3196,MATCH(B297,Заказ!$AV$1:$AV$3196,0),16)/INDEX(Заказ!$B$1:$AV$3196,MATCH(B297,Заказ!$AV$1:$AV$3196,0),5),""),"")</f>
        <v/>
      </c>
      <c r="G297" s="1059" t="str">
        <f>IFERROR(IF(AND(B297&gt;0,B297/1),INDEX(Заказ!$B$1:$AV$3196,MATCH(B297,Заказ!$AV$1:$AV$3196,0),16),""),"")</f>
        <v/>
      </c>
      <c r="H297" s="1"/>
    </row>
    <row r="298" spans="1:8" ht="12" customHeight="1" x14ac:dyDescent="0.25">
      <c r="A298" s="1051" t="str">
        <f>IFERROR(IF(AND(B298&gt;0,B298/1),INDEX(Заказ!$B$412:$AV$3196,MATCH(B298,Заказ!$AV$412:$AV$3196,0),1),""),"")</f>
        <v/>
      </c>
      <c r="B298" s="1056" t="str">
        <f>IFERROR(IF(B297&gt;0,SMALL(Заказ!$AV$1:$AV$3196,1+B297),""),"")</f>
        <v/>
      </c>
      <c r="C298" s="1057" t="str">
        <f>IFERROR(IF(AND(B298&gt;0,B298/1),INDEX(Заказ!$B$1:$AV$3196,MATCH(B298,Заказ!$AV$1:$AV$3196,0),3),""),"")</f>
        <v/>
      </c>
      <c r="D298" s="1058" t="str">
        <f>IFERROR(IF(AND(B298&gt;0,B298/1),INDEX(Заказ!$B$1:$AV$3196,MATCH(B298,Заказ!$AV$1:$AV$3196,0),9),""),"")</f>
        <v/>
      </c>
      <c r="E298" s="1056" t="str">
        <f>IFERROR(IF(AND(B298&gt;0,B298/1),INDEX(Заказ!$B$1:$AV$3196,MATCH(B298,Заказ!$AV$1:$AV$3196,0),5),""),"")</f>
        <v/>
      </c>
      <c r="F298" s="1056" t="str">
        <f>IFERROR(IF(AND(B298&gt;0,B298/1),INDEX(Заказ!$B$1:$AV$3196,MATCH(B298,Заказ!$AV$1:$AV$3196,0),16)/INDEX(Заказ!$B$1:$AV$3196,MATCH(B298,Заказ!$AV$1:$AV$3196,0),5),""),"")</f>
        <v/>
      </c>
      <c r="G298" s="1059" t="str">
        <f>IFERROR(IF(AND(B298&gt;0,B298/1),INDEX(Заказ!$B$1:$AV$3196,MATCH(B298,Заказ!$AV$1:$AV$3196,0),16),""),"")</f>
        <v/>
      </c>
      <c r="H298" s="1"/>
    </row>
    <row r="299" spans="1:8" ht="12" customHeight="1" x14ac:dyDescent="0.25">
      <c r="A299" s="1051" t="str">
        <f>IFERROR(IF(AND(B299&gt;0,B299/1),INDEX(Заказ!$B$412:$AV$3196,MATCH(B299,Заказ!$AV$412:$AV$3196,0),1),""),"")</f>
        <v/>
      </c>
      <c r="B299" s="1056" t="str">
        <f>IFERROR(IF(B298&gt;0,SMALL(Заказ!$AV$1:$AV$3196,1+B298),""),"")</f>
        <v/>
      </c>
      <c r="C299" s="1057" t="str">
        <f>IFERROR(IF(AND(B299&gt;0,B299/1),INDEX(Заказ!$B$1:$AV$3196,MATCH(B299,Заказ!$AV$1:$AV$3196,0),3),""),"")</f>
        <v/>
      </c>
      <c r="D299" s="1058" t="str">
        <f>IFERROR(IF(AND(B299&gt;0,B299/1),INDEX(Заказ!$B$1:$AV$3196,MATCH(B299,Заказ!$AV$1:$AV$3196,0),9),""),"")</f>
        <v/>
      </c>
      <c r="E299" s="1056" t="str">
        <f>IFERROR(IF(AND(B299&gt;0,B299/1),INDEX(Заказ!$B$1:$AV$3196,MATCH(B299,Заказ!$AV$1:$AV$3196,0),5),""),"")</f>
        <v/>
      </c>
      <c r="F299" s="1056" t="str">
        <f>IFERROR(IF(AND(B299&gt;0,B299/1),INDEX(Заказ!$B$1:$AV$3196,MATCH(B299,Заказ!$AV$1:$AV$3196,0),16)/INDEX(Заказ!$B$1:$AV$3196,MATCH(B299,Заказ!$AV$1:$AV$3196,0),5),""),"")</f>
        <v/>
      </c>
      <c r="G299" s="1059" t="str">
        <f>IFERROR(IF(AND(B299&gt;0,B299/1),INDEX(Заказ!$B$1:$AV$3196,MATCH(B299,Заказ!$AV$1:$AV$3196,0),16),""),"")</f>
        <v/>
      </c>
      <c r="H299" s="1"/>
    </row>
    <row r="300" spans="1:8" ht="12" customHeight="1" x14ac:dyDescent="0.25">
      <c r="A300" s="1051" t="str">
        <f>IFERROR(IF(AND(B300&gt;0,B300/1),INDEX(Заказ!$B$412:$AV$3196,MATCH(B300,Заказ!$AV$412:$AV$3196,0),1),""),"")</f>
        <v/>
      </c>
      <c r="B300" s="1056" t="str">
        <f>IFERROR(IF(B299&gt;0,SMALL(Заказ!$AV$1:$AV$3196,1+B299),""),"")</f>
        <v/>
      </c>
      <c r="C300" s="1057" t="str">
        <f>IFERROR(IF(AND(B300&gt;0,B300/1),INDEX(Заказ!$B$1:$AV$3196,MATCH(B300,Заказ!$AV$1:$AV$3196,0),3),""),"")</f>
        <v/>
      </c>
      <c r="D300" s="1058" t="str">
        <f>IFERROR(IF(AND(B300&gt;0,B300/1),INDEX(Заказ!$B$1:$AV$3196,MATCH(B300,Заказ!$AV$1:$AV$3196,0),9),""),"")</f>
        <v/>
      </c>
      <c r="E300" s="1056" t="str">
        <f>IFERROR(IF(AND(B300&gt;0,B300/1),INDEX(Заказ!$B$1:$AV$3196,MATCH(B300,Заказ!$AV$1:$AV$3196,0),5),""),"")</f>
        <v/>
      </c>
      <c r="F300" s="1056" t="str">
        <f>IFERROR(IF(AND(B300&gt;0,B300/1),INDEX(Заказ!$B$1:$AV$3196,MATCH(B300,Заказ!$AV$1:$AV$3196,0),16)/INDEX(Заказ!$B$1:$AV$3196,MATCH(B300,Заказ!$AV$1:$AV$3196,0),5),""),"")</f>
        <v/>
      </c>
      <c r="G300" s="1059" t="str">
        <f>IFERROR(IF(AND(B300&gt;0,B300/1),INDEX(Заказ!$B$1:$AV$3196,MATCH(B300,Заказ!$AV$1:$AV$3196,0),16),""),"")</f>
        <v/>
      </c>
      <c r="H300" s="1"/>
    </row>
    <row r="301" spans="1:8" ht="12" customHeight="1" x14ac:dyDescent="0.25">
      <c r="A301" s="1051" t="str">
        <f>IFERROR(IF(AND(B301&gt;0,B301/1),INDEX(Заказ!$B$412:$AV$3196,MATCH(B301,Заказ!$AV$412:$AV$3196,0),1),""),"")</f>
        <v/>
      </c>
      <c r="B301" s="1056" t="str">
        <f>IFERROR(IF(B300&gt;0,SMALL(Заказ!$AV$1:$AV$3196,1+B300),""),"")</f>
        <v/>
      </c>
      <c r="C301" s="1057" t="str">
        <f>IFERROR(IF(AND(B301&gt;0,B301/1),INDEX(Заказ!$B$1:$AV$3196,MATCH(B301,Заказ!$AV$1:$AV$3196,0),3),""),"")</f>
        <v/>
      </c>
      <c r="D301" s="1058" t="str">
        <f>IFERROR(IF(AND(B301&gt;0,B301/1),INDEX(Заказ!$B$1:$AV$3196,MATCH(B301,Заказ!$AV$1:$AV$3196,0),9),""),"")</f>
        <v/>
      </c>
      <c r="E301" s="1056" t="str">
        <f>IFERROR(IF(AND(B301&gt;0,B301/1),INDEX(Заказ!$B$1:$AV$3196,MATCH(B301,Заказ!$AV$1:$AV$3196,0),5),""),"")</f>
        <v/>
      </c>
      <c r="F301" s="1056" t="str">
        <f>IFERROR(IF(AND(B301&gt;0,B301/1),INDEX(Заказ!$B$1:$AV$3196,MATCH(B301,Заказ!$AV$1:$AV$3196,0),16)/INDEX(Заказ!$B$1:$AV$3196,MATCH(B301,Заказ!$AV$1:$AV$3196,0),5),""),"")</f>
        <v/>
      </c>
      <c r="G301" s="1059" t="str">
        <f>IFERROR(IF(AND(B301&gt;0,B301/1),INDEX(Заказ!$B$1:$AV$3196,MATCH(B301,Заказ!$AV$1:$AV$3196,0),16),""),"")</f>
        <v/>
      </c>
      <c r="H301" s="1"/>
    </row>
    <row r="302" spans="1:8" ht="12" customHeight="1" x14ac:dyDescent="0.25">
      <c r="A302" s="1051" t="str">
        <f>IFERROR(IF(AND(B302&gt;0,B302/1),INDEX(Заказ!$B$412:$AV$3196,MATCH(B302,Заказ!$AV$412:$AV$3196,0),1),""),"")</f>
        <v/>
      </c>
      <c r="B302" s="1056" t="str">
        <f>IFERROR(IF(B301&gt;0,SMALL(Заказ!$AV$1:$AV$3196,1+B301),""),"")</f>
        <v/>
      </c>
      <c r="C302" s="1057" t="str">
        <f>IFERROR(IF(AND(B302&gt;0,B302/1),INDEX(Заказ!$B$1:$AV$3196,MATCH(B302,Заказ!$AV$1:$AV$3196,0),3),""),"")</f>
        <v/>
      </c>
      <c r="D302" s="1058" t="str">
        <f>IFERROR(IF(AND(B302&gt;0,B302/1),INDEX(Заказ!$B$1:$AV$3196,MATCH(B302,Заказ!$AV$1:$AV$3196,0),9),""),"")</f>
        <v/>
      </c>
      <c r="E302" s="1056" t="str">
        <f>IFERROR(IF(AND(B302&gt;0,B302/1),INDEX(Заказ!$B$1:$AV$3196,MATCH(B302,Заказ!$AV$1:$AV$3196,0),5),""),"")</f>
        <v/>
      </c>
      <c r="F302" s="1056" t="str">
        <f>IFERROR(IF(AND(B302&gt;0,B302/1),INDEX(Заказ!$B$1:$AV$3196,MATCH(B302,Заказ!$AV$1:$AV$3196,0),16)/INDEX(Заказ!$B$1:$AV$3196,MATCH(B302,Заказ!$AV$1:$AV$3196,0),5),""),"")</f>
        <v/>
      </c>
      <c r="G302" s="1059" t="str">
        <f>IFERROR(IF(AND(B302&gt;0,B302/1),INDEX(Заказ!$B$1:$AV$3196,MATCH(B302,Заказ!$AV$1:$AV$3196,0),16),""),"")</f>
        <v/>
      </c>
      <c r="H302" s="1"/>
    </row>
    <row r="303" spans="1:8" ht="12" customHeight="1" x14ac:dyDescent="0.25">
      <c r="A303" s="1051" t="str">
        <f>IFERROR(IF(AND(B303&gt;0,B303/1),INDEX(Заказ!$B$412:$AV$3196,MATCH(B303,Заказ!$AV$412:$AV$3196,0),1),""),"")</f>
        <v/>
      </c>
      <c r="B303" s="1056" t="str">
        <f>IFERROR(IF(B302&gt;0,SMALL(Заказ!$AV$1:$AV$3196,1+B302),""),"")</f>
        <v/>
      </c>
      <c r="C303" s="1057" t="str">
        <f>IFERROR(IF(AND(B303&gt;0,B303/1),INDEX(Заказ!$B$1:$AV$3196,MATCH(B303,Заказ!$AV$1:$AV$3196,0),3),""),"")</f>
        <v/>
      </c>
      <c r="D303" s="1058" t="str">
        <f>IFERROR(IF(AND(B303&gt;0,B303/1),INDEX(Заказ!$B$1:$AV$3196,MATCH(B303,Заказ!$AV$1:$AV$3196,0),9),""),"")</f>
        <v/>
      </c>
      <c r="E303" s="1056" t="str">
        <f>IFERROR(IF(AND(B303&gt;0,B303/1),INDEX(Заказ!$B$1:$AV$3196,MATCH(B303,Заказ!$AV$1:$AV$3196,0),5),""),"")</f>
        <v/>
      </c>
      <c r="F303" s="1056" t="str">
        <f>IFERROR(IF(AND(B303&gt;0,B303/1),INDEX(Заказ!$B$1:$AV$3196,MATCH(B303,Заказ!$AV$1:$AV$3196,0),16)/INDEX(Заказ!$B$1:$AV$3196,MATCH(B303,Заказ!$AV$1:$AV$3196,0),5),""),"")</f>
        <v/>
      </c>
      <c r="G303" s="1059" t="str">
        <f>IFERROR(IF(AND(B303&gt;0,B303/1),INDEX(Заказ!$B$1:$AV$3196,MATCH(B303,Заказ!$AV$1:$AV$3196,0),16),""),"")</f>
        <v/>
      </c>
      <c r="H303" s="1"/>
    </row>
    <row r="304" spans="1:8" ht="12" customHeight="1" x14ac:dyDescent="0.25">
      <c r="A304" s="1051" t="str">
        <f>IFERROR(IF(AND(B304&gt;0,B304/1),INDEX(Заказ!$B$412:$AV$3196,MATCH(B304,Заказ!$AV$412:$AV$3196,0),1),""),"")</f>
        <v/>
      </c>
      <c r="B304" s="1056" t="str">
        <f>IFERROR(IF(B303&gt;0,SMALL(Заказ!$AV$1:$AV$3196,1+B303),""),"")</f>
        <v/>
      </c>
      <c r="C304" s="1057" t="str">
        <f>IFERROR(IF(AND(B304&gt;0,B304/1),INDEX(Заказ!$B$1:$AV$3196,MATCH(B304,Заказ!$AV$1:$AV$3196,0),3),""),"")</f>
        <v/>
      </c>
      <c r="D304" s="1058" t="str">
        <f>IFERROR(IF(AND(B304&gt;0,B304/1),INDEX(Заказ!$B$1:$AV$3196,MATCH(B304,Заказ!$AV$1:$AV$3196,0),9),""),"")</f>
        <v/>
      </c>
      <c r="E304" s="1056" t="str">
        <f>IFERROR(IF(AND(B304&gt;0,B304/1),INDEX(Заказ!$B$1:$AV$3196,MATCH(B304,Заказ!$AV$1:$AV$3196,0),5),""),"")</f>
        <v/>
      </c>
      <c r="F304" s="1056" t="str">
        <f>IFERROR(IF(AND(B304&gt;0,B304/1),INDEX(Заказ!$B$1:$AV$3196,MATCH(B304,Заказ!$AV$1:$AV$3196,0),16)/INDEX(Заказ!$B$1:$AV$3196,MATCH(B304,Заказ!$AV$1:$AV$3196,0),5),""),"")</f>
        <v/>
      </c>
      <c r="G304" s="1059" t="str">
        <f>IFERROR(IF(AND(B304&gt;0,B304/1),INDEX(Заказ!$B$1:$AV$3196,MATCH(B304,Заказ!$AV$1:$AV$3196,0),16),""),"")</f>
        <v/>
      </c>
      <c r="H304" s="1"/>
    </row>
    <row r="305" spans="1:8" ht="12" customHeight="1" x14ac:dyDescent="0.25">
      <c r="A305" s="1051" t="str">
        <f>IFERROR(IF(AND(B305&gt;0,B305/1),INDEX(Заказ!$B$412:$AV$3196,MATCH(B305,Заказ!$AV$412:$AV$3196,0),1),""),"")</f>
        <v/>
      </c>
      <c r="B305" s="1056" t="str">
        <f>IFERROR(IF(B304&gt;0,SMALL(Заказ!$AV$1:$AV$3196,1+B304),""),"")</f>
        <v/>
      </c>
      <c r="C305" s="1057" t="str">
        <f>IFERROR(IF(AND(B305&gt;0,B305/1),INDEX(Заказ!$B$1:$AV$3196,MATCH(B305,Заказ!$AV$1:$AV$3196,0),3),""),"")</f>
        <v/>
      </c>
      <c r="D305" s="1058" t="str">
        <f>IFERROR(IF(AND(B305&gt;0,B305/1),INDEX(Заказ!$B$1:$AV$3196,MATCH(B305,Заказ!$AV$1:$AV$3196,0),9),""),"")</f>
        <v/>
      </c>
      <c r="E305" s="1056" t="str">
        <f>IFERROR(IF(AND(B305&gt;0,B305/1),INDEX(Заказ!$B$1:$AV$3196,MATCH(B305,Заказ!$AV$1:$AV$3196,0),5),""),"")</f>
        <v/>
      </c>
      <c r="F305" s="1056" t="str">
        <f>IFERROR(IF(AND(B305&gt;0,B305/1),INDEX(Заказ!$B$1:$AV$3196,MATCH(B305,Заказ!$AV$1:$AV$3196,0),16)/INDEX(Заказ!$B$1:$AV$3196,MATCH(B305,Заказ!$AV$1:$AV$3196,0),5),""),"")</f>
        <v/>
      </c>
      <c r="G305" s="1059" t="str">
        <f>IFERROR(IF(AND(B305&gt;0,B305/1),INDEX(Заказ!$B$1:$AV$3196,MATCH(B305,Заказ!$AV$1:$AV$3196,0),16),""),"")</f>
        <v/>
      </c>
      <c r="H305" s="1"/>
    </row>
    <row r="306" spans="1:8" ht="12" customHeight="1" x14ac:dyDescent="0.25">
      <c r="A306" s="1051" t="str">
        <f>IFERROR(IF(AND(B306&gt;0,B306/1),INDEX(Заказ!$B$412:$AV$3196,MATCH(B306,Заказ!$AV$412:$AV$3196,0),1),""),"")</f>
        <v/>
      </c>
      <c r="B306" s="1056" t="str">
        <f>IFERROR(IF(B305&gt;0,SMALL(Заказ!$AV$1:$AV$3196,1+B305),""),"")</f>
        <v/>
      </c>
      <c r="C306" s="1057" t="str">
        <f>IFERROR(IF(AND(B306&gt;0,B306/1),INDEX(Заказ!$B$1:$AV$3196,MATCH(B306,Заказ!$AV$1:$AV$3196,0),3),""),"")</f>
        <v/>
      </c>
      <c r="D306" s="1058" t="str">
        <f>IFERROR(IF(AND(B306&gt;0,B306/1),INDEX(Заказ!$B$1:$AV$3196,MATCH(B306,Заказ!$AV$1:$AV$3196,0),9),""),"")</f>
        <v/>
      </c>
      <c r="E306" s="1056" t="str">
        <f>IFERROR(IF(AND(B306&gt;0,B306/1),INDEX(Заказ!$B$1:$AV$3196,MATCH(B306,Заказ!$AV$1:$AV$3196,0),5),""),"")</f>
        <v/>
      </c>
      <c r="F306" s="1056" t="str">
        <f>IFERROR(IF(AND(B306&gt;0,B306/1),INDEX(Заказ!$B$1:$AV$3196,MATCH(B306,Заказ!$AV$1:$AV$3196,0),16)/INDEX(Заказ!$B$1:$AV$3196,MATCH(B306,Заказ!$AV$1:$AV$3196,0),5),""),"")</f>
        <v/>
      </c>
      <c r="G306" s="1059" t="str">
        <f>IFERROR(IF(AND(B306&gt;0,B306/1),INDEX(Заказ!$B$1:$AV$3196,MATCH(B306,Заказ!$AV$1:$AV$3196,0),16),""),"")</f>
        <v/>
      </c>
      <c r="H306" s="1"/>
    </row>
    <row r="307" spans="1:8" ht="12" customHeight="1" x14ac:dyDescent="0.25">
      <c r="A307" s="1051" t="str">
        <f>IFERROR(IF(AND(B307&gt;0,B307/1),INDEX(Заказ!$B$412:$AV$3196,MATCH(B307,Заказ!$AV$412:$AV$3196,0),1),""),"")</f>
        <v/>
      </c>
      <c r="B307" s="1056" t="str">
        <f>IFERROR(IF(B306&gt;0,SMALL(Заказ!$AV$1:$AV$3196,1+B306),""),"")</f>
        <v/>
      </c>
      <c r="C307" s="1057" t="str">
        <f>IFERROR(IF(AND(B307&gt;0,B307/1),INDEX(Заказ!$B$1:$AV$3196,MATCH(B307,Заказ!$AV$1:$AV$3196,0),3),""),"")</f>
        <v/>
      </c>
      <c r="D307" s="1058" t="str">
        <f>IFERROR(IF(AND(B307&gt;0,B307/1),INDEX(Заказ!$B$1:$AV$3196,MATCH(B307,Заказ!$AV$1:$AV$3196,0),9),""),"")</f>
        <v/>
      </c>
      <c r="E307" s="1056" t="str">
        <f>IFERROR(IF(AND(B307&gt;0,B307/1),INDEX(Заказ!$B$1:$AV$3196,MATCH(B307,Заказ!$AV$1:$AV$3196,0),5),""),"")</f>
        <v/>
      </c>
      <c r="F307" s="1056" t="str">
        <f>IFERROR(IF(AND(B307&gt;0,B307/1),INDEX(Заказ!$B$1:$AV$3196,MATCH(B307,Заказ!$AV$1:$AV$3196,0),16)/INDEX(Заказ!$B$1:$AV$3196,MATCH(B307,Заказ!$AV$1:$AV$3196,0),5),""),"")</f>
        <v/>
      </c>
      <c r="G307" s="1059" t="str">
        <f>IFERROR(IF(AND(B307&gt;0,B307/1),INDEX(Заказ!$B$1:$AV$3196,MATCH(B307,Заказ!$AV$1:$AV$3196,0),16),""),"")</f>
        <v/>
      </c>
      <c r="H307" s="1"/>
    </row>
    <row r="308" spans="1:8" ht="12" customHeight="1" x14ac:dyDescent="0.25">
      <c r="A308" s="1051" t="str">
        <f>IFERROR(IF(AND(B308&gt;0,B308/1),INDEX(Заказ!$B$412:$AV$3196,MATCH(B308,Заказ!$AV$412:$AV$3196,0),1),""),"")</f>
        <v/>
      </c>
      <c r="B308" s="1056" t="str">
        <f>IFERROR(IF(B307&gt;0,SMALL(Заказ!$AV$1:$AV$3196,1+B307),""),"")</f>
        <v/>
      </c>
      <c r="C308" s="1057" t="str">
        <f>IFERROR(IF(AND(B308&gt;0,B308/1),INDEX(Заказ!$B$1:$AV$3196,MATCH(B308,Заказ!$AV$1:$AV$3196,0),3),""),"")</f>
        <v/>
      </c>
      <c r="D308" s="1058" t="str">
        <f>IFERROR(IF(AND(B308&gt;0,B308/1),INDEX(Заказ!$B$1:$AV$3196,MATCH(B308,Заказ!$AV$1:$AV$3196,0),9),""),"")</f>
        <v/>
      </c>
      <c r="E308" s="1056" t="str">
        <f>IFERROR(IF(AND(B308&gt;0,B308/1),INDEX(Заказ!$B$1:$AV$3196,MATCH(B308,Заказ!$AV$1:$AV$3196,0),5),""),"")</f>
        <v/>
      </c>
      <c r="F308" s="1056" t="str">
        <f>IFERROR(IF(AND(B308&gt;0,B308/1),INDEX(Заказ!$B$1:$AV$3196,MATCH(B308,Заказ!$AV$1:$AV$3196,0),16)/INDEX(Заказ!$B$1:$AV$3196,MATCH(B308,Заказ!$AV$1:$AV$3196,0),5),""),"")</f>
        <v/>
      </c>
      <c r="G308" s="1059" t="str">
        <f>IFERROR(IF(AND(B308&gt;0,B308/1),INDEX(Заказ!$B$1:$AV$3196,MATCH(B308,Заказ!$AV$1:$AV$3196,0),16),""),"")</f>
        <v/>
      </c>
      <c r="H308" s="1"/>
    </row>
    <row r="309" spans="1:8" ht="12" customHeight="1" x14ac:dyDescent="0.25">
      <c r="A309" s="1051" t="str">
        <f>IFERROR(IF(AND(B309&gt;0,B309/1),INDEX(Заказ!$B$412:$AV$3196,MATCH(B309,Заказ!$AV$412:$AV$3196,0),1),""),"")</f>
        <v/>
      </c>
      <c r="B309" s="1056" t="str">
        <f>IFERROR(IF(B308&gt;0,SMALL(Заказ!$AV$1:$AV$3196,1+B308),""),"")</f>
        <v/>
      </c>
      <c r="C309" s="1057" t="str">
        <f>IFERROR(IF(AND(B309&gt;0,B309/1),INDEX(Заказ!$B$1:$AV$3196,MATCH(B309,Заказ!$AV$1:$AV$3196,0),3),""),"")</f>
        <v/>
      </c>
      <c r="D309" s="1058" t="str">
        <f>IFERROR(IF(AND(B309&gt;0,B309/1),INDEX(Заказ!$B$1:$AV$3196,MATCH(B309,Заказ!$AV$1:$AV$3196,0),9),""),"")</f>
        <v/>
      </c>
      <c r="E309" s="1056" t="str">
        <f>IFERROR(IF(AND(B309&gt;0,B309/1),INDEX(Заказ!$B$1:$AV$3196,MATCH(B309,Заказ!$AV$1:$AV$3196,0),5),""),"")</f>
        <v/>
      </c>
      <c r="F309" s="1056" t="str">
        <f>IFERROR(IF(AND(B309&gt;0,B309/1),INDEX(Заказ!$B$1:$AV$3196,MATCH(B309,Заказ!$AV$1:$AV$3196,0),16)/INDEX(Заказ!$B$1:$AV$3196,MATCH(B309,Заказ!$AV$1:$AV$3196,0),5),""),"")</f>
        <v/>
      </c>
      <c r="G309" s="1059" t="str">
        <f>IFERROR(IF(AND(B309&gt;0,B309/1),INDEX(Заказ!$B$1:$AV$3196,MATCH(B309,Заказ!$AV$1:$AV$3196,0),16),""),"")</f>
        <v/>
      </c>
      <c r="H309" s="1"/>
    </row>
    <row r="310" spans="1:8" ht="12" customHeight="1" x14ac:dyDescent="0.25">
      <c r="A310" s="1051" t="str">
        <f>IFERROR(IF(AND(B310&gt;0,B310/1),INDEX(Заказ!$B$412:$AV$3196,MATCH(B310,Заказ!$AV$412:$AV$3196,0),1),""),"")</f>
        <v/>
      </c>
      <c r="B310" s="1056" t="str">
        <f>IFERROR(IF(B309&gt;0,SMALL(Заказ!$AV$1:$AV$3196,1+B309),""),"")</f>
        <v/>
      </c>
      <c r="C310" s="1057" t="str">
        <f>IFERROR(IF(AND(B310&gt;0,B310/1),INDEX(Заказ!$B$1:$AV$3196,MATCH(B310,Заказ!$AV$1:$AV$3196,0),3),""),"")</f>
        <v/>
      </c>
      <c r="D310" s="1058" t="str">
        <f>IFERROR(IF(AND(B310&gt;0,B310/1),INDEX(Заказ!$B$1:$AV$3196,MATCH(B310,Заказ!$AV$1:$AV$3196,0),9),""),"")</f>
        <v/>
      </c>
      <c r="E310" s="1056" t="str">
        <f>IFERROR(IF(AND(B310&gt;0,B310/1),INDEX(Заказ!$B$1:$AV$3196,MATCH(B310,Заказ!$AV$1:$AV$3196,0),5),""),"")</f>
        <v/>
      </c>
      <c r="F310" s="1056" t="str">
        <f>IFERROR(IF(AND(B310&gt;0,B310/1),INDEX(Заказ!$B$1:$AV$3196,MATCH(B310,Заказ!$AV$1:$AV$3196,0),16)/INDEX(Заказ!$B$1:$AV$3196,MATCH(B310,Заказ!$AV$1:$AV$3196,0),5),""),"")</f>
        <v/>
      </c>
      <c r="G310" s="1059" t="str">
        <f>IFERROR(IF(AND(B310&gt;0,B310/1),INDEX(Заказ!$B$1:$AV$3196,MATCH(B310,Заказ!$AV$1:$AV$3196,0),16),""),"")</f>
        <v/>
      </c>
      <c r="H310" s="1"/>
    </row>
    <row r="311" spans="1:8" ht="12" customHeight="1" x14ac:dyDescent="0.25">
      <c r="A311" s="1051" t="str">
        <f>IFERROR(IF(AND(B311&gt;0,B311/1),INDEX(Заказ!$B$412:$AV$3196,MATCH(B311,Заказ!$AV$412:$AV$3196,0),1),""),"")</f>
        <v/>
      </c>
      <c r="B311" s="1056" t="str">
        <f>IFERROR(IF(B310&gt;0,SMALL(Заказ!$AV$1:$AV$3196,1+B310),""),"")</f>
        <v/>
      </c>
      <c r="C311" s="1057" t="str">
        <f>IFERROR(IF(AND(B311&gt;0,B311/1),INDEX(Заказ!$B$1:$AV$3196,MATCH(B311,Заказ!$AV$1:$AV$3196,0),3),""),"")</f>
        <v/>
      </c>
      <c r="D311" s="1058" t="str">
        <f>IFERROR(IF(AND(B311&gt;0,B311/1),INDEX(Заказ!$B$1:$AV$3196,MATCH(B311,Заказ!$AV$1:$AV$3196,0),9),""),"")</f>
        <v/>
      </c>
      <c r="E311" s="1056" t="str">
        <f>IFERROR(IF(AND(B311&gt;0,B311/1),INDEX(Заказ!$B$1:$AV$3196,MATCH(B311,Заказ!$AV$1:$AV$3196,0),5),""),"")</f>
        <v/>
      </c>
      <c r="F311" s="1056" t="str">
        <f>IFERROR(IF(AND(B311&gt;0,B311/1),INDEX(Заказ!$B$1:$AV$3196,MATCH(B311,Заказ!$AV$1:$AV$3196,0),16)/INDEX(Заказ!$B$1:$AV$3196,MATCH(B311,Заказ!$AV$1:$AV$3196,0),5),""),"")</f>
        <v/>
      </c>
      <c r="G311" s="1059" t="str">
        <f>IFERROR(IF(AND(B311&gt;0,B311/1),INDEX(Заказ!$B$1:$AV$3196,MATCH(B311,Заказ!$AV$1:$AV$3196,0),16),""),"")</f>
        <v/>
      </c>
      <c r="H311" s="1"/>
    </row>
    <row r="312" spans="1:8" ht="12" customHeight="1" x14ac:dyDescent="0.25">
      <c r="A312" s="1051" t="str">
        <f>IFERROR(IF(AND(B312&gt;0,B312/1),INDEX(Заказ!$B$412:$AV$3196,MATCH(B312,Заказ!$AV$412:$AV$3196,0),1),""),"")</f>
        <v/>
      </c>
      <c r="B312" s="1056" t="str">
        <f>IFERROR(IF(B311&gt;0,SMALL(Заказ!$AV$1:$AV$3196,1+B311),""),"")</f>
        <v/>
      </c>
      <c r="C312" s="1057" t="str">
        <f>IFERROR(IF(AND(B312&gt;0,B312/1),INDEX(Заказ!$B$1:$AV$3196,MATCH(B312,Заказ!$AV$1:$AV$3196,0),3),""),"")</f>
        <v/>
      </c>
      <c r="D312" s="1058" t="str">
        <f>IFERROR(IF(AND(B312&gt;0,B312/1),INDEX(Заказ!$B$1:$AV$3196,MATCH(B312,Заказ!$AV$1:$AV$3196,0),9),""),"")</f>
        <v/>
      </c>
      <c r="E312" s="1056" t="str">
        <f>IFERROR(IF(AND(B312&gt;0,B312/1),INDEX(Заказ!$B$1:$AV$3196,MATCH(B312,Заказ!$AV$1:$AV$3196,0),5),""),"")</f>
        <v/>
      </c>
      <c r="F312" s="1056" t="str">
        <f>IFERROR(IF(AND(B312&gt;0,B312/1),INDEX(Заказ!$B$1:$AV$3196,MATCH(B312,Заказ!$AV$1:$AV$3196,0),16)/INDEX(Заказ!$B$1:$AV$3196,MATCH(B312,Заказ!$AV$1:$AV$3196,0),5),""),"")</f>
        <v/>
      </c>
      <c r="G312" s="1059" t="str">
        <f>IFERROR(IF(AND(B312&gt;0,B312/1),INDEX(Заказ!$B$1:$AV$3196,MATCH(B312,Заказ!$AV$1:$AV$3196,0),16),""),"")</f>
        <v/>
      </c>
      <c r="H312" s="1"/>
    </row>
    <row r="313" spans="1:8" ht="12" customHeight="1" x14ac:dyDescent="0.25">
      <c r="A313" s="1051" t="str">
        <f>IFERROR(IF(AND(B313&gt;0,B313/1),INDEX(Заказ!$B$412:$AV$3196,MATCH(B313,Заказ!$AV$412:$AV$3196,0),1),""),"")</f>
        <v/>
      </c>
      <c r="B313" s="1056" t="str">
        <f>IFERROR(IF(B312&gt;0,SMALL(Заказ!$AV$1:$AV$3196,1+B312),""),"")</f>
        <v/>
      </c>
      <c r="C313" s="1057" t="str">
        <f>IFERROR(IF(AND(B313&gt;0,B313/1),INDEX(Заказ!$B$1:$AV$3196,MATCH(B313,Заказ!$AV$1:$AV$3196,0),3),""),"")</f>
        <v/>
      </c>
      <c r="D313" s="1058" t="str">
        <f>IFERROR(IF(AND(B313&gt;0,B313/1),INDEX(Заказ!$B$1:$AV$3196,MATCH(B313,Заказ!$AV$1:$AV$3196,0),9),""),"")</f>
        <v/>
      </c>
      <c r="E313" s="1056" t="str">
        <f>IFERROR(IF(AND(B313&gt;0,B313/1),INDEX(Заказ!$B$1:$AV$3196,MATCH(B313,Заказ!$AV$1:$AV$3196,0),5),""),"")</f>
        <v/>
      </c>
      <c r="F313" s="1056" t="str">
        <f>IFERROR(IF(AND(B313&gt;0,B313/1),INDEX(Заказ!$B$1:$AV$3196,MATCH(B313,Заказ!$AV$1:$AV$3196,0),16)/INDEX(Заказ!$B$1:$AV$3196,MATCH(B313,Заказ!$AV$1:$AV$3196,0),5),""),"")</f>
        <v/>
      </c>
      <c r="G313" s="1059" t="str">
        <f>IFERROR(IF(AND(B313&gt;0,B313/1),INDEX(Заказ!$B$1:$AV$3196,MATCH(B313,Заказ!$AV$1:$AV$3196,0),16),""),"")</f>
        <v/>
      </c>
      <c r="H313" s="1"/>
    </row>
    <row r="314" spans="1:8" ht="12" customHeight="1" x14ac:dyDescent="0.25">
      <c r="A314" s="1051" t="str">
        <f>IFERROR(IF(AND(B314&gt;0,B314/1),INDEX(Заказ!$B$412:$AV$3196,MATCH(B314,Заказ!$AV$412:$AV$3196,0),1),""),"")</f>
        <v/>
      </c>
      <c r="B314" s="1056" t="str">
        <f>IFERROR(IF(B313&gt;0,SMALL(Заказ!$AV$1:$AV$3196,1+B313),""),"")</f>
        <v/>
      </c>
      <c r="C314" s="1057" t="str">
        <f>IFERROR(IF(AND(B314&gt;0,B314/1),INDEX(Заказ!$B$1:$AV$3196,MATCH(B314,Заказ!$AV$1:$AV$3196,0),3),""),"")</f>
        <v/>
      </c>
      <c r="D314" s="1058" t="str">
        <f>IFERROR(IF(AND(B314&gt;0,B314/1),INDEX(Заказ!$B$1:$AV$3196,MATCH(B314,Заказ!$AV$1:$AV$3196,0),9),""),"")</f>
        <v/>
      </c>
      <c r="E314" s="1056" t="str">
        <f>IFERROR(IF(AND(B314&gt;0,B314/1),INDEX(Заказ!$B$1:$AV$3196,MATCH(B314,Заказ!$AV$1:$AV$3196,0),5),""),"")</f>
        <v/>
      </c>
      <c r="F314" s="1056" t="str">
        <f>IFERROR(IF(AND(B314&gt;0,B314/1),INDEX(Заказ!$B$1:$AV$3196,MATCH(B314,Заказ!$AV$1:$AV$3196,0),16)/INDEX(Заказ!$B$1:$AV$3196,MATCH(B314,Заказ!$AV$1:$AV$3196,0),5),""),"")</f>
        <v/>
      </c>
      <c r="G314" s="1059" t="str">
        <f>IFERROR(IF(AND(B314&gt;0,B314/1),INDEX(Заказ!$B$1:$AV$3196,MATCH(B314,Заказ!$AV$1:$AV$3196,0),16),""),"")</f>
        <v/>
      </c>
      <c r="H314" s="1"/>
    </row>
    <row r="315" spans="1:8" ht="12" customHeight="1" x14ac:dyDescent="0.25">
      <c r="A315" s="1051" t="str">
        <f>IFERROR(IF(AND(B315&gt;0,B315/1),INDEX(Заказ!$B$412:$AV$3196,MATCH(B315,Заказ!$AV$412:$AV$3196,0),1),""),"")</f>
        <v/>
      </c>
      <c r="B315" s="1056" t="str">
        <f>IFERROR(IF(B314&gt;0,SMALL(Заказ!$AV$1:$AV$3196,1+B314),""),"")</f>
        <v/>
      </c>
      <c r="C315" s="1057" t="str">
        <f>IFERROR(IF(AND(B315&gt;0,B315/1),INDEX(Заказ!$B$1:$AV$3196,MATCH(B315,Заказ!$AV$1:$AV$3196,0),3),""),"")</f>
        <v/>
      </c>
      <c r="D315" s="1058" t="str">
        <f>IFERROR(IF(AND(B315&gt;0,B315/1),INDEX(Заказ!$B$1:$AV$3196,MATCH(B315,Заказ!$AV$1:$AV$3196,0),9),""),"")</f>
        <v/>
      </c>
      <c r="E315" s="1056" t="str">
        <f>IFERROR(IF(AND(B315&gt;0,B315/1),INDEX(Заказ!$B$1:$AV$3196,MATCH(B315,Заказ!$AV$1:$AV$3196,0),5),""),"")</f>
        <v/>
      </c>
      <c r="F315" s="1056" t="str">
        <f>IFERROR(IF(AND(B315&gt;0,B315/1),INDEX(Заказ!$B$1:$AV$3196,MATCH(B315,Заказ!$AV$1:$AV$3196,0),16)/INDEX(Заказ!$B$1:$AV$3196,MATCH(B315,Заказ!$AV$1:$AV$3196,0),5),""),"")</f>
        <v/>
      </c>
      <c r="G315" s="1059" t="str">
        <f>IFERROR(IF(AND(B315&gt;0,B315/1),INDEX(Заказ!$B$1:$AV$3196,MATCH(B315,Заказ!$AV$1:$AV$3196,0),16),""),"")</f>
        <v/>
      </c>
      <c r="H315" s="1"/>
    </row>
    <row r="316" spans="1:8" ht="12" customHeight="1" x14ac:dyDescent="0.25">
      <c r="A316" s="1051" t="str">
        <f>IFERROR(IF(AND(B316&gt;0,B316/1),INDEX(Заказ!$B$412:$AV$3196,MATCH(B316,Заказ!$AV$412:$AV$3196,0),1),""),"")</f>
        <v/>
      </c>
      <c r="B316" s="1056" t="str">
        <f>IFERROR(IF(B315&gt;0,SMALL(Заказ!$AV$1:$AV$3196,1+B315),""),"")</f>
        <v/>
      </c>
      <c r="C316" s="1057" t="str">
        <f>IFERROR(IF(AND(B316&gt;0,B316/1),INDEX(Заказ!$B$1:$AV$3196,MATCH(B316,Заказ!$AV$1:$AV$3196,0),3),""),"")</f>
        <v/>
      </c>
      <c r="D316" s="1058" t="str">
        <f>IFERROR(IF(AND(B316&gt;0,B316/1),INDEX(Заказ!$B$1:$AV$3196,MATCH(B316,Заказ!$AV$1:$AV$3196,0),9),""),"")</f>
        <v/>
      </c>
      <c r="E316" s="1056" t="str">
        <f>IFERROR(IF(AND(B316&gt;0,B316/1),INDEX(Заказ!$B$1:$AV$3196,MATCH(B316,Заказ!$AV$1:$AV$3196,0),5),""),"")</f>
        <v/>
      </c>
      <c r="F316" s="1056" t="str">
        <f>IFERROR(IF(AND(B316&gt;0,B316/1),INDEX(Заказ!$B$1:$AV$3196,MATCH(B316,Заказ!$AV$1:$AV$3196,0),16)/INDEX(Заказ!$B$1:$AV$3196,MATCH(B316,Заказ!$AV$1:$AV$3196,0),5),""),"")</f>
        <v/>
      </c>
      <c r="G316" s="1059" t="str">
        <f>IFERROR(IF(AND(B316&gt;0,B316/1),INDEX(Заказ!$B$1:$AV$3196,MATCH(B316,Заказ!$AV$1:$AV$3196,0),16),""),"")</f>
        <v/>
      </c>
      <c r="H316" s="1"/>
    </row>
    <row r="317" spans="1:8" ht="12" customHeight="1" x14ac:dyDescent="0.25">
      <c r="A317" s="1051" t="str">
        <f>IFERROR(IF(AND(B317&gt;0,B317/1),INDEX(Заказ!$B$412:$AV$3196,MATCH(B317,Заказ!$AV$412:$AV$3196,0),1),""),"")</f>
        <v/>
      </c>
      <c r="B317" s="1056" t="str">
        <f>IFERROR(IF(B316&gt;0,SMALL(Заказ!$AV$1:$AV$3196,1+B316),""),"")</f>
        <v/>
      </c>
      <c r="C317" s="1057" t="str">
        <f>IFERROR(IF(AND(B317&gt;0,B317/1),INDEX(Заказ!$B$1:$AV$3196,MATCH(B317,Заказ!$AV$1:$AV$3196,0),3),""),"")</f>
        <v/>
      </c>
      <c r="D317" s="1058" t="str">
        <f>IFERROR(IF(AND(B317&gt;0,B317/1),INDEX(Заказ!$B$1:$AV$3196,MATCH(B317,Заказ!$AV$1:$AV$3196,0),9),""),"")</f>
        <v/>
      </c>
      <c r="E317" s="1056" t="str">
        <f>IFERROR(IF(AND(B317&gt;0,B317/1),INDEX(Заказ!$B$1:$AV$3196,MATCH(B317,Заказ!$AV$1:$AV$3196,0),5),""),"")</f>
        <v/>
      </c>
      <c r="F317" s="1056" t="str">
        <f>IFERROR(IF(AND(B317&gt;0,B317/1),INDEX(Заказ!$B$1:$AV$3196,MATCH(B317,Заказ!$AV$1:$AV$3196,0),16)/INDEX(Заказ!$B$1:$AV$3196,MATCH(B317,Заказ!$AV$1:$AV$3196,0),5),""),"")</f>
        <v/>
      </c>
      <c r="G317" s="1059" t="str">
        <f>IFERROR(IF(AND(B317&gt;0,B317/1),INDEX(Заказ!$B$1:$AV$3196,MATCH(B317,Заказ!$AV$1:$AV$3196,0),16),""),"")</f>
        <v/>
      </c>
      <c r="H317" s="1"/>
    </row>
    <row r="318" spans="1:8" ht="12" customHeight="1" x14ac:dyDescent="0.25">
      <c r="A318" s="1051" t="str">
        <f>IFERROR(IF(AND(B318&gt;0,B318/1),INDEX(Заказ!$B$412:$AV$3196,MATCH(B318,Заказ!$AV$412:$AV$3196,0),1),""),"")</f>
        <v/>
      </c>
      <c r="B318" s="1056" t="str">
        <f>IFERROR(IF(B317&gt;0,SMALL(Заказ!$AV$1:$AV$3196,1+B317),""),"")</f>
        <v/>
      </c>
      <c r="C318" s="1057" t="str">
        <f>IFERROR(IF(AND(B318&gt;0,B318/1),INDEX(Заказ!$B$1:$AV$3196,MATCH(B318,Заказ!$AV$1:$AV$3196,0),3),""),"")</f>
        <v/>
      </c>
      <c r="D318" s="1058" t="str">
        <f>IFERROR(IF(AND(B318&gt;0,B318/1),INDEX(Заказ!$B$1:$AV$3196,MATCH(B318,Заказ!$AV$1:$AV$3196,0),9),""),"")</f>
        <v/>
      </c>
      <c r="E318" s="1056" t="str">
        <f>IFERROR(IF(AND(B318&gt;0,B318/1),INDEX(Заказ!$B$1:$AV$3196,MATCH(B318,Заказ!$AV$1:$AV$3196,0),5),""),"")</f>
        <v/>
      </c>
      <c r="F318" s="1056" t="str">
        <f>IFERROR(IF(AND(B318&gt;0,B318/1),INDEX(Заказ!$B$1:$AV$3196,MATCH(B318,Заказ!$AV$1:$AV$3196,0),16)/INDEX(Заказ!$B$1:$AV$3196,MATCH(B318,Заказ!$AV$1:$AV$3196,0),5),""),"")</f>
        <v/>
      </c>
      <c r="G318" s="1059" t="str">
        <f>IFERROR(IF(AND(B318&gt;0,B318/1),INDEX(Заказ!$B$1:$AV$3196,MATCH(B318,Заказ!$AV$1:$AV$3196,0),16),""),"")</f>
        <v/>
      </c>
      <c r="H318" s="1"/>
    </row>
    <row r="319" spans="1:8" ht="12" customHeight="1" x14ac:dyDescent="0.25">
      <c r="A319" s="1051" t="str">
        <f>IFERROR(IF(AND(B319&gt;0,B319/1),INDEX(Заказ!$B$412:$AV$3196,MATCH(B319,Заказ!$AV$412:$AV$3196,0),1),""),"")</f>
        <v/>
      </c>
      <c r="B319" s="1056" t="str">
        <f>IFERROR(IF(B318&gt;0,SMALL(Заказ!$AV$1:$AV$3196,1+B318),""),"")</f>
        <v/>
      </c>
      <c r="C319" s="1057" t="str">
        <f>IFERROR(IF(AND(B319&gt;0,B319/1),INDEX(Заказ!$B$1:$AV$3196,MATCH(B319,Заказ!$AV$1:$AV$3196,0),3),""),"")</f>
        <v/>
      </c>
      <c r="D319" s="1058" t="str">
        <f>IFERROR(IF(AND(B319&gt;0,B319/1),INDEX(Заказ!$B$1:$AV$3196,MATCH(B319,Заказ!$AV$1:$AV$3196,0),9),""),"")</f>
        <v/>
      </c>
      <c r="E319" s="1056" t="str">
        <f>IFERROR(IF(AND(B319&gt;0,B319/1),INDEX(Заказ!$B$1:$AV$3196,MATCH(B319,Заказ!$AV$1:$AV$3196,0),5),""),"")</f>
        <v/>
      </c>
      <c r="F319" s="1056" t="str">
        <f>IFERROR(IF(AND(B319&gt;0,B319/1),INDEX(Заказ!$B$1:$AV$3196,MATCH(B319,Заказ!$AV$1:$AV$3196,0),16)/INDEX(Заказ!$B$1:$AV$3196,MATCH(B319,Заказ!$AV$1:$AV$3196,0),5),""),"")</f>
        <v/>
      </c>
      <c r="G319" s="1059" t="str">
        <f>IFERROR(IF(AND(B319&gt;0,B319/1),INDEX(Заказ!$B$1:$AV$3196,MATCH(B319,Заказ!$AV$1:$AV$3196,0),16),""),"")</f>
        <v/>
      </c>
      <c r="H319" s="1"/>
    </row>
    <row r="320" spans="1:8" ht="12" customHeight="1" x14ac:dyDescent="0.25">
      <c r="A320" s="1051" t="str">
        <f>IFERROR(IF(AND(B320&gt;0,B320/1),INDEX(Заказ!$B$412:$AV$3196,MATCH(B320,Заказ!$AV$412:$AV$3196,0),1),""),"")</f>
        <v/>
      </c>
      <c r="B320" s="1056" t="str">
        <f>IFERROR(IF(B319&gt;0,SMALL(Заказ!$AV$1:$AV$3196,1+B319),""),"")</f>
        <v/>
      </c>
      <c r="C320" s="1057" t="str">
        <f>IFERROR(IF(AND(B320&gt;0,B320/1),INDEX(Заказ!$B$1:$AV$3196,MATCH(B320,Заказ!$AV$1:$AV$3196,0),3),""),"")</f>
        <v/>
      </c>
      <c r="D320" s="1058" t="str">
        <f>IFERROR(IF(AND(B320&gt;0,B320/1),INDEX(Заказ!$B$1:$AV$3196,MATCH(B320,Заказ!$AV$1:$AV$3196,0),9),""),"")</f>
        <v/>
      </c>
      <c r="E320" s="1056" t="str">
        <f>IFERROR(IF(AND(B320&gt;0,B320/1),INDEX(Заказ!$B$1:$AV$3196,MATCH(B320,Заказ!$AV$1:$AV$3196,0),5),""),"")</f>
        <v/>
      </c>
      <c r="F320" s="1056" t="str">
        <f>IFERROR(IF(AND(B320&gt;0,B320/1),INDEX(Заказ!$B$1:$AV$3196,MATCH(B320,Заказ!$AV$1:$AV$3196,0),16)/INDEX(Заказ!$B$1:$AV$3196,MATCH(B320,Заказ!$AV$1:$AV$3196,0),5),""),"")</f>
        <v/>
      </c>
      <c r="G320" s="1059" t="str">
        <f>IFERROR(IF(AND(B320&gt;0,B320/1),INDEX(Заказ!$B$1:$AV$3196,MATCH(B320,Заказ!$AV$1:$AV$3196,0),16),""),"")</f>
        <v/>
      </c>
      <c r="H320" s="1"/>
    </row>
    <row r="321" spans="1:8" ht="12" customHeight="1" x14ac:dyDescent="0.25">
      <c r="A321" s="1051" t="str">
        <f>IFERROR(IF(AND(B321&gt;0,B321/1),INDEX(Заказ!$B$412:$AV$3196,MATCH(B321,Заказ!$AV$412:$AV$3196,0),1),""),"")</f>
        <v/>
      </c>
      <c r="B321" s="1056" t="str">
        <f>IFERROR(IF(B320&gt;0,SMALL(Заказ!$AV$1:$AV$3196,1+B320),""),"")</f>
        <v/>
      </c>
      <c r="C321" s="1057" t="str">
        <f>IFERROR(IF(AND(B321&gt;0,B321/1),INDEX(Заказ!$B$1:$AV$3196,MATCH(B321,Заказ!$AV$1:$AV$3196,0),3),""),"")</f>
        <v/>
      </c>
      <c r="D321" s="1058" t="str">
        <f>IFERROR(IF(AND(B321&gt;0,B321/1),INDEX(Заказ!$B$1:$AV$3196,MATCH(B321,Заказ!$AV$1:$AV$3196,0),9),""),"")</f>
        <v/>
      </c>
      <c r="E321" s="1056" t="str">
        <f>IFERROR(IF(AND(B321&gt;0,B321/1),INDEX(Заказ!$B$1:$AV$3196,MATCH(B321,Заказ!$AV$1:$AV$3196,0),5),""),"")</f>
        <v/>
      </c>
      <c r="F321" s="1056" t="str">
        <f>IFERROR(IF(AND(B321&gt;0,B321/1),INDEX(Заказ!$B$1:$AV$3196,MATCH(B321,Заказ!$AV$1:$AV$3196,0),16)/INDEX(Заказ!$B$1:$AV$3196,MATCH(B321,Заказ!$AV$1:$AV$3196,0),5),""),"")</f>
        <v/>
      </c>
      <c r="G321" s="1059" t="str">
        <f>IFERROR(IF(AND(B321&gt;0,B321/1),INDEX(Заказ!$B$1:$AV$3196,MATCH(B321,Заказ!$AV$1:$AV$3196,0),16),""),"")</f>
        <v/>
      </c>
      <c r="H321" s="1"/>
    </row>
    <row r="322" spans="1:8" ht="12" customHeight="1" x14ac:dyDescent="0.25">
      <c r="A322" s="1051" t="str">
        <f>IFERROR(IF(AND(B322&gt;0,B322/1),INDEX(Заказ!$B$412:$AV$3196,MATCH(B322,Заказ!$AV$412:$AV$3196,0),1),""),"")</f>
        <v/>
      </c>
      <c r="B322" s="1056" t="str">
        <f>IFERROR(IF(B321&gt;0,SMALL(Заказ!$AV$1:$AV$3196,1+B321),""),"")</f>
        <v/>
      </c>
      <c r="C322" s="1057" t="str">
        <f>IFERROR(IF(AND(B322&gt;0,B322/1),INDEX(Заказ!$B$1:$AV$3196,MATCH(B322,Заказ!$AV$1:$AV$3196,0),3),""),"")</f>
        <v/>
      </c>
      <c r="D322" s="1058" t="str">
        <f>IFERROR(IF(AND(B322&gt;0,B322/1),INDEX(Заказ!$B$1:$AV$3196,MATCH(B322,Заказ!$AV$1:$AV$3196,0),9),""),"")</f>
        <v/>
      </c>
      <c r="E322" s="1056" t="str">
        <f>IFERROR(IF(AND(B322&gt;0,B322/1),INDEX(Заказ!$B$1:$AV$3196,MATCH(B322,Заказ!$AV$1:$AV$3196,0),5),""),"")</f>
        <v/>
      </c>
      <c r="F322" s="1056" t="str">
        <f>IFERROR(IF(AND(B322&gt;0,B322/1),INDEX(Заказ!$B$1:$AV$3196,MATCH(B322,Заказ!$AV$1:$AV$3196,0),16)/INDEX(Заказ!$B$1:$AV$3196,MATCH(B322,Заказ!$AV$1:$AV$3196,0),5),""),"")</f>
        <v/>
      </c>
      <c r="G322" s="1059" t="str">
        <f>IFERROR(IF(AND(B322&gt;0,B322/1),INDEX(Заказ!$B$1:$AV$3196,MATCH(B322,Заказ!$AV$1:$AV$3196,0),16),""),"")</f>
        <v/>
      </c>
      <c r="H322" s="1"/>
    </row>
    <row r="323" spans="1:8" ht="12" customHeight="1" x14ac:dyDescent="0.25">
      <c r="A323" s="1051" t="str">
        <f>IFERROR(IF(AND(B323&gt;0,B323/1),INDEX(Заказ!$B$412:$AV$3196,MATCH(B323,Заказ!$AV$412:$AV$3196,0),1),""),"")</f>
        <v/>
      </c>
      <c r="B323" s="1056" t="str">
        <f>IFERROR(IF(B322&gt;0,SMALL(Заказ!$AV$1:$AV$3196,1+B322),""),"")</f>
        <v/>
      </c>
      <c r="C323" s="1057" t="str">
        <f>IFERROR(IF(AND(B323&gt;0,B323/1),INDEX(Заказ!$B$1:$AV$3196,MATCH(B323,Заказ!$AV$1:$AV$3196,0),3),""),"")</f>
        <v/>
      </c>
      <c r="D323" s="1058" t="str">
        <f>IFERROR(IF(AND(B323&gt;0,B323/1),INDEX(Заказ!$B$1:$AV$3196,MATCH(B323,Заказ!$AV$1:$AV$3196,0),9),""),"")</f>
        <v/>
      </c>
      <c r="E323" s="1056" t="str">
        <f>IFERROR(IF(AND(B323&gt;0,B323/1),INDEX(Заказ!$B$1:$AV$3196,MATCH(B323,Заказ!$AV$1:$AV$3196,0),5),""),"")</f>
        <v/>
      </c>
      <c r="F323" s="1056" t="str">
        <f>IFERROR(IF(AND(B323&gt;0,B323/1),INDEX(Заказ!$B$1:$AV$3196,MATCH(B323,Заказ!$AV$1:$AV$3196,0),16)/INDEX(Заказ!$B$1:$AV$3196,MATCH(B323,Заказ!$AV$1:$AV$3196,0),5),""),"")</f>
        <v/>
      </c>
      <c r="G323" s="1059" t="str">
        <f>IFERROR(IF(AND(B323&gt;0,B323/1),INDEX(Заказ!$B$1:$AV$3196,MATCH(B323,Заказ!$AV$1:$AV$3196,0),16),""),"")</f>
        <v/>
      </c>
      <c r="H323" s="1"/>
    </row>
    <row r="324" spans="1:8" ht="12" customHeight="1" x14ac:dyDescent="0.25">
      <c r="A324" s="1051" t="str">
        <f>IFERROR(IF(AND(B324&gt;0,B324/1),INDEX(Заказ!$B$412:$AV$3196,MATCH(B324,Заказ!$AV$412:$AV$3196,0),1),""),"")</f>
        <v/>
      </c>
      <c r="B324" s="1056" t="str">
        <f>IFERROR(IF(B323&gt;0,SMALL(Заказ!$AV$1:$AV$3196,1+B323),""),"")</f>
        <v/>
      </c>
      <c r="C324" s="1057" t="str">
        <f>IFERROR(IF(AND(B324&gt;0,B324/1),INDEX(Заказ!$B$1:$AV$3196,MATCH(B324,Заказ!$AV$1:$AV$3196,0),3),""),"")</f>
        <v/>
      </c>
      <c r="D324" s="1058" t="str">
        <f>IFERROR(IF(AND(B324&gt;0,B324/1),INDEX(Заказ!$B$1:$AV$3196,MATCH(B324,Заказ!$AV$1:$AV$3196,0),9),""),"")</f>
        <v/>
      </c>
      <c r="E324" s="1056" t="str">
        <f>IFERROR(IF(AND(B324&gt;0,B324/1),INDEX(Заказ!$B$1:$AV$3196,MATCH(B324,Заказ!$AV$1:$AV$3196,0),5),""),"")</f>
        <v/>
      </c>
      <c r="F324" s="1056" t="str">
        <f>IFERROR(IF(AND(B324&gt;0,B324/1),INDEX(Заказ!$B$1:$AV$3196,MATCH(B324,Заказ!$AV$1:$AV$3196,0),16)/INDEX(Заказ!$B$1:$AV$3196,MATCH(B324,Заказ!$AV$1:$AV$3196,0),5),""),"")</f>
        <v/>
      </c>
      <c r="G324" s="1059" t="str">
        <f>IFERROR(IF(AND(B324&gt;0,B324/1),INDEX(Заказ!$B$1:$AV$3196,MATCH(B324,Заказ!$AV$1:$AV$3196,0),16),""),"")</f>
        <v/>
      </c>
      <c r="H324" s="1"/>
    </row>
    <row r="325" spans="1:8" ht="12" customHeight="1" x14ac:dyDescent="0.25">
      <c r="A325" s="1051" t="str">
        <f>IFERROR(IF(AND(B325&gt;0,B325/1),INDEX(Заказ!$B$412:$AV$3196,MATCH(B325,Заказ!$AV$412:$AV$3196,0),1),""),"")</f>
        <v/>
      </c>
      <c r="B325" s="1056" t="str">
        <f>IFERROR(IF(B324&gt;0,SMALL(Заказ!$AV$1:$AV$3196,1+B324),""),"")</f>
        <v/>
      </c>
      <c r="C325" s="1057" t="str">
        <f>IFERROR(IF(AND(B325&gt;0,B325/1),INDEX(Заказ!$B$1:$AV$3196,MATCH(B325,Заказ!$AV$1:$AV$3196,0),3),""),"")</f>
        <v/>
      </c>
      <c r="D325" s="1058" t="str">
        <f>IFERROR(IF(AND(B325&gt;0,B325/1),INDEX(Заказ!$B$1:$AV$3196,MATCH(B325,Заказ!$AV$1:$AV$3196,0),9),""),"")</f>
        <v/>
      </c>
      <c r="E325" s="1056" t="str">
        <f>IFERROR(IF(AND(B325&gt;0,B325/1),INDEX(Заказ!$B$1:$AV$3196,MATCH(B325,Заказ!$AV$1:$AV$3196,0),5),""),"")</f>
        <v/>
      </c>
      <c r="F325" s="1056" t="str">
        <f>IFERROR(IF(AND(B325&gt;0,B325/1),INDEX(Заказ!$B$1:$AV$3196,MATCH(B325,Заказ!$AV$1:$AV$3196,0),16)/INDEX(Заказ!$B$1:$AV$3196,MATCH(B325,Заказ!$AV$1:$AV$3196,0),5),""),"")</f>
        <v/>
      </c>
      <c r="G325" s="1059" t="str">
        <f>IFERROR(IF(AND(B325&gt;0,B325/1),INDEX(Заказ!$B$1:$AV$3196,MATCH(B325,Заказ!$AV$1:$AV$3196,0),16),""),"")</f>
        <v/>
      </c>
      <c r="H325" s="1"/>
    </row>
    <row r="326" spans="1:8" ht="12" customHeight="1" x14ac:dyDescent="0.25">
      <c r="A326" s="1051" t="str">
        <f>IFERROR(IF(AND(B326&gt;0,B326/1),INDEX(Заказ!$B$412:$AV$3196,MATCH(B326,Заказ!$AV$412:$AV$3196,0),1),""),"")</f>
        <v/>
      </c>
      <c r="B326" s="1056" t="str">
        <f>IFERROR(IF(B325&gt;0,SMALL(Заказ!$AV$1:$AV$3196,1+B325),""),"")</f>
        <v/>
      </c>
      <c r="C326" s="1057" t="str">
        <f>IFERROR(IF(AND(B326&gt;0,B326/1),INDEX(Заказ!$B$1:$AV$3196,MATCH(B326,Заказ!$AV$1:$AV$3196,0),3),""),"")</f>
        <v/>
      </c>
      <c r="D326" s="1058" t="str">
        <f>IFERROR(IF(AND(B326&gt;0,B326/1),INDEX(Заказ!$B$1:$AV$3196,MATCH(B326,Заказ!$AV$1:$AV$3196,0),9),""),"")</f>
        <v/>
      </c>
      <c r="E326" s="1056" t="str">
        <f>IFERROR(IF(AND(B326&gt;0,B326/1),INDEX(Заказ!$B$1:$AV$3196,MATCH(B326,Заказ!$AV$1:$AV$3196,0),5),""),"")</f>
        <v/>
      </c>
      <c r="F326" s="1056" t="str">
        <f>IFERROR(IF(AND(B326&gt;0,B326/1),INDEX(Заказ!$B$1:$AV$3196,MATCH(B326,Заказ!$AV$1:$AV$3196,0),16)/INDEX(Заказ!$B$1:$AV$3196,MATCH(B326,Заказ!$AV$1:$AV$3196,0),5),""),"")</f>
        <v/>
      </c>
      <c r="G326" s="1059" t="str">
        <f>IFERROR(IF(AND(B326&gt;0,B326/1),INDEX(Заказ!$B$1:$AV$3196,MATCH(B326,Заказ!$AV$1:$AV$3196,0),16),""),"")</f>
        <v/>
      </c>
      <c r="H326" s="1"/>
    </row>
    <row r="327" spans="1:8" ht="12" customHeight="1" x14ac:dyDescent="0.25">
      <c r="A327" s="1051" t="str">
        <f>IFERROR(IF(AND(B327&gt;0,B327/1),INDEX(Заказ!$B$412:$AV$3196,MATCH(B327,Заказ!$AV$412:$AV$3196,0),1),""),"")</f>
        <v/>
      </c>
      <c r="B327" s="1056" t="str">
        <f>IFERROR(IF(B326&gt;0,SMALL(Заказ!$AV$1:$AV$3196,1+B326),""),"")</f>
        <v/>
      </c>
      <c r="C327" s="1057" t="str">
        <f>IFERROR(IF(AND(B327&gt;0,B327/1),INDEX(Заказ!$B$1:$AV$3196,MATCH(B327,Заказ!$AV$1:$AV$3196,0),3),""),"")</f>
        <v/>
      </c>
      <c r="D327" s="1058" t="str">
        <f>IFERROR(IF(AND(B327&gt;0,B327/1),INDEX(Заказ!$B$1:$AV$3196,MATCH(B327,Заказ!$AV$1:$AV$3196,0),9),""),"")</f>
        <v/>
      </c>
      <c r="E327" s="1056" t="str">
        <f>IFERROR(IF(AND(B327&gt;0,B327/1),INDEX(Заказ!$B$1:$AV$3196,MATCH(B327,Заказ!$AV$1:$AV$3196,0),5),""),"")</f>
        <v/>
      </c>
      <c r="F327" s="1056" t="str">
        <f>IFERROR(IF(AND(B327&gt;0,B327/1),INDEX(Заказ!$B$1:$AV$3196,MATCH(B327,Заказ!$AV$1:$AV$3196,0),16)/INDEX(Заказ!$B$1:$AV$3196,MATCH(B327,Заказ!$AV$1:$AV$3196,0),5),""),"")</f>
        <v/>
      </c>
      <c r="G327" s="1059" t="str">
        <f>IFERROR(IF(AND(B327&gt;0,B327/1),INDEX(Заказ!$B$1:$AV$3196,MATCH(B327,Заказ!$AV$1:$AV$3196,0),16),""),"")</f>
        <v/>
      </c>
      <c r="H327" s="1"/>
    </row>
    <row r="328" spans="1:8" ht="12" customHeight="1" x14ac:dyDescent="0.25">
      <c r="A328" s="1051" t="str">
        <f>IFERROR(IF(AND(B328&gt;0,B328/1),INDEX(Заказ!$B$412:$AV$3196,MATCH(B328,Заказ!$AV$412:$AV$3196,0),1),""),"")</f>
        <v/>
      </c>
      <c r="B328" s="1056" t="str">
        <f>IFERROR(IF(B327&gt;0,SMALL(Заказ!$AV$1:$AV$3196,1+B327),""),"")</f>
        <v/>
      </c>
      <c r="C328" s="1057" t="str">
        <f>IFERROR(IF(AND(B328&gt;0,B328/1),INDEX(Заказ!$B$1:$AV$3196,MATCH(B328,Заказ!$AV$1:$AV$3196,0),3),""),"")</f>
        <v/>
      </c>
      <c r="D328" s="1058" t="str">
        <f>IFERROR(IF(AND(B328&gt;0,B328/1),INDEX(Заказ!$B$1:$AV$3196,MATCH(B328,Заказ!$AV$1:$AV$3196,0),9),""),"")</f>
        <v/>
      </c>
      <c r="E328" s="1056" t="str">
        <f>IFERROR(IF(AND(B328&gt;0,B328/1),INDEX(Заказ!$B$1:$AV$3196,MATCH(B328,Заказ!$AV$1:$AV$3196,0),5),""),"")</f>
        <v/>
      </c>
      <c r="F328" s="1056" t="str">
        <f>IFERROR(IF(AND(B328&gt;0,B328/1),INDEX(Заказ!$B$1:$AV$3196,MATCH(B328,Заказ!$AV$1:$AV$3196,0),16)/INDEX(Заказ!$B$1:$AV$3196,MATCH(B328,Заказ!$AV$1:$AV$3196,0),5),""),"")</f>
        <v/>
      </c>
      <c r="G328" s="1059" t="str">
        <f>IFERROR(IF(AND(B328&gt;0,B328/1),INDEX(Заказ!$B$1:$AV$3196,MATCH(B328,Заказ!$AV$1:$AV$3196,0),16),""),"")</f>
        <v/>
      </c>
      <c r="H328" s="1"/>
    </row>
    <row r="329" spans="1:8" ht="12" customHeight="1" x14ac:dyDescent="0.25">
      <c r="A329" s="1051" t="str">
        <f>IFERROR(IF(AND(B329&gt;0,B329/1),INDEX(Заказ!$B$412:$AV$3196,MATCH(B329,Заказ!$AV$412:$AV$3196,0),1),""),"")</f>
        <v/>
      </c>
      <c r="B329" s="1056" t="str">
        <f>IFERROR(IF(B328&gt;0,SMALL(Заказ!$AV$1:$AV$3196,1+B328),""),"")</f>
        <v/>
      </c>
      <c r="C329" s="1057" t="str">
        <f>IFERROR(IF(AND(B329&gt;0,B329/1),INDEX(Заказ!$B$1:$AV$3196,MATCH(B329,Заказ!$AV$1:$AV$3196,0),3),""),"")</f>
        <v/>
      </c>
      <c r="D329" s="1058" t="str">
        <f>IFERROR(IF(AND(B329&gt;0,B329/1),INDEX(Заказ!$B$1:$AV$3196,MATCH(B329,Заказ!$AV$1:$AV$3196,0),9),""),"")</f>
        <v/>
      </c>
      <c r="E329" s="1056" t="str">
        <f>IFERROR(IF(AND(B329&gt;0,B329/1),INDEX(Заказ!$B$1:$AV$3196,MATCH(B329,Заказ!$AV$1:$AV$3196,0),5),""),"")</f>
        <v/>
      </c>
      <c r="F329" s="1056" t="str">
        <f>IFERROR(IF(AND(B329&gt;0,B329/1),INDEX(Заказ!$B$1:$AV$3196,MATCH(B329,Заказ!$AV$1:$AV$3196,0),16)/INDEX(Заказ!$B$1:$AV$3196,MATCH(B329,Заказ!$AV$1:$AV$3196,0),5),""),"")</f>
        <v/>
      </c>
      <c r="G329" s="1059" t="str">
        <f>IFERROR(IF(AND(B329&gt;0,B329/1),INDEX(Заказ!$B$1:$AV$3196,MATCH(B329,Заказ!$AV$1:$AV$3196,0),16),""),"")</f>
        <v/>
      </c>
      <c r="H329" s="1"/>
    </row>
    <row r="330" spans="1:8" ht="12" customHeight="1" x14ac:dyDescent="0.25">
      <c r="A330" s="1051" t="str">
        <f>IFERROR(IF(AND(B330&gt;0,B330/1),INDEX(Заказ!$B$412:$AV$3196,MATCH(B330,Заказ!$AV$412:$AV$3196,0),1),""),"")</f>
        <v/>
      </c>
      <c r="B330" s="1056" t="str">
        <f>IFERROR(IF(B329&gt;0,SMALL(Заказ!$AV$1:$AV$3196,1+B329),""),"")</f>
        <v/>
      </c>
      <c r="C330" s="1057" t="str">
        <f>IFERROR(IF(AND(B330&gt;0,B330/1),INDEX(Заказ!$B$1:$AV$3196,MATCH(B330,Заказ!$AV$1:$AV$3196,0),3),""),"")</f>
        <v/>
      </c>
      <c r="D330" s="1058" t="str">
        <f>IFERROR(IF(AND(B330&gt;0,B330/1),INDEX(Заказ!$B$1:$AV$3196,MATCH(B330,Заказ!$AV$1:$AV$3196,0),9),""),"")</f>
        <v/>
      </c>
      <c r="E330" s="1056" t="str">
        <f>IFERROR(IF(AND(B330&gt;0,B330/1),INDEX(Заказ!$B$1:$AV$3196,MATCH(B330,Заказ!$AV$1:$AV$3196,0),5),""),"")</f>
        <v/>
      </c>
      <c r="F330" s="1056" t="str">
        <f>IFERROR(IF(AND(B330&gt;0,B330/1),INDEX(Заказ!$B$1:$AV$3196,MATCH(B330,Заказ!$AV$1:$AV$3196,0),16)/INDEX(Заказ!$B$1:$AV$3196,MATCH(B330,Заказ!$AV$1:$AV$3196,0),5),""),"")</f>
        <v/>
      </c>
      <c r="G330" s="1059" t="str">
        <f>IFERROR(IF(AND(B330&gt;0,B330/1),INDEX(Заказ!$B$1:$AV$3196,MATCH(B330,Заказ!$AV$1:$AV$3196,0),16),""),"")</f>
        <v/>
      </c>
      <c r="H330" s="1"/>
    </row>
    <row r="331" spans="1:8" ht="12" customHeight="1" x14ac:dyDescent="0.25">
      <c r="A331" s="1051" t="str">
        <f>IFERROR(IF(AND(B331&gt;0,B331/1),INDEX(Заказ!$B$412:$AV$3196,MATCH(B331,Заказ!$AV$412:$AV$3196,0),1),""),"")</f>
        <v/>
      </c>
      <c r="B331" s="1056" t="str">
        <f>IFERROR(IF(B330&gt;0,SMALL(Заказ!$AV$1:$AV$3196,1+B330),""),"")</f>
        <v/>
      </c>
      <c r="C331" s="1057" t="str">
        <f>IFERROR(IF(AND(B331&gt;0,B331/1),INDEX(Заказ!$B$1:$AV$3196,MATCH(B331,Заказ!$AV$1:$AV$3196,0),3),""),"")</f>
        <v/>
      </c>
      <c r="D331" s="1058" t="str">
        <f>IFERROR(IF(AND(B331&gt;0,B331/1),INDEX(Заказ!$B$1:$AV$3196,MATCH(B331,Заказ!$AV$1:$AV$3196,0),9),""),"")</f>
        <v/>
      </c>
      <c r="E331" s="1056" t="str">
        <f>IFERROR(IF(AND(B331&gt;0,B331/1),INDEX(Заказ!$B$1:$AV$3196,MATCH(B331,Заказ!$AV$1:$AV$3196,0),5),""),"")</f>
        <v/>
      </c>
      <c r="F331" s="1056" t="str">
        <f>IFERROR(IF(AND(B331&gt;0,B331/1),INDEX(Заказ!$B$1:$AV$3196,MATCH(B331,Заказ!$AV$1:$AV$3196,0),16)/INDEX(Заказ!$B$1:$AV$3196,MATCH(B331,Заказ!$AV$1:$AV$3196,0),5),""),"")</f>
        <v/>
      </c>
      <c r="G331" s="1059" t="str">
        <f>IFERROR(IF(AND(B331&gt;0,B331/1),INDEX(Заказ!$B$1:$AV$3196,MATCH(B331,Заказ!$AV$1:$AV$3196,0),16),""),"")</f>
        <v/>
      </c>
      <c r="H331" s="1"/>
    </row>
    <row r="332" spans="1:8" ht="12" customHeight="1" x14ac:dyDescent="0.25">
      <c r="A332" s="1051" t="str">
        <f>IFERROR(IF(AND(B332&gt;0,B332/1),INDEX(Заказ!$B$412:$AV$3196,MATCH(B332,Заказ!$AV$412:$AV$3196,0),1),""),"")</f>
        <v/>
      </c>
      <c r="B332" s="1056" t="str">
        <f>IFERROR(IF(B331&gt;0,SMALL(Заказ!$AV$1:$AV$3196,1+B331),""),"")</f>
        <v/>
      </c>
      <c r="C332" s="1057" t="str">
        <f>IFERROR(IF(AND(B332&gt;0,B332/1),INDEX(Заказ!$B$1:$AV$3196,MATCH(B332,Заказ!$AV$1:$AV$3196,0),3),""),"")</f>
        <v/>
      </c>
      <c r="D332" s="1058" t="str">
        <f>IFERROR(IF(AND(B332&gt;0,B332/1),INDEX(Заказ!$B$1:$AV$3196,MATCH(B332,Заказ!$AV$1:$AV$3196,0),9),""),"")</f>
        <v/>
      </c>
      <c r="E332" s="1056" t="str">
        <f>IFERROR(IF(AND(B332&gt;0,B332/1),INDEX(Заказ!$B$1:$AV$3196,MATCH(B332,Заказ!$AV$1:$AV$3196,0),5),""),"")</f>
        <v/>
      </c>
      <c r="F332" s="1056" t="str">
        <f>IFERROR(IF(AND(B332&gt;0,B332/1),INDEX(Заказ!$B$1:$AV$3196,MATCH(B332,Заказ!$AV$1:$AV$3196,0),16)/INDEX(Заказ!$B$1:$AV$3196,MATCH(B332,Заказ!$AV$1:$AV$3196,0),5),""),"")</f>
        <v/>
      </c>
      <c r="G332" s="1059" t="str">
        <f>IFERROR(IF(AND(B332&gt;0,B332/1),INDEX(Заказ!$B$1:$AV$3196,MATCH(B332,Заказ!$AV$1:$AV$3196,0),16),""),"")</f>
        <v/>
      </c>
      <c r="H332" s="1"/>
    </row>
    <row r="333" spans="1:8" ht="12" customHeight="1" x14ac:dyDescent="0.25">
      <c r="A333" s="1051" t="str">
        <f>IFERROR(IF(AND(B333&gt;0,B333/1),INDEX(Заказ!$B$412:$AV$3196,MATCH(B333,Заказ!$AV$412:$AV$3196,0),1),""),"")</f>
        <v/>
      </c>
      <c r="B333" s="1056" t="str">
        <f>IFERROR(IF(B332&gt;0,SMALL(Заказ!$AV$1:$AV$3196,1+B332),""),"")</f>
        <v/>
      </c>
      <c r="C333" s="1057" t="str">
        <f>IFERROR(IF(AND(B333&gt;0,B333/1),INDEX(Заказ!$B$1:$AV$3196,MATCH(B333,Заказ!$AV$1:$AV$3196,0),3),""),"")</f>
        <v/>
      </c>
      <c r="D333" s="1058" t="str">
        <f>IFERROR(IF(AND(B333&gt;0,B333/1),INDEX(Заказ!$B$1:$AV$3196,MATCH(B333,Заказ!$AV$1:$AV$3196,0),9),""),"")</f>
        <v/>
      </c>
      <c r="E333" s="1056" t="str">
        <f>IFERROR(IF(AND(B333&gt;0,B333/1),INDEX(Заказ!$B$1:$AV$3196,MATCH(B333,Заказ!$AV$1:$AV$3196,0),5),""),"")</f>
        <v/>
      </c>
      <c r="F333" s="1056" t="str">
        <f>IFERROR(IF(AND(B333&gt;0,B333/1),INDEX(Заказ!$B$1:$AV$3196,MATCH(B333,Заказ!$AV$1:$AV$3196,0),16)/INDEX(Заказ!$B$1:$AV$3196,MATCH(B333,Заказ!$AV$1:$AV$3196,0),5),""),"")</f>
        <v/>
      </c>
      <c r="G333" s="1059" t="str">
        <f>IFERROR(IF(AND(B333&gt;0,B333/1),INDEX(Заказ!$B$1:$AV$3196,MATCH(B333,Заказ!$AV$1:$AV$3196,0),16),""),"")</f>
        <v/>
      </c>
      <c r="H333" s="1"/>
    </row>
    <row r="334" spans="1:8" ht="12" customHeight="1" x14ac:dyDescent="0.25">
      <c r="A334" s="1051" t="str">
        <f>IFERROR(IF(AND(B334&gt;0,B334/1),INDEX(Заказ!$B$412:$AV$3196,MATCH(B334,Заказ!$AV$412:$AV$3196,0),1),""),"")</f>
        <v/>
      </c>
      <c r="B334" s="1056" t="str">
        <f>IFERROR(IF(B333&gt;0,SMALL(Заказ!$AV$1:$AV$3196,1+B333),""),"")</f>
        <v/>
      </c>
      <c r="C334" s="1057" t="str">
        <f>IFERROR(IF(AND(B334&gt;0,B334/1),INDEX(Заказ!$B$1:$AV$3196,MATCH(B334,Заказ!$AV$1:$AV$3196,0),3),""),"")</f>
        <v/>
      </c>
      <c r="D334" s="1058" t="str">
        <f>IFERROR(IF(AND(B334&gt;0,B334/1),INDEX(Заказ!$B$1:$AV$3196,MATCH(B334,Заказ!$AV$1:$AV$3196,0),9),""),"")</f>
        <v/>
      </c>
      <c r="E334" s="1056" t="str">
        <f>IFERROR(IF(AND(B334&gt;0,B334/1),INDEX(Заказ!$B$1:$AV$3196,MATCH(B334,Заказ!$AV$1:$AV$3196,0),5),""),"")</f>
        <v/>
      </c>
      <c r="F334" s="1056" t="str">
        <f>IFERROR(IF(AND(B334&gt;0,B334/1),INDEX(Заказ!$B$1:$AV$3196,MATCH(B334,Заказ!$AV$1:$AV$3196,0),16)/INDEX(Заказ!$B$1:$AV$3196,MATCH(B334,Заказ!$AV$1:$AV$3196,0),5),""),"")</f>
        <v/>
      </c>
      <c r="G334" s="1059" t="str">
        <f>IFERROR(IF(AND(B334&gt;0,B334/1),INDEX(Заказ!$B$1:$AV$3196,MATCH(B334,Заказ!$AV$1:$AV$3196,0),16),""),"")</f>
        <v/>
      </c>
      <c r="H334" s="1"/>
    </row>
    <row r="335" spans="1:8" ht="12" customHeight="1" x14ac:dyDescent="0.25">
      <c r="A335" s="1051" t="str">
        <f>IFERROR(IF(AND(B335&gt;0,B335/1),INDEX(Заказ!$B$412:$AV$3196,MATCH(B335,Заказ!$AV$412:$AV$3196,0),1),""),"")</f>
        <v/>
      </c>
      <c r="B335" s="1056" t="str">
        <f>IFERROR(IF(B334&gt;0,SMALL(Заказ!$AV$1:$AV$3196,1+B334),""),"")</f>
        <v/>
      </c>
      <c r="C335" s="1057" t="str">
        <f>IFERROR(IF(AND(B335&gt;0,B335/1),INDEX(Заказ!$B$1:$AV$3196,MATCH(B335,Заказ!$AV$1:$AV$3196,0),3),""),"")</f>
        <v/>
      </c>
      <c r="D335" s="1058" t="str">
        <f>IFERROR(IF(AND(B335&gt;0,B335/1),INDEX(Заказ!$B$1:$AV$3196,MATCH(B335,Заказ!$AV$1:$AV$3196,0),9),""),"")</f>
        <v/>
      </c>
      <c r="E335" s="1056" t="str">
        <f>IFERROR(IF(AND(B335&gt;0,B335/1),INDEX(Заказ!$B$1:$AV$3196,MATCH(B335,Заказ!$AV$1:$AV$3196,0),5),""),"")</f>
        <v/>
      </c>
      <c r="F335" s="1056" t="str">
        <f>IFERROR(IF(AND(B335&gt;0,B335/1),INDEX(Заказ!$B$1:$AV$3196,MATCH(B335,Заказ!$AV$1:$AV$3196,0),16)/INDEX(Заказ!$B$1:$AV$3196,MATCH(B335,Заказ!$AV$1:$AV$3196,0),5),""),"")</f>
        <v/>
      </c>
      <c r="G335" s="1059" t="str">
        <f>IFERROR(IF(AND(B335&gt;0,B335/1),INDEX(Заказ!$B$1:$AV$3196,MATCH(B335,Заказ!$AV$1:$AV$3196,0),16),""),"")</f>
        <v/>
      </c>
      <c r="H335" s="1"/>
    </row>
    <row r="336" spans="1:8" ht="12" customHeight="1" x14ac:dyDescent="0.25">
      <c r="A336" s="1051" t="str">
        <f>IFERROR(IF(AND(B336&gt;0,B336/1),INDEX(Заказ!$B$412:$AV$3196,MATCH(B336,Заказ!$AV$412:$AV$3196,0),1),""),"")</f>
        <v/>
      </c>
      <c r="B336" s="1056" t="str">
        <f>IFERROR(IF(B335&gt;0,SMALL(Заказ!$AV$1:$AV$3196,1+B335),""),"")</f>
        <v/>
      </c>
      <c r="C336" s="1057" t="str">
        <f>IFERROR(IF(AND(B336&gt;0,B336/1),INDEX(Заказ!$B$1:$AV$3196,MATCH(B336,Заказ!$AV$1:$AV$3196,0),3),""),"")</f>
        <v/>
      </c>
      <c r="D336" s="1058" t="str">
        <f>IFERROR(IF(AND(B336&gt;0,B336/1),INDEX(Заказ!$B$1:$AV$3196,MATCH(B336,Заказ!$AV$1:$AV$3196,0),9),""),"")</f>
        <v/>
      </c>
      <c r="E336" s="1056" t="str">
        <f>IFERROR(IF(AND(B336&gt;0,B336/1),INDEX(Заказ!$B$1:$AV$3196,MATCH(B336,Заказ!$AV$1:$AV$3196,0),5),""),"")</f>
        <v/>
      </c>
      <c r="F336" s="1056" t="str">
        <f>IFERROR(IF(AND(B336&gt;0,B336/1),INDEX(Заказ!$B$1:$AV$3196,MATCH(B336,Заказ!$AV$1:$AV$3196,0),16)/INDEX(Заказ!$B$1:$AV$3196,MATCH(B336,Заказ!$AV$1:$AV$3196,0),5),""),"")</f>
        <v/>
      </c>
      <c r="G336" s="1059" t="str">
        <f>IFERROR(IF(AND(B336&gt;0,B336/1),INDEX(Заказ!$B$1:$AV$3196,MATCH(B336,Заказ!$AV$1:$AV$3196,0),16),""),"")</f>
        <v/>
      </c>
      <c r="H336" s="1"/>
    </row>
    <row r="337" spans="1:8" ht="12" customHeight="1" x14ac:dyDescent="0.25">
      <c r="A337" s="1051" t="str">
        <f>IFERROR(IF(AND(B337&gt;0,B337/1),INDEX(Заказ!$B$412:$AV$3196,MATCH(B337,Заказ!$AV$412:$AV$3196,0),1),""),"")</f>
        <v/>
      </c>
      <c r="B337" s="1056" t="str">
        <f>IFERROR(IF(B336&gt;0,SMALL(Заказ!$AV$1:$AV$3196,1+B336),""),"")</f>
        <v/>
      </c>
      <c r="C337" s="1057" t="str">
        <f>IFERROR(IF(AND(B337&gt;0,B337/1),INDEX(Заказ!$B$1:$AV$3196,MATCH(B337,Заказ!$AV$1:$AV$3196,0),3),""),"")</f>
        <v/>
      </c>
      <c r="D337" s="1058" t="str">
        <f>IFERROR(IF(AND(B337&gt;0,B337/1),INDEX(Заказ!$B$1:$AV$3196,MATCH(B337,Заказ!$AV$1:$AV$3196,0),9),""),"")</f>
        <v/>
      </c>
      <c r="E337" s="1056" t="str">
        <f>IFERROR(IF(AND(B337&gt;0,B337/1),INDEX(Заказ!$B$1:$AV$3196,MATCH(B337,Заказ!$AV$1:$AV$3196,0),5),""),"")</f>
        <v/>
      </c>
      <c r="F337" s="1056" t="str">
        <f>IFERROR(IF(AND(B337&gt;0,B337/1),INDEX(Заказ!$B$1:$AV$3196,MATCH(B337,Заказ!$AV$1:$AV$3196,0),16)/INDEX(Заказ!$B$1:$AV$3196,MATCH(B337,Заказ!$AV$1:$AV$3196,0),5),""),"")</f>
        <v/>
      </c>
      <c r="G337" s="1059" t="str">
        <f>IFERROR(IF(AND(B337&gt;0,B337/1),INDEX(Заказ!$B$1:$AV$3196,MATCH(B337,Заказ!$AV$1:$AV$3196,0),16),""),"")</f>
        <v/>
      </c>
      <c r="H337" s="1"/>
    </row>
    <row r="338" spans="1:8" ht="12" customHeight="1" x14ac:dyDescent="0.25">
      <c r="A338" s="1051" t="str">
        <f>IFERROR(IF(AND(B338&gt;0,B338/1),INDEX(Заказ!$B$412:$AV$3196,MATCH(B338,Заказ!$AV$412:$AV$3196,0),1),""),"")</f>
        <v/>
      </c>
      <c r="B338" s="1056" t="str">
        <f>IFERROR(IF(B337&gt;0,SMALL(Заказ!$AV$1:$AV$3196,1+B337),""),"")</f>
        <v/>
      </c>
      <c r="C338" s="1057" t="str">
        <f>IFERROR(IF(AND(B338&gt;0,B338/1),INDEX(Заказ!$B$1:$AV$3196,MATCH(B338,Заказ!$AV$1:$AV$3196,0),3),""),"")</f>
        <v/>
      </c>
      <c r="D338" s="1058" t="str">
        <f>IFERROR(IF(AND(B338&gt;0,B338/1),INDEX(Заказ!$B$1:$AV$3196,MATCH(B338,Заказ!$AV$1:$AV$3196,0),9),""),"")</f>
        <v/>
      </c>
      <c r="E338" s="1056" t="str">
        <f>IFERROR(IF(AND(B338&gt;0,B338/1),INDEX(Заказ!$B$1:$AV$3196,MATCH(B338,Заказ!$AV$1:$AV$3196,0),5),""),"")</f>
        <v/>
      </c>
      <c r="F338" s="1056" t="str">
        <f>IFERROR(IF(AND(B338&gt;0,B338/1),INDEX(Заказ!$B$1:$AV$3196,MATCH(B338,Заказ!$AV$1:$AV$3196,0),16)/INDEX(Заказ!$B$1:$AV$3196,MATCH(B338,Заказ!$AV$1:$AV$3196,0),5),""),"")</f>
        <v/>
      </c>
      <c r="G338" s="1059" t="str">
        <f>IFERROR(IF(AND(B338&gt;0,B338/1),INDEX(Заказ!$B$1:$AV$3196,MATCH(B338,Заказ!$AV$1:$AV$3196,0),16),""),"")</f>
        <v/>
      </c>
      <c r="H338" s="1"/>
    </row>
    <row r="339" spans="1:8" ht="12" customHeight="1" x14ac:dyDescent="0.25">
      <c r="A339" s="1051" t="str">
        <f>IFERROR(IF(AND(B339&gt;0,B339/1),INDEX(Заказ!$B$412:$AV$3196,MATCH(B339,Заказ!$AV$412:$AV$3196,0),1),""),"")</f>
        <v/>
      </c>
      <c r="B339" s="1056" t="str">
        <f>IFERROR(IF(B338&gt;0,SMALL(Заказ!$AV$1:$AV$3196,1+B338),""),"")</f>
        <v/>
      </c>
      <c r="C339" s="1057" t="str">
        <f>IFERROR(IF(AND(B339&gt;0,B339/1),INDEX(Заказ!$B$1:$AV$3196,MATCH(B339,Заказ!$AV$1:$AV$3196,0),3),""),"")</f>
        <v/>
      </c>
      <c r="D339" s="1058" t="str">
        <f>IFERROR(IF(AND(B339&gt;0,B339/1),INDEX(Заказ!$B$1:$AV$3196,MATCH(B339,Заказ!$AV$1:$AV$3196,0),9),""),"")</f>
        <v/>
      </c>
      <c r="E339" s="1056" t="str">
        <f>IFERROR(IF(AND(B339&gt;0,B339/1),INDEX(Заказ!$B$1:$AV$3196,MATCH(B339,Заказ!$AV$1:$AV$3196,0),5),""),"")</f>
        <v/>
      </c>
      <c r="F339" s="1056" t="str">
        <f>IFERROR(IF(AND(B339&gt;0,B339/1),INDEX(Заказ!$B$1:$AV$3196,MATCH(B339,Заказ!$AV$1:$AV$3196,0),16)/INDEX(Заказ!$B$1:$AV$3196,MATCH(B339,Заказ!$AV$1:$AV$3196,0),5),""),"")</f>
        <v/>
      </c>
      <c r="G339" s="1059" t="str">
        <f>IFERROR(IF(AND(B339&gt;0,B339/1),INDEX(Заказ!$B$1:$AV$3196,MATCH(B339,Заказ!$AV$1:$AV$3196,0),16),""),"")</f>
        <v/>
      </c>
      <c r="H339" s="1"/>
    </row>
    <row r="340" spans="1:8" ht="12" customHeight="1" x14ac:dyDescent="0.25">
      <c r="A340" s="1051" t="str">
        <f>IFERROR(IF(AND(B340&gt;0,B340/1),INDEX(Заказ!$B$412:$AV$3196,MATCH(B340,Заказ!$AV$412:$AV$3196,0),1),""),"")</f>
        <v/>
      </c>
      <c r="B340" s="1056" t="str">
        <f>IFERROR(IF(B339&gt;0,SMALL(Заказ!$AV$1:$AV$3196,1+B339),""),"")</f>
        <v/>
      </c>
      <c r="C340" s="1057" t="str">
        <f>IFERROR(IF(AND(B340&gt;0,B340/1),INDEX(Заказ!$B$1:$AV$3196,MATCH(B340,Заказ!$AV$1:$AV$3196,0),3),""),"")</f>
        <v/>
      </c>
      <c r="D340" s="1058" t="str">
        <f>IFERROR(IF(AND(B340&gt;0,B340/1),INDEX(Заказ!$B$1:$AV$3196,MATCH(B340,Заказ!$AV$1:$AV$3196,0),9),""),"")</f>
        <v/>
      </c>
      <c r="E340" s="1056" t="str">
        <f>IFERROR(IF(AND(B340&gt;0,B340/1),INDEX(Заказ!$B$1:$AV$3196,MATCH(B340,Заказ!$AV$1:$AV$3196,0),5),""),"")</f>
        <v/>
      </c>
      <c r="F340" s="1056" t="str">
        <f>IFERROR(IF(AND(B340&gt;0,B340/1),INDEX(Заказ!$B$1:$AV$3196,MATCH(B340,Заказ!$AV$1:$AV$3196,0),16)/INDEX(Заказ!$B$1:$AV$3196,MATCH(B340,Заказ!$AV$1:$AV$3196,0),5),""),"")</f>
        <v/>
      </c>
      <c r="G340" s="1059" t="str">
        <f>IFERROR(IF(AND(B340&gt;0,B340/1),INDEX(Заказ!$B$1:$AV$3196,MATCH(B340,Заказ!$AV$1:$AV$3196,0),16),""),"")</f>
        <v/>
      </c>
      <c r="H340" s="1"/>
    </row>
    <row r="341" spans="1:8" ht="12" customHeight="1" x14ac:dyDescent="0.25">
      <c r="A341" s="1051" t="str">
        <f>IFERROR(IF(AND(B341&gt;0,B341/1),INDEX(Заказ!$B$412:$AV$3196,MATCH(B341,Заказ!$AV$412:$AV$3196,0),1),""),"")</f>
        <v/>
      </c>
      <c r="B341" s="1056" t="str">
        <f>IFERROR(IF(B340&gt;0,SMALL(Заказ!$AV$1:$AV$3196,1+B340),""),"")</f>
        <v/>
      </c>
      <c r="C341" s="1057" t="str">
        <f>IFERROR(IF(AND(B341&gt;0,B341/1),INDEX(Заказ!$B$1:$AV$3196,MATCH(B341,Заказ!$AV$1:$AV$3196,0),3),""),"")</f>
        <v/>
      </c>
      <c r="D341" s="1058" t="str">
        <f>IFERROR(IF(AND(B341&gt;0,B341/1),INDEX(Заказ!$B$1:$AV$3196,MATCH(B341,Заказ!$AV$1:$AV$3196,0),9),""),"")</f>
        <v/>
      </c>
      <c r="E341" s="1056" t="str">
        <f>IFERROR(IF(AND(B341&gt;0,B341/1),INDEX(Заказ!$B$1:$AV$3196,MATCH(B341,Заказ!$AV$1:$AV$3196,0),5),""),"")</f>
        <v/>
      </c>
      <c r="F341" s="1056" t="str">
        <f>IFERROR(IF(AND(B341&gt;0,B341/1),INDEX(Заказ!$B$1:$AV$3196,MATCH(B341,Заказ!$AV$1:$AV$3196,0),16)/INDEX(Заказ!$B$1:$AV$3196,MATCH(B341,Заказ!$AV$1:$AV$3196,0),5),""),"")</f>
        <v/>
      </c>
      <c r="G341" s="1059" t="str">
        <f>IFERROR(IF(AND(B341&gt;0,B341/1),INDEX(Заказ!$B$1:$AV$3196,MATCH(B341,Заказ!$AV$1:$AV$3196,0),16),""),"")</f>
        <v/>
      </c>
      <c r="H341" s="1"/>
    </row>
    <row r="342" spans="1:8" ht="12" customHeight="1" x14ac:dyDescent="0.25">
      <c r="A342" s="1051" t="str">
        <f>IFERROR(IF(AND(B342&gt;0,B342/1),INDEX(Заказ!$B$412:$AV$3196,MATCH(B342,Заказ!$AV$412:$AV$3196,0),1),""),"")</f>
        <v/>
      </c>
      <c r="B342" s="1056" t="str">
        <f>IFERROR(IF(B341&gt;0,SMALL(Заказ!$AV$1:$AV$3196,1+B341),""),"")</f>
        <v/>
      </c>
      <c r="C342" s="1057" t="str">
        <f>IFERROR(IF(AND(B342&gt;0,B342/1),INDEX(Заказ!$B$1:$AV$3196,MATCH(B342,Заказ!$AV$1:$AV$3196,0),3),""),"")</f>
        <v/>
      </c>
      <c r="D342" s="1058" t="str">
        <f>IFERROR(IF(AND(B342&gt;0,B342/1),INDEX(Заказ!$B$1:$AV$3196,MATCH(B342,Заказ!$AV$1:$AV$3196,0),9),""),"")</f>
        <v/>
      </c>
      <c r="E342" s="1056" t="str">
        <f>IFERROR(IF(AND(B342&gt;0,B342/1),INDEX(Заказ!$B$1:$AV$3196,MATCH(B342,Заказ!$AV$1:$AV$3196,0),5),""),"")</f>
        <v/>
      </c>
      <c r="F342" s="1056" t="str">
        <f>IFERROR(IF(AND(B342&gt;0,B342/1),INDEX(Заказ!$B$1:$AV$3196,MATCH(B342,Заказ!$AV$1:$AV$3196,0),16)/INDEX(Заказ!$B$1:$AV$3196,MATCH(B342,Заказ!$AV$1:$AV$3196,0),5),""),"")</f>
        <v/>
      </c>
      <c r="G342" s="1059" t="str">
        <f>IFERROR(IF(AND(B342&gt;0,B342/1),INDEX(Заказ!$B$1:$AV$3196,MATCH(B342,Заказ!$AV$1:$AV$3196,0),16),""),"")</f>
        <v/>
      </c>
      <c r="H342" s="1"/>
    </row>
    <row r="343" spans="1:8" x14ac:dyDescent="0.25">
      <c r="A343" s="1051" t="str">
        <f>IFERROR(IF(AND(B343&gt;0,B343/1),INDEX(Заказ!$B$412:$AV$3196,MATCH(B343,Заказ!$AV$412:$AV$3196,0),1),""),"")</f>
        <v/>
      </c>
      <c r="B343" s="1056" t="str">
        <f>IFERROR(IF(B342&gt;0,SMALL(Заказ!$AV$1:$AV$3196,1+B342),""),"")</f>
        <v/>
      </c>
      <c r="C343" s="1057" t="str">
        <f>IFERROR(IF(AND(B343&gt;0,B343/1),INDEX(Заказ!$B$1:$AV$3196,MATCH(B343,Заказ!$AV$1:$AV$3196,0),3),""),"")</f>
        <v/>
      </c>
      <c r="D343" s="1058" t="str">
        <f>IFERROR(IF(AND(B343&gt;0,B343/1),INDEX(Заказ!$B$1:$AV$3196,MATCH(B343,Заказ!$AV$1:$AV$3196,0),9),""),"")</f>
        <v/>
      </c>
      <c r="E343" s="1056" t="str">
        <f>IFERROR(IF(AND(B343&gt;0,B343/1),INDEX(Заказ!$B$1:$AV$3196,MATCH(B343,Заказ!$AV$1:$AV$3196,0),5),""),"")</f>
        <v/>
      </c>
      <c r="F343" s="1056" t="str">
        <f>IFERROR(IF(AND(B343&gt;0,B343/1),INDEX(Заказ!$B$1:$AV$3196,MATCH(B343,Заказ!$AV$1:$AV$3196,0),16)/INDEX(Заказ!$B$1:$AV$3196,MATCH(B343,Заказ!$AV$1:$AV$3196,0),5),""),"")</f>
        <v/>
      </c>
      <c r="G343" s="1059" t="str">
        <f>IFERROR(IF(AND(B343&gt;0,B343/1),INDEX(Заказ!$B$1:$AV$3196,MATCH(B343,Заказ!$AV$1:$AV$3196,0),16),""),"")</f>
        <v/>
      </c>
      <c r="H343" s="1"/>
    </row>
    <row r="344" spans="1:8" x14ac:dyDescent="0.25">
      <c r="A344" s="1051" t="str">
        <f>IFERROR(IF(AND(B344&gt;0,B344/1),INDEX(Заказ!$B$412:$AV$3196,MATCH(B344,Заказ!$AV$412:$AV$3196,0),1),""),"")</f>
        <v/>
      </c>
      <c r="B344" s="1056" t="str">
        <f>IFERROR(IF(B343&gt;0,SMALL(Заказ!$AV$1:$AV$3196,1+B343),""),"")</f>
        <v/>
      </c>
      <c r="C344" s="1057" t="str">
        <f>IFERROR(IF(AND(B344&gt;0,B344/1),INDEX(Заказ!$B$1:$AV$3196,MATCH(B344,Заказ!$AV$1:$AV$3196,0),3),""),"")</f>
        <v/>
      </c>
      <c r="D344" s="1058" t="str">
        <f>IFERROR(IF(AND(B344&gt;0,B344/1),INDEX(Заказ!$B$1:$AV$3196,MATCH(B344,Заказ!$AV$1:$AV$3196,0),9),""),"")</f>
        <v/>
      </c>
      <c r="E344" s="1056" t="str">
        <f>IFERROR(IF(AND(B344&gt;0,B344/1),INDEX(Заказ!$B$1:$AV$3196,MATCH(B344,Заказ!$AV$1:$AV$3196,0),5),""),"")</f>
        <v/>
      </c>
      <c r="F344" s="1056" t="str">
        <f>IFERROR(IF(AND(B344&gt;0,B344/1),INDEX(Заказ!$B$1:$AV$3196,MATCH(B344,Заказ!$AV$1:$AV$3196,0),16)/INDEX(Заказ!$B$1:$AV$3196,MATCH(B344,Заказ!$AV$1:$AV$3196,0),5),""),"")</f>
        <v/>
      </c>
      <c r="G344" s="1059" t="str">
        <f>IFERROR(IF(AND(B344&gt;0,B344/1),INDEX(Заказ!$B$1:$AV$3196,MATCH(B344,Заказ!$AV$1:$AV$3196,0),16),""),"")</f>
        <v/>
      </c>
      <c r="H344" s="1"/>
    </row>
    <row r="345" spans="1:8" x14ac:dyDescent="0.25">
      <c r="A345" s="1051" t="str">
        <f>IFERROR(IF(AND(B345&gt;0,B345/1),INDEX(Заказ!$B$412:$AV$3196,MATCH(B345,Заказ!$AV$412:$AV$3196,0),1),""),"")</f>
        <v/>
      </c>
      <c r="B345" s="1056" t="str">
        <f>IFERROR(IF(B344&gt;0,SMALL(Заказ!$AV$1:$AV$3196,1+B344),""),"")</f>
        <v/>
      </c>
      <c r="C345" s="1057" t="str">
        <f>IFERROR(IF(AND(B345&gt;0,B345/1),INDEX(Заказ!$B$1:$AV$3196,MATCH(B345,Заказ!$AV$1:$AV$3196,0),3),""),"")</f>
        <v/>
      </c>
      <c r="D345" s="1058" t="str">
        <f>IFERROR(IF(AND(B345&gt;0,B345/1),INDEX(Заказ!$B$1:$AV$3196,MATCH(B345,Заказ!$AV$1:$AV$3196,0),9),""),"")</f>
        <v/>
      </c>
      <c r="E345" s="1056" t="str">
        <f>IFERROR(IF(AND(B345&gt;0,B345/1),INDEX(Заказ!$B$1:$AV$3196,MATCH(B345,Заказ!$AV$1:$AV$3196,0),5),""),"")</f>
        <v/>
      </c>
      <c r="F345" s="1056" t="str">
        <f>IFERROR(IF(AND(B345&gt;0,B345/1),INDEX(Заказ!$B$1:$AV$3196,MATCH(B345,Заказ!$AV$1:$AV$3196,0),16)/INDEX(Заказ!$B$1:$AV$3196,MATCH(B345,Заказ!$AV$1:$AV$3196,0),5),""),"")</f>
        <v/>
      </c>
      <c r="G345" s="1059" t="str">
        <f>IFERROR(IF(AND(B345&gt;0,B345/1),INDEX(Заказ!$B$1:$AV$3196,MATCH(B345,Заказ!$AV$1:$AV$3196,0),16),""),"")</f>
        <v/>
      </c>
      <c r="H345" s="1"/>
    </row>
    <row r="346" spans="1:8" x14ac:dyDescent="0.25">
      <c r="A346" s="1051" t="str">
        <f>IFERROR(IF(AND(B346&gt;0,B346/1),INDEX(Заказ!$B$412:$AV$3196,MATCH(B346,Заказ!$AV$412:$AV$3196,0),1),""),"")</f>
        <v/>
      </c>
      <c r="B346" s="1056" t="str">
        <f>IFERROR(IF(B345&gt;0,SMALL(Заказ!$AV$1:$AV$3196,1+B345),""),"")</f>
        <v/>
      </c>
      <c r="C346" s="1057" t="str">
        <f>IFERROR(IF(AND(B346&gt;0,B346/1),INDEX(Заказ!$B$1:$AV$3196,MATCH(B346,Заказ!$AV$1:$AV$3196,0),3),""),"")</f>
        <v/>
      </c>
      <c r="D346" s="1058" t="str">
        <f>IFERROR(IF(AND(B346&gt;0,B346/1),INDEX(Заказ!$B$1:$AV$3196,MATCH(B346,Заказ!$AV$1:$AV$3196,0),9),""),"")</f>
        <v/>
      </c>
      <c r="E346" s="1056" t="str">
        <f>IFERROR(IF(AND(B346&gt;0,B346/1),INDEX(Заказ!$B$1:$AV$3196,MATCH(B346,Заказ!$AV$1:$AV$3196,0),5),""),"")</f>
        <v/>
      </c>
      <c r="F346" s="1056" t="str">
        <f>IFERROR(IF(AND(B346&gt;0,B346/1),INDEX(Заказ!$B$1:$AV$3196,MATCH(B346,Заказ!$AV$1:$AV$3196,0),16)/INDEX(Заказ!$B$1:$AV$3196,MATCH(B346,Заказ!$AV$1:$AV$3196,0),5),""),"")</f>
        <v/>
      </c>
      <c r="G346" s="1059" t="str">
        <f>IFERROR(IF(AND(B346&gt;0,B346/1),INDEX(Заказ!$B$1:$AV$3196,MATCH(B346,Заказ!$AV$1:$AV$3196,0),16),""),"")</f>
        <v/>
      </c>
      <c r="H346" s="1"/>
    </row>
    <row r="347" spans="1:8" x14ac:dyDescent="0.25">
      <c r="A347" s="1051" t="str">
        <f>IFERROR(IF(AND(B347&gt;0,B347/1),INDEX(Заказ!$B$412:$AV$3196,MATCH(B347,Заказ!$AV$412:$AV$3196,0),1),""),"")</f>
        <v/>
      </c>
      <c r="B347" s="1056" t="str">
        <f>IFERROR(IF(B346&gt;0,SMALL(Заказ!$AV$1:$AV$3196,1+B346),""),"")</f>
        <v/>
      </c>
      <c r="C347" s="1057" t="str">
        <f>IFERROR(IF(AND(B347&gt;0,B347/1),INDEX(Заказ!$B$1:$AV$3196,MATCH(B347,Заказ!$AV$1:$AV$3196,0),3),""),"")</f>
        <v/>
      </c>
      <c r="D347" s="1058" t="str">
        <f>IFERROR(IF(AND(B347&gt;0,B347/1),INDEX(Заказ!$B$1:$AV$3196,MATCH(B347,Заказ!$AV$1:$AV$3196,0),9),""),"")</f>
        <v/>
      </c>
      <c r="E347" s="1056" t="str">
        <f>IFERROR(IF(AND(B347&gt;0,B347/1),INDEX(Заказ!$B$1:$AV$3196,MATCH(B347,Заказ!$AV$1:$AV$3196,0),5),""),"")</f>
        <v/>
      </c>
      <c r="F347" s="1056" t="str">
        <f>IFERROR(IF(AND(B347&gt;0,B347/1),INDEX(Заказ!$B$1:$AV$3196,MATCH(B347,Заказ!$AV$1:$AV$3196,0),16)/INDEX(Заказ!$B$1:$AV$3196,MATCH(B347,Заказ!$AV$1:$AV$3196,0),5),""),"")</f>
        <v/>
      </c>
      <c r="G347" s="1059" t="str">
        <f>IFERROR(IF(AND(B347&gt;0,B347/1),INDEX(Заказ!$B$1:$AV$3196,MATCH(B347,Заказ!$AV$1:$AV$3196,0),16),""),"")</f>
        <v/>
      </c>
      <c r="H347" s="1"/>
    </row>
    <row r="348" spans="1:8" x14ac:dyDescent="0.25">
      <c r="A348" s="1051" t="str">
        <f>IFERROR(IF(AND(B348&gt;0,B348/1),INDEX(Заказ!$B$412:$AV$3196,MATCH(B348,Заказ!$AV$412:$AV$3196,0),1),""),"")</f>
        <v/>
      </c>
      <c r="B348" s="1056" t="str">
        <f>IFERROR(IF(B347&gt;0,SMALL(Заказ!$AV$1:$AV$3196,1+B347),""),"")</f>
        <v/>
      </c>
      <c r="C348" s="1057" t="str">
        <f>IFERROR(IF(AND(B348&gt;0,B348/1),INDEX(Заказ!$B$1:$AV$3196,MATCH(B348,Заказ!$AV$1:$AV$3196,0),3),""),"")</f>
        <v/>
      </c>
      <c r="D348" s="1058" t="str">
        <f>IFERROR(IF(AND(B348&gt;0,B348/1),INDEX(Заказ!$B$1:$AV$3196,MATCH(B348,Заказ!$AV$1:$AV$3196,0),9),""),"")</f>
        <v/>
      </c>
      <c r="E348" s="1056" t="str">
        <f>IFERROR(IF(AND(B348&gt;0,B348/1),INDEX(Заказ!$B$1:$AV$3196,MATCH(B348,Заказ!$AV$1:$AV$3196,0),5),""),"")</f>
        <v/>
      </c>
      <c r="F348" s="1056" t="str">
        <f>IFERROR(IF(AND(B348&gt;0,B348/1),INDEX(Заказ!$B$1:$AV$3196,MATCH(B348,Заказ!$AV$1:$AV$3196,0),16)/INDEX(Заказ!$B$1:$AV$3196,MATCH(B348,Заказ!$AV$1:$AV$3196,0),5),""),"")</f>
        <v/>
      </c>
      <c r="G348" s="1059" t="str">
        <f>IFERROR(IF(AND(B348&gt;0,B348/1),INDEX(Заказ!$B$1:$AV$3196,MATCH(B348,Заказ!$AV$1:$AV$3196,0),16),""),"")</f>
        <v/>
      </c>
      <c r="H348" s="1"/>
    </row>
    <row r="349" spans="1:8" x14ac:dyDescent="0.25">
      <c r="A349" s="1051" t="str">
        <f>IFERROR(IF(AND(B349&gt;0,B349/1),INDEX(Заказ!$B$412:$AV$3196,MATCH(B349,Заказ!$AV$412:$AV$3196,0),1),""),"")</f>
        <v/>
      </c>
      <c r="B349" s="1056" t="str">
        <f>IFERROR(IF(B348&gt;0,SMALL(Заказ!$AV$1:$AV$3196,1+B348),""),"")</f>
        <v/>
      </c>
      <c r="C349" s="1057" t="str">
        <f>IFERROR(IF(AND(B349&gt;0,B349/1),INDEX(Заказ!$B$1:$AV$3196,MATCH(B349,Заказ!$AV$1:$AV$3196,0),3),""),"")</f>
        <v/>
      </c>
      <c r="D349" s="1058" t="str">
        <f>IFERROR(IF(AND(B349&gt;0,B349/1),INDEX(Заказ!$B$1:$AV$3196,MATCH(B349,Заказ!$AV$1:$AV$3196,0),9),""),"")</f>
        <v/>
      </c>
      <c r="E349" s="1056" t="str">
        <f>IFERROR(IF(AND(B349&gt;0,B349/1),INDEX(Заказ!$B$1:$AV$3196,MATCH(B349,Заказ!$AV$1:$AV$3196,0),5),""),"")</f>
        <v/>
      </c>
      <c r="F349" s="1056" t="str">
        <f>IFERROR(IF(AND(B349&gt;0,B349/1),INDEX(Заказ!$B$1:$AV$3196,MATCH(B349,Заказ!$AV$1:$AV$3196,0),16)/INDEX(Заказ!$B$1:$AV$3196,MATCH(B349,Заказ!$AV$1:$AV$3196,0),5),""),"")</f>
        <v/>
      </c>
      <c r="G349" s="1059" t="str">
        <f>IFERROR(IF(AND(B349&gt;0,B349/1),INDEX(Заказ!$B$1:$AV$3196,MATCH(B349,Заказ!$AV$1:$AV$3196,0),16),""),"")</f>
        <v/>
      </c>
      <c r="H349" s="1"/>
    </row>
    <row r="350" spans="1:8" x14ac:dyDescent="0.25">
      <c r="A350" s="1051" t="str">
        <f>IFERROR(IF(AND(B350&gt;0,B350/1),INDEX(Заказ!$B$412:$AV$3196,MATCH(B350,Заказ!$AV$412:$AV$3196,0),1),""),"")</f>
        <v/>
      </c>
      <c r="B350" s="1056" t="str">
        <f>IFERROR(IF(B349&gt;0,SMALL(Заказ!$AV$1:$AV$3196,1+B349),""),"")</f>
        <v/>
      </c>
      <c r="C350" s="1057" t="str">
        <f>IFERROR(IF(AND(B350&gt;0,B350/1),INDEX(Заказ!$B$1:$AV$3196,MATCH(B350,Заказ!$AV$1:$AV$3196,0),3),""),"")</f>
        <v/>
      </c>
      <c r="D350" s="1058" t="str">
        <f>IFERROR(IF(AND(B350&gt;0,B350/1),INDEX(Заказ!$B$1:$AV$3196,MATCH(B350,Заказ!$AV$1:$AV$3196,0),9),""),"")</f>
        <v/>
      </c>
      <c r="E350" s="1056" t="str">
        <f>IFERROR(IF(AND(B350&gt;0,B350/1),INDEX(Заказ!$B$1:$AV$3196,MATCH(B350,Заказ!$AV$1:$AV$3196,0),5),""),"")</f>
        <v/>
      </c>
      <c r="F350" s="1056" t="str">
        <f>IFERROR(IF(AND(B350&gt;0,B350/1),INDEX(Заказ!$B$1:$AV$3196,MATCH(B350,Заказ!$AV$1:$AV$3196,0),16)/INDEX(Заказ!$B$1:$AV$3196,MATCH(B350,Заказ!$AV$1:$AV$3196,0),5),""),"")</f>
        <v/>
      </c>
      <c r="G350" s="1059" t="str">
        <f>IFERROR(IF(AND(B350&gt;0,B350/1),INDEX(Заказ!$B$1:$AV$3196,MATCH(B350,Заказ!$AV$1:$AV$3196,0),16),""),"")</f>
        <v/>
      </c>
      <c r="H350" s="1"/>
    </row>
    <row r="351" spans="1:8" x14ac:dyDescent="0.25">
      <c r="A351" s="1051" t="str">
        <f>IFERROR(IF(AND(B351&gt;0,B351/1),INDEX(Заказ!$B$412:$AV$3196,MATCH(B351,Заказ!$AV$412:$AV$3196,0),1),""),"")</f>
        <v/>
      </c>
      <c r="B351" s="1056" t="str">
        <f>IFERROR(IF(B350&gt;0,SMALL(Заказ!$AV$1:$AV$3196,1+B350),""),"")</f>
        <v/>
      </c>
      <c r="C351" s="1057" t="str">
        <f>IFERROR(IF(AND(B351&gt;0,B351/1),INDEX(Заказ!$B$1:$AV$3196,MATCH(B351,Заказ!$AV$1:$AV$3196,0),3),""),"")</f>
        <v/>
      </c>
      <c r="D351" s="1058" t="str">
        <f>IFERROR(IF(AND(B351&gt;0,B351/1),INDEX(Заказ!$B$1:$AV$3196,MATCH(B351,Заказ!$AV$1:$AV$3196,0),9),""),"")</f>
        <v/>
      </c>
      <c r="E351" s="1056" t="str">
        <f>IFERROR(IF(AND(B351&gt;0,B351/1),INDEX(Заказ!$B$1:$AV$3196,MATCH(B351,Заказ!$AV$1:$AV$3196,0),5),""),"")</f>
        <v/>
      </c>
      <c r="F351" s="1056" t="str">
        <f>IFERROR(IF(AND(B351&gt;0,B351/1),INDEX(Заказ!$B$1:$AV$3196,MATCH(B351,Заказ!$AV$1:$AV$3196,0),16)/INDEX(Заказ!$B$1:$AV$3196,MATCH(B351,Заказ!$AV$1:$AV$3196,0),5),""),"")</f>
        <v/>
      </c>
      <c r="G351" s="1059" t="str">
        <f>IFERROR(IF(AND(B351&gt;0,B351/1),INDEX(Заказ!$B$1:$AV$3196,MATCH(B351,Заказ!$AV$1:$AV$3196,0),16),""),"")</f>
        <v/>
      </c>
      <c r="H351" s="1"/>
    </row>
    <row r="352" spans="1:8" x14ac:dyDescent="0.25">
      <c r="A352" s="1051" t="str">
        <f>IFERROR(IF(AND(B352&gt;0,B352/1),INDEX(Заказ!$B$412:$AV$3196,MATCH(B352,Заказ!$AV$412:$AV$3196,0),1),""),"")</f>
        <v/>
      </c>
      <c r="B352" s="1056" t="str">
        <f>IFERROR(IF(B351&gt;0,SMALL(Заказ!$AV$1:$AV$3196,1+B351),""),"")</f>
        <v/>
      </c>
      <c r="C352" s="1057" t="str">
        <f>IFERROR(IF(AND(B352&gt;0,B352/1),INDEX(Заказ!$B$1:$AV$3196,MATCH(B352,Заказ!$AV$1:$AV$3196,0),3),""),"")</f>
        <v/>
      </c>
      <c r="D352" s="1058" t="str">
        <f>IFERROR(IF(AND(B352&gt;0,B352/1),INDEX(Заказ!$B$1:$AV$3196,MATCH(B352,Заказ!$AV$1:$AV$3196,0),9),""),"")</f>
        <v/>
      </c>
      <c r="E352" s="1056" t="str">
        <f>IFERROR(IF(AND(B352&gt;0,B352/1),INDEX(Заказ!$B$1:$AV$3196,MATCH(B352,Заказ!$AV$1:$AV$3196,0),5),""),"")</f>
        <v/>
      </c>
      <c r="F352" s="1056" t="str">
        <f>IFERROR(IF(AND(B352&gt;0,B352/1),INDEX(Заказ!$B$1:$AV$3196,MATCH(B352,Заказ!$AV$1:$AV$3196,0),16)/INDEX(Заказ!$B$1:$AV$3196,MATCH(B352,Заказ!$AV$1:$AV$3196,0),5),""),"")</f>
        <v/>
      </c>
      <c r="G352" s="1059" t="str">
        <f>IFERROR(IF(AND(B352&gt;0,B352/1),INDEX(Заказ!$B$1:$AV$3196,MATCH(B352,Заказ!$AV$1:$AV$3196,0),16),""),"")</f>
        <v/>
      </c>
      <c r="H352" s="1"/>
    </row>
    <row r="353" spans="1:8" x14ac:dyDescent="0.25">
      <c r="A353" s="1051" t="str">
        <f>IFERROR(IF(AND(B353&gt;0,B353/1),INDEX(Заказ!$B$412:$AV$3196,MATCH(B353,Заказ!$AV$412:$AV$3196,0),1),""),"")</f>
        <v/>
      </c>
      <c r="B353" s="1056" t="str">
        <f>IFERROR(IF(B352&gt;0,SMALL(Заказ!$AV$1:$AV$3196,1+B352),""),"")</f>
        <v/>
      </c>
      <c r="C353" s="1057" t="str">
        <f>IFERROR(IF(AND(B353&gt;0,B353/1),INDEX(Заказ!$B$1:$AV$3196,MATCH(B353,Заказ!$AV$1:$AV$3196,0),3),""),"")</f>
        <v/>
      </c>
      <c r="D353" s="1058" t="str">
        <f>IFERROR(IF(AND(B353&gt;0,B353/1),INDEX(Заказ!$B$1:$AV$3196,MATCH(B353,Заказ!$AV$1:$AV$3196,0),9),""),"")</f>
        <v/>
      </c>
      <c r="E353" s="1056" t="str">
        <f>IFERROR(IF(AND(B353&gt;0,B353/1),INDEX(Заказ!$B$1:$AV$3196,MATCH(B353,Заказ!$AV$1:$AV$3196,0),5),""),"")</f>
        <v/>
      </c>
      <c r="F353" s="1056" t="str">
        <f>IFERROR(IF(AND(B353&gt;0,B353/1),INDEX(Заказ!$B$1:$AV$3196,MATCH(B353,Заказ!$AV$1:$AV$3196,0),16)/INDEX(Заказ!$B$1:$AV$3196,MATCH(B353,Заказ!$AV$1:$AV$3196,0),5),""),"")</f>
        <v/>
      </c>
      <c r="G353" s="1059" t="str">
        <f>IFERROR(IF(AND(B353&gt;0,B353/1),INDEX(Заказ!$B$1:$AV$3196,MATCH(B353,Заказ!$AV$1:$AV$3196,0),16),""),"")</f>
        <v/>
      </c>
      <c r="H353" s="1"/>
    </row>
    <row r="354" spans="1:8" x14ac:dyDescent="0.25">
      <c r="A354" s="1051" t="str">
        <f>IFERROR(IF(AND(B354&gt;0,B354/1),INDEX(Заказ!$B$412:$AV$3196,MATCH(B354,Заказ!$AV$412:$AV$3196,0),1),""),"")</f>
        <v/>
      </c>
      <c r="B354" s="1056" t="str">
        <f>IFERROR(IF(B353&gt;0,SMALL(Заказ!$AV$1:$AV$3196,1+B353),""),"")</f>
        <v/>
      </c>
      <c r="C354" s="1057" t="str">
        <f>IFERROR(IF(AND(B354&gt;0,B354/1),INDEX(Заказ!$B$1:$AV$3196,MATCH(B354,Заказ!$AV$1:$AV$3196,0),3),""),"")</f>
        <v/>
      </c>
      <c r="D354" s="1058" t="str">
        <f>IFERROR(IF(AND(B354&gt;0,B354/1),INDEX(Заказ!$B$1:$AV$3196,MATCH(B354,Заказ!$AV$1:$AV$3196,0),9),""),"")</f>
        <v/>
      </c>
      <c r="E354" s="1056" t="str">
        <f>IFERROR(IF(AND(B354&gt;0,B354/1),INDEX(Заказ!$B$1:$AV$3196,MATCH(B354,Заказ!$AV$1:$AV$3196,0),5),""),"")</f>
        <v/>
      </c>
      <c r="F354" s="1056" t="str">
        <f>IFERROR(IF(AND(B354&gt;0,B354/1),INDEX(Заказ!$B$1:$AV$3196,MATCH(B354,Заказ!$AV$1:$AV$3196,0),16)/INDEX(Заказ!$B$1:$AV$3196,MATCH(B354,Заказ!$AV$1:$AV$3196,0),5),""),"")</f>
        <v/>
      </c>
      <c r="G354" s="1059" t="str">
        <f>IFERROR(IF(AND(B354&gt;0,B354/1),INDEX(Заказ!$B$1:$AV$3196,MATCH(B354,Заказ!$AV$1:$AV$3196,0),16),""),"")</f>
        <v/>
      </c>
      <c r="H354" s="1"/>
    </row>
    <row r="355" spans="1:8" x14ac:dyDescent="0.25">
      <c r="A355" s="1051" t="str">
        <f>IFERROR(IF(AND(B355&gt;0,B355/1),INDEX(Заказ!$B$412:$AV$3196,MATCH(B355,Заказ!$AV$412:$AV$3196,0),1),""),"")</f>
        <v/>
      </c>
      <c r="B355" s="1056" t="str">
        <f>IFERROR(IF(B354&gt;0,SMALL(Заказ!$AV$1:$AV$3196,1+B354),""),"")</f>
        <v/>
      </c>
      <c r="C355" s="1057" t="str">
        <f>IFERROR(IF(AND(B355&gt;0,B355/1),INDEX(Заказ!$B$1:$AV$3196,MATCH(B355,Заказ!$AV$1:$AV$3196,0),3),""),"")</f>
        <v/>
      </c>
      <c r="D355" s="1058" t="str">
        <f>IFERROR(IF(AND(B355&gt;0,B355/1),INDEX(Заказ!$B$1:$AV$3196,MATCH(B355,Заказ!$AV$1:$AV$3196,0),9),""),"")</f>
        <v/>
      </c>
      <c r="E355" s="1056" t="str">
        <f>IFERROR(IF(AND(B355&gt;0,B355/1),INDEX(Заказ!$B$1:$AV$3196,MATCH(B355,Заказ!$AV$1:$AV$3196,0),5),""),"")</f>
        <v/>
      </c>
      <c r="F355" s="1056" t="str">
        <f>IFERROR(IF(AND(B355&gt;0,B355/1),INDEX(Заказ!$B$1:$AV$3196,MATCH(B355,Заказ!$AV$1:$AV$3196,0),16)/INDEX(Заказ!$B$1:$AV$3196,MATCH(B355,Заказ!$AV$1:$AV$3196,0),5),""),"")</f>
        <v/>
      </c>
      <c r="G355" s="1059" t="str">
        <f>IFERROR(IF(AND(B355&gt;0,B355/1),INDEX(Заказ!$B$1:$AV$3196,MATCH(B355,Заказ!$AV$1:$AV$3196,0),16),""),"")</f>
        <v/>
      </c>
      <c r="H355" s="1"/>
    </row>
    <row r="356" spans="1:8" x14ac:dyDescent="0.25">
      <c r="A356" s="1051" t="str">
        <f>IFERROR(IF(AND(B356&gt;0,B356/1),INDEX(Заказ!$B$412:$AV$3196,MATCH(B356,Заказ!$AV$412:$AV$3196,0),1),""),"")</f>
        <v/>
      </c>
      <c r="B356" s="1056" t="str">
        <f>IFERROR(IF(B355&gt;0,SMALL(Заказ!$AV$1:$AV$3196,1+B355),""),"")</f>
        <v/>
      </c>
      <c r="C356" s="1057" t="str">
        <f>IFERROR(IF(AND(B356&gt;0,B356/1),INDEX(Заказ!$B$1:$AV$3196,MATCH(B356,Заказ!$AV$1:$AV$3196,0),3),""),"")</f>
        <v/>
      </c>
      <c r="D356" s="1058" t="str">
        <f>IFERROR(IF(AND(B356&gt;0,B356/1),INDEX(Заказ!$B$1:$AV$3196,MATCH(B356,Заказ!$AV$1:$AV$3196,0),9),""),"")</f>
        <v/>
      </c>
      <c r="E356" s="1056" t="str">
        <f>IFERROR(IF(AND(B356&gt;0,B356/1),INDEX(Заказ!$B$1:$AV$3196,MATCH(B356,Заказ!$AV$1:$AV$3196,0),5),""),"")</f>
        <v/>
      </c>
      <c r="F356" s="1056" t="str">
        <f>IFERROR(IF(AND(B356&gt;0,B356/1),INDEX(Заказ!$B$1:$AV$3196,MATCH(B356,Заказ!$AV$1:$AV$3196,0),16)/INDEX(Заказ!$B$1:$AV$3196,MATCH(B356,Заказ!$AV$1:$AV$3196,0),5),""),"")</f>
        <v/>
      </c>
      <c r="G356" s="1059" t="str">
        <f>IFERROR(IF(AND(B356&gt;0,B356/1),INDEX(Заказ!$B$1:$AV$3196,MATCH(B356,Заказ!$AV$1:$AV$3196,0),16),""),"")</f>
        <v/>
      </c>
      <c r="H356" s="1"/>
    </row>
    <row r="357" spans="1:8" x14ac:dyDescent="0.25">
      <c r="A357" s="1051" t="str">
        <f>IFERROR(IF(AND(B357&gt;0,B357/1),INDEX(Заказ!$B$412:$AV$3196,MATCH(B357,Заказ!$AV$412:$AV$3196,0),1),""),"")</f>
        <v/>
      </c>
      <c r="B357" s="1056" t="str">
        <f>IFERROR(IF(B356&gt;0,SMALL(Заказ!$AV$1:$AV$3196,1+B356),""),"")</f>
        <v/>
      </c>
      <c r="C357" s="1057" t="str">
        <f>IFERROR(IF(AND(B357&gt;0,B357/1),INDEX(Заказ!$B$1:$AV$3196,MATCH(B357,Заказ!$AV$1:$AV$3196,0),3),""),"")</f>
        <v/>
      </c>
      <c r="D357" s="1058" t="str">
        <f>IFERROR(IF(AND(B357&gt;0,B357/1),INDEX(Заказ!$B$1:$AV$3196,MATCH(B357,Заказ!$AV$1:$AV$3196,0),9),""),"")</f>
        <v/>
      </c>
      <c r="E357" s="1056" t="str">
        <f>IFERROR(IF(AND(B357&gt;0,B357/1),INDEX(Заказ!$B$1:$AV$3196,MATCH(B357,Заказ!$AV$1:$AV$3196,0),5),""),"")</f>
        <v/>
      </c>
      <c r="F357" s="1056" t="str">
        <f>IFERROR(IF(AND(B357&gt;0,B357/1),INDEX(Заказ!$B$1:$AV$3196,MATCH(B357,Заказ!$AV$1:$AV$3196,0),16)/INDEX(Заказ!$B$1:$AV$3196,MATCH(B357,Заказ!$AV$1:$AV$3196,0),5),""),"")</f>
        <v/>
      </c>
      <c r="G357" s="1059" t="str">
        <f>IFERROR(IF(AND(B357&gt;0,B357/1),INDEX(Заказ!$B$1:$AV$3196,MATCH(B357,Заказ!$AV$1:$AV$3196,0),16),""),"")</f>
        <v/>
      </c>
      <c r="H357" s="1"/>
    </row>
    <row r="358" spans="1:8" x14ac:dyDescent="0.25">
      <c r="A358" s="1051" t="str">
        <f>IFERROR(IF(AND(B358&gt;0,B358/1),INDEX(Заказ!$B$412:$AV$3196,MATCH(B358,Заказ!$AV$412:$AV$3196,0),1),""),"")</f>
        <v/>
      </c>
      <c r="B358" s="1056" t="str">
        <f>IFERROR(IF(B357&gt;0,SMALL(Заказ!$AV$1:$AV$3196,1+B357),""),"")</f>
        <v/>
      </c>
      <c r="C358" s="1057" t="str">
        <f>IFERROR(IF(AND(B358&gt;0,B358/1),INDEX(Заказ!$B$1:$AV$3196,MATCH(B358,Заказ!$AV$1:$AV$3196,0),3),""),"")</f>
        <v/>
      </c>
      <c r="D358" s="1058" t="str">
        <f>IFERROR(IF(AND(B358&gt;0,B358/1),INDEX(Заказ!$B$1:$AV$3196,MATCH(B358,Заказ!$AV$1:$AV$3196,0),9),""),"")</f>
        <v/>
      </c>
      <c r="E358" s="1056" t="str">
        <f>IFERROR(IF(AND(B358&gt;0,B358/1),INDEX(Заказ!$B$1:$AV$3196,MATCH(B358,Заказ!$AV$1:$AV$3196,0),5),""),"")</f>
        <v/>
      </c>
      <c r="F358" s="1056" t="str">
        <f>IFERROR(IF(AND(B358&gt;0,B358/1),INDEX(Заказ!$B$1:$AV$3196,MATCH(B358,Заказ!$AV$1:$AV$3196,0),16)/INDEX(Заказ!$B$1:$AV$3196,MATCH(B358,Заказ!$AV$1:$AV$3196,0),5),""),"")</f>
        <v/>
      </c>
      <c r="G358" s="1059" t="str">
        <f>IFERROR(IF(AND(B358&gt;0,B358/1),INDEX(Заказ!$B$1:$AV$3196,MATCH(B358,Заказ!$AV$1:$AV$3196,0),16),""),"")</f>
        <v/>
      </c>
      <c r="H358" s="1"/>
    </row>
    <row r="359" spans="1:8" x14ac:dyDescent="0.25">
      <c r="A359" s="1051" t="str">
        <f>IFERROR(IF(AND(B359&gt;0,B359/1),INDEX(Заказ!$B$412:$AV$3196,MATCH(B359,Заказ!$AV$412:$AV$3196,0),1),""),"")</f>
        <v/>
      </c>
      <c r="B359" s="1056" t="str">
        <f>IFERROR(IF(B358&gt;0,SMALL(Заказ!$AV$1:$AV$3196,1+B358),""),"")</f>
        <v/>
      </c>
      <c r="C359" s="1057" t="str">
        <f>IFERROR(IF(AND(B359&gt;0,B359/1),INDEX(Заказ!$B$1:$AV$3196,MATCH(B359,Заказ!$AV$1:$AV$3196,0),3),""),"")</f>
        <v/>
      </c>
      <c r="D359" s="1058" t="str">
        <f>IFERROR(IF(AND(B359&gt;0,B359/1),INDEX(Заказ!$B$1:$AV$3196,MATCH(B359,Заказ!$AV$1:$AV$3196,0),9),""),"")</f>
        <v/>
      </c>
      <c r="E359" s="1056" t="str">
        <f>IFERROR(IF(AND(B359&gt;0,B359/1),INDEX(Заказ!$B$1:$AV$3196,MATCH(B359,Заказ!$AV$1:$AV$3196,0),5),""),"")</f>
        <v/>
      </c>
      <c r="F359" s="1056" t="str">
        <f>IFERROR(IF(AND(B359&gt;0,B359/1),INDEX(Заказ!$B$1:$AV$3196,MATCH(B359,Заказ!$AV$1:$AV$3196,0),16)/INDEX(Заказ!$B$1:$AV$3196,MATCH(B359,Заказ!$AV$1:$AV$3196,0),5),""),"")</f>
        <v/>
      </c>
      <c r="G359" s="1059" t="str">
        <f>IFERROR(IF(AND(B359&gt;0,B359/1),INDEX(Заказ!$B$1:$AV$3196,MATCH(B359,Заказ!$AV$1:$AV$3196,0),16),""),"")</f>
        <v/>
      </c>
      <c r="H359" s="1"/>
    </row>
    <row r="360" spans="1:8" x14ac:dyDescent="0.25">
      <c r="A360" s="1051" t="str">
        <f>IFERROR(IF(AND(B360&gt;0,B360/1),INDEX(Заказ!$B$412:$AV$3196,MATCH(B360,Заказ!$AV$412:$AV$3196,0),1),""),"")</f>
        <v/>
      </c>
      <c r="B360" s="1056" t="str">
        <f>IFERROR(IF(B359&gt;0,SMALL(Заказ!$AV$1:$AV$3196,1+B359),""),"")</f>
        <v/>
      </c>
      <c r="C360" s="1057" t="str">
        <f>IFERROR(IF(AND(B360&gt;0,B360/1),INDEX(Заказ!$B$1:$AV$3196,MATCH(B360,Заказ!$AV$1:$AV$3196,0),3),""),"")</f>
        <v/>
      </c>
      <c r="D360" s="1058" t="str">
        <f>IFERROR(IF(AND(B360&gt;0,B360/1),INDEX(Заказ!$B$1:$AV$3196,MATCH(B360,Заказ!$AV$1:$AV$3196,0),9),""),"")</f>
        <v/>
      </c>
      <c r="E360" s="1056" t="str">
        <f>IFERROR(IF(AND(B360&gt;0,B360/1),INDEX(Заказ!$B$1:$AV$3196,MATCH(B360,Заказ!$AV$1:$AV$3196,0),5),""),"")</f>
        <v/>
      </c>
      <c r="F360" s="1056" t="str">
        <f>IFERROR(IF(AND(B360&gt;0,B360/1),INDEX(Заказ!$B$1:$AV$3196,MATCH(B360,Заказ!$AV$1:$AV$3196,0),16)/INDEX(Заказ!$B$1:$AV$3196,MATCH(B360,Заказ!$AV$1:$AV$3196,0),5),""),"")</f>
        <v/>
      </c>
      <c r="G360" s="1059" t="str">
        <f>IFERROR(IF(AND(B360&gt;0,B360/1),INDEX(Заказ!$B$1:$AV$3196,MATCH(B360,Заказ!$AV$1:$AV$3196,0),16),""),"")</f>
        <v/>
      </c>
      <c r="H360" s="1"/>
    </row>
    <row r="361" spans="1:8" x14ac:dyDescent="0.25">
      <c r="A361" s="1051" t="str">
        <f>IFERROR(IF(AND(B361&gt;0,B361/1),INDEX(Заказ!$B$412:$AV$3196,MATCH(B361,Заказ!$AV$412:$AV$3196,0),1),""),"")</f>
        <v/>
      </c>
      <c r="B361" s="1056" t="str">
        <f>IFERROR(IF(B360&gt;0,SMALL(Заказ!$AV$1:$AV$3196,1+B360),""),"")</f>
        <v/>
      </c>
      <c r="C361" s="1057" t="str">
        <f>IFERROR(IF(AND(B361&gt;0,B361/1),INDEX(Заказ!$B$1:$AV$3196,MATCH(B361,Заказ!$AV$1:$AV$3196,0),3),""),"")</f>
        <v/>
      </c>
      <c r="D361" s="1058" t="str">
        <f>IFERROR(IF(AND(B361&gt;0,B361/1),INDEX(Заказ!$B$1:$AV$3196,MATCH(B361,Заказ!$AV$1:$AV$3196,0),9),""),"")</f>
        <v/>
      </c>
      <c r="E361" s="1056" t="str">
        <f>IFERROR(IF(AND(B361&gt;0,B361/1),INDEX(Заказ!$B$1:$AV$3196,MATCH(B361,Заказ!$AV$1:$AV$3196,0),5),""),"")</f>
        <v/>
      </c>
      <c r="F361" s="1056" t="str">
        <f>IFERROR(IF(AND(B361&gt;0,B361/1),INDEX(Заказ!$B$1:$AV$3196,MATCH(B361,Заказ!$AV$1:$AV$3196,0),16)/INDEX(Заказ!$B$1:$AV$3196,MATCH(B361,Заказ!$AV$1:$AV$3196,0),5),""),"")</f>
        <v/>
      </c>
      <c r="G361" s="1059" t="str">
        <f>IFERROR(IF(AND(B361&gt;0,B361/1),INDEX(Заказ!$B$1:$AV$3196,MATCH(B361,Заказ!$AV$1:$AV$3196,0),16),""),"")</f>
        <v/>
      </c>
      <c r="H361" s="1"/>
    </row>
    <row r="362" spans="1:8" x14ac:dyDescent="0.25">
      <c r="A362" s="1051" t="str">
        <f>IFERROR(IF(AND(B362&gt;0,B362/1),INDEX(Заказ!$B$412:$AV$3196,MATCH(B362,Заказ!$AV$412:$AV$3196,0),1),""),"")</f>
        <v/>
      </c>
      <c r="B362" s="1056" t="str">
        <f>IFERROR(IF(B361&gt;0,SMALL(Заказ!$AV$1:$AV$3196,1+B361),""),"")</f>
        <v/>
      </c>
      <c r="C362" s="1057" t="str">
        <f>IFERROR(IF(AND(B362&gt;0,B362/1),INDEX(Заказ!$B$1:$AV$3196,MATCH(B362,Заказ!$AV$1:$AV$3196,0),3),""),"")</f>
        <v/>
      </c>
      <c r="D362" s="1058" t="str">
        <f>IFERROR(IF(AND(B362&gt;0,B362/1),INDEX(Заказ!$B$1:$AV$3196,MATCH(B362,Заказ!$AV$1:$AV$3196,0),9),""),"")</f>
        <v/>
      </c>
      <c r="E362" s="1056" t="str">
        <f>IFERROR(IF(AND(B362&gt;0,B362/1),INDEX(Заказ!$B$1:$AV$3196,MATCH(B362,Заказ!$AV$1:$AV$3196,0),5),""),"")</f>
        <v/>
      </c>
      <c r="F362" s="1056" t="str">
        <f>IFERROR(IF(AND(B362&gt;0,B362/1),INDEX(Заказ!$B$1:$AV$3196,MATCH(B362,Заказ!$AV$1:$AV$3196,0),16)/INDEX(Заказ!$B$1:$AV$3196,MATCH(B362,Заказ!$AV$1:$AV$3196,0),5),""),"")</f>
        <v/>
      </c>
      <c r="G362" s="1059" t="str">
        <f>IFERROR(IF(AND(B362&gt;0,B362/1),INDEX(Заказ!$B$1:$AV$3196,MATCH(B362,Заказ!$AV$1:$AV$3196,0),16),""),"")</f>
        <v/>
      </c>
      <c r="H362" s="1"/>
    </row>
    <row r="363" spans="1:8" x14ac:dyDescent="0.25">
      <c r="A363" s="1051" t="str">
        <f>IFERROR(IF(AND(B363&gt;0,B363/1),INDEX(Заказ!$B$412:$AV$3196,MATCH(B363,Заказ!$AV$412:$AV$3196,0),1),""),"")</f>
        <v/>
      </c>
      <c r="B363" s="1056" t="str">
        <f>IFERROR(IF(B362&gt;0,SMALL(Заказ!$AV$1:$AV$3196,1+B362),""),"")</f>
        <v/>
      </c>
      <c r="C363" s="1057" t="str">
        <f>IFERROR(IF(AND(B363&gt;0,B363/1),INDEX(Заказ!$B$1:$AV$3196,MATCH(B363,Заказ!$AV$1:$AV$3196,0),3),""),"")</f>
        <v/>
      </c>
      <c r="D363" s="1058" t="str">
        <f>IFERROR(IF(AND(B363&gt;0,B363/1),INDEX(Заказ!$B$1:$AV$3196,MATCH(B363,Заказ!$AV$1:$AV$3196,0),9),""),"")</f>
        <v/>
      </c>
      <c r="E363" s="1056" t="str">
        <f>IFERROR(IF(AND(B363&gt;0,B363/1),INDEX(Заказ!$B$1:$AV$3196,MATCH(B363,Заказ!$AV$1:$AV$3196,0),5),""),"")</f>
        <v/>
      </c>
      <c r="F363" s="1056" t="str">
        <f>IFERROR(IF(AND(B363&gt;0,B363/1),INDEX(Заказ!$B$1:$AV$3196,MATCH(B363,Заказ!$AV$1:$AV$3196,0),16)/INDEX(Заказ!$B$1:$AV$3196,MATCH(B363,Заказ!$AV$1:$AV$3196,0),5),""),"")</f>
        <v/>
      </c>
      <c r="G363" s="1059" t="str">
        <f>IFERROR(IF(AND(B363&gt;0,B363/1),INDEX(Заказ!$B$1:$AV$3196,MATCH(B363,Заказ!$AV$1:$AV$3196,0),16),""),"")</f>
        <v/>
      </c>
      <c r="H363" s="1"/>
    </row>
    <row r="364" spans="1:8" x14ac:dyDescent="0.25">
      <c r="A364" s="1051" t="str">
        <f>IFERROR(IF(AND(B364&gt;0,B364/1),INDEX(Заказ!$B$412:$AV$3196,MATCH(B364,Заказ!$AV$412:$AV$3196,0),1),""),"")</f>
        <v/>
      </c>
      <c r="B364" s="1056" t="str">
        <f>IFERROR(IF(B363&gt;0,SMALL(Заказ!$AV$1:$AV$3196,1+B363),""),"")</f>
        <v/>
      </c>
      <c r="C364" s="1057" t="str">
        <f>IFERROR(IF(AND(B364&gt;0,B364/1),INDEX(Заказ!$B$1:$AV$3196,MATCH(B364,Заказ!$AV$1:$AV$3196,0),3),""),"")</f>
        <v/>
      </c>
      <c r="D364" s="1058" t="str">
        <f>IFERROR(IF(AND(B364&gt;0,B364/1),INDEX(Заказ!$B$1:$AV$3196,MATCH(B364,Заказ!$AV$1:$AV$3196,0),9),""),"")</f>
        <v/>
      </c>
      <c r="E364" s="1056" t="str">
        <f>IFERROR(IF(AND(B364&gt;0,B364/1),INDEX(Заказ!$B$1:$AV$3196,MATCH(B364,Заказ!$AV$1:$AV$3196,0),5),""),"")</f>
        <v/>
      </c>
      <c r="F364" s="1056" t="str">
        <f>IFERROR(IF(AND(B364&gt;0,B364/1),INDEX(Заказ!$B$1:$AV$3196,MATCH(B364,Заказ!$AV$1:$AV$3196,0),16)/INDEX(Заказ!$B$1:$AV$3196,MATCH(B364,Заказ!$AV$1:$AV$3196,0),5),""),"")</f>
        <v/>
      </c>
      <c r="G364" s="1059" t="str">
        <f>IFERROR(IF(AND(B364&gt;0,B364/1),INDEX(Заказ!$B$1:$AV$3196,MATCH(B364,Заказ!$AV$1:$AV$3196,0),16),""),"")</f>
        <v/>
      </c>
      <c r="H364" s="1"/>
    </row>
    <row r="365" spans="1:8" x14ac:dyDescent="0.25">
      <c r="A365" s="1051" t="str">
        <f>IFERROR(IF(AND(B365&gt;0,B365/1),INDEX(Заказ!$B$412:$AV$3196,MATCH(B365,Заказ!$AV$412:$AV$3196,0),1),""),"")</f>
        <v/>
      </c>
      <c r="B365" s="1056" t="str">
        <f>IFERROR(IF(B364&gt;0,SMALL(Заказ!$AV$1:$AV$3196,1+B364),""),"")</f>
        <v/>
      </c>
      <c r="C365" s="1057" t="str">
        <f>IFERROR(IF(AND(B365&gt;0,B365/1),INDEX(Заказ!$B$1:$AV$3196,MATCH(B365,Заказ!$AV$1:$AV$3196,0),3),""),"")</f>
        <v/>
      </c>
      <c r="D365" s="1058" t="str">
        <f>IFERROR(IF(AND(B365&gt;0,B365/1),INDEX(Заказ!$B$1:$AV$3196,MATCH(B365,Заказ!$AV$1:$AV$3196,0),9),""),"")</f>
        <v/>
      </c>
      <c r="E365" s="1056" t="str">
        <f>IFERROR(IF(AND(B365&gt;0,B365/1),INDEX(Заказ!$B$1:$AV$3196,MATCH(B365,Заказ!$AV$1:$AV$3196,0),5),""),"")</f>
        <v/>
      </c>
      <c r="F365" s="1056" t="str">
        <f>IFERROR(IF(AND(B365&gt;0,B365/1),INDEX(Заказ!$B$1:$AV$3196,MATCH(B365,Заказ!$AV$1:$AV$3196,0),16)/INDEX(Заказ!$B$1:$AV$3196,MATCH(B365,Заказ!$AV$1:$AV$3196,0),5),""),"")</f>
        <v/>
      </c>
      <c r="G365" s="1059" t="str">
        <f>IFERROR(IF(AND(B365&gt;0,B365/1),INDEX(Заказ!$B$1:$AV$3196,MATCH(B365,Заказ!$AV$1:$AV$3196,0),16),""),"")</f>
        <v/>
      </c>
      <c r="H365" s="1"/>
    </row>
    <row r="366" spans="1:8" x14ac:dyDescent="0.25">
      <c r="A366" s="1051" t="str">
        <f>IFERROR(IF(AND(B366&gt;0,B366/1),INDEX(Заказ!$B$412:$AV$3196,MATCH(B366,Заказ!$AV$412:$AV$3196,0),1),""),"")</f>
        <v/>
      </c>
      <c r="B366" s="1056" t="str">
        <f>IFERROR(IF(B365&gt;0,SMALL(Заказ!$AV$1:$AV$3196,1+B365),""),"")</f>
        <v/>
      </c>
      <c r="C366" s="1057" t="str">
        <f>IFERROR(IF(AND(B366&gt;0,B366/1),INDEX(Заказ!$B$1:$AV$3196,MATCH(B366,Заказ!$AV$1:$AV$3196,0),3),""),"")</f>
        <v/>
      </c>
      <c r="D366" s="1058" t="str">
        <f>IFERROR(IF(AND(B366&gt;0,B366/1),INDEX(Заказ!$B$1:$AV$3196,MATCH(B366,Заказ!$AV$1:$AV$3196,0),9),""),"")</f>
        <v/>
      </c>
      <c r="E366" s="1056" t="str">
        <f>IFERROR(IF(AND(B366&gt;0,B366/1),INDEX(Заказ!$B$1:$AV$3196,MATCH(B366,Заказ!$AV$1:$AV$3196,0),5),""),"")</f>
        <v/>
      </c>
      <c r="F366" s="1056" t="str">
        <f>IFERROR(IF(AND(B366&gt;0,B366/1),INDEX(Заказ!$B$1:$AV$3196,MATCH(B366,Заказ!$AV$1:$AV$3196,0),16)/INDEX(Заказ!$B$1:$AV$3196,MATCH(B366,Заказ!$AV$1:$AV$3196,0),5),""),"")</f>
        <v/>
      </c>
      <c r="G366" s="1059" t="str">
        <f>IFERROR(IF(AND(B366&gt;0,B366/1),INDEX(Заказ!$B$1:$AV$3196,MATCH(B366,Заказ!$AV$1:$AV$3196,0),16),""),"")</f>
        <v/>
      </c>
      <c r="H366" s="1"/>
    </row>
    <row r="367" spans="1:8" x14ac:dyDescent="0.25">
      <c r="A367" s="1051" t="str">
        <f>IFERROR(IF(AND(B367&gt;0,B367/1),INDEX(Заказ!$B$412:$AV$3196,MATCH(B367,Заказ!$AV$412:$AV$3196,0),1),""),"")</f>
        <v/>
      </c>
      <c r="B367" s="1056" t="str">
        <f>IFERROR(IF(B366&gt;0,SMALL(Заказ!$AV$1:$AV$3196,1+B366),""),"")</f>
        <v/>
      </c>
      <c r="C367" s="1057" t="str">
        <f>IFERROR(IF(AND(B367&gt;0,B367/1),INDEX(Заказ!$B$1:$AV$3196,MATCH(B367,Заказ!$AV$1:$AV$3196,0),3),""),"")</f>
        <v/>
      </c>
      <c r="D367" s="1058" t="str">
        <f>IFERROR(IF(AND(B367&gt;0,B367/1),INDEX(Заказ!$B$1:$AV$3196,MATCH(B367,Заказ!$AV$1:$AV$3196,0),9),""),"")</f>
        <v/>
      </c>
      <c r="E367" s="1056" t="str">
        <f>IFERROR(IF(AND(B367&gt;0,B367/1),INDEX(Заказ!$B$1:$AV$3196,MATCH(B367,Заказ!$AV$1:$AV$3196,0),5),""),"")</f>
        <v/>
      </c>
      <c r="F367" s="1056" t="str">
        <f>IFERROR(IF(AND(B367&gt;0,B367/1),INDEX(Заказ!$B$1:$AV$3196,MATCH(B367,Заказ!$AV$1:$AV$3196,0),16)/INDEX(Заказ!$B$1:$AV$3196,MATCH(B367,Заказ!$AV$1:$AV$3196,0),5),""),"")</f>
        <v/>
      </c>
      <c r="G367" s="1059" t="str">
        <f>IFERROR(IF(AND(B367&gt;0,B367/1),INDEX(Заказ!$B$1:$AV$3196,MATCH(B367,Заказ!$AV$1:$AV$3196,0),16),""),"")</f>
        <v/>
      </c>
      <c r="H367" s="1"/>
    </row>
    <row r="368" spans="1:8" x14ac:dyDescent="0.25">
      <c r="A368" s="1051" t="str">
        <f>IFERROR(IF(AND(B368&gt;0,B368/1),INDEX(Заказ!$B$412:$AV$3196,MATCH(B368,Заказ!$AV$412:$AV$3196,0),1),""),"")</f>
        <v/>
      </c>
      <c r="B368" s="1056" t="str">
        <f>IFERROR(IF(B367&gt;0,SMALL(Заказ!$AV$1:$AV$3196,1+B367),""),"")</f>
        <v/>
      </c>
      <c r="C368" s="1057" t="str">
        <f>IFERROR(IF(AND(B368&gt;0,B368/1),INDEX(Заказ!$B$1:$AV$3196,MATCH(B368,Заказ!$AV$1:$AV$3196,0),3),""),"")</f>
        <v/>
      </c>
      <c r="D368" s="1058" t="str">
        <f>IFERROR(IF(AND(B368&gt;0,B368/1),INDEX(Заказ!$B$1:$AV$3196,MATCH(B368,Заказ!$AV$1:$AV$3196,0),9),""),"")</f>
        <v/>
      </c>
      <c r="E368" s="1056" t="str">
        <f>IFERROR(IF(AND(B368&gt;0,B368/1),INDEX(Заказ!$B$1:$AV$3196,MATCH(B368,Заказ!$AV$1:$AV$3196,0),5),""),"")</f>
        <v/>
      </c>
      <c r="F368" s="1056" t="str">
        <f>IFERROR(IF(AND(B368&gt;0,B368/1),INDEX(Заказ!$B$1:$AV$3196,MATCH(B368,Заказ!$AV$1:$AV$3196,0),16)/INDEX(Заказ!$B$1:$AV$3196,MATCH(B368,Заказ!$AV$1:$AV$3196,0),5),""),"")</f>
        <v/>
      </c>
      <c r="G368" s="1059" t="str">
        <f>IFERROR(IF(AND(B368&gt;0,B368/1),INDEX(Заказ!$B$1:$AV$3196,MATCH(B368,Заказ!$AV$1:$AV$3196,0),16),""),"")</f>
        <v/>
      </c>
      <c r="H368" s="1"/>
    </row>
    <row r="369" spans="1:8" x14ac:dyDescent="0.25">
      <c r="A369" s="1051" t="str">
        <f>IFERROR(IF(AND(B369&gt;0,B369/1),INDEX(Заказ!$B$412:$AV$3196,MATCH(B369,Заказ!$AV$412:$AV$3196,0),1),""),"")</f>
        <v/>
      </c>
      <c r="B369" s="1056" t="str">
        <f>IFERROR(IF(B368&gt;0,SMALL(Заказ!$AV$1:$AV$3196,1+B368),""),"")</f>
        <v/>
      </c>
      <c r="C369" s="1057" t="str">
        <f>IFERROR(IF(AND(B369&gt;0,B369/1),INDEX(Заказ!$B$1:$AV$3196,MATCH(B369,Заказ!$AV$1:$AV$3196,0),3),""),"")</f>
        <v/>
      </c>
      <c r="D369" s="1058" t="str">
        <f>IFERROR(IF(AND(B369&gt;0,B369/1),INDEX(Заказ!$B$1:$AV$3196,MATCH(B369,Заказ!$AV$1:$AV$3196,0),9),""),"")</f>
        <v/>
      </c>
      <c r="E369" s="1056" t="str">
        <f>IFERROR(IF(AND(B369&gt;0,B369/1),INDEX(Заказ!$B$1:$AV$3196,MATCH(B369,Заказ!$AV$1:$AV$3196,0),5),""),"")</f>
        <v/>
      </c>
      <c r="F369" s="1056" t="str">
        <f>IFERROR(IF(AND(B369&gt;0,B369/1),INDEX(Заказ!$B$1:$AV$3196,MATCH(B369,Заказ!$AV$1:$AV$3196,0),16)/INDEX(Заказ!$B$1:$AV$3196,MATCH(B369,Заказ!$AV$1:$AV$3196,0),5),""),"")</f>
        <v/>
      </c>
      <c r="G369" s="1059" t="str">
        <f>IFERROR(IF(AND(B369&gt;0,B369/1),INDEX(Заказ!$B$1:$AV$3196,MATCH(B369,Заказ!$AV$1:$AV$3196,0),16),""),"")</f>
        <v/>
      </c>
      <c r="H369" s="1"/>
    </row>
    <row r="370" spans="1:8" x14ac:dyDescent="0.25">
      <c r="A370" s="1051" t="str">
        <f>IFERROR(IF(AND(B370&gt;0,B370/1),INDEX(Заказ!$B$412:$AV$3196,MATCH(B370,Заказ!$AV$412:$AV$3196,0),1),""),"")</f>
        <v/>
      </c>
      <c r="B370" s="1056" t="str">
        <f>IFERROR(IF(B369&gt;0,SMALL(Заказ!$AV$1:$AV$3196,1+B369),""),"")</f>
        <v/>
      </c>
      <c r="C370" s="1057" t="str">
        <f>IFERROR(IF(AND(B370&gt;0,B370/1),INDEX(Заказ!$B$1:$AV$3196,MATCH(B370,Заказ!$AV$1:$AV$3196,0),3),""),"")</f>
        <v/>
      </c>
      <c r="D370" s="1058" t="str">
        <f>IFERROR(IF(AND(B370&gt;0,B370/1),INDEX(Заказ!$B$1:$AV$3196,MATCH(B370,Заказ!$AV$1:$AV$3196,0),9),""),"")</f>
        <v/>
      </c>
      <c r="E370" s="1056" t="str">
        <f>IFERROR(IF(AND(B370&gt;0,B370/1),INDEX(Заказ!$B$1:$AV$3196,MATCH(B370,Заказ!$AV$1:$AV$3196,0),5),""),"")</f>
        <v/>
      </c>
      <c r="F370" s="1056" t="str">
        <f>IFERROR(IF(AND(B370&gt;0,B370/1),INDEX(Заказ!$B$1:$AV$3196,MATCH(B370,Заказ!$AV$1:$AV$3196,0),16)/INDEX(Заказ!$B$1:$AV$3196,MATCH(B370,Заказ!$AV$1:$AV$3196,0),5),""),"")</f>
        <v/>
      </c>
      <c r="G370" s="1059" t="str">
        <f>IFERROR(IF(AND(B370&gt;0,B370/1),INDEX(Заказ!$B$1:$AV$3196,MATCH(B370,Заказ!$AV$1:$AV$3196,0),16),""),"")</f>
        <v/>
      </c>
      <c r="H370" s="1"/>
    </row>
    <row r="371" spans="1:8" x14ac:dyDescent="0.25">
      <c r="A371" s="1051" t="str">
        <f>IFERROR(IF(AND(B371&gt;0,B371/1),INDEX(Заказ!$B$412:$AV$3196,MATCH(B371,Заказ!$AV$412:$AV$3196,0),1),""),"")</f>
        <v/>
      </c>
      <c r="B371" s="1056" t="str">
        <f>IFERROR(IF(B370&gt;0,SMALL(Заказ!$AV$1:$AV$3196,1+B370),""),"")</f>
        <v/>
      </c>
      <c r="C371" s="1057" t="str">
        <f>IFERROR(IF(AND(B371&gt;0,B371/1),INDEX(Заказ!$B$1:$AV$3196,MATCH(B371,Заказ!$AV$1:$AV$3196,0),3),""),"")</f>
        <v/>
      </c>
      <c r="D371" s="1058" t="str">
        <f>IFERROR(IF(AND(B371&gt;0,B371/1),INDEX(Заказ!$B$1:$AV$3196,MATCH(B371,Заказ!$AV$1:$AV$3196,0),9),""),"")</f>
        <v/>
      </c>
      <c r="E371" s="1056" t="str">
        <f>IFERROR(IF(AND(B371&gt;0,B371/1),INDEX(Заказ!$B$1:$AV$3196,MATCH(B371,Заказ!$AV$1:$AV$3196,0),5),""),"")</f>
        <v/>
      </c>
      <c r="F371" s="1056" t="str">
        <f>IFERROR(IF(AND(B371&gt;0,B371/1),INDEX(Заказ!$B$1:$AV$3196,MATCH(B371,Заказ!$AV$1:$AV$3196,0),16)/INDEX(Заказ!$B$1:$AV$3196,MATCH(B371,Заказ!$AV$1:$AV$3196,0),5),""),"")</f>
        <v/>
      </c>
      <c r="G371" s="1059" t="str">
        <f>IFERROR(IF(AND(B371&gt;0,B371/1),INDEX(Заказ!$B$1:$AV$3196,MATCH(B371,Заказ!$AV$1:$AV$3196,0),16),""),"")</f>
        <v/>
      </c>
      <c r="H371" s="1"/>
    </row>
    <row r="372" spans="1:8" x14ac:dyDescent="0.25">
      <c r="A372" s="1051" t="str">
        <f>IFERROR(IF(AND(B372&gt;0,B372/1),INDEX(Заказ!$B$412:$AV$3196,MATCH(B372,Заказ!$AV$412:$AV$3196,0),1),""),"")</f>
        <v/>
      </c>
      <c r="B372" s="1056" t="str">
        <f>IFERROR(IF(B371&gt;0,SMALL(Заказ!$AV$1:$AV$3196,1+B371),""),"")</f>
        <v/>
      </c>
      <c r="C372" s="1057" t="str">
        <f>IFERROR(IF(AND(B372&gt;0,B372/1),INDEX(Заказ!$B$1:$AV$3196,MATCH(B372,Заказ!$AV$1:$AV$3196,0),3),""),"")</f>
        <v/>
      </c>
      <c r="D372" s="1058" t="str">
        <f>IFERROR(IF(AND(B372&gt;0,B372/1),INDEX(Заказ!$B$1:$AV$3196,MATCH(B372,Заказ!$AV$1:$AV$3196,0),9),""),"")</f>
        <v/>
      </c>
      <c r="E372" s="1056" t="str">
        <f>IFERROR(IF(AND(B372&gt;0,B372/1),INDEX(Заказ!$B$1:$AV$3196,MATCH(B372,Заказ!$AV$1:$AV$3196,0),5),""),"")</f>
        <v/>
      </c>
      <c r="F372" s="1056" t="str">
        <f>IFERROR(IF(AND(B372&gt;0,B372/1),INDEX(Заказ!$B$1:$AV$3196,MATCH(B372,Заказ!$AV$1:$AV$3196,0),16)/INDEX(Заказ!$B$1:$AV$3196,MATCH(B372,Заказ!$AV$1:$AV$3196,0),5),""),"")</f>
        <v/>
      </c>
      <c r="G372" s="1059" t="str">
        <f>IFERROR(IF(AND(B372&gt;0,B372/1),INDEX(Заказ!$B$1:$AV$3196,MATCH(B372,Заказ!$AV$1:$AV$3196,0),16),""),"")</f>
        <v/>
      </c>
      <c r="H372" s="1"/>
    </row>
    <row r="373" spans="1:8" x14ac:dyDescent="0.25">
      <c r="A373" s="1051" t="str">
        <f>IFERROR(IF(AND(B373&gt;0,B373/1),INDEX(Заказ!$B$412:$AV$3196,MATCH(B373,Заказ!$AV$412:$AV$3196,0),1),""),"")</f>
        <v/>
      </c>
      <c r="B373" s="1056" t="str">
        <f>IFERROR(IF(B372&gt;0,SMALL(Заказ!$AV$1:$AV$3196,1+B372),""),"")</f>
        <v/>
      </c>
      <c r="C373" s="1057" t="str">
        <f>IFERROR(IF(AND(B373&gt;0,B373/1),INDEX(Заказ!$B$1:$AV$3196,MATCH(B373,Заказ!$AV$1:$AV$3196,0),3),""),"")</f>
        <v/>
      </c>
      <c r="D373" s="1058" t="str">
        <f>IFERROR(IF(AND(B373&gt;0,B373/1),INDEX(Заказ!$B$1:$AV$3196,MATCH(B373,Заказ!$AV$1:$AV$3196,0),9),""),"")</f>
        <v/>
      </c>
      <c r="E373" s="1056" t="str">
        <f>IFERROR(IF(AND(B373&gt;0,B373/1),INDEX(Заказ!$B$1:$AV$3196,MATCH(B373,Заказ!$AV$1:$AV$3196,0),5),""),"")</f>
        <v/>
      </c>
      <c r="F373" s="1056" t="str">
        <f>IFERROR(IF(AND(B373&gt;0,B373/1),INDEX(Заказ!$B$1:$AV$3196,MATCH(B373,Заказ!$AV$1:$AV$3196,0),16)/INDEX(Заказ!$B$1:$AV$3196,MATCH(B373,Заказ!$AV$1:$AV$3196,0),5),""),"")</f>
        <v/>
      </c>
      <c r="G373" s="1059" t="str">
        <f>IFERROR(IF(AND(B373&gt;0,B373/1),INDEX(Заказ!$B$1:$AV$3196,MATCH(B373,Заказ!$AV$1:$AV$3196,0),16),""),"")</f>
        <v/>
      </c>
      <c r="H373" s="1"/>
    </row>
    <row r="374" spans="1:8" x14ac:dyDescent="0.25">
      <c r="A374" s="1051" t="str">
        <f>IFERROR(IF(AND(B374&gt;0,B374/1),INDEX(Заказ!$B$412:$AV$3196,MATCH(B374,Заказ!$AV$412:$AV$3196,0),1),""),"")</f>
        <v/>
      </c>
      <c r="B374" s="1056" t="str">
        <f>IFERROR(IF(B373&gt;0,SMALL(Заказ!$AV$1:$AV$3196,1+B373),""),"")</f>
        <v/>
      </c>
      <c r="C374" s="1057" t="str">
        <f>IFERROR(IF(AND(B374&gt;0,B374/1),INDEX(Заказ!$B$1:$AV$3196,MATCH(B374,Заказ!$AV$1:$AV$3196,0),3),""),"")</f>
        <v/>
      </c>
      <c r="D374" s="1058" t="str">
        <f>IFERROR(IF(AND(B374&gt;0,B374/1),INDEX(Заказ!$B$1:$AV$3196,MATCH(B374,Заказ!$AV$1:$AV$3196,0),9),""),"")</f>
        <v/>
      </c>
      <c r="E374" s="1056" t="str">
        <f>IFERROR(IF(AND(B374&gt;0,B374/1),INDEX(Заказ!$B$1:$AV$3196,MATCH(B374,Заказ!$AV$1:$AV$3196,0),5),""),"")</f>
        <v/>
      </c>
      <c r="F374" s="1056" t="str">
        <f>IFERROR(IF(AND(B374&gt;0,B374/1),INDEX(Заказ!$B$1:$AV$3196,MATCH(B374,Заказ!$AV$1:$AV$3196,0),16)/INDEX(Заказ!$B$1:$AV$3196,MATCH(B374,Заказ!$AV$1:$AV$3196,0),5),""),"")</f>
        <v/>
      </c>
      <c r="G374" s="1059" t="str">
        <f>IFERROR(IF(AND(B374&gt;0,B374/1),INDEX(Заказ!$B$1:$AV$3196,MATCH(B374,Заказ!$AV$1:$AV$3196,0),16),""),"")</f>
        <v/>
      </c>
      <c r="H374" s="1"/>
    </row>
    <row r="375" spans="1:8" x14ac:dyDescent="0.25">
      <c r="A375" s="1051" t="str">
        <f>IFERROR(IF(AND(B375&gt;0,B375/1),INDEX(Заказ!$B$412:$AV$3196,MATCH(B375,Заказ!$AV$412:$AV$3196,0),1),""),"")</f>
        <v/>
      </c>
      <c r="B375" s="1056" t="str">
        <f>IFERROR(IF(B374&gt;0,SMALL(Заказ!$AV$1:$AV$3196,1+B374),""),"")</f>
        <v/>
      </c>
      <c r="C375" s="1057" t="str">
        <f>IFERROR(IF(AND(B375&gt;0,B375/1),INDEX(Заказ!$B$1:$AV$3196,MATCH(B375,Заказ!$AV$1:$AV$3196,0),3),""),"")</f>
        <v/>
      </c>
      <c r="D375" s="1058" t="str">
        <f>IFERROR(IF(AND(B375&gt;0,B375/1),INDEX(Заказ!$B$1:$AV$3196,MATCH(B375,Заказ!$AV$1:$AV$3196,0),9),""),"")</f>
        <v/>
      </c>
      <c r="E375" s="1056" t="str">
        <f>IFERROR(IF(AND(B375&gt;0,B375/1),INDEX(Заказ!$B$1:$AV$3196,MATCH(B375,Заказ!$AV$1:$AV$3196,0),5),""),"")</f>
        <v/>
      </c>
      <c r="F375" s="1056" t="str">
        <f>IFERROR(IF(AND(B375&gt;0,B375/1),INDEX(Заказ!$B$1:$AV$3196,MATCH(B375,Заказ!$AV$1:$AV$3196,0),16)/INDEX(Заказ!$B$1:$AV$3196,MATCH(B375,Заказ!$AV$1:$AV$3196,0),5),""),"")</f>
        <v/>
      </c>
      <c r="G375" s="1059" t="str">
        <f>IFERROR(IF(AND(B375&gt;0,B375/1),INDEX(Заказ!$B$1:$AV$3196,MATCH(B375,Заказ!$AV$1:$AV$3196,0),16),""),"")</f>
        <v/>
      </c>
      <c r="H375" s="1"/>
    </row>
    <row r="376" spans="1:8" x14ac:dyDescent="0.25">
      <c r="A376" s="1051" t="str">
        <f>IFERROR(IF(AND(B376&gt;0,B376/1),INDEX(Заказ!$B$412:$AV$3196,MATCH(B376,Заказ!$AV$412:$AV$3196,0),1),""),"")</f>
        <v/>
      </c>
      <c r="B376" s="1056" t="str">
        <f>IFERROR(IF(B375&gt;0,SMALL(Заказ!$AV$1:$AV$3196,1+B375),""),"")</f>
        <v/>
      </c>
      <c r="C376" s="1057" t="str">
        <f>IFERROR(IF(AND(B376&gt;0,B376/1),INDEX(Заказ!$B$1:$AV$3196,MATCH(B376,Заказ!$AV$1:$AV$3196,0),3),""),"")</f>
        <v/>
      </c>
      <c r="D376" s="1058" t="str">
        <f>IFERROR(IF(AND(B376&gt;0,B376/1),INDEX(Заказ!$B$1:$AV$3196,MATCH(B376,Заказ!$AV$1:$AV$3196,0),9),""),"")</f>
        <v/>
      </c>
      <c r="E376" s="1056" t="str">
        <f>IFERROR(IF(AND(B376&gt;0,B376/1),INDEX(Заказ!$B$1:$AV$3196,MATCH(B376,Заказ!$AV$1:$AV$3196,0),5),""),"")</f>
        <v/>
      </c>
      <c r="F376" s="1056" t="str">
        <f>IFERROR(IF(AND(B376&gt;0,B376/1),INDEX(Заказ!$B$1:$AV$3196,MATCH(B376,Заказ!$AV$1:$AV$3196,0),16)/INDEX(Заказ!$B$1:$AV$3196,MATCH(B376,Заказ!$AV$1:$AV$3196,0),5),""),"")</f>
        <v/>
      </c>
      <c r="G376" s="1059" t="str">
        <f>IFERROR(IF(AND(B376&gt;0,B376/1),INDEX(Заказ!$B$1:$AV$3196,MATCH(B376,Заказ!$AV$1:$AV$3196,0),16),""),"")</f>
        <v/>
      </c>
      <c r="H376" s="1"/>
    </row>
    <row r="377" spans="1:8" x14ac:dyDescent="0.25">
      <c r="A377" s="1051" t="str">
        <f>IFERROR(IF(AND(B377&gt;0,B377/1),INDEX(Заказ!$B$412:$AV$3196,MATCH(B377,Заказ!$AV$412:$AV$3196,0),1),""),"")</f>
        <v/>
      </c>
      <c r="B377" s="1056" t="str">
        <f>IFERROR(IF(B376&gt;0,SMALL(Заказ!$AV$1:$AV$3196,1+B376),""),"")</f>
        <v/>
      </c>
      <c r="C377" s="1057" t="str">
        <f>IFERROR(IF(AND(B377&gt;0,B377/1),INDEX(Заказ!$B$1:$AV$3196,MATCH(B377,Заказ!$AV$1:$AV$3196,0),3),""),"")</f>
        <v/>
      </c>
      <c r="D377" s="1058" t="str">
        <f>IFERROR(IF(AND(B377&gt;0,B377/1),INDEX(Заказ!$B$1:$AV$3196,MATCH(B377,Заказ!$AV$1:$AV$3196,0),9),""),"")</f>
        <v/>
      </c>
      <c r="E377" s="1056" t="str">
        <f>IFERROR(IF(AND(B377&gt;0,B377/1),INDEX(Заказ!$B$1:$AV$3196,MATCH(B377,Заказ!$AV$1:$AV$3196,0),5),""),"")</f>
        <v/>
      </c>
      <c r="F377" s="1056" t="str">
        <f>IFERROR(IF(AND(B377&gt;0,B377/1),INDEX(Заказ!$B$1:$AV$3196,MATCH(B377,Заказ!$AV$1:$AV$3196,0),16)/INDEX(Заказ!$B$1:$AV$3196,MATCH(B377,Заказ!$AV$1:$AV$3196,0),5),""),"")</f>
        <v/>
      </c>
      <c r="G377" s="1059" t="str">
        <f>IFERROR(IF(AND(B377&gt;0,B377/1),INDEX(Заказ!$B$1:$AV$3196,MATCH(B377,Заказ!$AV$1:$AV$3196,0),16),""),"")</f>
        <v/>
      </c>
      <c r="H377" s="1"/>
    </row>
    <row r="378" spans="1:8" x14ac:dyDescent="0.25">
      <c r="A378" s="1051" t="str">
        <f>IFERROR(IF(AND(B378&gt;0,B378/1),INDEX(Заказ!$B$412:$AV$3196,MATCH(B378,Заказ!$AV$412:$AV$3196,0),1),""),"")</f>
        <v/>
      </c>
      <c r="B378" s="1056" t="str">
        <f>IFERROR(IF(B377&gt;0,SMALL(Заказ!$AV$1:$AV$3196,1+B377),""),"")</f>
        <v/>
      </c>
      <c r="C378" s="1057" t="str">
        <f>IFERROR(IF(AND(B378&gt;0,B378/1),INDEX(Заказ!$B$1:$AV$3196,MATCH(B378,Заказ!$AV$1:$AV$3196,0),3),""),"")</f>
        <v/>
      </c>
      <c r="D378" s="1058" t="str">
        <f>IFERROR(IF(AND(B378&gt;0,B378/1),INDEX(Заказ!$B$1:$AV$3196,MATCH(B378,Заказ!$AV$1:$AV$3196,0),9),""),"")</f>
        <v/>
      </c>
      <c r="E378" s="1056" t="str">
        <f>IFERROR(IF(AND(B378&gt;0,B378/1),INDEX(Заказ!$B$1:$AV$3196,MATCH(B378,Заказ!$AV$1:$AV$3196,0),5),""),"")</f>
        <v/>
      </c>
      <c r="F378" s="1056" t="str">
        <f>IFERROR(IF(AND(B378&gt;0,B378/1),INDEX(Заказ!$B$1:$AV$3196,MATCH(B378,Заказ!$AV$1:$AV$3196,0),16)/INDEX(Заказ!$B$1:$AV$3196,MATCH(B378,Заказ!$AV$1:$AV$3196,0),5),""),"")</f>
        <v/>
      </c>
      <c r="G378" s="1059" t="str">
        <f>IFERROR(IF(AND(B378&gt;0,B378/1),INDEX(Заказ!$B$1:$AV$3196,MATCH(B378,Заказ!$AV$1:$AV$3196,0),16),""),"")</f>
        <v/>
      </c>
      <c r="H378" s="1"/>
    </row>
    <row r="379" spans="1:8" x14ac:dyDescent="0.25">
      <c r="A379" s="1051" t="str">
        <f>IFERROR(IF(AND(B379&gt;0,B379/1),INDEX(Заказ!$B$412:$AV$3196,MATCH(B379,Заказ!$AV$412:$AV$3196,0),1),""),"")</f>
        <v/>
      </c>
      <c r="B379" s="1056" t="str">
        <f>IFERROR(IF(B378&gt;0,SMALL(Заказ!$AV$1:$AV$3196,1+B378),""),"")</f>
        <v/>
      </c>
      <c r="C379" s="1057" t="str">
        <f>IFERROR(IF(AND(B379&gt;0,B379/1),INDEX(Заказ!$B$1:$AV$3196,MATCH(B379,Заказ!$AV$1:$AV$3196,0),3),""),"")</f>
        <v/>
      </c>
      <c r="D379" s="1058" t="str">
        <f>IFERROR(IF(AND(B379&gt;0,B379/1),INDEX(Заказ!$B$1:$AV$3196,MATCH(B379,Заказ!$AV$1:$AV$3196,0),9),""),"")</f>
        <v/>
      </c>
      <c r="E379" s="1056" t="str">
        <f>IFERROR(IF(AND(B379&gt;0,B379/1),INDEX(Заказ!$B$1:$AV$3196,MATCH(B379,Заказ!$AV$1:$AV$3196,0),5),""),"")</f>
        <v/>
      </c>
      <c r="F379" s="1056" t="str">
        <f>IFERROR(IF(AND(B379&gt;0,B379/1),INDEX(Заказ!$B$1:$AV$3196,MATCH(B379,Заказ!$AV$1:$AV$3196,0),16)/INDEX(Заказ!$B$1:$AV$3196,MATCH(B379,Заказ!$AV$1:$AV$3196,0),5),""),"")</f>
        <v/>
      </c>
      <c r="G379" s="1059" t="str">
        <f>IFERROR(IF(AND(B379&gt;0,B379/1),INDEX(Заказ!$B$1:$AV$3196,MATCH(B379,Заказ!$AV$1:$AV$3196,0),16),""),"")</f>
        <v/>
      </c>
      <c r="H379" s="1"/>
    </row>
    <row r="380" spans="1:8" x14ac:dyDescent="0.25">
      <c r="A380" s="1051" t="str">
        <f>IFERROR(IF(AND(B380&gt;0,B380/1),INDEX(Заказ!$B$412:$AV$3196,MATCH(B380,Заказ!$AV$412:$AV$3196,0),1),""),"")</f>
        <v/>
      </c>
      <c r="B380" s="1056" t="str">
        <f>IFERROR(IF(B379&gt;0,SMALL(Заказ!$AV$1:$AV$3196,1+B379),""),"")</f>
        <v/>
      </c>
      <c r="C380" s="1057" t="str">
        <f>IFERROR(IF(AND(B380&gt;0,B380/1),INDEX(Заказ!$B$1:$AV$3196,MATCH(B380,Заказ!$AV$1:$AV$3196,0),3),""),"")</f>
        <v/>
      </c>
      <c r="D380" s="1058" t="str">
        <f>IFERROR(IF(AND(B380&gt;0,B380/1),INDEX(Заказ!$B$1:$AV$3196,MATCH(B380,Заказ!$AV$1:$AV$3196,0),9),""),"")</f>
        <v/>
      </c>
      <c r="E380" s="1056" t="str">
        <f>IFERROR(IF(AND(B380&gt;0,B380/1),INDEX(Заказ!$B$1:$AV$3196,MATCH(B380,Заказ!$AV$1:$AV$3196,0),5),""),"")</f>
        <v/>
      </c>
      <c r="F380" s="1056" t="str">
        <f>IFERROR(IF(AND(B380&gt;0,B380/1),INDEX(Заказ!$B$1:$AV$3196,MATCH(B380,Заказ!$AV$1:$AV$3196,0),16)/INDEX(Заказ!$B$1:$AV$3196,MATCH(B380,Заказ!$AV$1:$AV$3196,0),5),""),"")</f>
        <v/>
      </c>
      <c r="G380" s="1059" t="str">
        <f>IFERROR(IF(AND(B380&gt;0,B380/1),INDEX(Заказ!$B$1:$AV$3196,MATCH(B380,Заказ!$AV$1:$AV$3196,0),16),""),"")</f>
        <v/>
      </c>
      <c r="H380" s="1"/>
    </row>
    <row r="381" spans="1:8" x14ac:dyDescent="0.25">
      <c r="A381" s="1051" t="str">
        <f>IFERROR(IF(AND(B381&gt;0,B381/1),INDEX(Заказ!$B$412:$AV$3196,MATCH(B381,Заказ!$AV$412:$AV$3196,0),1),""),"")</f>
        <v/>
      </c>
      <c r="B381" s="1056" t="str">
        <f>IFERROR(IF(B380&gt;0,SMALL(Заказ!$AV$1:$AV$3196,1+B380),""),"")</f>
        <v/>
      </c>
      <c r="C381" s="1057" t="str">
        <f>IFERROR(IF(AND(B381&gt;0,B381/1),INDEX(Заказ!$B$1:$AV$3196,MATCH(B381,Заказ!$AV$1:$AV$3196,0),3),""),"")</f>
        <v/>
      </c>
      <c r="D381" s="1058" t="str">
        <f>IFERROR(IF(AND(B381&gt;0,B381/1),INDEX(Заказ!$B$1:$AV$3196,MATCH(B381,Заказ!$AV$1:$AV$3196,0),9),""),"")</f>
        <v/>
      </c>
      <c r="E381" s="1056" t="str">
        <f>IFERROR(IF(AND(B381&gt;0,B381/1),INDEX(Заказ!$B$1:$AV$3196,MATCH(B381,Заказ!$AV$1:$AV$3196,0),5),""),"")</f>
        <v/>
      </c>
      <c r="F381" s="1056" t="str">
        <f>IFERROR(IF(AND(B381&gt;0,B381/1),INDEX(Заказ!$B$1:$AV$3196,MATCH(B381,Заказ!$AV$1:$AV$3196,0),16)/INDEX(Заказ!$B$1:$AV$3196,MATCH(B381,Заказ!$AV$1:$AV$3196,0),5),""),"")</f>
        <v/>
      </c>
      <c r="G381" s="1059" t="str">
        <f>IFERROR(IF(AND(B381&gt;0,B381/1),INDEX(Заказ!$B$1:$AV$3196,MATCH(B381,Заказ!$AV$1:$AV$3196,0),16),""),"")</f>
        <v/>
      </c>
      <c r="H381" s="1"/>
    </row>
    <row r="382" spans="1:8" x14ac:dyDescent="0.25">
      <c r="A382" s="1051" t="str">
        <f>IFERROR(IF(AND(B382&gt;0,B382/1),INDEX(Заказ!$B$412:$AV$3196,MATCH(B382,Заказ!$AV$412:$AV$3196,0),1),""),"")</f>
        <v/>
      </c>
      <c r="B382" s="1056" t="str">
        <f>IFERROR(IF(B381&gt;0,SMALL(Заказ!$AV$1:$AV$3196,1+B381),""),"")</f>
        <v/>
      </c>
      <c r="C382" s="1057" t="str">
        <f>IFERROR(IF(AND(B382&gt;0,B382/1),INDEX(Заказ!$B$1:$AV$3196,MATCH(B382,Заказ!$AV$1:$AV$3196,0),3),""),"")</f>
        <v/>
      </c>
      <c r="D382" s="1058" t="str">
        <f>IFERROR(IF(AND(B382&gt;0,B382/1),INDEX(Заказ!$B$1:$AV$3196,MATCH(B382,Заказ!$AV$1:$AV$3196,0),9),""),"")</f>
        <v/>
      </c>
      <c r="E382" s="1056" t="str">
        <f>IFERROR(IF(AND(B382&gt;0,B382/1),INDEX(Заказ!$B$1:$AV$3196,MATCH(B382,Заказ!$AV$1:$AV$3196,0),5),""),"")</f>
        <v/>
      </c>
      <c r="F382" s="1056" t="str">
        <f>IFERROR(IF(AND(B382&gt;0,B382/1),INDEX(Заказ!$B$1:$AV$3196,MATCH(B382,Заказ!$AV$1:$AV$3196,0),16)/INDEX(Заказ!$B$1:$AV$3196,MATCH(B382,Заказ!$AV$1:$AV$3196,0),5),""),"")</f>
        <v/>
      </c>
      <c r="G382" s="1059" t="str">
        <f>IFERROR(IF(AND(B382&gt;0,B382/1),INDEX(Заказ!$B$1:$AV$3196,MATCH(B382,Заказ!$AV$1:$AV$3196,0),16),""),"")</f>
        <v/>
      </c>
      <c r="H382" s="1"/>
    </row>
    <row r="383" spans="1:8" x14ac:dyDescent="0.25">
      <c r="A383" s="1051" t="str">
        <f>IFERROR(IF(AND(B383&gt;0,B383/1),INDEX(Заказ!$B$412:$AV$3196,MATCH(B383,Заказ!$AV$412:$AV$3196,0),1),""),"")</f>
        <v/>
      </c>
      <c r="B383" s="1056" t="str">
        <f>IFERROR(IF(B382&gt;0,SMALL(Заказ!$AV$1:$AV$3196,1+B382),""),"")</f>
        <v/>
      </c>
      <c r="C383" s="1057" t="str">
        <f>IFERROR(IF(AND(B383&gt;0,B383/1),INDEX(Заказ!$B$1:$AV$3196,MATCH(B383,Заказ!$AV$1:$AV$3196,0),3),""),"")</f>
        <v/>
      </c>
      <c r="D383" s="1058" t="str">
        <f>IFERROR(IF(AND(B383&gt;0,B383/1),INDEX(Заказ!$B$1:$AV$3196,MATCH(B383,Заказ!$AV$1:$AV$3196,0),9),""),"")</f>
        <v/>
      </c>
      <c r="E383" s="1056" t="str">
        <f>IFERROR(IF(AND(B383&gt;0,B383/1),INDEX(Заказ!$B$1:$AV$3196,MATCH(B383,Заказ!$AV$1:$AV$3196,0),5),""),"")</f>
        <v/>
      </c>
      <c r="F383" s="1056" t="str">
        <f>IFERROR(IF(AND(B383&gt;0,B383/1),INDEX(Заказ!$B$1:$AV$3196,MATCH(B383,Заказ!$AV$1:$AV$3196,0),16)/INDEX(Заказ!$B$1:$AV$3196,MATCH(B383,Заказ!$AV$1:$AV$3196,0),5),""),"")</f>
        <v/>
      </c>
      <c r="G383" s="1059" t="str">
        <f>IFERROR(IF(AND(B383&gt;0,B383/1),INDEX(Заказ!$B$1:$AV$3196,MATCH(B383,Заказ!$AV$1:$AV$3196,0),16),""),"")</f>
        <v/>
      </c>
      <c r="H383" s="1"/>
    </row>
    <row r="384" spans="1:8" x14ac:dyDescent="0.25">
      <c r="A384" s="1051" t="str">
        <f>IFERROR(IF(AND(B384&gt;0,B384/1),INDEX(Заказ!$B$412:$AV$3196,MATCH(B384,Заказ!$AV$412:$AV$3196,0),1),""),"")</f>
        <v/>
      </c>
      <c r="B384" s="1056" t="str">
        <f>IFERROR(IF(B383&gt;0,SMALL(Заказ!$AV$1:$AV$3196,1+B383),""),"")</f>
        <v/>
      </c>
      <c r="C384" s="1057" t="str">
        <f>IFERROR(IF(AND(B384&gt;0,B384/1),INDEX(Заказ!$B$1:$AV$3196,MATCH(B384,Заказ!$AV$1:$AV$3196,0),3),""),"")</f>
        <v/>
      </c>
      <c r="D384" s="1058" t="str">
        <f>IFERROR(IF(AND(B384&gt;0,B384/1),INDEX(Заказ!$B$1:$AV$3196,MATCH(B384,Заказ!$AV$1:$AV$3196,0),9),""),"")</f>
        <v/>
      </c>
      <c r="E384" s="1056" t="str">
        <f>IFERROR(IF(AND(B384&gt;0,B384/1),INDEX(Заказ!$B$1:$AV$3196,MATCH(B384,Заказ!$AV$1:$AV$3196,0),5),""),"")</f>
        <v/>
      </c>
      <c r="F384" s="1056" t="str">
        <f>IFERROR(IF(AND(B384&gt;0,B384/1),INDEX(Заказ!$B$1:$AV$3196,MATCH(B384,Заказ!$AV$1:$AV$3196,0),16)/INDEX(Заказ!$B$1:$AV$3196,MATCH(B384,Заказ!$AV$1:$AV$3196,0),5),""),"")</f>
        <v/>
      </c>
      <c r="G384" s="1059" t="str">
        <f>IFERROR(IF(AND(B384&gt;0,B384/1),INDEX(Заказ!$B$1:$AV$3196,MATCH(B384,Заказ!$AV$1:$AV$3196,0),16),""),"")</f>
        <v/>
      </c>
      <c r="H384" s="1"/>
    </row>
    <row r="385" spans="1:8" x14ac:dyDescent="0.25">
      <c r="A385" s="1051" t="str">
        <f>IFERROR(IF(AND(B385&gt;0,B385/1),INDEX(Заказ!$B$412:$AV$3196,MATCH(B385,Заказ!$AV$412:$AV$3196,0),1),""),"")</f>
        <v/>
      </c>
      <c r="B385" s="1056" t="str">
        <f>IFERROR(IF(B384&gt;0,SMALL(Заказ!$AV$1:$AV$3196,1+B384),""),"")</f>
        <v/>
      </c>
      <c r="C385" s="1057" t="str">
        <f>IFERROR(IF(AND(B385&gt;0,B385/1),INDEX(Заказ!$B$1:$AV$3196,MATCH(B385,Заказ!$AV$1:$AV$3196,0),3),""),"")</f>
        <v/>
      </c>
      <c r="D385" s="1058" t="str">
        <f>IFERROR(IF(AND(B385&gt;0,B385/1),INDEX(Заказ!$B$1:$AV$3196,MATCH(B385,Заказ!$AV$1:$AV$3196,0),9),""),"")</f>
        <v/>
      </c>
      <c r="E385" s="1056" t="str">
        <f>IFERROR(IF(AND(B385&gt;0,B385/1),INDEX(Заказ!$B$1:$AV$3196,MATCH(B385,Заказ!$AV$1:$AV$3196,0),5),""),"")</f>
        <v/>
      </c>
      <c r="F385" s="1056" t="str">
        <f>IFERROR(IF(AND(B385&gt;0,B385/1),INDEX(Заказ!$B$1:$AV$3196,MATCH(B385,Заказ!$AV$1:$AV$3196,0),16)/INDEX(Заказ!$B$1:$AV$3196,MATCH(B385,Заказ!$AV$1:$AV$3196,0),5),""),"")</f>
        <v/>
      </c>
      <c r="G385" s="1059" t="str">
        <f>IFERROR(IF(AND(B385&gt;0,B385/1),INDEX(Заказ!$B$1:$AV$3196,MATCH(B385,Заказ!$AV$1:$AV$3196,0),16),""),"")</f>
        <v/>
      </c>
      <c r="H385" s="1"/>
    </row>
    <row r="386" spans="1:8" x14ac:dyDescent="0.25">
      <c r="A386" s="1051" t="str">
        <f>IFERROR(IF(AND(B386&gt;0,B386/1),INDEX(Заказ!$B$412:$AV$3196,MATCH(B386,Заказ!$AV$412:$AV$3196,0),1),""),"")</f>
        <v/>
      </c>
      <c r="B386" s="1056" t="str">
        <f>IFERROR(IF(B385&gt;0,SMALL(Заказ!$AV$1:$AV$3196,1+B385),""),"")</f>
        <v/>
      </c>
      <c r="C386" s="1057" t="str">
        <f>IFERROR(IF(AND(B386&gt;0,B386/1),INDEX(Заказ!$B$1:$AV$3196,MATCH(B386,Заказ!$AV$1:$AV$3196,0),3),""),"")</f>
        <v/>
      </c>
      <c r="D386" s="1058" t="str">
        <f>IFERROR(IF(AND(B386&gt;0,B386/1),INDEX(Заказ!$B$1:$AV$3196,MATCH(B386,Заказ!$AV$1:$AV$3196,0),9),""),"")</f>
        <v/>
      </c>
      <c r="E386" s="1056" t="str">
        <f>IFERROR(IF(AND(B386&gt;0,B386/1),INDEX(Заказ!$B$1:$AV$3196,MATCH(B386,Заказ!$AV$1:$AV$3196,0),5),""),"")</f>
        <v/>
      </c>
      <c r="F386" s="1056" t="str">
        <f>IFERROR(IF(AND(B386&gt;0,B386/1),INDEX(Заказ!$B$1:$AV$3196,MATCH(B386,Заказ!$AV$1:$AV$3196,0),16)/INDEX(Заказ!$B$1:$AV$3196,MATCH(B386,Заказ!$AV$1:$AV$3196,0),5),""),"")</f>
        <v/>
      </c>
      <c r="G386" s="1059" t="str">
        <f>IFERROR(IF(AND(B386&gt;0,B386/1),INDEX(Заказ!$B$1:$AV$3196,MATCH(B386,Заказ!$AV$1:$AV$3196,0),16),""),"")</f>
        <v/>
      </c>
      <c r="H386" s="1"/>
    </row>
    <row r="387" spans="1:8" x14ac:dyDescent="0.25">
      <c r="A387" s="1051" t="str">
        <f>IFERROR(IF(AND(B387&gt;0,B387/1),INDEX(Заказ!$B$412:$AV$3196,MATCH(B387,Заказ!$AV$412:$AV$3196,0),1),""),"")</f>
        <v/>
      </c>
      <c r="B387" s="1056" t="str">
        <f>IFERROR(IF(B386&gt;0,SMALL(Заказ!$AV$1:$AV$3196,1+B386),""),"")</f>
        <v/>
      </c>
      <c r="C387" s="1057" t="str">
        <f>IFERROR(IF(AND(B387&gt;0,B387/1),INDEX(Заказ!$B$1:$AV$3196,MATCH(B387,Заказ!$AV$1:$AV$3196,0),3),""),"")</f>
        <v/>
      </c>
      <c r="D387" s="1058" t="str">
        <f>IFERROR(IF(AND(B387&gt;0,B387/1),INDEX(Заказ!$B$1:$AV$3196,MATCH(B387,Заказ!$AV$1:$AV$3196,0),9),""),"")</f>
        <v/>
      </c>
      <c r="E387" s="1056" t="str">
        <f>IFERROR(IF(AND(B387&gt;0,B387/1),INDEX(Заказ!$B$1:$AV$3196,MATCH(B387,Заказ!$AV$1:$AV$3196,0),5),""),"")</f>
        <v/>
      </c>
      <c r="F387" s="1056" t="str">
        <f>IFERROR(IF(AND(B387&gt;0,B387/1),INDEX(Заказ!$B$1:$AV$3196,MATCH(B387,Заказ!$AV$1:$AV$3196,0),16)/INDEX(Заказ!$B$1:$AV$3196,MATCH(B387,Заказ!$AV$1:$AV$3196,0),5),""),"")</f>
        <v/>
      </c>
      <c r="G387" s="1059" t="str">
        <f>IFERROR(IF(AND(B387&gt;0,B387/1),INDEX(Заказ!$B$1:$AV$3196,MATCH(B387,Заказ!$AV$1:$AV$3196,0),16),""),"")</f>
        <v/>
      </c>
      <c r="H387" s="1"/>
    </row>
    <row r="388" spans="1:8" x14ac:dyDescent="0.25">
      <c r="A388" s="1051" t="str">
        <f>IFERROR(IF(AND(B388&gt;0,B388/1),INDEX(Заказ!$B$412:$AV$3196,MATCH(B388,Заказ!$AV$412:$AV$3196,0),1),""),"")</f>
        <v/>
      </c>
      <c r="B388" s="1056" t="str">
        <f>IFERROR(IF(B387&gt;0,SMALL(Заказ!$AV$1:$AV$3196,1+B387),""),"")</f>
        <v/>
      </c>
      <c r="C388" s="1057" t="str">
        <f>IFERROR(IF(AND(B388&gt;0,B388/1),INDEX(Заказ!$B$1:$AV$3196,MATCH(B388,Заказ!$AV$1:$AV$3196,0),3),""),"")</f>
        <v/>
      </c>
      <c r="D388" s="1058" t="str">
        <f>IFERROR(IF(AND(B388&gt;0,B388/1),INDEX(Заказ!$B$1:$AV$3196,MATCH(B388,Заказ!$AV$1:$AV$3196,0),9),""),"")</f>
        <v/>
      </c>
      <c r="E388" s="1056" t="str">
        <f>IFERROR(IF(AND(B388&gt;0,B388/1),INDEX(Заказ!$B$1:$AV$3196,MATCH(B388,Заказ!$AV$1:$AV$3196,0),5),""),"")</f>
        <v/>
      </c>
      <c r="F388" s="1056" t="str">
        <f>IFERROR(IF(AND(B388&gt;0,B388/1),INDEX(Заказ!$B$1:$AV$3196,MATCH(B388,Заказ!$AV$1:$AV$3196,0),16)/INDEX(Заказ!$B$1:$AV$3196,MATCH(B388,Заказ!$AV$1:$AV$3196,0),5),""),"")</f>
        <v/>
      </c>
      <c r="G388" s="1059" t="str">
        <f>IFERROR(IF(AND(B388&gt;0,B388/1),INDEX(Заказ!$B$1:$AV$3196,MATCH(B388,Заказ!$AV$1:$AV$3196,0),16),""),"")</f>
        <v/>
      </c>
      <c r="H388" s="1"/>
    </row>
    <row r="389" spans="1:8" x14ac:dyDescent="0.25">
      <c r="A389" s="1051" t="str">
        <f>IFERROR(IF(AND(B389&gt;0,B389/1),INDEX(Заказ!$B$412:$AV$3196,MATCH(B389,Заказ!$AV$412:$AV$3196,0),1),""),"")</f>
        <v/>
      </c>
      <c r="B389" s="1056" t="str">
        <f>IFERROR(IF(B388&gt;0,SMALL(Заказ!$AV$1:$AV$3196,1+B388),""),"")</f>
        <v/>
      </c>
      <c r="C389" s="1057" t="str">
        <f>IFERROR(IF(AND(B389&gt;0,B389/1),INDEX(Заказ!$B$1:$AV$3196,MATCH(B389,Заказ!$AV$1:$AV$3196,0),3),""),"")</f>
        <v/>
      </c>
      <c r="D389" s="1058" t="str">
        <f>IFERROR(IF(AND(B389&gt;0,B389/1),INDEX(Заказ!$B$1:$AV$3196,MATCH(B389,Заказ!$AV$1:$AV$3196,0),9),""),"")</f>
        <v/>
      </c>
      <c r="E389" s="1056" t="str">
        <f>IFERROR(IF(AND(B389&gt;0,B389/1),INDEX(Заказ!$B$1:$AV$3196,MATCH(B389,Заказ!$AV$1:$AV$3196,0),5),""),"")</f>
        <v/>
      </c>
      <c r="F389" s="1056" t="str">
        <f>IFERROR(IF(AND(B389&gt;0,B389/1),INDEX(Заказ!$B$1:$AV$3196,MATCH(B389,Заказ!$AV$1:$AV$3196,0),16)/INDEX(Заказ!$B$1:$AV$3196,MATCH(B389,Заказ!$AV$1:$AV$3196,0),5),""),"")</f>
        <v/>
      </c>
      <c r="G389" s="1059" t="str">
        <f>IFERROR(IF(AND(B389&gt;0,B389/1),INDEX(Заказ!$B$1:$AV$3196,MATCH(B389,Заказ!$AV$1:$AV$3196,0),16),""),"")</f>
        <v/>
      </c>
      <c r="H389" s="1"/>
    </row>
    <row r="390" spans="1:8" x14ac:dyDescent="0.25">
      <c r="A390" s="1051" t="str">
        <f>IFERROR(IF(AND(B390&gt;0,B390/1),INDEX(Заказ!$B$412:$AV$3196,MATCH(B390,Заказ!$AV$412:$AV$3196,0),1),""),"")</f>
        <v/>
      </c>
      <c r="B390" s="1056" t="str">
        <f>IFERROR(IF(B389&gt;0,SMALL(Заказ!$AV$1:$AV$3196,1+B389),""),"")</f>
        <v/>
      </c>
      <c r="C390" s="1057" t="str">
        <f>IFERROR(IF(AND(B390&gt;0,B390/1),INDEX(Заказ!$B$1:$AV$3196,MATCH(B390,Заказ!$AV$1:$AV$3196,0),3),""),"")</f>
        <v/>
      </c>
      <c r="D390" s="1058" t="str">
        <f>IFERROR(IF(AND(B390&gt;0,B390/1),INDEX(Заказ!$B$1:$AV$3196,MATCH(B390,Заказ!$AV$1:$AV$3196,0),9),""),"")</f>
        <v/>
      </c>
      <c r="E390" s="1056" t="str">
        <f>IFERROR(IF(AND(B390&gt;0,B390/1),INDEX(Заказ!$B$1:$AV$3196,MATCH(B390,Заказ!$AV$1:$AV$3196,0),5),""),"")</f>
        <v/>
      </c>
      <c r="F390" s="1056" t="str">
        <f>IFERROR(IF(AND(B390&gt;0,B390/1),INDEX(Заказ!$B$1:$AV$3196,MATCH(B390,Заказ!$AV$1:$AV$3196,0),16)/INDEX(Заказ!$B$1:$AV$3196,MATCH(B390,Заказ!$AV$1:$AV$3196,0),5),""),"")</f>
        <v/>
      </c>
      <c r="G390" s="1059" t="str">
        <f>IFERROR(IF(AND(B390&gt;0,B390/1),INDEX(Заказ!$B$1:$AV$3196,MATCH(B390,Заказ!$AV$1:$AV$3196,0),16),""),"")</f>
        <v/>
      </c>
      <c r="H390" s="1"/>
    </row>
    <row r="391" spans="1:8" x14ac:dyDescent="0.25">
      <c r="A391" s="1051" t="str">
        <f>IFERROR(IF(AND(B391&gt;0,B391/1),INDEX(Заказ!$B$412:$AV$3196,MATCH(B391,Заказ!$AV$412:$AV$3196,0),1),""),"")</f>
        <v/>
      </c>
      <c r="B391" s="1056" t="str">
        <f>IFERROR(IF(B390&gt;0,SMALL(Заказ!$AV$1:$AV$3196,1+B390),""),"")</f>
        <v/>
      </c>
      <c r="C391" s="1057" t="str">
        <f>IFERROR(IF(AND(B391&gt;0,B391/1),INDEX(Заказ!$B$1:$AV$3196,MATCH(B391,Заказ!$AV$1:$AV$3196,0),3),""),"")</f>
        <v/>
      </c>
      <c r="D391" s="1058" t="str">
        <f>IFERROR(IF(AND(B391&gt;0,B391/1),INDEX(Заказ!$B$1:$AV$3196,MATCH(B391,Заказ!$AV$1:$AV$3196,0),9),""),"")</f>
        <v/>
      </c>
      <c r="E391" s="1056" t="str">
        <f>IFERROR(IF(AND(B391&gt;0,B391/1),INDEX(Заказ!$B$1:$AV$3196,MATCH(B391,Заказ!$AV$1:$AV$3196,0),5),""),"")</f>
        <v/>
      </c>
      <c r="F391" s="1056" t="str">
        <f>IFERROR(IF(AND(B391&gt;0,B391/1),INDEX(Заказ!$B$1:$AV$3196,MATCH(B391,Заказ!$AV$1:$AV$3196,0),16)/INDEX(Заказ!$B$1:$AV$3196,MATCH(B391,Заказ!$AV$1:$AV$3196,0),5),""),"")</f>
        <v/>
      </c>
      <c r="G391" s="1059" t="str">
        <f>IFERROR(IF(AND(B391&gt;0,B391/1),INDEX(Заказ!$B$1:$AV$3196,MATCH(B391,Заказ!$AV$1:$AV$3196,0),16),""),"")</f>
        <v/>
      </c>
      <c r="H391" s="1"/>
    </row>
    <row r="392" spans="1:8" x14ac:dyDescent="0.25">
      <c r="A392" s="1051" t="str">
        <f>IFERROR(IF(AND(B392&gt;0,B392/1),INDEX(Заказ!$B$412:$AV$3196,MATCH(B392,Заказ!$AV$412:$AV$3196,0),1),""),"")</f>
        <v/>
      </c>
      <c r="B392" s="1056" t="str">
        <f>IFERROR(IF(B391&gt;0,SMALL(Заказ!$AV$1:$AV$3196,1+B391),""),"")</f>
        <v/>
      </c>
      <c r="C392" s="1057" t="str">
        <f>IFERROR(IF(AND(B392&gt;0,B392/1),INDEX(Заказ!$B$1:$AV$3196,MATCH(B392,Заказ!$AV$1:$AV$3196,0),3),""),"")</f>
        <v/>
      </c>
      <c r="D392" s="1058" t="str">
        <f>IFERROR(IF(AND(B392&gt;0,B392/1),INDEX(Заказ!$B$1:$AV$3196,MATCH(B392,Заказ!$AV$1:$AV$3196,0),9),""),"")</f>
        <v/>
      </c>
      <c r="E392" s="1056" t="str">
        <f>IFERROR(IF(AND(B392&gt;0,B392/1),INDEX(Заказ!$B$1:$AV$3196,MATCH(B392,Заказ!$AV$1:$AV$3196,0),5),""),"")</f>
        <v/>
      </c>
      <c r="F392" s="1056" t="str">
        <f>IFERROR(IF(AND(B392&gt;0,B392/1),INDEX(Заказ!$B$1:$AV$3196,MATCH(B392,Заказ!$AV$1:$AV$3196,0),16)/INDEX(Заказ!$B$1:$AV$3196,MATCH(B392,Заказ!$AV$1:$AV$3196,0),5),""),"")</f>
        <v/>
      </c>
      <c r="G392" s="1059" t="str">
        <f>IFERROR(IF(AND(B392&gt;0,B392/1),INDEX(Заказ!$B$1:$AV$3196,MATCH(B392,Заказ!$AV$1:$AV$3196,0),16),""),"")</f>
        <v/>
      </c>
      <c r="H392" s="1"/>
    </row>
    <row r="393" spans="1:8" x14ac:dyDescent="0.25">
      <c r="A393" s="1051" t="str">
        <f>IFERROR(IF(AND(B393&gt;0,B393/1),INDEX(Заказ!$B$412:$AV$3196,MATCH(B393,Заказ!$AV$412:$AV$3196,0),1),""),"")</f>
        <v/>
      </c>
      <c r="B393" s="1056" t="str">
        <f>IFERROR(IF(B392&gt;0,SMALL(Заказ!$AV$1:$AV$3196,1+B392),""),"")</f>
        <v/>
      </c>
      <c r="C393" s="1057" t="str">
        <f>IFERROR(IF(AND(B393&gt;0,B393/1),INDEX(Заказ!$B$1:$AV$3196,MATCH(B393,Заказ!$AV$1:$AV$3196,0),3),""),"")</f>
        <v/>
      </c>
      <c r="D393" s="1058" t="str">
        <f>IFERROR(IF(AND(B393&gt;0,B393/1),INDEX(Заказ!$B$1:$AV$3196,MATCH(B393,Заказ!$AV$1:$AV$3196,0),9),""),"")</f>
        <v/>
      </c>
      <c r="E393" s="1056" t="str">
        <f>IFERROR(IF(AND(B393&gt;0,B393/1),INDEX(Заказ!$B$1:$AV$3196,MATCH(B393,Заказ!$AV$1:$AV$3196,0),5),""),"")</f>
        <v/>
      </c>
      <c r="F393" s="1056" t="str">
        <f>IFERROR(IF(AND(B393&gt;0,B393/1),INDEX(Заказ!$B$1:$AV$3196,MATCH(B393,Заказ!$AV$1:$AV$3196,0),16)/INDEX(Заказ!$B$1:$AV$3196,MATCH(B393,Заказ!$AV$1:$AV$3196,0),5),""),"")</f>
        <v/>
      </c>
      <c r="G393" s="1059" t="str">
        <f>IFERROR(IF(AND(B393&gt;0,B393/1),INDEX(Заказ!$B$1:$AV$3196,MATCH(B393,Заказ!$AV$1:$AV$3196,0),16),""),"")</f>
        <v/>
      </c>
      <c r="H393" s="1"/>
    </row>
    <row r="394" spans="1:8" x14ac:dyDescent="0.25">
      <c r="A394" s="1051" t="str">
        <f>IFERROR(IF(AND(B394&gt;0,B394/1),INDEX(Заказ!$B$412:$AV$3196,MATCH(B394,Заказ!$AV$412:$AV$3196,0),1),""),"")</f>
        <v/>
      </c>
      <c r="B394" s="1056" t="str">
        <f>IFERROR(IF(B393&gt;0,SMALL(Заказ!$AV$1:$AV$3196,1+B393),""),"")</f>
        <v/>
      </c>
      <c r="C394" s="1057" t="str">
        <f>IFERROR(IF(AND(B394&gt;0,B394/1),INDEX(Заказ!$B$1:$AV$3196,MATCH(B394,Заказ!$AV$1:$AV$3196,0),3),""),"")</f>
        <v/>
      </c>
      <c r="D394" s="1058" t="str">
        <f>IFERROR(IF(AND(B394&gt;0,B394/1),INDEX(Заказ!$B$1:$AV$3196,MATCH(B394,Заказ!$AV$1:$AV$3196,0),9),""),"")</f>
        <v/>
      </c>
      <c r="E394" s="1056" t="str">
        <f>IFERROR(IF(AND(B394&gt;0,B394/1),INDEX(Заказ!$B$1:$AV$3196,MATCH(B394,Заказ!$AV$1:$AV$3196,0),5),""),"")</f>
        <v/>
      </c>
      <c r="F394" s="1056" t="str">
        <f>IFERROR(IF(AND(B394&gt;0,B394/1),INDEX(Заказ!$B$1:$AV$3196,MATCH(B394,Заказ!$AV$1:$AV$3196,0),16)/INDEX(Заказ!$B$1:$AV$3196,MATCH(B394,Заказ!$AV$1:$AV$3196,0),5),""),"")</f>
        <v/>
      </c>
      <c r="G394" s="1059" t="str">
        <f>IFERROR(IF(AND(B394&gt;0,B394/1),INDEX(Заказ!$B$1:$AV$3196,MATCH(B394,Заказ!$AV$1:$AV$3196,0),16),""),"")</f>
        <v/>
      </c>
      <c r="H394" s="1"/>
    </row>
    <row r="395" spans="1:8" x14ac:dyDescent="0.25">
      <c r="A395" s="1051" t="str">
        <f>IFERROR(IF(AND(B395&gt;0,B395/1),INDEX(Заказ!$B$412:$AV$3196,MATCH(B395,Заказ!$AV$412:$AV$3196,0),1),""),"")</f>
        <v/>
      </c>
      <c r="B395" s="1056" t="str">
        <f>IFERROR(IF(B394&gt;0,SMALL(Заказ!$AV$1:$AV$3196,1+B394),""),"")</f>
        <v/>
      </c>
      <c r="C395" s="1057" t="str">
        <f>IFERROR(IF(AND(B395&gt;0,B395/1),INDEX(Заказ!$B$1:$AV$3196,MATCH(B395,Заказ!$AV$1:$AV$3196,0),3),""),"")</f>
        <v/>
      </c>
      <c r="D395" s="1058" t="str">
        <f>IFERROR(IF(AND(B395&gt;0,B395/1),INDEX(Заказ!$B$1:$AV$3196,MATCH(B395,Заказ!$AV$1:$AV$3196,0),9),""),"")</f>
        <v/>
      </c>
      <c r="E395" s="1056" t="str">
        <f>IFERROR(IF(AND(B395&gt;0,B395/1),INDEX(Заказ!$B$1:$AV$3196,MATCH(B395,Заказ!$AV$1:$AV$3196,0),5),""),"")</f>
        <v/>
      </c>
      <c r="F395" s="1056" t="str">
        <f>IFERROR(IF(AND(B395&gt;0,B395/1),INDEX(Заказ!$B$1:$AV$3196,MATCH(B395,Заказ!$AV$1:$AV$3196,0),16)/INDEX(Заказ!$B$1:$AV$3196,MATCH(B395,Заказ!$AV$1:$AV$3196,0),5),""),"")</f>
        <v/>
      </c>
      <c r="G395" s="1059" t="str">
        <f>IFERROR(IF(AND(B395&gt;0,B395/1),INDEX(Заказ!$B$1:$AV$3196,MATCH(B395,Заказ!$AV$1:$AV$3196,0),16),""),"")</f>
        <v/>
      </c>
      <c r="H395" s="1"/>
    </row>
    <row r="396" spans="1:8" x14ac:dyDescent="0.25">
      <c r="A396" s="1051" t="str">
        <f>IFERROR(IF(AND(B396&gt;0,B396/1),INDEX(Заказ!$B$412:$AV$3196,MATCH(B396,Заказ!$AV$412:$AV$3196,0),1),""),"")</f>
        <v/>
      </c>
      <c r="B396" s="1056" t="str">
        <f>IFERROR(IF(B395&gt;0,SMALL(Заказ!$AV$1:$AV$3196,1+B395),""),"")</f>
        <v/>
      </c>
      <c r="C396" s="1057" t="str">
        <f>IFERROR(IF(AND(B396&gt;0,B396/1),INDEX(Заказ!$B$1:$AV$3196,MATCH(B396,Заказ!$AV$1:$AV$3196,0),3),""),"")</f>
        <v/>
      </c>
      <c r="D396" s="1058" t="str">
        <f>IFERROR(IF(AND(B396&gt;0,B396/1),INDEX(Заказ!$B$1:$AV$3196,MATCH(B396,Заказ!$AV$1:$AV$3196,0),9),""),"")</f>
        <v/>
      </c>
      <c r="E396" s="1056" t="str">
        <f>IFERROR(IF(AND(B396&gt;0,B396/1),INDEX(Заказ!$B$1:$AV$3196,MATCH(B396,Заказ!$AV$1:$AV$3196,0),5),""),"")</f>
        <v/>
      </c>
      <c r="F396" s="1056" t="str">
        <f>IFERROR(IF(AND(B396&gt;0,B396/1),INDEX(Заказ!$B$1:$AV$3196,MATCH(B396,Заказ!$AV$1:$AV$3196,0),16)/INDEX(Заказ!$B$1:$AV$3196,MATCH(B396,Заказ!$AV$1:$AV$3196,0),5),""),"")</f>
        <v/>
      </c>
      <c r="G396" s="1059" t="str">
        <f>IFERROR(IF(AND(B396&gt;0,B396/1),INDEX(Заказ!$B$1:$AV$3196,MATCH(B396,Заказ!$AV$1:$AV$3196,0),16),""),"")</f>
        <v/>
      </c>
      <c r="H396" s="1"/>
    </row>
    <row r="397" spans="1:8" x14ac:dyDescent="0.25">
      <c r="A397" s="1051" t="str">
        <f>IFERROR(IF(AND(B397&gt;0,B397/1),INDEX(Заказ!$B$412:$AV$3196,MATCH(B397,Заказ!$AV$412:$AV$3196,0),1),""),"")</f>
        <v/>
      </c>
      <c r="B397" s="1056" t="str">
        <f>IFERROR(IF(B396&gt;0,SMALL(Заказ!$AV$1:$AV$3196,1+B396),""),"")</f>
        <v/>
      </c>
      <c r="C397" s="1057" t="str">
        <f>IFERROR(IF(AND(B397&gt;0,B397/1),INDEX(Заказ!$B$1:$AV$3196,MATCH(B397,Заказ!$AV$1:$AV$3196,0),3),""),"")</f>
        <v/>
      </c>
      <c r="D397" s="1058" t="str">
        <f>IFERROR(IF(AND(B397&gt;0,B397/1),INDEX(Заказ!$B$1:$AV$3196,MATCH(B397,Заказ!$AV$1:$AV$3196,0),9),""),"")</f>
        <v/>
      </c>
      <c r="E397" s="1056" t="str">
        <f>IFERROR(IF(AND(B397&gt;0,B397/1),INDEX(Заказ!$B$1:$AV$3196,MATCH(B397,Заказ!$AV$1:$AV$3196,0),5),""),"")</f>
        <v/>
      </c>
      <c r="F397" s="1056" t="str">
        <f>IFERROR(IF(AND(B397&gt;0,B397/1),INDEX(Заказ!$B$1:$AV$3196,MATCH(B397,Заказ!$AV$1:$AV$3196,0),16)/INDEX(Заказ!$B$1:$AV$3196,MATCH(B397,Заказ!$AV$1:$AV$3196,0),5),""),"")</f>
        <v/>
      </c>
      <c r="G397" s="1059" t="str">
        <f>IFERROR(IF(AND(B397&gt;0,B397/1),INDEX(Заказ!$B$1:$AV$3196,MATCH(B397,Заказ!$AV$1:$AV$3196,0),16),""),"")</f>
        <v/>
      </c>
      <c r="H397" s="1"/>
    </row>
    <row r="398" spans="1:8" x14ac:dyDescent="0.25">
      <c r="A398" s="1051" t="str">
        <f>IFERROR(IF(AND(B398&gt;0,B398/1),INDEX(Заказ!$B$412:$AV$3196,MATCH(B398,Заказ!$AV$412:$AV$3196,0),1),""),"")</f>
        <v/>
      </c>
      <c r="B398" s="1056" t="str">
        <f>IFERROR(IF(B397&gt;0,SMALL(Заказ!$AV$1:$AV$3196,1+B397),""),"")</f>
        <v/>
      </c>
      <c r="C398" s="1057" t="str">
        <f>IFERROR(IF(AND(B398&gt;0,B398/1),INDEX(Заказ!$B$1:$AV$3196,MATCH(B398,Заказ!$AV$1:$AV$3196,0),3),""),"")</f>
        <v/>
      </c>
      <c r="D398" s="1058" t="str">
        <f>IFERROR(IF(AND(B398&gt;0,B398/1),INDEX(Заказ!$B$1:$AV$3196,MATCH(B398,Заказ!$AV$1:$AV$3196,0),9),""),"")</f>
        <v/>
      </c>
      <c r="E398" s="1056" t="str">
        <f>IFERROR(IF(AND(B398&gt;0,B398/1),INDEX(Заказ!$B$1:$AV$3196,MATCH(B398,Заказ!$AV$1:$AV$3196,0),5),""),"")</f>
        <v/>
      </c>
      <c r="F398" s="1056" t="str">
        <f>IFERROR(IF(AND(B398&gt;0,B398/1),INDEX(Заказ!$B$1:$AV$3196,MATCH(B398,Заказ!$AV$1:$AV$3196,0),16)/INDEX(Заказ!$B$1:$AV$3196,MATCH(B398,Заказ!$AV$1:$AV$3196,0),5),""),"")</f>
        <v/>
      </c>
      <c r="G398" s="1059" t="str">
        <f>IFERROR(IF(AND(B398&gt;0,B398/1),INDEX(Заказ!$B$1:$AV$3196,MATCH(B398,Заказ!$AV$1:$AV$3196,0),16),""),"")</f>
        <v/>
      </c>
      <c r="H398" s="1"/>
    </row>
    <row r="399" spans="1:8" x14ac:dyDescent="0.25">
      <c r="A399" s="1051" t="str">
        <f>IFERROR(IF(AND(B399&gt;0,B399/1),INDEX(Заказ!$B$412:$AV$3196,MATCH(B399,Заказ!$AV$412:$AV$3196,0),1),""),"")</f>
        <v/>
      </c>
      <c r="B399" s="1056" t="str">
        <f>IFERROR(IF(B398&gt;0,SMALL(Заказ!$AV$1:$AV$3196,1+B398),""),"")</f>
        <v/>
      </c>
      <c r="C399" s="1057" t="str">
        <f>IFERROR(IF(AND(B399&gt;0,B399/1),INDEX(Заказ!$B$1:$AV$3196,MATCH(B399,Заказ!$AV$1:$AV$3196,0),3),""),"")</f>
        <v/>
      </c>
      <c r="D399" s="1058" t="str">
        <f>IFERROR(IF(AND(B399&gt;0,B399/1),INDEX(Заказ!$B$1:$AV$3196,MATCH(B399,Заказ!$AV$1:$AV$3196,0),9),""),"")</f>
        <v/>
      </c>
      <c r="E399" s="1056" t="str">
        <f>IFERROR(IF(AND(B399&gt;0,B399/1),INDEX(Заказ!$B$1:$AV$3196,MATCH(B399,Заказ!$AV$1:$AV$3196,0),5),""),"")</f>
        <v/>
      </c>
      <c r="F399" s="1056" t="str">
        <f>IFERROR(IF(AND(B399&gt;0,B399/1),INDEX(Заказ!$B$1:$AV$3196,MATCH(B399,Заказ!$AV$1:$AV$3196,0),16)/INDEX(Заказ!$B$1:$AV$3196,MATCH(B399,Заказ!$AV$1:$AV$3196,0),5),""),"")</f>
        <v/>
      </c>
      <c r="G399" s="1059" t="str">
        <f>IFERROR(IF(AND(B399&gt;0,B399/1),INDEX(Заказ!$B$1:$AV$3196,MATCH(B399,Заказ!$AV$1:$AV$3196,0),16),""),"")</f>
        <v/>
      </c>
      <c r="H399" s="1"/>
    </row>
    <row r="400" spans="1:8" x14ac:dyDescent="0.25">
      <c r="A400" s="1051" t="str">
        <f>IFERROR(IF(AND(B400&gt;0,B400/1),INDEX(Заказ!$B$412:$AV$3196,MATCH(B400,Заказ!$AV$412:$AV$3196,0),1),""),"")</f>
        <v/>
      </c>
      <c r="B400" s="1056" t="str">
        <f>IFERROR(IF(B399&gt;0,SMALL(Заказ!$AV$1:$AV$3196,1+B399),""),"")</f>
        <v/>
      </c>
      <c r="C400" s="1057" t="str">
        <f>IFERROR(IF(AND(B400&gt;0,B400/1),INDEX(Заказ!$B$1:$AV$3196,MATCH(B400,Заказ!$AV$1:$AV$3196,0),3),""),"")</f>
        <v/>
      </c>
      <c r="D400" s="1058" t="str">
        <f>IFERROR(IF(AND(B400&gt;0,B400/1),INDEX(Заказ!$B$1:$AV$3196,MATCH(B400,Заказ!$AV$1:$AV$3196,0),9),""),"")</f>
        <v/>
      </c>
      <c r="E400" s="1056" t="str">
        <f>IFERROR(IF(AND(B400&gt;0,B400/1),INDEX(Заказ!$B$1:$AV$3196,MATCH(B400,Заказ!$AV$1:$AV$3196,0),5),""),"")</f>
        <v/>
      </c>
      <c r="F400" s="1056" t="str">
        <f>IFERROR(IF(AND(B400&gt;0,B400/1),INDEX(Заказ!$B$1:$AV$3196,MATCH(B400,Заказ!$AV$1:$AV$3196,0),16)/INDEX(Заказ!$B$1:$AV$3196,MATCH(B400,Заказ!$AV$1:$AV$3196,0),5),""),"")</f>
        <v/>
      </c>
      <c r="G400" s="1059" t="str">
        <f>IFERROR(IF(AND(B400&gt;0,B400/1),INDEX(Заказ!$B$1:$AV$3196,MATCH(B400,Заказ!$AV$1:$AV$3196,0),16),""),"")</f>
        <v/>
      </c>
      <c r="H400" s="1"/>
    </row>
    <row r="401" spans="1:8" x14ac:dyDescent="0.25">
      <c r="A401" s="1051" t="str">
        <f>IFERROR(IF(AND(B401&gt;0,B401/1),INDEX(Заказ!$B$412:$AV$3196,MATCH(B401,Заказ!$AV$412:$AV$3196,0),1),""),"")</f>
        <v/>
      </c>
      <c r="B401" s="1056" t="str">
        <f>IFERROR(IF(B400&gt;0,SMALL(Заказ!$AV$1:$AV$3196,1+B400),""),"")</f>
        <v/>
      </c>
      <c r="C401" s="1057" t="str">
        <f>IFERROR(IF(AND(B401&gt;0,B401/1),INDEX(Заказ!$B$1:$AV$3196,MATCH(B401,Заказ!$AV$1:$AV$3196,0),3),""),"")</f>
        <v/>
      </c>
      <c r="D401" s="1058" t="str">
        <f>IFERROR(IF(AND(B401&gt;0,B401/1),INDEX(Заказ!$B$1:$AV$3196,MATCH(B401,Заказ!$AV$1:$AV$3196,0),9),""),"")</f>
        <v/>
      </c>
      <c r="E401" s="1056" t="str">
        <f>IFERROR(IF(AND(B401&gt;0,B401/1),INDEX(Заказ!$B$1:$AV$3196,MATCH(B401,Заказ!$AV$1:$AV$3196,0),5),""),"")</f>
        <v/>
      </c>
      <c r="F401" s="1056" t="str">
        <f>IFERROR(IF(AND(B401&gt;0,B401/1),INDEX(Заказ!$B$1:$AV$3196,MATCH(B401,Заказ!$AV$1:$AV$3196,0),16)/INDEX(Заказ!$B$1:$AV$3196,MATCH(B401,Заказ!$AV$1:$AV$3196,0),5),""),"")</f>
        <v/>
      </c>
      <c r="G401" s="1059" t="str">
        <f>IFERROR(IF(AND(B401&gt;0,B401/1),INDEX(Заказ!$B$1:$AV$3196,MATCH(B401,Заказ!$AV$1:$AV$3196,0),16),""),"")</f>
        <v/>
      </c>
      <c r="H401" s="1"/>
    </row>
    <row r="402" spans="1:8" x14ac:dyDescent="0.25">
      <c r="A402" s="1051" t="str">
        <f>IFERROR(IF(AND(B402&gt;0,B402/1),INDEX(Заказ!$B$412:$AV$3196,MATCH(B402,Заказ!$AV$412:$AV$3196,0),1),""),"")</f>
        <v/>
      </c>
      <c r="B402" s="1056" t="str">
        <f>IFERROR(IF(B401&gt;0,SMALL(Заказ!$AV$1:$AV$3196,1+B401),""),"")</f>
        <v/>
      </c>
      <c r="C402" s="1057" t="str">
        <f>IFERROR(IF(AND(B402&gt;0,B402/1),INDEX(Заказ!$B$1:$AV$3196,MATCH(B402,Заказ!$AV$1:$AV$3196,0),3),""),"")</f>
        <v/>
      </c>
      <c r="D402" s="1058" t="str">
        <f>IFERROR(IF(AND(B402&gt;0,B402/1),INDEX(Заказ!$B$1:$AV$3196,MATCH(B402,Заказ!$AV$1:$AV$3196,0),9),""),"")</f>
        <v/>
      </c>
      <c r="E402" s="1056" t="str">
        <f>IFERROR(IF(AND(B402&gt;0,B402/1),INDEX(Заказ!$B$1:$AV$3196,MATCH(B402,Заказ!$AV$1:$AV$3196,0),5),""),"")</f>
        <v/>
      </c>
      <c r="F402" s="1056" t="str">
        <f>IFERROR(IF(AND(B402&gt;0,B402/1),INDEX(Заказ!$B$1:$AV$3196,MATCH(B402,Заказ!$AV$1:$AV$3196,0),16)/INDEX(Заказ!$B$1:$AV$3196,MATCH(B402,Заказ!$AV$1:$AV$3196,0),5),""),"")</f>
        <v/>
      </c>
      <c r="G402" s="1059" t="str">
        <f>IFERROR(IF(AND(B402&gt;0,B402/1),INDEX(Заказ!$B$1:$AV$3196,MATCH(B402,Заказ!$AV$1:$AV$3196,0),16),""),"")</f>
        <v/>
      </c>
      <c r="H402" s="1"/>
    </row>
    <row r="403" spans="1:8" x14ac:dyDescent="0.25">
      <c r="A403" s="1051" t="str">
        <f>IFERROR(IF(AND(B403&gt;0,B403/1),INDEX(Заказ!$B$412:$AV$3196,MATCH(B403,Заказ!$AV$412:$AV$3196,0),1),""),"")</f>
        <v/>
      </c>
      <c r="B403" s="1056" t="str">
        <f>IFERROR(IF(B402&gt;0,SMALL(Заказ!$AV$1:$AV$3196,1+B402),""),"")</f>
        <v/>
      </c>
      <c r="C403" s="1057" t="str">
        <f>IFERROR(IF(AND(B403&gt;0,B403/1),INDEX(Заказ!$B$1:$AV$3196,MATCH(B403,Заказ!$AV$1:$AV$3196,0),3),""),"")</f>
        <v/>
      </c>
      <c r="D403" s="1058" t="str">
        <f>IFERROR(IF(AND(B403&gt;0,B403/1),INDEX(Заказ!$B$1:$AV$3196,MATCH(B403,Заказ!$AV$1:$AV$3196,0),9),""),"")</f>
        <v/>
      </c>
      <c r="E403" s="1056" t="str">
        <f>IFERROR(IF(AND(B403&gt;0,B403/1),INDEX(Заказ!$B$1:$AV$3196,MATCH(B403,Заказ!$AV$1:$AV$3196,0),5),""),"")</f>
        <v/>
      </c>
      <c r="F403" s="1056" t="str">
        <f>IFERROR(IF(AND(B403&gt;0,B403/1),INDEX(Заказ!$B$1:$AV$3196,MATCH(B403,Заказ!$AV$1:$AV$3196,0),16)/INDEX(Заказ!$B$1:$AV$3196,MATCH(B403,Заказ!$AV$1:$AV$3196,0),5),""),"")</f>
        <v/>
      </c>
      <c r="G403" s="1059" t="str">
        <f>IFERROR(IF(AND(B403&gt;0,B403/1),INDEX(Заказ!$B$1:$AV$3196,MATCH(B403,Заказ!$AV$1:$AV$3196,0),16),""),"")</f>
        <v/>
      </c>
      <c r="H403" s="1"/>
    </row>
    <row r="404" spans="1:8" x14ac:dyDescent="0.25">
      <c r="A404" s="1051" t="str">
        <f>IFERROR(IF(AND(B404&gt;0,B404/1),INDEX(Заказ!$B$412:$AV$3196,MATCH(B404,Заказ!$AV$412:$AV$3196,0),1),""),"")</f>
        <v/>
      </c>
      <c r="B404" s="1056" t="str">
        <f>IFERROR(IF(B403&gt;0,SMALL(Заказ!$AV$1:$AV$3196,1+B403),""),"")</f>
        <v/>
      </c>
      <c r="C404" s="1057" t="str">
        <f>IFERROR(IF(AND(B404&gt;0,B404/1),INDEX(Заказ!$B$1:$AV$3196,MATCH(B404,Заказ!$AV$1:$AV$3196,0),3),""),"")</f>
        <v/>
      </c>
      <c r="D404" s="1058" t="str">
        <f>IFERROR(IF(AND(B404&gt;0,B404/1),INDEX(Заказ!$B$1:$AV$3196,MATCH(B404,Заказ!$AV$1:$AV$3196,0),9),""),"")</f>
        <v/>
      </c>
      <c r="E404" s="1056" t="str">
        <f>IFERROR(IF(AND(B404&gt;0,B404/1),INDEX(Заказ!$B$1:$AV$3196,MATCH(B404,Заказ!$AV$1:$AV$3196,0),5),""),"")</f>
        <v/>
      </c>
      <c r="F404" s="1056" t="str">
        <f>IFERROR(IF(AND(B404&gt;0,B404/1),INDEX(Заказ!$B$1:$AV$3196,MATCH(B404,Заказ!$AV$1:$AV$3196,0),16)/INDEX(Заказ!$B$1:$AV$3196,MATCH(B404,Заказ!$AV$1:$AV$3196,0),5),""),"")</f>
        <v/>
      </c>
      <c r="G404" s="1059" t="str">
        <f>IFERROR(IF(AND(B404&gt;0,B404/1),INDEX(Заказ!$B$1:$AV$3196,MATCH(B404,Заказ!$AV$1:$AV$3196,0),16),""),"")</f>
        <v/>
      </c>
      <c r="H404" s="1"/>
    </row>
    <row r="405" spans="1:8" x14ac:dyDescent="0.25">
      <c r="A405" s="1051" t="str">
        <f>IFERROR(IF(AND(B405&gt;0,B405/1),INDEX(Заказ!$B$412:$AV$3196,MATCH(B405,Заказ!$AV$412:$AV$3196,0),1),""),"")</f>
        <v/>
      </c>
      <c r="B405" s="1056" t="str">
        <f>IFERROR(IF(B404&gt;0,SMALL(Заказ!$AV$1:$AV$3196,1+B404),""),"")</f>
        <v/>
      </c>
      <c r="C405" s="1057" t="str">
        <f>IFERROR(IF(AND(B405&gt;0,B405/1),INDEX(Заказ!$B$1:$AV$3196,MATCH(B405,Заказ!$AV$1:$AV$3196,0),3),""),"")</f>
        <v/>
      </c>
      <c r="D405" s="1058" t="str">
        <f>IFERROR(IF(AND(B405&gt;0,B405/1),INDEX(Заказ!$B$1:$AV$3196,MATCH(B405,Заказ!$AV$1:$AV$3196,0),9),""),"")</f>
        <v/>
      </c>
      <c r="E405" s="1056" t="str">
        <f>IFERROR(IF(AND(B405&gt;0,B405/1),INDEX(Заказ!$B$1:$AV$3196,MATCH(B405,Заказ!$AV$1:$AV$3196,0),5),""),"")</f>
        <v/>
      </c>
      <c r="F405" s="1056" t="str">
        <f>IFERROR(IF(AND(B405&gt;0,B405/1),INDEX(Заказ!$B$1:$AV$3196,MATCH(B405,Заказ!$AV$1:$AV$3196,0),16)/INDEX(Заказ!$B$1:$AV$3196,MATCH(B405,Заказ!$AV$1:$AV$3196,0),5),""),"")</f>
        <v/>
      </c>
      <c r="G405" s="1059" t="str">
        <f>IFERROR(IF(AND(B405&gt;0,B405/1),INDEX(Заказ!$B$1:$AV$3196,MATCH(B405,Заказ!$AV$1:$AV$3196,0),16),""),"")</f>
        <v/>
      </c>
      <c r="H405" s="1"/>
    </row>
    <row r="406" spans="1:8" x14ac:dyDescent="0.25">
      <c r="A406" s="1051" t="str">
        <f>IFERROR(IF(AND(B406&gt;0,B406/1),INDEX(Заказ!$B$412:$AV$3196,MATCH(B406,Заказ!$AV$412:$AV$3196,0),1),""),"")</f>
        <v/>
      </c>
      <c r="B406" s="1056" t="str">
        <f>IFERROR(IF(B405&gt;0,SMALL(Заказ!$AV$1:$AV$3196,1+B405),""),"")</f>
        <v/>
      </c>
      <c r="C406" s="1057" t="str">
        <f>IFERROR(IF(AND(B406&gt;0,B406/1),INDEX(Заказ!$B$1:$AV$3196,MATCH(B406,Заказ!$AV$1:$AV$3196,0),3),""),"")</f>
        <v/>
      </c>
      <c r="D406" s="1058" t="str">
        <f>IFERROR(IF(AND(B406&gt;0,B406/1),INDEX(Заказ!$B$1:$AV$3196,MATCH(B406,Заказ!$AV$1:$AV$3196,0),9),""),"")</f>
        <v/>
      </c>
      <c r="E406" s="1056" t="str">
        <f>IFERROR(IF(AND(B406&gt;0,B406/1),INDEX(Заказ!$B$1:$AV$3196,MATCH(B406,Заказ!$AV$1:$AV$3196,0),5),""),"")</f>
        <v/>
      </c>
      <c r="F406" s="1056" t="str">
        <f>IFERROR(IF(AND(B406&gt;0,B406/1),INDEX(Заказ!$B$1:$AV$3196,MATCH(B406,Заказ!$AV$1:$AV$3196,0),16)/INDEX(Заказ!$B$1:$AV$3196,MATCH(B406,Заказ!$AV$1:$AV$3196,0),5),""),"")</f>
        <v/>
      </c>
      <c r="G406" s="1059" t="str">
        <f>IFERROR(IF(AND(B406&gt;0,B406/1),INDEX(Заказ!$B$1:$AV$3196,MATCH(B406,Заказ!$AV$1:$AV$3196,0),16),""),"")</f>
        <v/>
      </c>
      <c r="H406" s="1"/>
    </row>
    <row r="407" spans="1:8" x14ac:dyDescent="0.25">
      <c r="A407" s="1051" t="str">
        <f>IFERROR(IF(AND(B407&gt;0,B407/1),INDEX(Заказ!$B$412:$AV$3196,MATCH(B407,Заказ!$AV$412:$AV$3196,0),1),""),"")</f>
        <v/>
      </c>
      <c r="B407" s="1056" t="str">
        <f>IFERROR(IF(B406&gt;0,SMALL(Заказ!$AV$1:$AV$3196,1+B406),""),"")</f>
        <v/>
      </c>
      <c r="C407" s="1057" t="str">
        <f>IFERROR(IF(AND(B407&gt;0,B407/1),INDEX(Заказ!$B$1:$AV$3196,MATCH(B407,Заказ!$AV$1:$AV$3196,0),3),""),"")</f>
        <v/>
      </c>
      <c r="D407" s="1058" t="str">
        <f>IFERROR(IF(AND(B407&gt;0,B407/1),INDEX(Заказ!$B$1:$AV$3196,MATCH(B407,Заказ!$AV$1:$AV$3196,0),9),""),"")</f>
        <v/>
      </c>
      <c r="E407" s="1056" t="str">
        <f>IFERROR(IF(AND(B407&gt;0,B407/1),INDEX(Заказ!$B$1:$AV$3196,MATCH(B407,Заказ!$AV$1:$AV$3196,0),5),""),"")</f>
        <v/>
      </c>
      <c r="F407" s="1056" t="str">
        <f>IFERROR(IF(AND(B407&gt;0,B407/1),INDEX(Заказ!$B$1:$AV$3196,MATCH(B407,Заказ!$AV$1:$AV$3196,0),16)/INDEX(Заказ!$B$1:$AV$3196,MATCH(B407,Заказ!$AV$1:$AV$3196,0),5),""),"")</f>
        <v/>
      </c>
      <c r="G407" s="1059" t="str">
        <f>IFERROR(IF(AND(B407&gt;0,B407/1),INDEX(Заказ!$B$1:$AV$3196,MATCH(B407,Заказ!$AV$1:$AV$3196,0),16),""),"")</f>
        <v/>
      </c>
      <c r="H407" s="1"/>
    </row>
    <row r="408" spans="1:8" x14ac:dyDescent="0.25">
      <c r="A408" s="1051" t="str">
        <f>IFERROR(IF(AND(B408&gt;0,B408/1),INDEX(Заказ!$B$412:$AV$3196,MATCH(B408,Заказ!$AV$412:$AV$3196,0),1),""),"")</f>
        <v/>
      </c>
      <c r="B408" s="1056" t="str">
        <f>IFERROR(IF(B407&gt;0,SMALL(Заказ!$AV$1:$AV$3196,1+B407),""),"")</f>
        <v/>
      </c>
      <c r="C408" s="1057" t="str">
        <f>IFERROR(IF(AND(B408&gt;0,B408/1),INDEX(Заказ!$B$1:$AV$3196,MATCH(B408,Заказ!$AV$1:$AV$3196,0),3),""),"")</f>
        <v/>
      </c>
      <c r="D408" s="1058" t="str">
        <f>IFERROR(IF(AND(B408&gt;0,B408/1),INDEX(Заказ!$B$1:$AV$3196,MATCH(B408,Заказ!$AV$1:$AV$3196,0),9),""),"")</f>
        <v/>
      </c>
      <c r="E408" s="1056" t="str">
        <f>IFERROR(IF(AND(B408&gt;0,B408/1),INDEX(Заказ!$B$1:$AV$3196,MATCH(B408,Заказ!$AV$1:$AV$3196,0),5),""),"")</f>
        <v/>
      </c>
      <c r="F408" s="1056" t="str">
        <f>IFERROR(IF(AND(B408&gt;0,B408/1),INDEX(Заказ!$B$1:$AV$3196,MATCH(B408,Заказ!$AV$1:$AV$3196,0),16)/INDEX(Заказ!$B$1:$AV$3196,MATCH(B408,Заказ!$AV$1:$AV$3196,0),5),""),"")</f>
        <v/>
      </c>
      <c r="G408" s="1059" t="str">
        <f>IFERROR(IF(AND(B408&gt;0,B408/1),INDEX(Заказ!$B$1:$AV$3196,MATCH(B408,Заказ!$AV$1:$AV$3196,0),16),""),"")</f>
        <v/>
      </c>
      <c r="H408" s="1"/>
    </row>
    <row r="409" spans="1:8" x14ac:dyDescent="0.25">
      <c r="A409" s="1051" t="str">
        <f>IFERROR(IF(AND(B409&gt;0,B409/1),INDEX(Заказ!$B$412:$AV$3196,MATCH(B409,Заказ!$AV$412:$AV$3196,0),1),""),"")</f>
        <v/>
      </c>
      <c r="B409" s="1056" t="str">
        <f>IFERROR(IF(B408&gt;0,SMALL(Заказ!$AV$1:$AV$3196,1+B408),""),"")</f>
        <v/>
      </c>
      <c r="C409" s="1057" t="str">
        <f>IFERROR(IF(AND(B409&gt;0,B409/1),INDEX(Заказ!$B$1:$AV$3196,MATCH(B409,Заказ!$AV$1:$AV$3196,0),3),""),"")</f>
        <v/>
      </c>
      <c r="D409" s="1058" t="str">
        <f>IFERROR(IF(AND(B409&gt;0,B409/1),INDEX(Заказ!$B$1:$AV$3196,MATCH(B409,Заказ!$AV$1:$AV$3196,0),9),""),"")</f>
        <v/>
      </c>
      <c r="E409" s="1056" t="str">
        <f>IFERROR(IF(AND(B409&gt;0,B409/1),INDEX(Заказ!$B$1:$AV$3196,MATCH(B409,Заказ!$AV$1:$AV$3196,0),5),""),"")</f>
        <v/>
      </c>
      <c r="F409" s="1056" t="str">
        <f>IFERROR(IF(AND(B409&gt;0,B409/1),INDEX(Заказ!$B$1:$AV$3196,MATCH(B409,Заказ!$AV$1:$AV$3196,0),16)/INDEX(Заказ!$B$1:$AV$3196,MATCH(B409,Заказ!$AV$1:$AV$3196,0),5),""),"")</f>
        <v/>
      </c>
      <c r="G409" s="1059" t="str">
        <f>IFERROR(IF(AND(B409&gt;0,B409/1),INDEX(Заказ!$B$1:$AV$3196,MATCH(B409,Заказ!$AV$1:$AV$3196,0),16),""),"")</f>
        <v/>
      </c>
      <c r="H409" s="1"/>
    </row>
    <row r="410" spans="1:8" x14ac:dyDescent="0.25">
      <c r="A410" s="1051" t="str">
        <f>IFERROR(IF(AND(B410&gt;0,B410/1),INDEX(Заказ!$B$412:$AV$3196,MATCH(B410,Заказ!$AV$412:$AV$3196,0),1),""),"")</f>
        <v/>
      </c>
      <c r="B410" s="1056" t="str">
        <f>IFERROR(IF(B409&gt;0,SMALL(Заказ!$AV$1:$AV$3196,1+B409),""),"")</f>
        <v/>
      </c>
      <c r="C410" s="1057" t="str">
        <f>IFERROR(IF(AND(B410&gt;0,B410/1),INDEX(Заказ!$B$1:$AV$3196,MATCH(B410,Заказ!$AV$1:$AV$3196,0),3),""),"")</f>
        <v/>
      </c>
      <c r="D410" s="1058" t="str">
        <f>IFERROR(IF(AND(B410&gt;0,B410/1),INDEX(Заказ!$B$1:$AV$3196,MATCH(B410,Заказ!$AV$1:$AV$3196,0),9),""),"")</f>
        <v/>
      </c>
      <c r="E410" s="1056" t="str">
        <f>IFERROR(IF(AND(B410&gt;0,B410/1),INDEX(Заказ!$B$1:$AV$3196,MATCH(B410,Заказ!$AV$1:$AV$3196,0),5),""),"")</f>
        <v/>
      </c>
      <c r="F410" s="1056" t="str">
        <f>IFERROR(IF(AND(B410&gt;0,B410/1),INDEX(Заказ!$B$1:$AV$3196,MATCH(B410,Заказ!$AV$1:$AV$3196,0),16)/INDEX(Заказ!$B$1:$AV$3196,MATCH(B410,Заказ!$AV$1:$AV$3196,0),5),""),"")</f>
        <v/>
      </c>
      <c r="G410" s="1059" t="str">
        <f>IFERROR(IF(AND(B410&gt;0,B410/1),INDEX(Заказ!$B$1:$AV$3196,MATCH(B410,Заказ!$AV$1:$AV$3196,0),16),""),"")</f>
        <v/>
      </c>
      <c r="H410" s="1"/>
    </row>
    <row r="411" spans="1:8" x14ac:dyDescent="0.25">
      <c r="A411" s="1051" t="str">
        <f>IFERROR(IF(AND(B411&gt;0,B411/1),INDEX(Заказ!$B$412:$AV$3196,MATCH(B411,Заказ!$AV$412:$AV$3196,0),1),""),"")</f>
        <v/>
      </c>
      <c r="B411" s="1056" t="str">
        <f>IFERROR(IF(B410&gt;0,SMALL(Заказ!$AV$1:$AV$3196,1+B410),""),"")</f>
        <v/>
      </c>
      <c r="C411" s="1057" t="str">
        <f>IFERROR(IF(AND(B411&gt;0,B411/1),INDEX(Заказ!$B$1:$AV$3196,MATCH(B411,Заказ!$AV$1:$AV$3196,0),3),""),"")</f>
        <v/>
      </c>
      <c r="D411" s="1058" t="str">
        <f>IFERROR(IF(AND(B411&gt;0,B411/1),INDEX(Заказ!$B$1:$AV$3196,MATCH(B411,Заказ!$AV$1:$AV$3196,0),9),""),"")</f>
        <v/>
      </c>
      <c r="E411" s="1056" t="str">
        <f>IFERROR(IF(AND(B411&gt;0,B411/1),INDEX(Заказ!$B$1:$AV$3196,MATCH(B411,Заказ!$AV$1:$AV$3196,0),5),""),"")</f>
        <v/>
      </c>
      <c r="F411" s="1056" t="str">
        <f>IFERROR(IF(AND(B411&gt;0,B411/1),INDEX(Заказ!$B$1:$AV$3196,MATCH(B411,Заказ!$AV$1:$AV$3196,0),16)/INDEX(Заказ!$B$1:$AV$3196,MATCH(B411,Заказ!$AV$1:$AV$3196,0),5),""),"")</f>
        <v/>
      </c>
      <c r="G411" s="1059" t="str">
        <f>IFERROR(IF(AND(B411&gt;0,B411/1),INDEX(Заказ!$B$1:$AV$3196,MATCH(B411,Заказ!$AV$1:$AV$3196,0),16),""),"")</f>
        <v/>
      </c>
      <c r="H411" s="1"/>
    </row>
    <row r="412" spans="1:8" x14ac:dyDescent="0.25">
      <c r="A412" s="1051" t="str">
        <f>IFERROR(IF(AND(B412&gt;0,B412/1),INDEX(Заказ!$B$412:$AV$3196,MATCH(B412,Заказ!$AV$412:$AV$3196,0),1),""),"")</f>
        <v/>
      </c>
      <c r="B412" s="1056" t="str">
        <f>IFERROR(IF(B411&gt;0,SMALL(Заказ!$AV$1:$AV$3196,1+B411),""),"")</f>
        <v/>
      </c>
      <c r="C412" s="1057" t="str">
        <f>IFERROR(IF(AND(B412&gt;0,B412/1),INDEX(Заказ!$B$1:$AV$3196,MATCH(B412,Заказ!$AV$1:$AV$3196,0),3),""),"")</f>
        <v/>
      </c>
      <c r="D412" s="1058" t="str">
        <f>IFERROR(IF(AND(B412&gt;0,B412/1),INDEX(Заказ!$B$1:$AV$3196,MATCH(B412,Заказ!$AV$1:$AV$3196,0),9),""),"")</f>
        <v/>
      </c>
      <c r="E412" s="1056" t="str">
        <f>IFERROR(IF(AND(B412&gt;0,B412/1),INDEX(Заказ!$B$1:$AV$3196,MATCH(B412,Заказ!$AV$1:$AV$3196,0),5),""),"")</f>
        <v/>
      </c>
      <c r="F412" s="1056" t="str">
        <f>IFERROR(IF(AND(B412&gt;0,B412/1),INDEX(Заказ!$B$1:$AV$3196,MATCH(B412,Заказ!$AV$1:$AV$3196,0),16)/INDEX(Заказ!$B$1:$AV$3196,MATCH(B412,Заказ!$AV$1:$AV$3196,0),5),""),"")</f>
        <v/>
      </c>
      <c r="G412" s="1059" t="str">
        <f>IFERROR(IF(AND(B412&gt;0,B412/1),INDEX(Заказ!$B$1:$AV$3196,MATCH(B412,Заказ!$AV$1:$AV$3196,0),16),""),"")</f>
        <v/>
      </c>
      <c r="H412" s="1"/>
    </row>
    <row r="413" spans="1:8" x14ac:dyDescent="0.25">
      <c r="A413" s="1051" t="str">
        <f>IFERROR(IF(AND(B413&gt;0,B413/1),INDEX(Заказ!$B$412:$AV$3196,MATCH(B413,Заказ!$AV$412:$AV$3196,0),1),""),"")</f>
        <v/>
      </c>
      <c r="B413" s="1056" t="str">
        <f>IFERROR(IF(B412&gt;0,SMALL(Заказ!$AV$1:$AV$3196,1+B412),""),"")</f>
        <v/>
      </c>
      <c r="C413" s="1057" t="str">
        <f>IFERROR(IF(AND(B413&gt;0,B413/1),INDEX(Заказ!$B$1:$AV$3196,MATCH(B413,Заказ!$AV$1:$AV$3196,0),3),""),"")</f>
        <v/>
      </c>
      <c r="D413" s="1058" t="str">
        <f>IFERROR(IF(AND(B413&gt;0,B413/1),INDEX(Заказ!$B$1:$AV$3196,MATCH(B413,Заказ!$AV$1:$AV$3196,0),9),""),"")</f>
        <v/>
      </c>
      <c r="E413" s="1056" t="str">
        <f>IFERROR(IF(AND(B413&gt;0,B413/1),INDEX(Заказ!$B$1:$AV$3196,MATCH(B413,Заказ!$AV$1:$AV$3196,0),5),""),"")</f>
        <v/>
      </c>
      <c r="F413" s="1056" t="str">
        <f>IFERROR(IF(AND(B413&gt;0,B413/1),INDEX(Заказ!$B$1:$AV$3196,MATCH(B413,Заказ!$AV$1:$AV$3196,0),16)/INDEX(Заказ!$B$1:$AV$3196,MATCH(B413,Заказ!$AV$1:$AV$3196,0),5),""),"")</f>
        <v/>
      </c>
      <c r="G413" s="1059" t="str">
        <f>IFERROR(IF(AND(B413&gt;0,B413/1),INDEX(Заказ!$B$1:$AV$3196,MATCH(B413,Заказ!$AV$1:$AV$3196,0),16),""),"")</f>
        <v/>
      </c>
      <c r="H413" s="1"/>
    </row>
    <row r="414" spans="1:8" x14ac:dyDescent="0.25">
      <c r="A414" s="1051" t="str">
        <f>IFERROR(IF(AND(B414&gt;0,B414/1),INDEX(Заказ!$B$412:$AV$3196,MATCH(B414,Заказ!$AV$412:$AV$3196,0),1),""),"")</f>
        <v/>
      </c>
      <c r="B414" s="1056" t="str">
        <f>IFERROR(IF(B413&gt;0,SMALL(Заказ!$AV$1:$AV$3196,1+B413),""),"")</f>
        <v/>
      </c>
      <c r="C414" s="1057" t="str">
        <f>IFERROR(IF(AND(B414&gt;0,B414/1),INDEX(Заказ!$B$1:$AV$3196,MATCH(B414,Заказ!$AV$1:$AV$3196,0),3),""),"")</f>
        <v/>
      </c>
      <c r="D414" s="1058" t="str">
        <f>IFERROR(IF(AND(B414&gt;0,B414/1),INDEX(Заказ!$B$1:$AV$3196,MATCH(B414,Заказ!$AV$1:$AV$3196,0),9),""),"")</f>
        <v/>
      </c>
      <c r="E414" s="1056" t="str">
        <f>IFERROR(IF(AND(B414&gt;0,B414/1),INDEX(Заказ!$B$1:$AV$3196,MATCH(B414,Заказ!$AV$1:$AV$3196,0),5),""),"")</f>
        <v/>
      </c>
      <c r="F414" s="1056" t="str">
        <f>IFERROR(IF(AND(B414&gt;0,B414/1),INDEX(Заказ!$B$1:$AV$3196,MATCH(B414,Заказ!$AV$1:$AV$3196,0),16)/INDEX(Заказ!$B$1:$AV$3196,MATCH(B414,Заказ!$AV$1:$AV$3196,0),5),""),"")</f>
        <v/>
      </c>
      <c r="G414" s="1059" t="str">
        <f>IFERROR(IF(AND(B414&gt;0,B414/1),INDEX(Заказ!$B$1:$AV$3196,MATCH(B414,Заказ!$AV$1:$AV$3196,0),16),""),"")</f>
        <v/>
      </c>
      <c r="H414" s="1"/>
    </row>
    <row r="415" spans="1:8" x14ac:dyDescent="0.25">
      <c r="A415" s="1051" t="str">
        <f>IFERROR(IF(AND(B415&gt;0,B415/1),INDEX(Заказ!$B$412:$AV$3196,MATCH(B415,Заказ!$AV$412:$AV$3196,0),1),""),"")</f>
        <v/>
      </c>
      <c r="B415" s="1056" t="str">
        <f>IFERROR(IF(B414&gt;0,SMALL(Заказ!$AV$1:$AV$3196,1+B414),""),"")</f>
        <v/>
      </c>
      <c r="C415" s="1057" t="str">
        <f>IFERROR(IF(AND(B415&gt;0,B415/1),INDEX(Заказ!$B$1:$AV$3196,MATCH(B415,Заказ!$AV$1:$AV$3196,0),3),""),"")</f>
        <v/>
      </c>
      <c r="D415" s="1058" t="str">
        <f>IFERROR(IF(AND(B415&gt;0,B415/1),INDEX(Заказ!$B$1:$AV$3196,MATCH(B415,Заказ!$AV$1:$AV$3196,0),9),""),"")</f>
        <v/>
      </c>
      <c r="E415" s="1056" t="str">
        <f>IFERROR(IF(AND(B415&gt;0,B415/1),INDEX(Заказ!$B$1:$AV$3196,MATCH(B415,Заказ!$AV$1:$AV$3196,0),5),""),"")</f>
        <v/>
      </c>
      <c r="F415" s="1056" t="str">
        <f>IFERROR(IF(AND(B415&gt;0,B415/1),INDEX(Заказ!$B$1:$AV$3196,MATCH(B415,Заказ!$AV$1:$AV$3196,0),16)/INDEX(Заказ!$B$1:$AV$3196,MATCH(B415,Заказ!$AV$1:$AV$3196,0),5),""),"")</f>
        <v/>
      </c>
      <c r="G415" s="1059" t="str">
        <f>IFERROR(IF(AND(B415&gt;0,B415/1),INDEX(Заказ!$B$1:$AV$3196,MATCH(B415,Заказ!$AV$1:$AV$3196,0),16),""),"")</f>
        <v/>
      </c>
      <c r="H415" s="1"/>
    </row>
    <row r="416" spans="1:8" x14ac:dyDescent="0.25">
      <c r="A416" s="1051" t="str">
        <f>IFERROR(IF(AND(B416&gt;0,B416/1),INDEX(Заказ!$B$412:$AV$3196,MATCH(B416,Заказ!$AV$412:$AV$3196,0),1),""),"")</f>
        <v/>
      </c>
      <c r="B416" s="1056" t="str">
        <f>IFERROR(IF(B415&gt;0,SMALL(Заказ!$AV$1:$AV$3196,1+B415),""),"")</f>
        <v/>
      </c>
      <c r="C416" s="1057" t="str">
        <f>IFERROR(IF(AND(B416&gt;0,B416/1),INDEX(Заказ!$B$1:$AV$3196,MATCH(B416,Заказ!$AV$1:$AV$3196,0),3),""),"")</f>
        <v/>
      </c>
      <c r="D416" s="1058" t="str">
        <f>IFERROR(IF(AND(B416&gt;0,B416/1),INDEX(Заказ!$B$1:$AV$3196,MATCH(B416,Заказ!$AV$1:$AV$3196,0),9),""),"")</f>
        <v/>
      </c>
      <c r="E416" s="1056" t="str">
        <f>IFERROR(IF(AND(B416&gt;0,B416/1),INDEX(Заказ!$B$1:$AV$3196,MATCH(B416,Заказ!$AV$1:$AV$3196,0),5),""),"")</f>
        <v/>
      </c>
      <c r="F416" s="1056" t="str">
        <f>IFERROR(IF(AND(B416&gt;0,B416/1),INDEX(Заказ!$B$1:$AV$3196,MATCH(B416,Заказ!$AV$1:$AV$3196,0),16)/INDEX(Заказ!$B$1:$AV$3196,MATCH(B416,Заказ!$AV$1:$AV$3196,0),5),""),"")</f>
        <v/>
      </c>
      <c r="G416" s="1059" t="str">
        <f>IFERROR(IF(AND(B416&gt;0,B416/1),INDEX(Заказ!$B$1:$AV$3196,MATCH(B416,Заказ!$AV$1:$AV$3196,0),16),""),"")</f>
        <v/>
      </c>
      <c r="H416" s="1"/>
    </row>
    <row r="417" spans="1:8" x14ac:dyDescent="0.25">
      <c r="A417" s="1051" t="str">
        <f>IFERROR(IF(AND(B417&gt;0,B417/1),INDEX(Заказ!$B$412:$AV$3196,MATCH(B417,Заказ!$AV$412:$AV$3196,0),1),""),"")</f>
        <v/>
      </c>
      <c r="B417" s="1056" t="str">
        <f>IFERROR(IF(B416&gt;0,SMALL(Заказ!$AV$1:$AV$3196,1+B416),""),"")</f>
        <v/>
      </c>
      <c r="C417" s="1057" t="str">
        <f>IFERROR(IF(AND(B417&gt;0,B417/1),INDEX(Заказ!$B$1:$AV$3196,MATCH(B417,Заказ!$AV$1:$AV$3196,0),3),""),"")</f>
        <v/>
      </c>
      <c r="D417" s="1058" t="str">
        <f>IFERROR(IF(AND(B417&gt;0,B417/1),INDEX(Заказ!$B$1:$AV$3196,MATCH(B417,Заказ!$AV$1:$AV$3196,0),9),""),"")</f>
        <v/>
      </c>
      <c r="E417" s="1056" t="str">
        <f>IFERROR(IF(AND(B417&gt;0,B417/1),INDEX(Заказ!$B$1:$AV$3196,MATCH(B417,Заказ!$AV$1:$AV$3196,0),5),""),"")</f>
        <v/>
      </c>
      <c r="F417" s="1056" t="str">
        <f>IFERROR(IF(AND(B417&gt;0,B417/1),INDEX(Заказ!$B$1:$AV$3196,MATCH(B417,Заказ!$AV$1:$AV$3196,0),16)/INDEX(Заказ!$B$1:$AV$3196,MATCH(B417,Заказ!$AV$1:$AV$3196,0),5),""),"")</f>
        <v/>
      </c>
      <c r="G417" s="1059" t="str">
        <f>IFERROR(IF(AND(B417&gt;0,B417/1),INDEX(Заказ!$B$1:$AV$3196,MATCH(B417,Заказ!$AV$1:$AV$3196,0),16),""),"")</f>
        <v/>
      </c>
      <c r="H417" s="1"/>
    </row>
    <row r="418" spans="1:8" x14ac:dyDescent="0.25">
      <c r="A418" s="1051" t="str">
        <f>IFERROR(IF(AND(B418&gt;0,B418/1),INDEX(Заказ!$B$412:$AV$3196,MATCH(B418,Заказ!$AV$412:$AV$3196,0),1),""),"")</f>
        <v/>
      </c>
      <c r="B418" s="1056" t="str">
        <f>IFERROR(IF(B417&gt;0,SMALL(Заказ!$AV$1:$AV$3196,1+B417),""),"")</f>
        <v/>
      </c>
      <c r="C418" s="1057" t="str">
        <f>IFERROR(IF(AND(B418&gt;0,B418/1),INDEX(Заказ!$B$1:$AV$3196,MATCH(B418,Заказ!$AV$1:$AV$3196,0),3),""),"")</f>
        <v/>
      </c>
      <c r="D418" s="1058" t="str">
        <f>IFERROR(IF(AND(B418&gt;0,B418/1),INDEX(Заказ!$B$1:$AV$3196,MATCH(B418,Заказ!$AV$1:$AV$3196,0),9),""),"")</f>
        <v/>
      </c>
      <c r="E418" s="1056" t="str">
        <f>IFERROR(IF(AND(B418&gt;0,B418/1),INDEX(Заказ!$B$1:$AV$3196,MATCH(B418,Заказ!$AV$1:$AV$3196,0),5),""),"")</f>
        <v/>
      </c>
      <c r="F418" s="1056" t="str">
        <f>IFERROR(IF(AND(B418&gt;0,B418/1),INDEX(Заказ!$B$1:$AV$3196,MATCH(B418,Заказ!$AV$1:$AV$3196,0),16)/INDEX(Заказ!$B$1:$AV$3196,MATCH(B418,Заказ!$AV$1:$AV$3196,0),5),""),"")</f>
        <v/>
      </c>
      <c r="G418" s="1059" t="str">
        <f>IFERROR(IF(AND(B418&gt;0,B418/1),INDEX(Заказ!$B$1:$AV$3196,MATCH(B418,Заказ!$AV$1:$AV$3196,0),16),""),"")</f>
        <v/>
      </c>
      <c r="H418" s="1"/>
    </row>
    <row r="419" spans="1:8" x14ac:dyDescent="0.25">
      <c r="A419" s="1051" t="str">
        <f>IFERROR(IF(AND(B419&gt;0,B419/1),INDEX(Заказ!$B$412:$AV$3196,MATCH(B419,Заказ!$AV$412:$AV$3196,0),1),""),"")</f>
        <v/>
      </c>
      <c r="B419" s="1056" t="str">
        <f>IFERROR(IF(B418&gt;0,SMALL(Заказ!$AV$1:$AV$3196,1+B418),""),"")</f>
        <v/>
      </c>
      <c r="C419" s="1057" t="str">
        <f>IFERROR(IF(AND(B419&gt;0,B419/1),INDEX(Заказ!$B$1:$AV$3196,MATCH(B419,Заказ!$AV$1:$AV$3196,0),3),""),"")</f>
        <v/>
      </c>
      <c r="D419" s="1058" t="str">
        <f>IFERROR(IF(AND(B419&gt;0,B419/1),INDEX(Заказ!$B$1:$AV$3196,MATCH(B419,Заказ!$AV$1:$AV$3196,0),9),""),"")</f>
        <v/>
      </c>
      <c r="E419" s="1056" t="str">
        <f>IFERROR(IF(AND(B419&gt;0,B419/1),INDEX(Заказ!$B$1:$AV$3196,MATCH(B419,Заказ!$AV$1:$AV$3196,0),5),""),"")</f>
        <v/>
      </c>
      <c r="F419" s="1056" t="str">
        <f>IFERROR(IF(AND(B419&gt;0,B419/1),INDEX(Заказ!$B$1:$AV$3196,MATCH(B419,Заказ!$AV$1:$AV$3196,0),16)/INDEX(Заказ!$B$1:$AV$3196,MATCH(B419,Заказ!$AV$1:$AV$3196,0),5),""),"")</f>
        <v/>
      </c>
      <c r="G419" s="1059" t="str">
        <f>IFERROR(IF(AND(B419&gt;0,B419/1),INDEX(Заказ!$B$1:$AV$3196,MATCH(B419,Заказ!$AV$1:$AV$3196,0),16),""),"")</f>
        <v/>
      </c>
      <c r="H419" s="1"/>
    </row>
    <row r="420" spans="1:8" x14ac:dyDescent="0.25">
      <c r="A420" s="1051" t="str">
        <f>IFERROR(IF(AND(B420&gt;0,B420/1),INDEX(Заказ!$B$412:$AV$3196,MATCH(B420,Заказ!$AV$412:$AV$3196,0),1),""),"")</f>
        <v/>
      </c>
      <c r="B420" s="1056" t="str">
        <f>IFERROR(IF(B419&gt;0,SMALL(Заказ!$AV$1:$AV$3196,1+B419),""),"")</f>
        <v/>
      </c>
      <c r="C420" s="1057" t="str">
        <f>IFERROR(IF(AND(B420&gt;0,B420/1),INDEX(Заказ!$B$1:$AV$3196,MATCH(B420,Заказ!$AV$1:$AV$3196,0),3),""),"")</f>
        <v/>
      </c>
      <c r="D420" s="1058" t="str">
        <f>IFERROR(IF(AND(B420&gt;0,B420/1),INDEX(Заказ!$B$1:$AV$3196,MATCH(B420,Заказ!$AV$1:$AV$3196,0),9),""),"")</f>
        <v/>
      </c>
      <c r="E420" s="1056" t="str">
        <f>IFERROR(IF(AND(B420&gt;0,B420/1),INDEX(Заказ!$B$1:$AV$3196,MATCH(B420,Заказ!$AV$1:$AV$3196,0),5),""),"")</f>
        <v/>
      </c>
      <c r="F420" s="1056" t="str">
        <f>IFERROR(IF(AND(B420&gt;0,B420/1),INDEX(Заказ!$B$1:$AV$3196,MATCH(B420,Заказ!$AV$1:$AV$3196,0),16)/INDEX(Заказ!$B$1:$AV$3196,MATCH(B420,Заказ!$AV$1:$AV$3196,0),5),""),"")</f>
        <v/>
      </c>
      <c r="G420" s="1059" t="str">
        <f>IFERROR(IF(AND(B420&gt;0,B420/1),INDEX(Заказ!$B$1:$AV$3196,MATCH(B420,Заказ!$AV$1:$AV$3196,0),16),""),"")</f>
        <v/>
      </c>
      <c r="H420" s="1"/>
    </row>
    <row r="421" spans="1:8" x14ac:dyDescent="0.25">
      <c r="A421" s="1051" t="str">
        <f>IFERROR(IF(AND(B421&gt;0,B421/1),INDEX(Заказ!$B$412:$AV$3196,MATCH(B421,Заказ!$AV$412:$AV$3196,0),1),""),"")</f>
        <v/>
      </c>
      <c r="B421" s="1056" t="str">
        <f>IFERROR(IF(B420&gt;0,SMALL(Заказ!$AV$1:$AV$3196,1+B420),""),"")</f>
        <v/>
      </c>
      <c r="C421" s="1057" t="str">
        <f>IFERROR(IF(AND(B421&gt;0,B421/1),INDEX(Заказ!$B$1:$AV$3196,MATCH(B421,Заказ!$AV$1:$AV$3196,0),3),""),"")</f>
        <v/>
      </c>
      <c r="D421" s="1058" t="str">
        <f>IFERROR(IF(AND(B421&gt;0,B421/1),INDEX(Заказ!$B$1:$AV$3196,MATCH(B421,Заказ!$AV$1:$AV$3196,0),9),""),"")</f>
        <v/>
      </c>
      <c r="E421" s="1056" t="str">
        <f>IFERROR(IF(AND(B421&gt;0,B421/1),INDEX(Заказ!$B$1:$AV$3196,MATCH(B421,Заказ!$AV$1:$AV$3196,0),5),""),"")</f>
        <v/>
      </c>
      <c r="F421" s="1056" t="str">
        <f>IFERROR(IF(AND(B421&gt;0,B421/1),INDEX(Заказ!$B$1:$AV$3196,MATCH(B421,Заказ!$AV$1:$AV$3196,0),16)/INDEX(Заказ!$B$1:$AV$3196,MATCH(B421,Заказ!$AV$1:$AV$3196,0),5),""),"")</f>
        <v/>
      </c>
      <c r="G421" s="1059" t="str">
        <f>IFERROR(IF(AND(B421&gt;0,B421/1),INDEX(Заказ!$B$1:$AV$3196,MATCH(B421,Заказ!$AV$1:$AV$3196,0),16),""),"")</f>
        <v/>
      </c>
      <c r="H421" s="1"/>
    </row>
    <row r="422" spans="1:8" x14ac:dyDescent="0.25">
      <c r="A422" s="1051" t="str">
        <f>IFERROR(IF(AND(B422&gt;0,B422/1),INDEX(Заказ!$B$412:$AV$3196,MATCH(B422,Заказ!$AV$412:$AV$3196,0),1),""),"")</f>
        <v/>
      </c>
      <c r="B422" s="1056" t="str">
        <f>IFERROR(IF(B421&gt;0,SMALL(Заказ!$AV$1:$AV$3196,1+B421),""),"")</f>
        <v/>
      </c>
      <c r="C422" s="1057" t="str">
        <f>IFERROR(IF(AND(B422&gt;0,B422/1),INDEX(Заказ!$B$1:$AV$3196,MATCH(B422,Заказ!$AV$1:$AV$3196,0),3),""),"")</f>
        <v/>
      </c>
      <c r="D422" s="1058" t="str">
        <f>IFERROR(IF(AND(B422&gt;0,B422/1),INDEX(Заказ!$B$1:$AV$3196,MATCH(B422,Заказ!$AV$1:$AV$3196,0),9),""),"")</f>
        <v/>
      </c>
      <c r="E422" s="1056" t="str">
        <f>IFERROR(IF(AND(B422&gt;0,B422/1),INDEX(Заказ!$B$1:$AV$3196,MATCH(B422,Заказ!$AV$1:$AV$3196,0),5),""),"")</f>
        <v/>
      </c>
      <c r="F422" s="1056" t="str">
        <f>IFERROR(IF(AND(B422&gt;0,B422/1),INDEX(Заказ!$B$1:$AV$3196,MATCH(B422,Заказ!$AV$1:$AV$3196,0),16)/INDEX(Заказ!$B$1:$AV$3196,MATCH(B422,Заказ!$AV$1:$AV$3196,0),5),""),"")</f>
        <v/>
      </c>
      <c r="G422" s="1059" t="str">
        <f>IFERROR(IF(AND(B422&gt;0,B422/1),INDEX(Заказ!$B$1:$AV$3196,MATCH(B422,Заказ!$AV$1:$AV$3196,0),16),""),"")</f>
        <v/>
      </c>
      <c r="H422" s="1"/>
    </row>
    <row r="423" spans="1:8" x14ac:dyDescent="0.25">
      <c r="A423" s="1051" t="str">
        <f>IFERROR(IF(AND(B423&gt;0,B423/1),INDEX(Заказ!$B$412:$AV$3196,MATCH(B423,Заказ!$AV$412:$AV$3196,0),1),""),"")</f>
        <v/>
      </c>
      <c r="B423" s="1056" t="str">
        <f>IFERROR(IF(B422&gt;0,SMALL(Заказ!$AV$1:$AV$3196,1+B422),""),"")</f>
        <v/>
      </c>
      <c r="C423" s="1057" t="str">
        <f>IFERROR(IF(AND(B423&gt;0,B423/1),INDEX(Заказ!$B$1:$AV$3196,MATCH(B423,Заказ!$AV$1:$AV$3196,0),3),""),"")</f>
        <v/>
      </c>
      <c r="D423" s="1058" t="str">
        <f>IFERROR(IF(AND(B423&gt;0,B423/1),INDEX(Заказ!$B$1:$AV$3196,MATCH(B423,Заказ!$AV$1:$AV$3196,0),9),""),"")</f>
        <v/>
      </c>
      <c r="E423" s="1056" t="str">
        <f>IFERROR(IF(AND(B423&gt;0,B423/1),INDEX(Заказ!$B$1:$AV$3196,MATCH(B423,Заказ!$AV$1:$AV$3196,0),5),""),"")</f>
        <v/>
      </c>
      <c r="F423" s="1056" t="str">
        <f>IFERROR(IF(AND(B423&gt;0,B423/1),INDEX(Заказ!$B$1:$AV$3196,MATCH(B423,Заказ!$AV$1:$AV$3196,0),16)/INDEX(Заказ!$B$1:$AV$3196,MATCH(B423,Заказ!$AV$1:$AV$3196,0),5),""),"")</f>
        <v/>
      </c>
      <c r="G423" s="1059" t="str">
        <f>IFERROR(IF(AND(B423&gt;0,B423/1),INDEX(Заказ!$B$1:$AV$3196,MATCH(B423,Заказ!$AV$1:$AV$3196,0),16),""),"")</f>
        <v/>
      </c>
      <c r="H423" s="1"/>
    </row>
    <row r="424" spans="1:8" x14ac:dyDescent="0.25">
      <c r="A424" s="1051" t="str">
        <f>IFERROR(IF(AND(B424&gt;0,B424/1),INDEX(Заказ!$B$412:$AV$3196,MATCH(B424,Заказ!$AV$412:$AV$3196,0),1),""),"")</f>
        <v/>
      </c>
      <c r="B424" s="1056" t="str">
        <f>IFERROR(IF(B423&gt;0,SMALL(Заказ!$AV$1:$AV$3196,1+B423),""),"")</f>
        <v/>
      </c>
      <c r="C424" s="1057" t="str">
        <f>IFERROR(IF(AND(B424&gt;0,B424/1),INDEX(Заказ!$B$1:$AV$3196,MATCH(B424,Заказ!$AV$1:$AV$3196,0),3),""),"")</f>
        <v/>
      </c>
      <c r="D424" s="1058" t="str">
        <f>IFERROR(IF(AND(B424&gt;0,B424/1),INDEX(Заказ!$B$1:$AV$3196,MATCH(B424,Заказ!$AV$1:$AV$3196,0),9),""),"")</f>
        <v/>
      </c>
      <c r="E424" s="1056" t="str">
        <f>IFERROR(IF(AND(B424&gt;0,B424/1),INDEX(Заказ!$B$1:$AV$3196,MATCH(B424,Заказ!$AV$1:$AV$3196,0),5),""),"")</f>
        <v/>
      </c>
      <c r="F424" s="1056" t="str">
        <f>IFERROR(IF(AND(B424&gt;0,B424/1),INDEX(Заказ!$B$1:$AV$3196,MATCH(B424,Заказ!$AV$1:$AV$3196,0),16)/INDEX(Заказ!$B$1:$AV$3196,MATCH(B424,Заказ!$AV$1:$AV$3196,0),5),""),"")</f>
        <v/>
      </c>
      <c r="G424" s="1059" t="str">
        <f>IFERROR(IF(AND(B424&gt;0,B424/1),INDEX(Заказ!$B$1:$AV$3196,MATCH(B424,Заказ!$AV$1:$AV$3196,0),16),""),"")</f>
        <v/>
      </c>
      <c r="H424" s="1"/>
    </row>
    <row r="425" spans="1:8" x14ac:dyDescent="0.25">
      <c r="A425" s="1051" t="str">
        <f>IFERROR(IF(AND(B425&gt;0,B425/1),INDEX(Заказ!$B$412:$AV$3196,MATCH(B425,Заказ!$AV$412:$AV$3196,0),1),""),"")</f>
        <v/>
      </c>
      <c r="B425" s="1056" t="str">
        <f>IFERROR(IF(B424&gt;0,SMALL(Заказ!$AV$1:$AV$3196,1+B424),""),"")</f>
        <v/>
      </c>
      <c r="C425" s="1057" t="str">
        <f>IFERROR(IF(AND(B425&gt;0,B425/1),INDEX(Заказ!$B$1:$AV$3196,MATCH(B425,Заказ!$AV$1:$AV$3196,0),3),""),"")</f>
        <v/>
      </c>
      <c r="D425" s="1058" t="str">
        <f>IFERROR(IF(AND(B425&gt;0,B425/1),INDEX(Заказ!$B$1:$AV$3196,MATCH(B425,Заказ!$AV$1:$AV$3196,0),9),""),"")</f>
        <v/>
      </c>
      <c r="E425" s="1056" t="str">
        <f>IFERROR(IF(AND(B425&gt;0,B425/1),INDEX(Заказ!$B$1:$AV$3196,MATCH(B425,Заказ!$AV$1:$AV$3196,0),5),""),"")</f>
        <v/>
      </c>
      <c r="F425" s="1056" t="str">
        <f>IFERROR(IF(AND(B425&gt;0,B425/1),INDEX(Заказ!$B$1:$AV$3196,MATCH(B425,Заказ!$AV$1:$AV$3196,0),16)/INDEX(Заказ!$B$1:$AV$3196,MATCH(B425,Заказ!$AV$1:$AV$3196,0),5),""),"")</f>
        <v/>
      </c>
      <c r="G425" s="1059" t="str">
        <f>IFERROR(IF(AND(B425&gt;0,B425/1),INDEX(Заказ!$B$1:$AV$3196,MATCH(B425,Заказ!$AV$1:$AV$3196,0),16),""),"")</f>
        <v/>
      </c>
      <c r="H425" s="1"/>
    </row>
    <row r="426" spans="1:8" x14ac:dyDescent="0.25">
      <c r="A426" s="1051" t="str">
        <f>IFERROR(IF(AND(B426&gt;0,B426/1),INDEX(Заказ!$B$412:$AV$3196,MATCH(B426,Заказ!$AV$412:$AV$3196,0),1),""),"")</f>
        <v/>
      </c>
      <c r="B426" s="1056" t="str">
        <f>IFERROR(IF(B425&gt;0,SMALL(Заказ!$AV$1:$AV$3196,1+B425),""),"")</f>
        <v/>
      </c>
      <c r="C426" s="1057" t="str">
        <f>IFERROR(IF(AND(B426&gt;0,B426/1),INDEX(Заказ!$B$1:$AV$3196,MATCH(B426,Заказ!$AV$1:$AV$3196,0),3),""),"")</f>
        <v/>
      </c>
      <c r="D426" s="1058" t="str">
        <f>IFERROR(IF(AND(B426&gt;0,B426/1),INDEX(Заказ!$B$1:$AV$3196,MATCH(B426,Заказ!$AV$1:$AV$3196,0),9),""),"")</f>
        <v/>
      </c>
      <c r="E426" s="1056" t="str">
        <f>IFERROR(IF(AND(B426&gt;0,B426/1),INDEX(Заказ!$B$1:$AV$3196,MATCH(B426,Заказ!$AV$1:$AV$3196,0),5),""),"")</f>
        <v/>
      </c>
      <c r="F426" s="1056" t="str">
        <f>IFERROR(IF(AND(B426&gt;0,B426/1),INDEX(Заказ!$B$1:$AV$3196,MATCH(B426,Заказ!$AV$1:$AV$3196,0),16)/INDEX(Заказ!$B$1:$AV$3196,MATCH(B426,Заказ!$AV$1:$AV$3196,0),5),""),"")</f>
        <v/>
      </c>
      <c r="G426" s="1059" t="str">
        <f>IFERROR(IF(AND(B426&gt;0,B426/1),INDEX(Заказ!$B$1:$AV$3196,MATCH(B426,Заказ!$AV$1:$AV$3196,0),16),""),"")</f>
        <v/>
      </c>
      <c r="H426" s="1"/>
    </row>
    <row r="427" spans="1:8" x14ac:dyDescent="0.25">
      <c r="A427" s="1051" t="str">
        <f>IFERROR(IF(AND(B427&gt;0,B427/1),INDEX(Заказ!$B$412:$AV$3196,MATCH(B427,Заказ!$AV$412:$AV$3196,0),1),""),"")</f>
        <v/>
      </c>
      <c r="B427" s="1056" t="str">
        <f>IFERROR(IF(B426&gt;0,SMALL(Заказ!$AV$1:$AV$3196,1+B426),""),"")</f>
        <v/>
      </c>
      <c r="C427" s="1057" t="str">
        <f>IFERROR(IF(AND(B427&gt;0,B427/1),INDEX(Заказ!$B$1:$AV$3196,MATCH(B427,Заказ!$AV$1:$AV$3196,0),3),""),"")</f>
        <v/>
      </c>
      <c r="D427" s="1058" t="str">
        <f>IFERROR(IF(AND(B427&gt;0,B427/1),INDEX(Заказ!$B$1:$AV$3196,MATCH(B427,Заказ!$AV$1:$AV$3196,0),9),""),"")</f>
        <v/>
      </c>
      <c r="E427" s="1056" t="str">
        <f>IFERROR(IF(AND(B427&gt;0,B427/1),INDEX(Заказ!$B$1:$AV$3196,MATCH(B427,Заказ!$AV$1:$AV$3196,0),5),""),"")</f>
        <v/>
      </c>
      <c r="F427" s="1056" t="str">
        <f>IFERROR(IF(AND(B427&gt;0,B427/1),INDEX(Заказ!$B$1:$AV$3196,MATCH(B427,Заказ!$AV$1:$AV$3196,0),16)/INDEX(Заказ!$B$1:$AV$3196,MATCH(B427,Заказ!$AV$1:$AV$3196,0),5),""),"")</f>
        <v/>
      </c>
      <c r="G427" s="1059" t="str">
        <f>IFERROR(IF(AND(B427&gt;0,B427/1),INDEX(Заказ!$B$1:$AV$3196,MATCH(B427,Заказ!$AV$1:$AV$3196,0),16),""),"")</f>
        <v/>
      </c>
      <c r="H427" s="1"/>
    </row>
    <row r="428" spans="1:8" x14ac:dyDescent="0.25">
      <c r="A428" s="1051" t="str">
        <f>IFERROR(IF(AND(B428&gt;0,B428/1),INDEX(Заказ!$B$412:$AV$3196,MATCH(B428,Заказ!$AV$412:$AV$3196,0),1),""),"")</f>
        <v/>
      </c>
      <c r="B428" s="1056" t="str">
        <f>IFERROR(IF(B427&gt;0,SMALL(Заказ!$AV$1:$AV$3196,1+B427),""),"")</f>
        <v/>
      </c>
      <c r="C428" s="1057" t="str">
        <f>IFERROR(IF(AND(B428&gt;0,B428/1),INDEX(Заказ!$B$1:$AV$3196,MATCH(B428,Заказ!$AV$1:$AV$3196,0),3),""),"")</f>
        <v/>
      </c>
      <c r="D428" s="1058" t="str">
        <f>IFERROR(IF(AND(B428&gt;0,B428/1),INDEX(Заказ!$B$1:$AV$3196,MATCH(B428,Заказ!$AV$1:$AV$3196,0),9),""),"")</f>
        <v/>
      </c>
      <c r="E428" s="1056" t="str">
        <f>IFERROR(IF(AND(B428&gt;0,B428/1),INDEX(Заказ!$B$1:$AV$3196,MATCH(B428,Заказ!$AV$1:$AV$3196,0),5),""),"")</f>
        <v/>
      </c>
      <c r="F428" s="1056" t="str">
        <f>IFERROR(IF(AND(B428&gt;0,B428/1),INDEX(Заказ!$B$1:$AV$3196,MATCH(B428,Заказ!$AV$1:$AV$3196,0),16)/INDEX(Заказ!$B$1:$AV$3196,MATCH(B428,Заказ!$AV$1:$AV$3196,0),5),""),"")</f>
        <v/>
      </c>
      <c r="G428" s="1059" t="str">
        <f>IFERROR(IF(AND(B428&gt;0,B428/1),INDEX(Заказ!$B$1:$AV$3196,MATCH(B428,Заказ!$AV$1:$AV$3196,0),16),""),"")</f>
        <v/>
      </c>
      <c r="H428" s="1"/>
    </row>
    <row r="429" spans="1:8" x14ac:dyDescent="0.25">
      <c r="A429" s="1051" t="str">
        <f>IFERROR(IF(AND(B429&gt;0,B429/1),INDEX(Заказ!$B$412:$AV$3196,MATCH(B429,Заказ!$AV$412:$AV$3196,0),1),""),"")</f>
        <v/>
      </c>
      <c r="B429" s="1056" t="str">
        <f>IFERROR(IF(B428&gt;0,SMALL(Заказ!$AV$1:$AV$3196,1+B428),""),"")</f>
        <v/>
      </c>
      <c r="C429" s="1057" t="str">
        <f>IFERROR(IF(AND(B429&gt;0,B429/1),INDEX(Заказ!$B$1:$AV$3196,MATCH(B429,Заказ!$AV$1:$AV$3196,0),3),""),"")</f>
        <v/>
      </c>
      <c r="D429" s="1058" t="str">
        <f>IFERROR(IF(AND(B429&gt;0,B429/1),INDEX(Заказ!$B$1:$AV$3196,MATCH(B429,Заказ!$AV$1:$AV$3196,0),9),""),"")</f>
        <v/>
      </c>
      <c r="E429" s="1056" t="str">
        <f>IFERROR(IF(AND(B429&gt;0,B429/1),INDEX(Заказ!$B$1:$AV$3196,MATCH(B429,Заказ!$AV$1:$AV$3196,0),5),""),"")</f>
        <v/>
      </c>
      <c r="F429" s="1056" t="str">
        <f>IFERROR(IF(AND(B429&gt;0,B429/1),INDEX(Заказ!$B$1:$AV$3196,MATCH(B429,Заказ!$AV$1:$AV$3196,0),16)/INDEX(Заказ!$B$1:$AV$3196,MATCH(B429,Заказ!$AV$1:$AV$3196,0),5),""),"")</f>
        <v/>
      </c>
      <c r="G429" s="1059" t="str">
        <f>IFERROR(IF(AND(B429&gt;0,B429/1),INDEX(Заказ!$B$1:$AV$3196,MATCH(B429,Заказ!$AV$1:$AV$3196,0),16),""),"")</f>
        <v/>
      </c>
      <c r="H429" s="1"/>
    </row>
    <row r="430" spans="1:8" x14ac:dyDescent="0.25">
      <c r="A430" s="1051" t="str">
        <f>IFERROR(IF(AND(B430&gt;0,B430/1),INDEX(Заказ!$B$412:$AV$3196,MATCH(B430,Заказ!$AV$412:$AV$3196,0),1),""),"")</f>
        <v/>
      </c>
      <c r="B430" s="1056" t="str">
        <f>IFERROR(IF(B429&gt;0,SMALL(Заказ!$AV$1:$AV$3196,1+B429),""),"")</f>
        <v/>
      </c>
      <c r="C430" s="1057" t="str">
        <f>IFERROR(IF(AND(B430&gt;0,B430/1),INDEX(Заказ!$B$1:$AV$3196,MATCH(B430,Заказ!$AV$1:$AV$3196,0),3),""),"")</f>
        <v/>
      </c>
      <c r="D430" s="1058" t="str">
        <f>IFERROR(IF(AND(B430&gt;0,B430/1),INDEX(Заказ!$B$1:$AV$3196,MATCH(B430,Заказ!$AV$1:$AV$3196,0),9),""),"")</f>
        <v/>
      </c>
      <c r="E430" s="1056" t="str">
        <f>IFERROR(IF(AND(B430&gt;0,B430/1),INDEX(Заказ!$B$1:$AV$3196,MATCH(B430,Заказ!$AV$1:$AV$3196,0),5),""),"")</f>
        <v/>
      </c>
      <c r="F430" s="1056" t="str">
        <f>IFERROR(IF(AND(B430&gt;0,B430/1),INDEX(Заказ!$B$1:$AV$3196,MATCH(B430,Заказ!$AV$1:$AV$3196,0),16)/INDEX(Заказ!$B$1:$AV$3196,MATCH(B430,Заказ!$AV$1:$AV$3196,0),5),""),"")</f>
        <v/>
      </c>
      <c r="G430" s="1059" t="str">
        <f>IFERROR(IF(AND(B430&gt;0,B430/1),INDEX(Заказ!$B$1:$AV$3196,MATCH(B430,Заказ!$AV$1:$AV$3196,0),16),""),"")</f>
        <v/>
      </c>
      <c r="H430" s="1"/>
    </row>
    <row r="431" spans="1:8" x14ac:dyDescent="0.25">
      <c r="A431" s="1051" t="str">
        <f>IFERROR(IF(AND(B431&gt;0,B431/1),INDEX(Заказ!$B$412:$AV$3196,MATCH(B431,Заказ!$AV$412:$AV$3196,0),1),""),"")</f>
        <v/>
      </c>
      <c r="B431" s="1056" t="str">
        <f>IFERROR(IF(B430&gt;0,SMALL(Заказ!$AV$1:$AV$3196,1+B430),""),"")</f>
        <v/>
      </c>
      <c r="C431" s="1057" t="str">
        <f>IFERROR(IF(AND(B431&gt;0,B431/1),INDEX(Заказ!$B$1:$AV$3196,MATCH(B431,Заказ!$AV$1:$AV$3196,0),3),""),"")</f>
        <v/>
      </c>
      <c r="D431" s="1058" t="str">
        <f>IFERROR(IF(AND(B431&gt;0,B431/1),INDEX(Заказ!$B$1:$AV$3196,MATCH(B431,Заказ!$AV$1:$AV$3196,0),9),""),"")</f>
        <v/>
      </c>
      <c r="E431" s="1056" t="str">
        <f>IFERROR(IF(AND(B431&gt;0,B431/1),INDEX(Заказ!$B$1:$AV$3196,MATCH(B431,Заказ!$AV$1:$AV$3196,0),5),""),"")</f>
        <v/>
      </c>
      <c r="F431" s="1056" t="str">
        <f>IFERROR(IF(AND(B431&gt;0,B431/1),INDEX(Заказ!$B$1:$AV$3196,MATCH(B431,Заказ!$AV$1:$AV$3196,0),16)/INDEX(Заказ!$B$1:$AV$3196,MATCH(B431,Заказ!$AV$1:$AV$3196,0),5),""),"")</f>
        <v/>
      </c>
      <c r="G431" s="1059" t="str">
        <f>IFERROR(IF(AND(B431&gt;0,B431/1),INDEX(Заказ!$B$1:$AV$3196,MATCH(B431,Заказ!$AV$1:$AV$3196,0),16),""),"")</f>
        <v/>
      </c>
      <c r="H431" s="1"/>
    </row>
    <row r="432" spans="1:8" x14ac:dyDescent="0.25">
      <c r="A432" s="1051" t="str">
        <f>IFERROR(IF(AND(B432&gt;0,B432/1),INDEX(Заказ!$B$412:$AV$3196,MATCH(B432,Заказ!$AV$412:$AV$3196,0),1),""),"")</f>
        <v/>
      </c>
      <c r="B432" s="1056" t="str">
        <f>IFERROR(IF(B431&gt;0,SMALL(Заказ!$AV$1:$AV$3196,1+B431),""),"")</f>
        <v/>
      </c>
      <c r="C432" s="1057" t="str">
        <f>IFERROR(IF(AND(B432&gt;0,B432/1),INDEX(Заказ!$B$1:$AV$3196,MATCH(B432,Заказ!$AV$1:$AV$3196,0),3),""),"")</f>
        <v/>
      </c>
      <c r="D432" s="1058" t="str">
        <f>IFERROR(IF(AND(B432&gt;0,B432/1),INDEX(Заказ!$B$1:$AV$3196,MATCH(B432,Заказ!$AV$1:$AV$3196,0),9),""),"")</f>
        <v/>
      </c>
      <c r="E432" s="1056" t="str">
        <f>IFERROR(IF(AND(B432&gt;0,B432/1),INDEX(Заказ!$B$1:$AV$3196,MATCH(B432,Заказ!$AV$1:$AV$3196,0),5),""),"")</f>
        <v/>
      </c>
      <c r="F432" s="1056" t="str">
        <f>IFERROR(IF(AND(B432&gt;0,B432/1),INDEX(Заказ!$B$1:$AV$3196,MATCH(B432,Заказ!$AV$1:$AV$3196,0),16)/INDEX(Заказ!$B$1:$AV$3196,MATCH(B432,Заказ!$AV$1:$AV$3196,0),5),""),"")</f>
        <v/>
      </c>
      <c r="G432" s="1059" t="str">
        <f>IFERROR(IF(AND(B432&gt;0,B432/1),INDEX(Заказ!$B$1:$AV$3196,MATCH(B432,Заказ!$AV$1:$AV$3196,0),16),""),"")</f>
        <v/>
      </c>
      <c r="H432" s="1"/>
    </row>
    <row r="433" spans="1:8" x14ac:dyDescent="0.25">
      <c r="A433" s="1051" t="str">
        <f>IFERROR(IF(AND(B433&gt;0,B433/1),INDEX(Заказ!$B$412:$AV$3196,MATCH(B433,Заказ!$AV$412:$AV$3196,0),1),""),"")</f>
        <v/>
      </c>
      <c r="B433" s="1056" t="str">
        <f>IFERROR(IF(B432&gt;0,SMALL(Заказ!$AV$1:$AV$3196,1+B432),""),"")</f>
        <v/>
      </c>
      <c r="C433" s="1057" t="str">
        <f>IFERROR(IF(AND(B433&gt;0,B433/1),INDEX(Заказ!$B$1:$AV$3196,MATCH(B433,Заказ!$AV$1:$AV$3196,0),3),""),"")</f>
        <v/>
      </c>
      <c r="D433" s="1058" t="str">
        <f>IFERROR(IF(AND(B433&gt;0,B433/1),INDEX(Заказ!$B$1:$AV$3196,MATCH(B433,Заказ!$AV$1:$AV$3196,0),9),""),"")</f>
        <v/>
      </c>
      <c r="E433" s="1056" t="str">
        <f>IFERROR(IF(AND(B433&gt;0,B433/1),INDEX(Заказ!$B$1:$AV$3196,MATCH(B433,Заказ!$AV$1:$AV$3196,0),5),""),"")</f>
        <v/>
      </c>
      <c r="F433" s="1056" t="str">
        <f>IFERROR(IF(AND(B433&gt;0,B433/1),INDEX(Заказ!$B$1:$AV$3196,MATCH(B433,Заказ!$AV$1:$AV$3196,0),16)/INDEX(Заказ!$B$1:$AV$3196,MATCH(B433,Заказ!$AV$1:$AV$3196,0),5),""),"")</f>
        <v/>
      </c>
      <c r="G433" s="1059" t="str">
        <f>IFERROR(IF(AND(B433&gt;0,B433/1),INDEX(Заказ!$B$1:$AV$3196,MATCH(B433,Заказ!$AV$1:$AV$3196,0),16),""),"")</f>
        <v/>
      </c>
      <c r="H433" s="1"/>
    </row>
    <row r="434" spans="1:8" x14ac:dyDescent="0.25">
      <c r="A434" s="1051" t="str">
        <f>IFERROR(IF(AND(B434&gt;0,B434/1),INDEX(Заказ!$B$412:$AV$3196,MATCH(B434,Заказ!$AV$412:$AV$3196,0),1),""),"")</f>
        <v/>
      </c>
      <c r="B434" s="1056" t="str">
        <f>IFERROR(IF(B433&gt;0,SMALL(Заказ!$AV$1:$AV$3196,1+B433),""),"")</f>
        <v/>
      </c>
      <c r="C434" s="1057" t="str">
        <f>IFERROR(IF(AND(B434&gt;0,B434/1),INDEX(Заказ!$B$1:$AV$3196,MATCH(B434,Заказ!$AV$1:$AV$3196,0),3),""),"")</f>
        <v/>
      </c>
      <c r="D434" s="1058" t="str">
        <f>IFERROR(IF(AND(B434&gt;0,B434/1),INDEX(Заказ!$B$1:$AV$3196,MATCH(B434,Заказ!$AV$1:$AV$3196,0),9),""),"")</f>
        <v/>
      </c>
      <c r="E434" s="1056" t="str">
        <f>IFERROR(IF(AND(B434&gt;0,B434/1),INDEX(Заказ!$B$1:$AV$3196,MATCH(B434,Заказ!$AV$1:$AV$3196,0),5),""),"")</f>
        <v/>
      </c>
      <c r="F434" s="1056" t="str">
        <f>IFERROR(IF(AND(B434&gt;0,B434/1),INDEX(Заказ!$B$1:$AV$3196,MATCH(B434,Заказ!$AV$1:$AV$3196,0),16)/INDEX(Заказ!$B$1:$AV$3196,MATCH(B434,Заказ!$AV$1:$AV$3196,0),5),""),"")</f>
        <v/>
      </c>
      <c r="G434" s="1059" t="str">
        <f>IFERROR(IF(AND(B434&gt;0,B434/1),INDEX(Заказ!$B$1:$AV$3196,MATCH(B434,Заказ!$AV$1:$AV$3196,0),16),""),"")</f>
        <v/>
      </c>
      <c r="H434" s="1"/>
    </row>
    <row r="435" spans="1:8" x14ac:dyDescent="0.25">
      <c r="A435" s="1051" t="str">
        <f>IFERROR(IF(AND(B435&gt;0,B435/1),INDEX(Заказ!$B$412:$AV$3196,MATCH(B435,Заказ!$AV$412:$AV$3196,0),1),""),"")</f>
        <v/>
      </c>
      <c r="B435" s="1056" t="str">
        <f>IFERROR(IF(B434&gt;0,SMALL(Заказ!$AV$1:$AV$3196,1+B434),""),"")</f>
        <v/>
      </c>
      <c r="C435" s="1057" t="str">
        <f>IFERROR(IF(AND(B435&gt;0,B435/1),INDEX(Заказ!$B$1:$AV$3196,MATCH(B435,Заказ!$AV$1:$AV$3196,0),3),""),"")</f>
        <v/>
      </c>
      <c r="D435" s="1058" t="str">
        <f>IFERROR(IF(AND(B435&gt;0,B435/1),INDEX(Заказ!$B$1:$AV$3196,MATCH(B435,Заказ!$AV$1:$AV$3196,0),9),""),"")</f>
        <v/>
      </c>
      <c r="E435" s="1056" t="str">
        <f>IFERROR(IF(AND(B435&gt;0,B435/1),INDEX(Заказ!$B$1:$AV$3196,MATCH(B435,Заказ!$AV$1:$AV$3196,0),5),""),"")</f>
        <v/>
      </c>
      <c r="F435" s="1056" t="str">
        <f>IFERROR(IF(AND(B435&gt;0,B435/1),INDEX(Заказ!$B$1:$AV$3196,MATCH(B435,Заказ!$AV$1:$AV$3196,0),16)/INDEX(Заказ!$B$1:$AV$3196,MATCH(B435,Заказ!$AV$1:$AV$3196,0),5),""),"")</f>
        <v/>
      </c>
      <c r="G435" s="1059" t="str">
        <f>IFERROR(IF(AND(B435&gt;0,B435/1),INDEX(Заказ!$B$1:$AV$3196,MATCH(B435,Заказ!$AV$1:$AV$3196,0),16),""),"")</f>
        <v/>
      </c>
      <c r="H435" s="1"/>
    </row>
    <row r="436" spans="1:8" x14ac:dyDescent="0.25">
      <c r="A436" s="1051" t="str">
        <f>IFERROR(IF(AND(B436&gt;0,B436/1),INDEX(Заказ!$B$412:$AV$3196,MATCH(B436,Заказ!$AV$412:$AV$3196,0),1),""),"")</f>
        <v/>
      </c>
      <c r="B436" s="1056" t="str">
        <f>IFERROR(IF(B435&gt;0,SMALL(Заказ!$AV$1:$AV$3196,1+B435),""),"")</f>
        <v/>
      </c>
      <c r="C436" s="1057" t="str">
        <f>IFERROR(IF(AND(B436&gt;0,B436/1),INDEX(Заказ!$B$1:$AV$3196,MATCH(B436,Заказ!$AV$1:$AV$3196,0),3),""),"")</f>
        <v/>
      </c>
      <c r="D436" s="1058" t="str">
        <f>IFERROR(IF(AND(B436&gt;0,B436/1),INDEX(Заказ!$B$1:$AV$3196,MATCH(B436,Заказ!$AV$1:$AV$3196,0),9),""),"")</f>
        <v/>
      </c>
      <c r="E436" s="1056" t="str">
        <f>IFERROR(IF(AND(B436&gt;0,B436/1),INDEX(Заказ!$B$1:$AV$3196,MATCH(B436,Заказ!$AV$1:$AV$3196,0),5),""),"")</f>
        <v/>
      </c>
      <c r="F436" s="1056" t="str">
        <f>IFERROR(IF(AND(B436&gt;0,B436/1),INDEX(Заказ!$B$1:$AV$3196,MATCH(B436,Заказ!$AV$1:$AV$3196,0),16)/INDEX(Заказ!$B$1:$AV$3196,MATCH(B436,Заказ!$AV$1:$AV$3196,0),5),""),"")</f>
        <v/>
      </c>
      <c r="G436" s="1059" t="str">
        <f>IFERROR(IF(AND(B436&gt;0,B436/1),INDEX(Заказ!$B$1:$AV$3196,MATCH(B436,Заказ!$AV$1:$AV$3196,0),16),""),"")</f>
        <v/>
      </c>
      <c r="H436" s="1"/>
    </row>
    <row r="437" spans="1:8" x14ac:dyDescent="0.25">
      <c r="A437" s="1051" t="str">
        <f>IFERROR(IF(AND(B437&gt;0,B437/1),INDEX(Заказ!$B$412:$AV$3196,MATCH(B437,Заказ!$AV$412:$AV$3196,0),1),""),"")</f>
        <v/>
      </c>
      <c r="B437" s="1056" t="str">
        <f>IFERROR(IF(B436&gt;0,SMALL(Заказ!$AV$1:$AV$3196,1+B436),""),"")</f>
        <v/>
      </c>
      <c r="C437" s="1057" t="str">
        <f>IFERROR(IF(AND(B437&gt;0,B437/1),INDEX(Заказ!$B$1:$AV$3196,MATCH(B437,Заказ!$AV$1:$AV$3196,0),3),""),"")</f>
        <v/>
      </c>
      <c r="D437" s="1058" t="str">
        <f>IFERROR(IF(AND(B437&gt;0,B437/1),INDEX(Заказ!$B$1:$AV$3196,MATCH(B437,Заказ!$AV$1:$AV$3196,0),9),""),"")</f>
        <v/>
      </c>
      <c r="E437" s="1056" t="str">
        <f>IFERROR(IF(AND(B437&gt;0,B437/1),INDEX(Заказ!$B$1:$AV$3196,MATCH(B437,Заказ!$AV$1:$AV$3196,0),5),""),"")</f>
        <v/>
      </c>
      <c r="F437" s="1056" t="str">
        <f>IFERROR(IF(AND(B437&gt;0,B437/1),INDEX(Заказ!$B$1:$AV$3196,MATCH(B437,Заказ!$AV$1:$AV$3196,0),16)/INDEX(Заказ!$B$1:$AV$3196,MATCH(B437,Заказ!$AV$1:$AV$3196,0),5),""),"")</f>
        <v/>
      </c>
      <c r="G437" s="1059" t="str">
        <f>IFERROR(IF(AND(B437&gt;0,B437/1),INDEX(Заказ!$B$1:$AV$3196,MATCH(B437,Заказ!$AV$1:$AV$3196,0),16),""),"")</f>
        <v/>
      </c>
      <c r="H437" s="1"/>
    </row>
    <row r="438" spans="1:8" x14ac:dyDescent="0.25">
      <c r="A438" s="1051" t="str">
        <f>IFERROR(IF(AND(B438&gt;0,B438/1),INDEX(Заказ!$B$412:$AV$3196,MATCH(B438,Заказ!$AV$412:$AV$3196,0),1),""),"")</f>
        <v/>
      </c>
      <c r="B438" s="1056" t="str">
        <f>IFERROR(IF(B437&gt;0,SMALL(Заказ!$AV$1:$AV$3196,1+B437),""),"")</f>
        <v/>
      </c>
      <c r="C438" s="1057" t="str">
        <f>IFERROR(IF(AND(B438&gt;0,B438/1),INDEX(Заказ!$B$1:$AV$3196,MATCH(B438,Заказ!$AV$1:$AV$3196,0),3),""),"")</f>
        <v/>
      </c>
      <c r="D438" s="1058" t="str">
        <f>IFERROR(IF(AND(B438&gt;0,B438/1),INDEX(Заказ!$B$1:$AV$3196,MATCH(B438,Заказ!$AV$1:$AV$3196,0),9),""),"")</f>
        <v/>
      </c>
      <c r="E438" s="1056" t="str">
        <f>IFERROR(IF(AND(B438&gt;0,B438/1),INDEX(Заказ!$B$1:$AV$3196,MATCH(B438,Заказ!$AV$1:$AV$3196,0),5),""),"")</f>
        <v/>
      </c>
      <c r="F438" s="1056" t="str">
        <f>IFERROR(IF(AND(B438&gt;0,B438/1),INDEX(Заказ!$B$1:$AV$3196,MATCH(B438,Заказ!$AV$1:$AV$3196,0),16)/INDEX(Заказ!$B$1:$AV$3196,MATCH(B438,Заказ!$AV$1:$AV$3196,0),5),""),"")</f>
        <v/>
      </c>
      <c r="G438" s="1059" t="str">
        <f>IFERROR(IF(AND(B438&gt;0,B438/1),INDEX(Заказ!$B$1:$AV$3196,MATCH(B438,Заказ!$AV$1:$AV$3196,0),16),""),"")</f>
        <v/>
      </c>
      <c r="H438" s="1"/>
    </row>
    <row r="439" spans="1:8" x14ac:dyDescent="0.25">
      <c r="A439" s="1051" t="str">
        <f>IFERROR(IF(AND(B439&gt;0,B439/1),INDEX(Заказ!$B$412:$AV$3196,MATCH(B439,Заказ!$AV$412:$AV$3196,0),1),""),"")</f>
        <v/>
      </c>
      <c r="B439" s="1056" t="str">
        <f>IFERROR(IF(B438&gt;0,SMALL(Заказ!$AV$1:$AV$3196,1+B438),""),"")</f>
        <v/>
      </c>
      <c r="C439" s="1057" t="str">
        <f>IFERROR(IF(AND(B439&gt;0,B439/1),INDEX(Заказ!$B$1:$AV$3196,MATCH(B439,Заказ!$AV$1:$AV$3196,0),3),""),"")</f>
        <v/>
      </c>
      <c r="D439" s="1058" t="str">
        <f>IFERROR(IF(AND(B439&gt;0,B439/1),INDEX(Заказ!$B$1:$AV$3196,MATCH(B439,Заказ!$AV$1:$AV$3196,0),9),""),"")</f>
        <v/>
      </c>
      <c r="E439" s="1056" t="str">
        <f>IFERROR(IF(AND(B439&gt;0,B439/1),INDEX(Заказ!$B$1:$AV$3196,MATCH(B439,Заказ!$AV$1:$AV$3196,0),5),""),"")</f>
        <v/>
      </c>
      <c r="F439" s="1056" t="str">
        <f>IFERROR(IF(AND(B439&gt;0,B439/1),INDEX(Заказ!$B$1:$AV$3196,MATCH(B439,Заказ!$AV$1:$AV$3196,0),16)/INDEX(Заказ!$B$1:$AV$3196,MATCH(B439,Заказ!$AV$1:$AV$3196,0),5),""),"")</f>
        <v/>
      </c>
      <c r="G439" s="1059" t="str">
        <f>IFERROR(IF(AND(B439&gt;0,B439/1),INDEX(Заказ!$B$1:$AV$3196,MATCH(B439,Заказ!$AV$1:$AV$3196,0),16),""),"")</f>
        <v/>
      </c>
      <c r="H439" s="1"/>
    </row>
    <row r="440" spans="1:8" x14ac:dyDescent="0.25">
      <c r="A440" s="1051" t="str">
        <f>IFERROR(IF(AND(B440&gt;0,B440/1),INDEX(Заказ!$B$412:$AV$3196,MATCH(B440,Заказ!$AV$412:$AV$3196,0),1),""),"")</f>
        <v/>
      </c>
      <c r="B440" s="1056" t="str">
        <f>IFERROR(IF(B439&gt;0,SMALL(Заказ!$AV$1:$AV$3196,1+B439),""),"")</f>
        <v/>
      </c>
      <c r="C440" s="1057" t="str">
        <f>IFERROR(IF(AND(B440&gt;0,B440/1),INDEX(Заказ!$B$1:$AV$3196,MATCH(B440,Заказ!$AV$1:$AV$3196,0),3),""),"")</f>
        <v/>
      </c>
      <c r="D440" s="1058" t="str">
        <f>IFERROR(IF(AND(B440&gt;0,B440/1),INDEX(Заказ!$B$1:$AV$3196,MATCH(B440,Заказ!$AV$1:$AV$3196,0),9),""),"")</f>
        <v/>
      </c>
      <c r="E440" s="1056" t="str">
        <f>IFERROR(IF(AND(B440&gt;0,B440/1),INDEX(Заказ!$B$1:$AV$3196,MATCH(B440,Заказ!$AV$1:$AV$3196,0),5),""),"")</f>
        <v/>
      </c>
      <c r="F440" s="1056" t="str">
        <f>IFERROR(IF(AND(B440&gt;0,B440/1),INDEX(Заказ!$B$1:$AV$3196,MATCH(B440,Заказ!$AV$1:$AV$3196,0),16)/INDEX(Заказ!$B$1:$AV$3196,MATCH(B440,Заказ!$AV$1:$AV$3196,0),5),""),"")</f>
        <v/>
      </c>
      <c r="G440" s="1059" t="str">
        <f>IFERROR(IF(AND(B440&gt;0,B440/1),INDEX(Заказ!$B$1:$AV$3196,MATCH(B440,Заказ!$AV$1:$AV$3196,0),16),""),"")</f>
        <v/>
      </c>
      <c r="H440" s="1"/>
    </row>
    <row r="441" spans="1:8" x14ac:dyDescent="0.25">
      <c r="A441" s="1051" t="str">
        <f>IFERROR(IF(AND(B441&gt;0,B441/1),INDEX(Заказ!$B$412:$AV$3196,MATCH(B441,Заказ!$AV$412:$AV$3196,0),1),""),"")</f>
        <v/>
      </c>
      <c r="B441" s="1056" t="str">
        <f>IFERROR(IF(B440&gt;0,SMALL(Заказ!$AV$1:$AV$3196,1+B440),""),"")</f>
        <v/>
      </c>
      <c r="C441" s="1057" t="str">
        <f>IFERROR(IF(AND(B441&gt;0,B441/1),INDEX(Заказ!$B$1:$AV$3196,MATCH(B441,Заказ!$AV$1:$AV$3196,0),3),""),"")</f>
        <v/>
      </c>
      <c r="D441" s="1058" t="str">
        <f>IFERROR(IF(AND(B441&gt;0,B441/1),INDEX(Заказ!$B$1:$AV$3196,MATCH(B441,Заказ!$AV$1:$AV$3196,0),9),""),"")</f>
        <v/>
      </c>
      <c r="E441" s="1056" t="str">
        <f>IFERROR(IF(AND(B441&gt;0,B441/1),INDEX(Заказ!$B$1:$AV$3196,MATCH(B441,Заказ!$AV$1:$AV$3196,0),5),""),"")</f>
        <v/>
      </c>
      <c r="F441" s="1056" t="str">
        <f>IFERROR(IF(AND(B441&gt;0,B441/1),INDEX(Заказ!$B$1:$AV$3196,MATCH(B441,Заказ!$AV$1:$AV$3196,0),16)/INDEX(Заказ!$B$1:$AV$3196,MATCH(B441,Заказ!$AV$1:$AV$3196,0),5),""),"")</f>
        <v/>
      </c>
      <c r="G441" s="1059" t="str">
        <f>IFERROR(IF(AND(B441&gt;0,B441/1),INDEX(Заказ!$B$1:$AV$3196,MATCH(B441,Заказ!$AV$1:$AV$3196,0),16),""),"")</f>
        <v/>
      </c>
      <c r="H441" s="1"/>
    </row>
    <row r="442" spans="1:8" x14ac:dyDescent="0.25">
      <c r="A442" s="1051" t="str">
        <f>IFERROR(IF(AND(B442&gt;0,B442/1),INDEX(Заказ!$B$412:$AV$3196,MATCH(B442,Заказ!$AV$412:$AV$3196,0),1),""),"")</f>
        <v/>
      </c>
      <c r="B442" s="1056" t="str">
        <f>IFERROR(IF(B441&gt;0,SMALL(Заказ!$AV$1:$AV$3196,1+B441),""),"")</f>
        <v/>
      </c>
      <c r="C442" s="1057" t="str">
        <f>IFERROR(IF(AND(B442&gt;0,B442/1),INDEX(Заказ!$B$1:$AV$3196,MATCH(B442,Заказ!$AV$1:$AV$3196,0),3),""),"")</f>
        <v/>
      </c>
      <c r="D442" s="1058" t="str">
        <f>IFERROR(IF(AND(B442&gt;0,B442/1),INDEX(Заказ!$B$1:$AV$3196,MATCH(B442,Заказ!$AV$1:$AV$3196,0),9),""),"")</f>
        <v/>
      </c>
      <c r="E442" s="1056" t="str">
        <f>IFERROR(IF(AND(B442&gt;0,B442/1),INDEX(Заказ!$B$1:$AV$3196,MATCH(B442,Заказ!$AV$1:$AV$3196,0),5),""),"")</f>
        <v/>
      </c>
      <c r="F442" s="1056" t="str">
        <f>IFERROR(IF(AND(B442&gt;0,B442/1),INDEX(Заказ!$B$1:$AV$3196,MATCH(B442,Заказ!$AV$1:$AV$3196,0),16)/INDEX(Заказ!$B$1:$AV$3196,MATCH(B442,Заказ!$AV$1:$AV$3196,0),5),""),"")</f>
        <v/>
      </c>
      <c r="G442" s="1059" t="str">
        <f>IFERROR(IF(AND(B442&gt;0,B442/1),INDEX(Заказ!$B$1:$AV$3196,MATCH(B442,Заказ!$AV$1:$AV$3196,0),16),""),"")</f>
        <v/>
      </c>
      <c r="H442" s="1"/>
    </row>
    <row r="443" spans="1:8" x14ac:dyDescent="0.25">
      <c r="A443" s="1051" t="str">
        <f>IFERROR(IF(AND(B443&gt;0,B443/1),INDEX(Заказ!$B$412:$AV$3196,MATCH(B443,Заказ!$AV$412:$AV$3196,0),1),""),"")</f>
        <v/>
      </c>
      <c r="B443" s="1056" t="str">
        <f>IFERROR(IF(B442&gt;0,SMALL(Заказ!$AV$1:$AV$3196,1+B442),""),"")</f>
        <v/>
      </c>
      <c r="C443" s="1057" t="str">
        <f>IFERROR(IF(AND(B443&gt;0,B443/1),INDEX(Заказ!$B$1:$AV$3196,MATCH(B443,Заказ!$AV$1:$AV$3196,0),3),""),"")</f>
        <v/>
      </c>
      <c r="D443" s="1058" t="str">
        <f>IFERROR(IF(AND(B443&gt;0,B443/1),INDEX(Заказ!$B$1:$AV$3196,MATCH(B443,Заказ!$AV$1:$AV$3196,0),9),""),"")</f>
        <v/>
      </c>
      <c r="E443" s="1056" t="str">
        <f>IFERROR(IF(AND(B443&gt;0,B443/1),INDEX(Заказ!$B$1:$AV$3196,MATCH(B443,Заказ!$AV$1:$AV$3196,0),5),""),"")</f>
        <v/>
      </c>
      <c r="F443" s="1056" t="str">
        <f>IFERROR(IF(AND(B443&gt;0,B443/1),INDEX(Заказ!$B$1:$AV$3196,MATCH(B443,Заказ!$AV$1:$AV$3196,0),16)/INDEX(Заказ!$B$1:$AV$3196,MATCH(B443,Заказ!$AV$1:$AV$3196,0),5),""),"")</f>
        <v/>
      </c>
      <c r="G443" s="1059" t="str">
        <f>IFERROR(IF(AND(B443&gt;0,B443/1),INDEX(Заказ!$B$1:$AV$3196,MATCH(B443,Заказ!$AV$1:$AV$3196,0),16),""),"")</f>
        <v/>
      </c>
      <c r="H443" s="1"/>
    </row>
    <row r="444" spans="1:8" x14ac:dyDescent="0.25">
      <c r="A444" s="1051" t="str">
        <f>IFERROR(IF(AND(B444&gt;0,B444/1),INDEX(Заказ!$B$412:$AV$3196,MATCH(B444,Заказ!$AV$412:$AV$3196,0),1),""),"")</f>
        <v/>
      </c>
      <c r="B444" s="1056" t="str">
        <f>IFERROR(IF(B443&gt;0,SMALL(Заказ!$AV$1:$AV$3196,1+B443),""),"")</f>
        <v/>
      </c>
      <c r="C444" s="1057" t="str">
        <f>IFERROR(IF(AND(B444&gt;0,B444/1),INDEX(Заказ!$B$1:$AV$3196,MATCH(B444,Заказ!$AV$1:$AV$3196,0),3),""),"")</f>
        <v/>
      </c>
      <c r="D444" s="1058" t="str">
        <f>IFERROR(IF(AND(B444&gt;0,B444/1),INDEX(Заказ!$B$1:$AV$3196,MATCH(B444,Заказ!$AV$1:$AV$3196,0),9),""),"")</f>
        <v/>
      </c>
      <c r="E444" s="1056" t="str">
        <f>IFERROR(IF(AND(B444&gt;0,B444/1),INDEX(Заказ!$B$1:$AV$3196,MATCH(B444,Заказ!$AV$1:$AV$3196,0),5),""),"")</f>
        <v/>
      </c>
      <c r="F444" s="1056" t="str">
        <f>IFERROR(IF(AND(B444&gt;0,B444/1),INDEX(Заказ!$B$1:$AV$3196,MATCH(B444,Заказ!$AV$1:$AV$3196,0),16)/INDEX(Заказ!$B$1:$AV$3196,MATCH(B444,Заказ!$AV$1:$AV$3196,0),5),""),"")</f>
        <v/>
      </c>
      <c r="G444" s="1059" t="str">
        <f>IFERROR(IF(AND(B444&gt;0,B444/1),INDEX(Заказ!$B$1:$AV$3196,MATCH(B444,Заказ!$AV$1:$AV$3196,0),16),""),"")</f>
        <v/>
      </c>
      <c r="H444" s="1"/>
    </row>
    <row r="445" spans="1:8" x14ac:dyDescent="0.25">
      <c r="A445" s="1051" t="str">
        <f>IFERROR(IF(AND(B445&gt;0,B445/1),INDEX(Заказ!$B$412:$AV$3196,MATCH(B445,Заказ!$AV$412:$AV$3196,0),1),""),"")</f>
        <v/>
      </c>
      <c r="B445" s="1056" t="str">
        <f>IFERROR(IF(B444&gt;0,SMALL(Заказ!$AV$1:$AV$3196,1+B444),""),"")</f>
        <v/>
      </c>
      <c r="C445" s="1057" t="str">
        <f>IFERROR(IF(AND(B445&gt;0,B445/1),INDEX(Заказ!$B$1:$AV$3196,MATCH(B445,Заказ!$AV$1:$AV$3196,0),3),""),"")</f>
        <v/>
      </c>
      <c r="D445" s="1058" t="str">
        <f>IFERROR(IF(AND(B445&gt;0,B445/1),INDEX(Заказ!$B$1:$AV$3196,MATCH(B445,Заказ!$AV$1:$AV$3196,0),9),""),"")</f>
        <v/>
      </c>
      <c r="E445" s="1056" t="str">
        <f>IFERROR(IF(AND(B445&gt;0,B445/1),INDEX(Заказ!$B$1:$AV$3196,MATCH(B445,Заказ!$AV$1:$AV$3196,0),5),""),"")</f>
        <v/>
      </c>
      <c r="F445" s="1056" t="str">
        <f>IFERROR(IF(AND(B445&gt;0,B445/1),INDEX(Заказ!$B$1:$AV$3196,MATCH(B445,Заказ!$AV$1:$AV$3196,0),16)/INDEX(Заказ!$B$1:$AV$3196,MATCH(B445,Заказ!$AV$1:$AV$3196,0),5),""),"")</f>
        <v/>
      </c>
      <c r="G445" s="1059" t="str">
        <f>IFERROR(IF(AND(B445&gt;0,B445/1),INDEX(Заказ!$B$1:$AV$3196,MATCH(B445,Заказ!$AV$1:$AV$3196,0),16),""),"")</f>
        <v/>
      </c>
      <c r="H445" s="1"/>
    </row>
    <row r="446" spans="1:8" x14ac:dyDescent="0.25">
      <c r="A446" s="1051" t="str">
        <f>IFERROR(IF(AND(B446&gt;0,B446/1),INDEX(Заказ!$B$412:$AV$3196,MATCH(B446,Заказ!$AV$412:$AV$3196,0),1),""),"")</f>
        <v/>
      </c>
      <c r="B446" s="1056" t="str">
        <f>IFERROR(IF(B445&gt;0,SMALL(Заказ!$AV$1:$AV$3196,1+B445),""),"")</f>
        <v/>
      </c>
      <c r="C446" s="1057" t="str">
        <f>IFERROR(IF(AND(B446&gt;0,B446/1),INDEX(Заказ!$B$1:$AV$3196,MATCH(B446,Заказ!$AV$1:$AV$3196,0),3),""),"")</f>
        <v/>
      </c>
      <c r="D446" s="1058" t="str">
        <f>IFERROR(IF(AND(B446&gt;0,B446/1),INDEX(Заказ!$B$1:$AV$3196,MATCH(B446,Заказ!$AV$1:$AV$3196,0),9),""),"")</f>
        <v/>
      </c>
      <c r="E446" s="1056" t="str">
        <f>IFERROR(IF(AND(B446&gt;0,B446/1),INDEX(Заказ!$B$1:$AV$3196,MATCH(B446,Заказ!$AV$1:$AV$3196,0),5),""),"")</f>
        <v/>
      </c>
      <c r="F446" s="1056" t="str">
        <f>IFERROR(IF(AND(B446&gt;0,B446/1),INDEX(Заказ!$B$1:$AV$3196,MATCH(B446,Заказ!$AV$1:$AV$3196,0),16)/INDEX(Заказ!$B$1:$AV$3196,MATCH(B446,Заказ!$AV$1:$AV$3196,0),5),""),"")</f>
        <v/>
      </c>
      <c r="G446" s="1059" t="str">
        <f>IFERROR(IF(AND(B446&gt;0,B446/1),INDEX(Заказ!$B$1:$AV$3196,MATCH(B446,Заказ!$AV$1:$AV$3196,0),16),""),"")</f>
        <v/>
      </c>
      <c r="H446" s="1"/>
    </row>
    <row r="447" spans="1:8" x14ac:dyDescent="0.25">
      <c r="A447" s="1051" t="str">
        <f>IFERROR(IF(AND(B447&gt;0,B447/1),INDEX(Заказ!$B$412:$AV$3196,MATCH(B447,Заказ!$AV$412:$AV$3196,0),1),""),"")</f>
        <v/>
      </c>
      <c r="B447" s="1056" t="str">
        <f>IFERROR(IF(B446&gt;0,SMALL(Заказ!$AV$1:$AV$3196,1+B446),""),"")</f>
        <v/>
      </c>
      <c r="C447" s="1057" t="str">
        <f>IFERROR(IF(AND(B447&gt;0,B447/1),INDEX(Заказ!$B$1:$AV$3196,MATCH(B447,Заказ!$AV$1:$AV$3196,0),3),""),"")</f>
        <v/>
      </c>
      <c r="D447" s="1058" t="str">
        <f>IFERROR(IF(AND(B447&gt;0,B447/1),INDEX(Заказ!$B$1:$AV$3196,MATCH(B447,Заказ!$AV$1:$AV$3196,0),9),""),"")</f>
        <v/>
      </c>
      <c r="E447" s="1056" t="str">
        <f>IFERROR(IF(AND(B447&gt;0,B447/1),INDEX(Заказ!$B$1:$AV$3196,MATCH(B447,Заказ!$AV$1:$AV$3196,0),5),""),"")</f>
        <v/>
      </c>
      <c r="F447" s="1056" t="str">
        <f>IFERROR(IF(AND(B447&gt;0,B447/1),INDEX(Заказ!$B$1:$AV$3196,MATCH(B447,Заказ!$AV$1:$AV$3196,0),16)/INDEX(Заказ!$B$1:$AV$3196,MATCH(B447,Заказ!$AV$1:$AV$3196,0),5),""),"")</f>
        <v/>
      </c>
      <c r="G447" s="1059" t="str">
        <f>IFERROR(IF(AND(B447&gt;0,B447/1),INDEX(Заказ!$B$1:$AV$3196,MATCH(B447,Заказ!$AV$1:$AV$3196,0),16),""),"")</f>
        <v/>
      </c>
      <c r="H447" s="1"/>
    </row>
    <row r="448" spans="1:8" x14ac:dyDescent="0.25">
      <c r="A448" s="1051" t="str">
        <f>IFERROR(IF(AND(B448&gt;0,B448/1),INDEX(Заказ!$B$412:$AV$3196,MATCH(B448,Заказ!$AV$412:$AV$3196,0),1),""),"")</f>
        <v/>
      </c>
      <c r="B448" s="1056" t="str">
        <f>IFERROR(IF(B447&gt;0,SMALL(Заказ!$AV$1:$AV$3196,1+B447),""),"")</f>
        <v/>
      </c>
      <c r="C448" s="1057" t="str">
        <f>IFERROR(IF(AND(B448&gt;0,B448/1),INDEX(Заказ!$B$1:$AV$3196,MATCH(B448,Заказ!$AV$1:$AV$3196,0),3),""),"")</f>
        <v/>
      </c>
      <c r="D448" s="1058" t="str">
        <f>IFERROR(IF(AND(B448&gt;0,B448/1),INDEX(Заказ!$B$1:$AV$3196,MATCH(B448,Заказ!$AV$1:$AV$3196,0),9),""),"")</f>
        <v/>
      </c>
      <c r="E448" s="1056" t="str">
        <f>IFERROR(IF(AND(B448&gt;0,B448/1),INDEX(Заказ!$B$1:$AV$3196,MATCH(B448,Заказ!$AV$1:$AV$3196,0),5),""),"")</f>
        <v/>
      </c>
      <c r="F448" s="1056" t="str">
        <f>IFERROR(IF(AND(B448&gt;0,B448/1),INDEX(Заказ!$B$1:$AV$3196,MATCH(B448,Заказ!$AV$1:$AV$3196,0),16)/INDEX(Заказ!$B$1:$AV$3196,MATCH(B448,Заказ!$AV$1:$AV$3196,0),5),""),"")</f>
        <v/>
      </c>
      <c r="G448" s="1059" t="str">
        <f>IFERROR(IF(AND(B448&gt;0,B448/1),INDEX(Заказ!$B$1:$AV$3196,MATCH(B448,Заказ!$AV$1:$AV$3196,0),16),""),"")</f>
        <v/>
      </c>
      <c r="H448" s="1"/>
    </row>
    <row r="449" spans="1:8" x14ac:dyDescent="0.25">
      <c r="A449" s="1051" t="str">
        <f>IFERROR(IF(AND(B449&gt;0,B449/1),INDEX(Заказ!$B$412:$AV$3196,MATCH(B449,Заказ!$AV$412:$AV$3196,0),1),""),"")</f>
        <v/>
      </c>
      <c r="B449" s="1056" t="str">
        <f>IFERROR(IF(B448&gt;0,SMALL(Заказ!$AV$1:$AV$3196,1+B448),""),"")</f>
        <v/>
      </c>
      <c r="C449" s="1057" t="str">
        <f>IFERROR(IF(AND(B449&gt;0,B449/1),INDEX(Заказ!$B$1:$AV$3196,MATCH(B449,Заказ!$AV$1:$AV$3196,0),3),""),"")</f>
        <v/>
      </c>
      <c r="D449" s="1058" t="str">
        <f>IFERROR(IF(AND(B449&gt;0,B449/1),INDEX(Заказ!$B$1:$AV$3196,MATCH(B449,Заказ!$AV$1:$AV$3196,0),9),""),"")</f>
        <v/>
      </c>
      <c r="E449" s="1056" t="str">
        <f>IFERROR(IF(AND(B449&gt;0,B449/1),INDEX(Заказ!$B$1:$AV$3196,MATCH(B449,Заказ!$AV$1:$AV$3196,0),5),""),"")</f>
        <v/>
      </c>
      <c r="F449" s="1056" t="str">
        <f>IFERROR(IF(AND(B449&gt;0,B449/1),INDEX(Заказ!$B$1:$AV$3196,MATCH(B449,Заказ!$AV$1:$AV$3196,0),16)/INDEX(Заказ!$B$1:$AV$3196,MATCH(B449,Заказ!$AV$1:$AV$3196,0),5),""),"")</f>
        <v/>
      </c>
      <c r="G449" s="1059" t="str">
        <f>IFERROR(IF(AND(B449&gt;0,B449/1),INDEX(Заказ!$B$1:$AV$3196,MATCH(B449,Заказ!$AV$1:$AV$3196,0),16),""),"")</f>
        <v/>
      </c>
      <c r="H449" s="1"/>
    </row>
    <row r="450" spans="1:8" x14ac:dyDescent="0.25">
      <c r="A450" s="1051" t="str">
        <f>IFERROR(IF(AND(B450&gt;0,B450/1),INDEX(Заказ!$B$412:$AV$3196,MATCH(B450,Заказ!$AV$412:$AV$3196,0),1),""),"")</f>
        <v/>
      </c>
      <c r="B450" s="1056" t="str">
        <f>IFERROR(IF(B449&gt;0,SMALL(Заказ!$AV$1:$AV$3196,1+B449),""),"")</f>
        <v/>
      </c>
      <c r="C450" s="1057" t="str">
        <f>IFERROR(IF(AND(B450&gt;0,B450/1),INDEX(Заказ!$B$1:$AV$3196,MATCH(B450,Заказ!$AV$1:$AV$3196,0),3),""),"")</f>
        <v/>
      </c>
      <c r="D450" s="1058" t="str">
        <f>IFERROR(IF(AND(B450&gt;0,B450/1),INDEX(Заказ!$B$1:$AV$3196,MATCH(B450,Заказ!$AV$1:$AV$3196,0),9),""),"")</f>
        <v/>
      </c>
      <c r="E450" s="1056" t="str">
        <f>IFERROR(IF(AND(B450&gt;0,B450/1),INDEX(Заказ!$B$1:$AV$3196,MATCH(B450,Заказ!$AV$1:$AV$3196,0),5),""),"")</f>
        <v/>
      </c>
      <c r="F450" s="1056" t="str">
        <f>IFERROR(IF(AND(B450&gt;0,B450/1),INDEX(Заказ!$B$1:$AV$3196,MATCH(B450,Заказ!$AV$1:$AV$3196,0),16)/INDEX(Заказ!$B$1:$AV$3196,MATCH(B450,Заказ!$AV$1:$AV$3196,0),5),""),"")</f>
        <v/>
      </c>
      <c r="G450" s="1059" t="str">
        <f>IFERROR(IF(AND(B450&gt;0,B450/1),INDEX(Заказ!$B$1:$AV$3196,MATCH(B450,Заказ!$AV$1:$AV$3196,0),16),""),"")</f>
        <v/>
      </c>
      <c r="H450" s="1"/>
    </row>
    <row r="451" spans="1:8" x14ac:dyDescent="0.25">
      <c r="A451" s="1051" t="str">
        <f>IFERROR(IF(AND(B451&gt;0,B451/1),INDEX(Заказ!$B$412:$AV$3196,MATCH(B451,Заказ!$AV$412:$AV$3196,0),1),""),"")</f>
        <v/>
      </c>
      <c r="B451" s="1056" t="str">
        <f>IFERROR(IF(B450&gt;0,SMALL(Заказ!$AV$1:$AV$3196,1+B450),""),"")</f>
        <v/>
      </c>
      <c r="C451" s="1057" t="str">
        <f>IFERROR(IF(AND(B451&gt;0,B451/1),INDEX(Заказ!$B$1:$AV$3196,MATCH(B451,Заказ!$AV$1:$AV$3196,0),3),""),"")</f>
        <v/>
      </c>
      <c r="D451" s="1058" t="str">
        <f>IFERROR(IF(AND(B451&gt;0,B451/1),INDEX(Заказ!$B$1:$AV$3196,MATCH(B451,Заказ!$AV$1:$AV$3196,0),9),""),"")</f>
        <v/>
      </c>
      <c r="E451" s="1056" t="str">
        <f>IFERROR(IF(AND(B451&gt;0,B451/1),INDEX(Заказ!$B$1:$AV$3196,MATCH(B451,Заказ!$AV$1:$AV$3196,0),5),""),"")</f>
        <v/>
      </c>
      <c r="F451" s="1056" t="str">
        <f>IFERROR(IF(AND(B451&gt;0,B451/1),INDEX(Заказ!$B$1:$AV$3196,MATCH(B451,Заказ!$AV$1:$AV$3196,0),16)/INDEX(Заказ!$B$1:$AV$3196,MATCH(B451,Заказ!$AV$1:$AV$3196,0),5),""),"")</f>
        <v/>
      </c>
      <c r="G451" s="1059" t="str">
        <f>IFERROR(IF(AND(B451&gt;0,B451/1),INDEX(Заказ!$B$1:$AV$3196,MATCH(B451,Заказ!$AV$1:$AV$3196,0),16),""),"")</f>
        <v/>
      </c>
      <c r="H451" s="1"/>
    </row>
    <row r="452" spans="1:8" x14ac:dyDescent="0.25">
      <c r="A452" s="1051" t="str">
        <f>IFERROR(IF(AND(B452&gt;0,B452/1),INDEX(Заказ!$B$412:$AV$3196,MATCH(B452,Заказ!$AV$412:$AV$3196,0),1),""),"")</f>
        <v/>
      </c>
      <c r="B452" s="1056" t="str">
        <f>IFERROR(IF(B451&gt;0,SMALL(Заказ!$AV$1:$AV$3196,1+B451),""),"")</f>
        <v/>
      </c>
      <c r="C452" s="1057" t="str">
        <f>IFERROR(IF(AND(B452&gt;0,B452/1),INDEX(Заказ!$B$1:$AV$3196,MATCH(B452,Заказ!$AV$1:$AV$3196,0),3),""),"")</f>
        <v/>
      </c>
      <c r="D452" s="1058" t="str">
        <f>IFERROR(IF(AND(B452&gt;0,B452/1),INDEX(Заказ!$B$1:$AV$3196,MATCH(B452,Заказ!$AV$1:$AV$3196,0),9),""),"")</f>
        <v/>
      </c>
      <c r="E452" s="1056" t="str">
        <f>IFERROR(IF(AND(B452&gt;0,B452/1),INDEX(Заказ!$B$1:$AV$3196,MATCH(B452,Заказ!$AV$1:$AV$3196,0),5),""),"")</f>
        <v/>
      </c>
      <c r="F452" s="1056" t="str">
        <f>IFERROR(IF(AND(B452&gt;0,B452/1),INDEX(Заказ!$B$1:$AV$3196,MATCH(B452,Заказ!$AV$1:$AV$3196,0),16)/INDEX(Заказ!$B$1:$AV$3196,MATCH(B452,Заказ!$AV$1:$AV$3196,0),5),""),"")</f>
        <v/>
      </c>
      <c r="G452" s="1059" t="str">
        <f>IFERROR(IF(AND(B452&gt;0,B452/1),INDEX(Заказ!$B$1:$AV$3196,MATCH(B452,Заказ!$AV$1:$AV$3196,0),16),""),"")</f>
        <v/>
      </c>
      <c r="H452" s="1"/>
    </row>
    <row r="453" spans="1:8" x14ac:dyDescent="0.25">
      <c r="A453" s="1051" t="str">
        <f>IFERROR(IF(AND(B453&gt;0,B453/1),INDEX(Заказ!$B$412:$AV$3196,MATCH(B453,Заказ!$AV$412:$AV$3196,0),1),""),"")</f>
        <v/>
      </c>
      <c r="B453" s="1056" t="str">
        <f>IFERROR(IF(B452&gt;0,SMALL(Заказ!$AV$1:$AV$3196,1+B452),""),"")</f>
        <v/>
      </c>
      <c r="C453" s="1057" t="str">
        <f>IFERROR(IF(AND(B453&gt;0,B453/1),INDEX(Заказ!$B$1:$AV$3196,MATCH(B453,Заказ!$AV$1:$AV$3196,0),3),""),"")</f>
        <v/>
      </c>
      <c r="D453" s="1058" t="str">
        <f>IFERROR(IF(AND(B453&gt;0,B453/1),INDEX(Заказ!$B$1:$AV$3196,MATCH(B453,Заказ!$AV$1:$AV$3196,0),9),""),"")</f>
        <v/>
      </c>
      <c r="E453" s="1056" t="str">
        <f>IFERROR(IF(AND(B453&gt;0,B453/1),INDEX(Заказ!$B$1:$AV$3196,MATCH(B453,Заказ!$AV$1:$AV$3196,0),5),""),"")</f>
        <v/>
      </c>
      <c r="F453" s="1056" t="str">
        <f>IFERROR(IF(AND(B453&gt;0,B453/1),INDEX(Заказ!$B$1:$AV$3196,MATCH(B453,Заказ!$AV$1:$AV$3196,0),16)/INDEX(Заказ!$B$1:$AV$3196,MATCH(B453,Заказ!$AV$1:$AV$3196,0),5),""),"")</f>
        <v/>
      </c>
      <c r="G453" s="1059" t="str">
        <f>IFERROR(IF(AND(B453&gt;0,B453/1),INDEX(Заказ!$B$1:$AV$3196,MATCH(B453,Заказ!$AV$1:$AV$3196,0),16),""),"")</f>
        <v/>
      </c>
      <c r="H453" s="1"/>
    </row>
    <row r="454" spans="1:8" x14ac:dyDescent="0.25">
      <c r="A454" s="1051" t="str">
        <f>IFERROR(IF(AND(B454&gt;0,B454/1),INDEX(Заказ!$B$412:$AV$3196,MATCH(B454,Заказ!$AV$412:$AV$3196,0),1),""),"")</f>
        <v/>
      </c>
      <c r="B454" s="1056" t="str">
        <f>IFERROR(IF(B453&gt;0,SMALL(Заказ!$AV$1:$AV$3196,1+B453),""),"")</f>
        <v/>
      </c>
      <c r="C454" s="1057" t="str">
        <f>IFERROR(IF(AND(B454&gt;0,B454/1),INDEX(Заказ!$B$1:$AV$3196,MATCH(B454,Заказ!$AV$1:$AV$3196,0),3),""),"")</f>
        <v/>
      </c>
      <c r="D454" s="1058" t="str">
        <f>IFERROR(IF(AND(B454&gt;0,B454/1),INDEX(Заказ!$B$1:$AV$3196,MATCH(B454,Заказ!$AV$1:$AV$3196,0),9),""),"")</f>
        <v/>
      </c>
      <c r="E454" s="1056" t="str">
        <f>IFERROR(IF(AND(B454&gt;0,B454/1),INDEX(Заказ!$B$1:$AV$3196,MATCH(B454,Заказ!$AV$1:$AV$3196,0),5),""),"")</f>
        <v/>
      </c>
      <c r="F454" s="1056" t="str">
        <f>IFERROR(IF(AND(B454&gt;0,B454/1),INDEX(Заказ!$B$1:$AV$3196,MATCH(B454,Заказ!$AV$1:$AV$3196,0),16)/INDEX(Заказ!$B$1:$AV$3196,MATCH(B454,Заказ!$AV$1:$AV$3196,0),5),""),"")</f>
        <v/>
      </c>
      <c r="G454" s="1059" t="str">
        <f>IFERROR(IF(AND(B454&gt;0,B454/1),INDEX(Заказ!$B$1:$AV$3196,MATCH(B454,Заказ!$AV$1:$AV$3196,0),16),""),"")</f>
        <v/>
      </c>
      <c r="H454" s="1"/>
    </row>
    <row r="455" spans="1:8" x14ac:dyDescent="0.25">
      <c r="A455" s="1051" t="str">
        <f>IFERROR(IF(AND(B455&gt;0,B455/1),INDEX(Заказ!$B$412:$AV$3196,MATCH(B455,Заказ!$AV$412:$AV$3196,0),1),""),"")</f>
        <v/>
      </c>
      <c r="B455" s="1056" t="str">
        <f>IFERROR(IF(B454&gt;0,SMALL(Заказ!$AV$1:$AV$3196,1+B454),""),"")</f>
        <v/>
      </c>
      <c r="C455" s="1057" t="str">
        <f>IFERROR(IF(AND(B455&gt;0,B455/1),INDEX(Заказ!$B$1:$AV$3196,MATCH(B455,Заказ!$AV$1:$AV$3196,0),3),""),"")</f>
        <v/>
      </c>
      <c r="D455" s="1058" t="str">
        <f>IFERROR(IF(AND(B455&gt;0,B455/1),INDEX(Заказ!$B$1:$AV$3196,MATCH(B455,Заказ!$AV$1:$AV$3196,0),9),""),"")</f>
        <v/>
      </c>
      <c r="E455" s="1056" t="str">
        <f>IFERROR(IF(AND(B455&gt;0,B455/1),INDEX(Заказ!$B$1:$AV$3196,MATCH(B455,Заказ!$AV$1:$AV$3196,0),5),""),"")</f>
        <v/>
      </c>
      <c r="F455" s="1056" t="str">
        <f>IFERROR(IF(AND(B455&gt;0,B455/1),INDEX(Заказ!$B$1:$AV$3196,MATCH(B455,Заказ!$AV$1:$AV$3196,0),16)/INDEX(Заказ!$B$1:$AV$3196,MATCH(B455,Заказ!$AV$1:$AV$3196,0),5),""),"")</f>
        <v/>
      </c>
      <c r="G455" s="1059" t="str">
        <f>IFERROR(IF(AND(B455&gt;0,B455/1),INDEX(Заказ!$B$1:$AV$3196,MATCH(B455,Заказ!$AV$1:$AV$3196,0),16),""),"")</f>
        <v/>
      </c>
      <c r="H455" s="1"/>
    </row>
    <row r="456" spans="1:8" x14ac:dyDescent="0.25">
      <c r="A456" s="1051" t="str">
        <f>IFERROR(IF(AND(B456&gt;0,B456/1),INDEX(Заказ!$B$412:$AV$3196,MATCH(B456,Заказ!$AV$412:$AV$3196,0),1),""),"")</f>
        <v/>
      </c>
      <c r="B456" s="1056" t="str">
        <f>IFERROR(IF(B455&gt;0,SMALL(Заказ!$AV$1:$AV$3196,1+B455),""),"")</f>
        <v/>
      </c>
      <c r="C456" s="1057" t="str">
        <f>IFERROR(IF(AND(B456&gt;0,B456/1),INDEX(Заказ!$B$1:$AV$3196,MATCH(B456,Заказ!$AV$1:$AV$3196,0),3),""),"")</f>
        <v/>
      </c>
      <c r="D456" s="1058" t="str">
        <f>IFERROR(IF(AND(B456&gt;0,B456/1),INDEX(Заказ!$B$1:$AV$3196,MATCH(B456,Заказ!$AV$1:$AV$3196,0),9),""),"")</f>
        <v/>
      </c>
      <c r="E456" s="1056" t="str">
        <f>IFERROR(IF(AND(B456&gt;0,B456/1),INDEX(Заказ!$B$1:$AV$3196,MATCH(B456,Заказ!$AV$1:$AV$3196,0),5),""),"")</f>
        <v/>
      </c>
      <c r="F456" s="1056" t="str">
        <f>IFERROR(IF(AND(B456&gt;0,B456/1),INDEX(Заказ!$B$1:$AV$3196,MATCH(B456,Заказ!$AV$1:$AV$3196,0),16)/INDEX(Заказ!$B$1:$AV$3196,MATCH(B456,Заказ!$AV$1:$AV$3196,0),5),""),"")</f>
        <v/>
      </c>
      <c r="G456" s="1059" t="str">
        <f>IFERROR(IF(AND(B456&gt;0,B456/1),INDEX(Заказ!$B$1:$AV$3196,MATCH(B456,Заказ!$AV$1:$AV$3196,0),16),""),"")</f>
        <v/>
      </c>
      <c r="H456" s="1"/>
    </row>
    <row r="457" spans="1:8" x14ac:dyDescent="0.25">
      <c r="A457" s="1051" t="str">
        <f>IFERROR(IF(AND(B457&gt;0,B457/1),INDEX(Заказ!$B$412:$AV$3196,MATCH(B457,Заказ!$AV$412:$AV$3196,0),1),""),"")</f>
        <v/>
      </c>
      <c r="B457" s="1056" t="str">
        <f>IFERROR(IF(B456&gt;0,SMALL(Заказ!$AV$1:$AV$3196,1+B456),""),"")</f>
        <v/>
      </c>
      <c r="C457" s="1057" t="str">
        <f>IFERROR(IF(AND(B457&gt;0,B457/1),INDEX(Заказ!$B$1:$AV$3196,MATCH(B457,Заказ!$AV$1:$AV$3196,0),3),""),"")</f>
        <v/>
      </c>
      <c r="D457" s="1058" t="str">
        <f>IFERROR(IF(AND(B457&gt;0,B457/1),INDEX(Заказ!$B$1:$AV$3196,MATCH(B457,Заказ!$AV$1:$AV$3196,0),9),""),"")</f>
        <v/>
      </c>
      <c r="E457" s="1056" t="str">
        <f>IFERROR(IF(AND(B457&gt;0,B457/1),INDEX(Заказ!$B$1:$AV$3196,MATCH(B457,Заказ!$AV$1:$AV$3196,0),5),""),"")</f>
        <v/>
      </c>
      <c r="F457" s="1056" t="str">
        <f>IFERROR(IF(AND(B457&gt;0,B457/1),INDEX(Заказ!$B$1:$AV$3196,MATCH(B457,Заказ!$AV$1:$AV$3196,0),16)/INDEX(Заказ!$B$1:$AV$3196,MATCH(B457,Заказ!$AV$1:$AV$3196,0),5),""),"")</f>
        <v/>
      </c>
      <c r="G457" s="1059" t="str">
        <f>IFERROR(IF(AND(B457&gt;0,B457/1),INDEX(Заказ!$B$1:$AV$3196,MATCH(B457,Заказ!$AV$1:$AV$3196,0),16),""),"")</f>
        <v/>
      </c>
      <c r="H457" s="1"/>
    </row>
    <row r="458" spans="1:8" x14ac:dyDescent="0.25">
      <c r="A458" s="1051" t="str">
        <f>IFERROR(IF(AND(B458&gt;0,B458/1),INDEX(Заказ!$B$412:$AV$3196,MATCH(B458,Заказ!$AV$412:$AV$3196,0),1),""),"")</f>
        <v/>
      </c>
      <c r="B458" s="1056" t="str">
        <f>IFERROR(IF(B457&gt;0,SMALL(Заказ!$AV$1:$AV$3196,1+B457),""),"")</f>
        <v/>
      </c>
      <c r="C458" s="1057" t="str">
        <f>IFERROR(IF(AND(B458&gt;0,B458/1),INDEX(Заказ!$B$1:$AV$3196,MATCH(B458,Заказ!$AV$1:$AV$3196,0),3),""),"")</f>
        <v/>
      </c>
      <c r="D458" s="1058" t="str">
        <f>IFERROR(IF(AND(B458&gt;0,B458/1),INDEX(Заказ!$B$1:$AV$3196,MATCH(B458,Заказ!$AV$1:$AV$3196,0),9),""),"")</f>
        <v/>
      </c>
      <c r="E458" s="1056" t="str">
        <f>IFERROR(IF(AND(B458&gt;0,B458/1),INDEX(Заказ!$B$1:$AV$3196,MATCH(B458,Заказ!$AV$1:$AV$3196,0),5),""),"")</f>
        <v/>
      </c>
      <c r="F458" s="1056" t="str">
        <f>IFERROR(IF(AND(B458&gt;0,B458/1),INDEX(Заказ!$B$1:$AV$3196,MATCH(B458,Заказ!$AV$1:$AV$3196,0),16)/INDEX(Заказ!$B$1:$AV$3196,MATCH(B458,Заказ!$AV$1:$AV$3196,0),5),""),"")</f>
        <v/>
      </c>
      <c r="G458" s="1059" t="str">
        <f>IFERROR(IF(AND(B458&gt;0,B458/1),INDEX(Заказ!$B$1:$AV$3196,MATCH(B458,Заказ!$AV$1:$AV$3196,0),16),""),"")</f>
        <v/>
      </c>
      <c r="H458" s="1"/>
    </row>
    <row r="459" spans="1:8" x14ac:dyDescent="0.25">
      <c r="A459" s="1051" t="str">
        <f>IFERROR(IF(AND(B459&gt;0,B459/1),INDEX(Заказ!$B$412:$AV$3196,MATCH(B459,Заказ!$AV$412:$AV$3196,0),1),""),"")</f>
        <v/>
      </c>
      <c r="B459" s="1056" t="str">
        <f>IFERROR(IF(B458&gt;0,SMALL(Заказ!$AV$1:$AV$3196,1+B458),""),"")</f>
        <v/>
      </c>
      <c r="C459" s="1057" t="str">
        <f>IFERROR(IF(AND(B459&gt;0,B459/1),INDEX(Заказ!$B$1:$AV$3196,MATCH(B459,Заказ!$AV$1:$AV$3196,0),3),""),"")</f>
        <v/>
      </c>
      <c r="D459" s="1058" t="str">
        <f>IFERROR(IF(AND(B459&gt;0,B459/1),INDEX(Заказ!$B$1:$AV$3196,MATCH(B459,Заказ!$AV$1:$AV$3196,0),9),""),"")</f>
        <v/>
      </c>
      <c r="E459" s="1056" t="str">
        <f>IFERROR(IF(AND(B459&gt;0,B459/1),INDEX(Заказ!$B$1:$AV$3196,MATCH(B459,Заказ!$AV$1:$AV$3196,0),5),""),"")</f>
        <v/>
      </c>
      <c r="F459" s="1056" t="str">
        <f>IFERROR(IF(AND(B459&gt;0,B459/1),INDEX(Заказ!$B$1:$AV$3196,MATCH(B459,Заказ!$AV$1:$AV$3196,0),16)/INDEX(Заказ!$B$1:$AV$3196,MATCH(B459,Заказ!$AV$1:$AV$3196,0),5),""),"")</f>
        <v/>
      </c>
      <c r="G459" s="1059" t="str">
        <f>IFERROR(IF(AND(B459&gt;0,B459/1),INDEX(Заказ!$B$1:$AV$3196,MATCH(B459,Заказ!$AV$1:$AV$3196,0),16),""),"")</f>
        <v/>
      </c>
      <c r="H459" s="1"/>
    </row>
    <row r="460" spans="1:8" x14ac:dyDescent="0.25">
      <c r="A460" s="1051" t="str">
        <f>IFERROR(IF(AND(B460&gt;0,B460/1),INDEX(Заказ!$B$412:$AV$3196,MATCH(B460,Заказ!$AV$412:$AV$3196,0),1),""),"")</f>
        <v/>
      </c>
      <c r="B460" s="1056" t="str">
        <f>IFERROR(IF(B459&gt;0,SMALL(Заказ!$AV$1:$AV$3196,1+B459),""),"")</f>
        <v/>
      </c>
      <c r="C460" s="1057" t="str">
        <f>IFERROR(IF(AND(B460&gt;0,B460/1),INDEX(Заказ!$B$1:$AV$3196,MATCH(B460,Заказ!$AV$1:$AV$3196,0),3),""),"")</f>
        <v/>
      </c>
      <c r="D460" s="1058" t="str">
        <f>IFERROR(IF(AND(B460&gt;0,B460/1),INDEX(Заказ!$B$1:$AV$3196,MATCH(B460,Заказ!$AV$1:$AV$3196,0),9),""),"")</f>
        <v/>
      </c>
      <c r="E460" s="1056" t="str">
        <f>IFERROR(IF(AND(B460&gt;0,B460/1),INDEX(Заказ!$B$1:$AV$3196,MATCH(B460,Заказ!$AV$1:$AV$3196,0),5),""),"")</f>
        <v/>
      </c>
      <c r="F460" s="1056" t="str">
        <f>IFERROR(IF(AND(B460&gt;0,B460/1),INDEX(Заказ!$B$1:$AV$3196,MATCH(B460,Заказ!$AV$1:$AV$3196,0),16)/INDEX(Заказ!$B$1:$AV$3196,MATCH(B460,Заказ!$AV$1:$AV$3196,0),5),""),"")</f>
        <v/>
      </c>
      <c r="G460" s="1059" t="str">
        <f>IFERROR(IF(AND(B460&gt;0,B460/1),INDEX(Заказ!$B$1:$AV$3196,MATCH(B460,Заказ!$AV$1:$AV$3196,0),16),""),"")</f>
        <v/>
      </c>
      <c r="H460" s="1"/>
    </row>
    <row r="461" spans="1:8" x14ac:dyDescent="0.25">
      <c r="A461" s="1051" t="str">
        <f>IFERROR(IF(AND(B461&gt;0,B461/1),INDEX(Заказ!$B$412:$AV$3196,MATCH(B461,Заказ!$AV$412:$AV$3196,0),1),""),"")</f>
        <v/>
      </c>
      <c r="B461" s="1056" t="str">
        <f>IFERROR(IF(B460&gt;0,SMALL(Заказ!$AV$1:$AV$3196,1+B460),""),"")</f>
        <v/>
      </c>
      <c r="C461" s="1057" t="str">
        <f>IFERROR(IF(AND(B461&gt;0,B461/1),INDEX(Заказ!$B$1:$AV$3196,MATCH(B461,Заказ!$AV$1:$AV$3196,0),3),""),"")</f>
        <v/>
      </c>
      <c r="D461" s="1058" t="str">
        <f>IFERROR(IF(AND(B461&gt;0,B461/1),INDEX(Заказ!$B$1:$AV$3196,MATCH(B461,Заказ!$AV$1:$AV$3196,0),9),""),"")</f>
        <v/>
      </c>
      <c r="E461" s="1056" t="str">
        <f>IFERROR(IF(AND(B461&gt;0,B461/1),INDEX(Заказ!$B$1:$AV$3196,MATCH(B461,Заказ!$AV$1:$AV$3196,0),5),""),"")</f>
        <v/>
      </c>
      <c r="F461" s="1056" t="str">
        <f>IFERROR(IF(AND(B461&gt;0,B461/1),INDEX(Заказ!$B$1:$AV$3196,MATCH(B461,Заказ!$AV$1:$AV$3196,0),16)/INDEX(Заказ!$B$1:$AV$3196,MATCH(B461,Заказ!$AV$1:$AV$3196,0),5),""),"")</f>
        <v/>
      </c>
      <c r="G461" s="1059" t="str">
        <f>IFERROR(IF(AND(B461&gt;0,B461/1),INDEX(Заказ!$B$1:$AV$3196,MATCH(B461,Заказ!$AV$1:$AV$3196,0),16),""),"")</f>
        <v/>
      </c>
      <c r="H461" s="1"/>
    </row>
    <row r="462" spans="1:8" x14ac:dyDescent="0.25">
      <c r="A462" s="1051" t="str">
        <f>IFERROR(IF(AND(B462&gt;0,B462/1),INDEX(Заказ!$B$412:$AV$3196,MATCH(B462,Заказ!$AV$412:$AV$3196,0),1),""),"")</f>
        <v/>
      </c>
      <c r="B462" s="1056" t="str">
        <f>IFERROR(IF(B461&gt;0,SMALL(Заказ!$AV$1:$AV$3196,1+B461),""),"")</f>
        <v/>
      </c>
      <c r="C462" s="1057" t="str">
        <f>IFERROR(IF(AND(B462&gt;0,B462/1),INDEX(Заказ!$B$1:$AV$3196,MATCH(B462,Заказ!$AV$1:$AV$3196,0),3),""),"")</f>
        <v/>
      </c>
      <c r="D462" s="1058" t="str">
        <f>IFERROR(IF(AND(B462&gt;0,B462/1),INDEX(Заказ!$B$1:$AV$3196,MATCH(B462,Заказ!$AV$1:$AV$3196,0),9),""),"")</f>
        <v/>
      </c>
      <c r="E462" s="1056" t="str">
        <f>IFERROR(IF(AND(B462&gt;0,B462/1),INDEX(Заказ!$B$1:$AV$3196,MATCH(B462,Заказ!$AV$1:$AV$3196,0),5),""),"")</f>
        <v/>
      </c>
      <c r="F462" s="1056" t="str">
        <f>IFERROR(IF(AND(B462&gt;0,B462/1),INDEX(Заказ!$B$1:$AV$3196,MATCH(B462,Заказ!$AV$1:$AV$3196,0),16)/INDEX(Заказ!$B$1:$AV$3196,MATCH(B462,Заказ!$AV$1:$AV$3196,0),5),""),"")</f>
        <v/>
      </c>
      <c r="G462" s="1059" t="str">
        <f>IFERROR(IF(AND(B462&gt;0,B462/1),INDEX(Заказ!$B$1:$AV$3196,MATCH(B462,Заказ!$AV$1:$AV$3196,0),16),""),"")</f>
        <v/>
      </c>
      <c r="H462" s="1"/>
    </row>
    <row r="463" spans="1:8" x14ac:dyDescent="0.25">
      <c r="A463" s="1051" t="str">
        <f>IFERROR(IF(AND(B463&gt;0,B463/1),INDEX(Заказ!$B$412:$AV$3196,MATCH(B463,Заказ!$AV$412:$AV$3196,0),1),""),"")</f>
        <v/>
      </c>
      <c r="B463" s="1056" t="str">
        <f>IFERROR(IF(B462&gt;0,SMALL(Заказ!$AV$1:$AV$3196,1+B462),""),"")</f>
        <v/>
      </c>
      <c r="C463" s="1057" t="str">
        <f>IFERROR(IF(AND(B463&gt;0,B463/1),INDEX(Заказ!$B$1:$AV$3196,MATCH(B463,Заказ!$AV$1:$AV$3196,0),3),""),"")</f>
        <v/>
      </c>
      <c r="D463" s="1058" t="str">
        <f>IFERROR(IF(AND(B463&gt;0,B463/1),INDEX(Заказ!$B$1:$AV$3196,MATCH(B463,Заказ!$AV$1:$AV$3196,0),9),""),"")</f>
        <v/>
      </c>
      <c r="E463" s="1056" t="str">
        <f>IFERROR(IF(AND(B463&gt;0,B463/1),INDEX(Заказ!$B$1:$AV$3196,MATCH(B463,Заказ!$AV$1:$AV$3196,0),5),""),"")</f>
        <v/>
      </c>
      <c r="F463" s="1056" t="str">
        <f>IFERROR(IF(AND(B463&gt;0,B463/1),INDEX(Заказ!$B$1:$AV$3196,MATCH(B463,Заказ!$AV$1:$AV$3196,0),16)/INDEX(Заказ!$B$1:$AV$3196,MATCH(B463,Заказ!$AV$1:$AV$3196,0),5),""),"")</f>
        <v/>
      </c>
      <c r="G463" s="1059" t="str">
        <f>IFERROR(IF(AND(B463&gt;0,B463/1),INDEX(Заказ!$B$1:$AV$3196,MATCH(B463,Заказ!$AV$1:$AV$3196,0),16),""),"")</f>
        <v/>
      </c>
      <c r="H463" s="1"/>
    </row>
    <row r="464" spans="1:8" x14ac:dyDescent="0.25">
      <c r="A464" s="1051" t="str">
        <f>IFERROR(IF(AND(B464&gt;0,B464/1),INDEX(Заказ!$B$412:$AV$3196,MATCH(B464,Заказ!$AV$412:$AV$3196,0),1),""),"")</f>
        <v/>
      </c>
      <c r="B464" s="1056" t="str">
        <f>IFERROR(IF(B463&gt;0,SMALL(Заказ!$AV$1:$AV$3196,1+B463),""),"")</f>
        <v/>
      </c>
      <c r="C464" s="1057" t="str">
        <f>IFERROR(IF(AND(B464&gt;0,B464/1),INDEX(Заказ!$B$1:$AV$3196,MATCH(B464,Заказ!$AV$1:$AV$3196,0),3),""),"")</f>
        <v/>
      </c>
      <c r="D464" s="1058" t="str">
        <f>IFERROR(IF(AND(B464&gt;0,B464/1),INDEX(Заказ!$B$1:$AV$3196,MATCH(B464,Заказ!$AV$1:$AV$3196,0),9),""),"")</f>
        <v/>
      </c>
      <c r="E464" s="1056" t="str">
        <f>IFERROR(IF(AND(B464&gt;0,B464/1),INDEX(Заказ!$B$1:$AV$3196,MATCH(B464,Заказ!$AV$1:$AV$3196,0),5),""),"")</f>
        <v/>
      </c>
      <c r="F464" s="1056" t="str">
        <f>IFERROR(IF(AND(B464&gt;0,B464/1),INDEX(Заказ!$B$1:$AV$3196,MATCH(B464,Заказ!$AV$1:$AV$3196,0),16)/INDEX(Заказ!$B$1:$AV$3196,MATCH(B464,Заказ!$AV$1:$AV$3196,0),5),""),"")</f>
        <v/>
      </c>
      <c r="G464" s="1059" t="str">
        <f>IFERROR(IF(AND(B464&gt;0,B464/1),INDEX(Заказ!$B$1:$AV$3196,MATCH(B464,Заказ!$AV$1:$AV$3196,0),16),""),"")</f>
        <v/>
      </c>
      <c r="H464" s="1"/>
    </row>
    <row r="465" spans="1:8" x14ac:dyDescent="0.25">
      <c r="A465" s="1051" t="str">
        <f>IFERROR(IF(AND(B465&gt;0,B465/1),INDEX(Заказ!$B$412:$AV$3196,MATCH(B465,Заказ!$AV$412:$AV$3196,0),1),""),"")</f>
        <v/>
      </c>
      <c r="B465" s="1056" t="str">
        <f>IFERROR(IF(B464&gt;0,SMALL(Заказ!$AV$1:$AV$3196,1+B464),""),"")</f>
        <v/>
      </c>
      <c r="C465" s="1057" t="str">
        <f>IFERROR(IF(AND(B465&gt;0,B465/1),INDEX(Заказ!$B$1:$AV$3196,MATCH(B465,Заказ!$AV$1:$AV$3196,0),3),""),"")</f>
        <v/>
      </c>
      <c r="D465" s="1058" t="str">
        <f>IFERROR(IF(AND(B465&gt;0,B465/1),INDEX(Заказ!$B$1:$AV$3196,MATCH(B465,Заказ!$AV$1:$AV$3196,0),9),""),"")</f>
        <v/>
      </c>
      <c r="E465" s="1056" t="str">
        <f>IFERROR(IF(AND(B465&gt;0,B465/1),INDEX(Заказ!$B$1:$AV$3196,MATCH(B465,Заказ!$AV$1:$AV$3196,0),5),""),"")</f>
        <v/>
      </c>
      <c r="F465" s="1056" t="str">
        <f>IFERROR(IF(AND(B465&gt;0,B465/1),INDEX(Заказ!$B$1:$AV$3196,MATCH(B465,Заказ!$AV$1:$AV$3196,0),16)/INDEX(Заказ!$B$1:$AV$3196,MATCH(B465,Заказ!$AV$1:$AV$3196,0),5),""),"")</f>
        <v/>
      </c>
      <c r="G465" s="1059" t="str">
        <f>IFERROR(IF(AND(B465&gt;0,B465/1),INDEX(Заказ!$B$1:$AV$3196,MATCH(B465,Заказ!$AV$1:$AV$3196,0),16),""),"")</f>
        <v/>
      </c>
      <c r="H465" s="1"/>
    </row>
    <row r="466" spans="1:8" x14ac:dyDescent="0.25">
      <c r="A466" s="1051" t="str">
        <f>IFERROR(IF(AND(B466&gt;0,B466/1),INDEX(Заказ!$B$412:$AV$3196,MATCH(B466,Заказ!$AV$412:$AV$3196,0),1),""),"")</f>
        <v/>
      </c>
      <c r="B466" s="1056" t="str">
        <f>IFERROR(IF(B465&gt;0,SMALL(Заказ!$AV$1:$AV$3196,1+B465),""),"")</f>
        <v/>
      </c>
      <c r="C466" s="1057" t="str">
        <f>IFERROR(IF(AND(B466&gt;0,B466/1),INDEX(Заказ!$B$1:$AV$3196,MATCH(B466,Заказ!$AV$1:$AV$3196,0),3),""),"")</f>
        <v/>
      </c>
      <c r="D466" s="1058" t="str">
        <f>IFERROR(IF(AND(B466&gt;0,B466/1),INDEX(Заказ!$B$1:$AV$3196,MATCH(B466,Заказ!$AV$1:$AV$3196,0),9),""),"")</f>
        <v/>
      </c>
      <c r="E466" s="1056" t="str">
        <f>IFERROR(IF(AND(B466&gt;0,B466/1),INDEX(Заказ!$B$1:$AV$3196,MATCH(B466,Заказ!$AV$1:$AV$3196,0),5),""),"")</f>
        <v/>
      </c>
      <c r="F466" s="1056" t="str">
        <f>IFERROR(IF(AND(B466&gt;0,B466/1),INDEX(Заказ!$B$1:$AV$3196,MATCH(B466,Заказ!$AV$1:$AV$3196,0),16)/INDEX(Заказ!$B$1:$AV$3196,MATCH(B466,Заказ!$AV$1:$AV$3196,0),5),""),"")</f>
        <v/>
      </c>
      <c r="G466" s="1059" t="str">
        <f>IFERROR(IF(AND(B466&gt;0,B466/1),INDEX(Заказ!$B$1:$AV$3196,MATCH(B466,Заказ!$AV$1:$AV$3196,0),16),""),"")</f>
        <v/>
      </c>
      <c r="H466" s="1"/>
    </row>
    <row r="467" spans="1:8" x14ac:dyDescent="0.25">
      <c r="A467" s="1051" t="str">
        <f>IFERROR(IF(AND(B467&gt;0,B467/1),INDEX(Заказ!$B$412:$AV$3196,MATCH(B467,Заказ!$AV$412:$AV$3196,0),1),""),"")</f>
        <v/>
      </c>
      <c r="B467" s="1056" t="str">
        <f>IFERROR(IF(B466&gt;0,SMALL(Заказ!$AV$1:$AV$3196,1+B466),""),"")</f>
        <v/>
      </c>
      <c r="C467" s="1057" t="str">
        <f>IFERROR(IF(AND(B467&gt;0,B467/1),INDEX(Заказ!$B$1:$AV$3196,MATCH(B467,Заказ!$AV$1:$AV$3196,0),3),""),"")</f>
        <v/>
      </c>
      <c r="D467" s="1058" t="str">
        <f>IFERROR(IF(AND(B467&gt;0,B467/1),INDEX(Заказ!$B$1:$AV$3196,MATCH(B467,Заказ!$AV$1:$AV$3196,0),9),""),"")</f>
        <v/>
      </c>
      <c r="E467" s="1056" t="str">
        <f>IFERROR(IF(AND(B467&gt;0,B467/1),INDEX(Заказ!$B$1:$AV$3196,MATCH(B467,Заказ!$AV$1:$AV$3196,0),5),""),"")</f>
        <v/>
      </c>
      <c r="F467" s="1056" t="str">
        <f>IFERROR(IF(AND(B467&gt;0,B467/1),INDEX(Заказ!$B$1:$AV$3196,MATCH(B467,Заказ!$AV$1:$AV$3196,0),16)/INDEX(Заказ!$B$1:$AV$3196,MATCH(B467,Заказ!$AV$1:$AV$3196,0),5),""),"")</f>
        <v/>
      </c>
      <c r="G467" s="1059" t="str">
        <f>IFERROR(IF(AND(B467&gt;0,B467/1),INDEX(Заказ!$B$1:$AV$3196,MATCH(B467,Заказ!$AV$1:$AV$3196,0),16),""),"")</f>
        <v/>
      </c>
      <c r="H467" s="1"/>
    </row>
    <row r="468" spans="1:8" x14ac:dyDescent="0.25">
      <c r="A468" s="1051" t="str">
        <f>IFERROR(IF(AND(B468&gt;0,B468/1),INDEX(Заказ!$B$412:$AV$3196,MATCH(B468,Заказ!$AV$412:$AV$3196,0),1),""),"")</f>
        <v/>
      </c>
      <c r="B468" s="1056" t="str">
        <f>IFERROR(IF(B467&gt;0,SMALL(Заказ!$AV$1:$AV$3196,1+B467),""),"")</f>
        <v/>
      </c>
      <c r="C468" s="1057" t="str">
        <f>IFERROR(IF(AND(B468&gt;0,B468/1),INDEX(Заказ!$B$1:$AV$3196,MATCH(B468,Заказ!$AV$1:$AV$3196,0),3),""),"")</f>
        <v/>
      </c>
      <c r="D468" s="1058" t="str">
        <f>IFERROR(IF(AND(B468&gt;0,B468/1),INDEX(Заказ!$B$1:$AV$3196,MATCH(B468,Заказ!$AV$1:$AV$3196,0),9),""),"")</f>
        <v/>
      </c>
      <c r="E468" s="1056" t="str">
        <f>IFERROR(IF(AND(B468&gt;0,B468/1),INDEX(Заказ!$B$1:$AV$3196,MATCH(B468,Заказ!$AV$1:$AV$3196,0),5),""),"")</f>
        <v/>
      </c>
      <c r="F468" s="1056" t="str">
        <f>IFERROR(IF(AND(B468&gt;0,B468/1),INDEX(Заказ!$B$1:$AV$3196,MATCH(B468,Заказ!$AV$1:$AV$3196,0),16)/INDEX(Заказ!$B$1:$AV$3196,MATCH(B468,Заказ!$AV$1:$AV$3196,0),5),""),"")</f>
        <v/>
      </c>
      <c r="G468" s="1059" t="str">
        <f>IFERROR(IF(AND(B468&gt;0,B468/1),INDEX(Заказ!$B$1:$AV$3196,MATCH(B468,Заказ!$AV$1:$AV$3196,0),16),""),"")</f>
        <v/>
      </c>
      <c r="H468" s="1"/>
    </row>
    <row r="469" spans="1:8" x14ac:dyDescent="0.25">
      <c r="A469" s="1051" t="str">
        <f>IFERROR(IF(AND(B469&gt;0,B469/1),INDEX(Заказ!$B$412:$AV$3196,MATCH(B469,Заказ!$AV$412:$AV$3196,0),1),""),"")</f>
        <v/>
      </c>
      <c r="B469" s="1056" t="str">
        <f>IFERROR(IF(B468&gt;0,SMALL(Заказ!$AV$1:$AV$3196,1+B468),""),"")</f>
        <v/>
      </c>
      <c r="C469" s="1057" t="str">
        <f>IFERROR(IF(AND(B469&gt;0,B469/1),INDEX(Заказ!$B$1:$AV$3196,MATCH(B469,Заказ!$AV$1:$AV$3196,0),3),""),"")</f>
        <v/>
      </c>
      <c r="D469" s="1058" t="str">
        <f>IFERROR(IF(AND(B469&gt;0,B469/1),INDEX(Заказ!$B$1:$AV$3196,MATCH(B469,Заказ!$AV$1:$AV$3196,0),9),""),"")</f>
        <v/>
      </c>
      <c r="E469" s="1056" t="str">
        <f>IFERROR(IF(AND(B469&gt;0,B469/1),INDEX(Заказ!$B$1:$AV$3196,MATCH(B469,Заказ!$AV$1:$AV$3196,0),5),""),"")</f>
        <v/>
      </c>
      <c r="F469" s="1056" t="str">
        <f>IFERROR(IF(AND(B469&gt;0,B469/1),INDEX(Заказ!$B$1:$AV$3196,MATCH(B469,Заказ!$AV$1:$AV$3196,0),16)/INDEX(Заказ!$B$1:$AV$3196,MATCH(B469,Заказ!$AV$1:$AV$3196,0),5),""),"")</f>
        <v/>
      </c>
      <c r="G469" s="1059" t="str">
        <f>IFERROR(IF(AND(B469&gt;0,B469/1),INDEX(Заказ!$B$1:$AV$3196,MATCH(B469,Заказ!$AV$1:$AV$3196,0),16),""),"")</f>
        <v/>
      </c>
      <c r="H469" s="1"/>
    </row>
    <row r="470" spans="1:8" x14ac:dyDescent="0.25">
      <c r="A470" s="1051" t="str">
        <f>IFERROR(IF(AND(B470&gt;0,B470/1),INDEX(Заказ!$B$412:$AV$3196,MATCH(B470,Заказ!$AV$412:$AV$3196,0),1),""),"")</f>
        <v/>
      </c>
      <c r="B470" s="1056" t="str">
        <f>IFERROR(IF(B469&gt;0,SMALL(Заказ!$AV$1:$AV$3196,1+B469),""),"")</f>
        <v/>
      </c>
      <c r="C470" s="1057" t="str">
        <f>IFERROR(IF(AND(B470&gt;0,B470/1),INDEX(Заказ!$B$1:$AV$3196,MATCH(B470,Заказ!$AV$1:$AV$3196,0),3),""),"")</f>
        <v/>
      </c>
      <c r="D470" s="1058" t="str">
        <f>IFERROR(IF(AND(B470&gt;0,B470/1),INDEX(Заказ!$B$1:$AV$3196,MATCH(B470,Заказ!$AV$1:$AV$3196,0),9),""),"")</f>
        <v/>
      </c>
      <c r="E470" s="1056" t="str">
        <f>IFERROR(IF(AND(B470&gt;0,B470/1),INDEX(Заказ!$B$1:$AV$3196,MATCH(B470,Заказ!$AV$1:$AV$3196,0),5),""),"")</f>
        <v/>
      </c>
      <c r="F470" s="1056" t="str">
        <f>IFERROR(IF(AND(B470&gt;0,B470/1),INDEX(Заказ!$B$1:$AV$3196,MATCH(B470,Заказ!$AV$1:$AV$3196,0),16)/INDEX(Заказ!$B$1:$AV$3196,MATCH(B470,Заказ!$AV$1:$AV$3196,0),5),""),"")</f>
        <v/>
      </c>
      <c r="G470" s="1059" t="str">
        <f>IFERROR(IF(AND(B470&gt;0,B470/1),INDEX(Заказ!$B$1:$AV$3196,MATCH(B470,Заказ!$AV$1:$AV$3196,0),16),""),"")</f>
        <v/>
      </c>
      <c r="H470" s="1"/>
    </row>
    <row r="471" spans="1:8" x14ac:dyDescent="0.25">
      <c r="A471" s="1051" t="str">
        <f>IFERROR(IF(AND(B471&gt;0,B471/1),INDEX(Заказ!$B$412:$AV$3196,MATCH(B471,Заказ!$AV$412:$AV$3196,0),1),""),"")</f>
        <v/>
      </c>
      <c r="B471" s="1056" t="str">
        <f>IFERROR(IF(B470&gt;0,SMALL(Заказ!$AV$1:$AV$3196,1+B470),""),"")</f>
        <v/>
      </c>
      <c r="C471" s="1057" t="str">
        <f>IFERROR(IF(AND(B471&gt;0,B471/1),INDEX(Заказ!$B$1:$AV$3196,MATCH(B471,Заказ!$AV$1:$AV$3196,0),3),""),"")</f>
        <v/>
      </c>
      <c r="D471" s="1058" t="str">
        <f>IFERROR(IF(AND(B471&gt;0,B471/1),INDEX(Заказ!$B$1:$AV$3196,MATCH(B471,Заказ!$AV$1:$AV$3196,0),9),""),"")</f>
        <v/>
      </c>
      <c r="E471" s="1056" t="str">
        <f>IFERROR(IF(AND(B471&gt;0,B471/1),INDEX(Заказ!$B$1:$AV$3196,MATCH(B471,Заказ!$AV$1:$AV$3196,0),5),""),"")</f>
        <v/>
      </c>
      <c r="F471" s="1056" t="str">
        <f>IFERROR(IF(AND(B471&gt;0,B471/1),INDEX(Заказ!$B$1:$AV$3196,MATCH(B471,Заказ!$AV$1:$AV$3196,0),16)/INDEX(Заказ!$B$1:$AV$3196,MATCH(B471,Заказ!$AV$1:$AV$3196,0),5),""),"")</f>
        <v/>
      </c>
      <c r="G471" s="1059" t="str">
        <f>IFERROR(IF(AND(B471&gt;0,B471/1),INDEX(Заказ!$B$1:$AV$3196,MATCH(B471,Заказ!$AV$1:$AV$3196,0),16),""),"")</f>
        <v/>
      </c>
      <c r="H471" s="1"/>
    </row>
    <row r="472" spans="1:8" x14ac:dyDescent="0.25">
      <c r="A472" s="1051" t="str">
        <f>IFERROR(IF(AND(B472&gt;0,B472/1),INDEX(Заказ!$B$412:$AV$3196,MATCH(B472,Заказ!$AV$412:$AV$3196,0),1),""),"")</f>
        <v/>
      </c>
      <c r="B472" s="1056" t="str">
        <f>IFERROR(IF(B471&gt;0,SMALL(Заказ!$AV$1:$AV$3196,1+B471),""),"")</f>
        <v/>
      </c>
      <c r="C472" s="1057" t="str">
        <f>IFERROR(IF(AND(B472&gt;0,B472/1),INDEX(Заказ!$B$1:$AV$3196,MATCH(B472,Заказ!$AV$1:$AV$3196,0),3),""),"")</f>
        <v/>
      </c>
      <c r="D472" s="1058" t="str">
        <f>IFERROR(IF(AND(B472&gt;0,B472/1),INDEX(Заказ!$B$1:$AV$3196,MATCH(B472,Заказ!$AV$1:$AV$3196,0),9),""),"")</f>
        <v/>
      </c>
      <c r="E472" s="1056" t="str">
        <f>IFERROR(IF(AND(B472&gt;0,B472/1),INDEX(Заказ!$B$1:$AV$3196,MATCH(B472,Заказ!$AV$1:$AV$3196,0),5),""),"")</f>
        <v/>
      </c>
      <c r="F472" s="1056" t="str">
        <f>IFERROR(IF(AND(B472&gt;0,B472/1),INDEX(Заказ!$B$1:$AV$3196,MATCH(B472,Заказ!$AV$1:$AV$3196,0),16)/INDEX(Заказ!$B$1:$AV$3196,MATCH(B472,Заказ!$AV$1:$AV$3196,0),5),""),"")</f>
        <v/>
      </c>
      <c r="G472" s="1059" t="str">
        <f>IFERROR(IF(AND(B472&gt;0,B472/1),INDEX(Заказ!$B$1:$AV$3196,MATCH(B472,Заказ!$AV$1:$AV$3196,0),16),""),"")</f>
        <v/>
      </c>
      <c r="H472" s="1"/>
    </row>
    <row r="473" spans="1:8" x14ac:dyDescent="0.25">
      <c r="A473" s="1051" t="str">
        <f>IFERROR(IF(AND(B473&gt;0,B473/1),INDEX(Заказ!$B$412:$AV$3196,MATCH(B473,Заказ!$AV$412:$AV$3196,0),1),""),"")</f>
        <v/>
      </c>
      <c r="B473" s="1056" t="str">
        <f>IFERROR(IF(B472&gt;0,SMALL(Заказ!$AV$1:$AV$3196,1+B472),""),"")</f>
        <v/>
      </c>
      <c r="C473" s="1057" t="str">
        <f>IFERROR(IF(AND(B473&gt;0,B473/1),INDEX(Заказ!$B$1:$AV$3196,MATCH(B473,Заказ!$AV$1:$AV$3196,0),3),""),"")</f>
        <v/>
      </c>
      <c r="D473" s="1058" t="str">
        <f>IFERROR(IF(AND(B473&gt;0,B473/1),INDEX(Заказ!$B$1:$AV$3196,MATCH(B473,Заказ!$AV$1:$AV$3196,0),9),""),"")</f>
        <v/>
      </c>
      <c r="E473" s="1056" t="str">
        <f>IFERROR(IF(AND(B473&gt;0,B473/1),INDEX(Заказ!$B$1:$AV$3196,MATCH(B473,Заказ!$AV$1:$AV$3196,0),5),""),"")</f>
        <v/>
      </c>
      <c r="F473" s="1056" t="str">
        <f>IFERROR(IF(AND(B473&gt;0,B473/1),INDEX(Заказ!$B$1:$AV$3196,MATCH(B473,Заказ!$AV$1:$AV$3196,0),16)/INDEX(Заказ!$B$1:$AV$3196,MATCH(B473,Заказ!$AV$1:$AV$3196,0),5),""),"")</f>
        <v/>
      </c>
      <c r="G473" s="1059" t="str">
        <f>IFERROR(IF(AND(B473&gt;0,B473/1),INDEX(Заказ!$B$1:$AV$3196,MATCH(B473,Заказ!$AV$1:$AV$3196,0),16),""),"")</f>
        <v/>
      </c>
      <c r="H473" s="1"/>
    </row>
    <row r="474" spans="1:8" x14ac:dyDescent="0.25">
      <c r="A474" s="1051" t="str">
        <f>IFERROR(IF(AND(B474&gt;0,B474/1),INDEX(Заказ!$B$412:$AV$3196,MATCH(B474,Заказ!$AV$412:$AV$3196,0),1),""),"")</f>
        <v/>
      </c>
      <c r="B474" s="1056" t="str">
        <f>IFERROR(IF(B473&gt;0,SMALL(Заказ!$AV$1:$AV$3196,1+B473),""),"")</f>
        <v/>
      </c>
      <c r="C474" s="1057" t="str">
        <f>IFERROR(IF(AND(B474&gt;0,B474/1),INDEX(Заказ!$B$1:$AV$3196,MATCH(B474,Заказ!$AV$1:$AV$3196,0),3),""),"")</f>
        <v/>
      </c>
      <c r="D474" s="1058" t="str">
        <f>IFERROR(IF(AND(B474&gt;0,B474/1),INDEX(Заказ!$B$1:$AV$3196,MATCH(B474,Заказ!$AV$1:$AV$3196,0),9),""),"")</f>
        <v/>
      </c>
      <c r="E474" s="1056" t="str">
        <f>IFERROR(IF(AND(B474&gt;0,B474/1),INDEX(Заказ!$B$1:$AV$3196,MATCH(B474,Заказ!$AV$1:$AV$3196,0),5),""),"")</f>
        <v/>
      </c>
      <c r="F474" s="1056" t="str">
        <f>IFERROR(IF(AND(B474&gt;0,B474/1),INDEX(Заказ!$B$1:$AV$3196,MATCH(B474,Заказ!$AV$1:$AV$3196,0),16)/INDEX(Заказ!$B$1:$AV$3196,MATCH(B474,Заказ!$AV$1:$AV$3196,0),5),""),"")</f>
        <v/>
      </c>
      <c r="G474" s="1059" t="str">
        <f>IFERROR(IF(AND(B474&gt;0,B474/1),INDEX(Заказ!$B$1:$AV$3196,MATCH(B474,Заказ!$AV$1:$AV$3196,0),16),""),"")</f>
        <v/>
      </c>
      <c r="H474" s="1"/>
    </row>
    <row r="475" spans="1:8" x14ac:dyDescent="0.25">
      <c r="A475" s="1051" t="str">
        <f>IFERROR(IF(AND(B475&gt;0,B475/1),INDEX(Заказ!$B$412:$AV$3196,MATCH(B475,Заказ!$AV$412:$AV$3196,0),1),""),"")</f>
        <v/>
      </c>
      <c r="B475" s="1056" t="str">
        <f>IFERROR(IF(B474&gt;0,SMALL(Заказ!$AV$1:$AV$3196,1+B474),""),"")</f>
        <v/>
      </c>
      <c r="C475" s="1057" t="str">
        <f>IFERROR(IF(AND(B475&gt;0,B475/1),INDEX(Заказ!$B$1:$AV$3196,MATCH(B475,Заказ!$AV$1:$AV$3196,0),3),""),"")</f>
        <v/>
      </c>
      <c r="D475" s="1058" t="str">
        <f>IFERROR(IF(AND(B475&gt;0,B475/1),INDEX(Заказ!$B$1:$AV$3196,MATCH(B475,Заказ!$AV$1:$AV$3196,0),9),""),"")</f>
        <v/>
      </c>
      <c r="E475" s="1056" t="str">
        <f>IFERROR(IF(AND(B475&gt;0,B475/1),INDEX(Заказ!$B$1:$AV$3196,MATCH(B475,Заказ!$AV$1:$AV$3196,0),5),""),"")</f>
        <v/>
      </c>
      <c r="F475" s="1056" t="str">
        <f>IFERROR(IF(AND(B475&gt;0,B475/1),INDEX(Заказ!$B$1:$AV$3196,MATCH(B475,Заказ!$AV$1:$AV$3196,0),16)/INDEX(Заказ!$B$1:$AV$3196,MATCH(B475,Заказ!$AV$1:$AV$3196,0),5),""),"")</f>
        <v/>
      </c>
      <c r="G475" s="1059" t="str">
        <f>IFERROR(IF(AND(B475&gt;0,B475/1),INDEX(Заказ!$B$1:$AV$3196,MATCH(B475,Заказ!$AV$1:$AV$3196,0),16),""),"")</f>
        <v/>
      </c>
      <c r="H475" s="1"/>
    </row>
    <row r="476" spans="1:8" x14ac:dyDescent="0.25">
      <c r="A476" s="1051" t="str">
        <f>IFERROR(IF(AND(B476&gt;0,B476/1),INDEX(Заказ!$B$412:$AV$3196,MATCH(B476,Заказ!$AV$412:$AV$3196,0),1),""),"")</f>
        <v/>
      </c>
      <c r="B476" s="1056" t="str">
        <f>IFERROR(IF(B475&gt;0,SMALL(Заказ!$AV$1:$AV$3196,1+B475),""),"")</f>
        <v/>
      </c>
      <c r="C476" s="1057" t="str">
        <f>IFERROR(IF(AND(B476&gt;0,B476/1),INDEX(Заказ!$B$1:$AV$3196,MATCH(B476,Заказ!$AV$1:$AV$3196,0),3),""),"")</f>
        <v/>
      </c>
      <c r="D476" s="1058" t="str">
        <f>IFERROR(IF(AND(B476&gt;0,B476/1),INDEX(Заказ!$B$1:$AV$3196,MATCH(B476,Заказ!$AV$1:$AV$3196,0),9),""),"")</f>
        <v/>
      </c>
      <c r="E476" s="1056" t="str">
        <f>IFERROR(IF(AND(B476&gt;0,B476/1),INDEX(Заказ!$B$1:$AV$3196,MATCH(B476,Заказ!$AV$1:$AV$3196,0),5),""),"")</f>
        <v/>
      </c>
      <c r="F476" s="1056" t="str">
        <f>IFERROR(IF(AND(B476&gt;0,B476/1),INDEX(Заказ!$B$1:$AV$3196,MATCH(B476,Заказ!$AV$1:$AV$3196,0),16)/INDEX(Заказ!$B$1:$AV$3196,MATCH(B476,Заказ!$AV$1:$AV$3196,0),5),""),"")</f>
        <v/>
      </c>
      <c r="G476" s="1059" t="str">
        <f>IFERROR(IF(AND(B476&gt;0,B476/1),INDEX(Заказ!$B$1:$AV$3196,MATCH(B476,Заказ!$AV$1:$AV$3196,0),16),""),"")</f>
        <v/>
      </c>
      <c r="H476" s="1"/>
    </row>
    <row r="477" spans="1:8" x14ac:dyDescent="0.25">
      <c r="A477" s="1051" t="str">
        <f>IFERROR(IF(AND(B477&gt;0,B477/1),INDEX(Заказ!$B$412:$AV$3196,MATCH(B477,Заказ!$AV$412:$AV$3196,0),1),""),"")</f>
        <v/>
      </c>
      <c r="B477" s="1056" t="str">
        <f>IFERROR(IF(B476&gt;0,SMALL(Заказ!$AV$1:$AV$3196,1+B476),""),"")</f>
        <v/>
      </c>
      <c r="C477" s="1057" t="str">
        <f>IFERROR(IF(AND(B477&gt;0,B477/1),INDEX(Заказ!$B$1:$AV$3196,MATCH(B477,Заказ!$AV$1:$AV$3196,0),3),""),"")</f>
        <v/>
      </c>
      <c r="D477" s="1058" t="str">
        <f>IFERROR(IF(AND(B477&gt;0,B477/1),INDEX(Заказ!$B$1:$AV$3196,MATCH(B477,Заказ!$AV$1:$AV$3196,0),9),""),"")</f>
        <v/>
      </c>
      <c r="E477" s="1056" t="str">
        <f>IFERROR(IF(AND(B477&gt;0,B477/1),INDEX(Заказ!$B$1:$AV$3196,MATCH(B477,Заказ!$AV$1:$AV$3196,0),5),""),"")</f>
        <v/>
      </c>
      <c r="F477" s="1056" t="str">
        <f>IFERROR(IF(AND(B477&gt;0,B477/1),INDEX(Заказ!$B$1:$AV$3196,MATCH(B477,Заказ!$AV$1:$AV$3196,0),16)/INDEX(Заказ!$B$1:$AV$3196,MATCH(B477,Заказ!$AV$1:$AV$3196,0),5),""),"")</f>
        <v/>
      </c>
      <c r="G477" s="1059" t="str">
        <f>IFERROR(IF(AND(B477&gt;0,B477/1),INDEX(Заказ!$B$1:$AV$3196,MATCH(B477,Заказ!$AV$1:$AV$3196,0),16),""),"")</f>
        <v/>
      </c>
      <c r="H477" s="1"/>
    </row>
    <row r="478" spans="1:8" x14ac:dyDescent="0.25">
      <c r="A478" s="1051" t="str">
        <f>IFERROR(IF(AND(B478&gt;0,B478/1),INDEX(Заказ!$B$412:$AV$3196,MATCH(B478,Заказ!$AV$412:$AV$3196,0),1),""),"")</f>
        <v/>
      </c>
      <c r="B478" s="1056" t="str">
        <f>IFERROR(IF(B477&gt;0,SMALL(Заказ!$AV$1:$AV$3196,1+B477),""),"")</f>
        <v/>
      </c>
      <c r="C478" s="1057" t="str">
        <f>IFERROR(IF(AND(B478&gt;0,B478/1),INDEX(Заказ!$B$1:$AV$3196,MATCH(B478,Заказ!$AV$1:$AV$3196,0),3),""),"")</f>
        <v/>
      </c>
      <c r="D478" s="1058" t="str">
        <f>IFERROR(IF(AND(B478&gt;0,B478/1),INDEX(Заказ!$B$1:$AV$3196,MATCH(B478,Заказ!$AV$1:$AV$3196,0),9),""),"")</f>
        <v/>
      </c>
      <c r="E478" s="1056" t="str">
        <f>IFERROR(IF(AND(B478&gt;0,B478/1),INDEX(Заказ!$B$1:$AV$3196,MATCH(B478,Заказ!$AV$1:$AV$3196,0),5),""),"")</f>
        <v/>
      </c>
      <c r="F478" s="1056" t="str">
        <f>IFERROR(IF(AND(B478&gt;0,B478/1),INDEX(Заказ!$B$1:$AV$3196,MATCH(B478,Заказ!$AV$1:$AV$3196,0),16)/INDEX(Заказ!$B$1:$AV$3196,MATCH(B478,Заказ!$AV$1:$AV$3196,0),5),""),"")</f>
        <v/>
      </c>
      <c r="G478" s="1059" t="str">
        <f>IFERROR(IF(AND(B478&gt;0,B478/1),INDEX(Заказ!$B$1:$AV$3196,MATCH(B478,Заказ!$AV$1:$AV$3196,0),16),""),"")</f>
        <v/>
      </c>
      <c r="H478" s="1"/>
    </row>
    <row r="479" spans="1:8" x14ac:dyDescent="0.25">
      <c r="A479" s="1051" t="str">
        <f>IFERROR(IF(AND(B479&gt;0,B479/1),INDEX(Заказ!$B$412:$AV$3196,MATCH(B479,Заказ!$AV$412:$AV$3196,0),1),""),"")</f>
        <v/>
      </c>
      <c r="B479" s="1056" t="str">
        <f>IFERROR(IF(B478&gt;0,SMALL(Заказ!$AV$1:$AV$3196,1+B478),""),"")</f>
        <v/>
      </c>
      <c r="C479" s="1057" t="str">
        <f>IFERROR(IF(AND(B479&gt;0,B479/1),INDEX(Заказ!$B$1:$AV$3196,MATCH(B479,Заказ!$AV$1:$AV$3196,0),3),""),"")</f>
        <v/>
      </c>
      <c r="D479" s="1058" t="str">
        <f>IFERROR(IF(AND(B479&gt;0,B479/1),INDEX(Заказ!$B$1:$AV$3196,MATCH(B479,Заказ!$AV$1:$AV$3196,0),9),""),"")</f>
        <v/>
      </c>
      <c r="E479" s="1056" t="str">
        <f>IFERROR(IF(AND(B479&gt;0,B479/1),INDEX(Заказ!$B$1:$AV$3196,MATCH(B479,Заказ!$AV$1:$AV$3196,0),5),""),"")</f>
        <v/>
      </c>
      <c r="F479" s="1056" t="str">
        <f>IFERROR(IF(AND(B479&gt;0,B479/1),INDEX(Заказ!$B$1:$AV$3196,MATCH(B479,Заказ!$AV$1:$AV$3196,0),16)/INDEX(Заказ!$B$1:$AV$3196,MATCH(B479,Заказ!$AV$1:$AV$3196,0),5),""),"")</f>
        <v/>
      </c>
      <c r="G479" s="1059" t="str">
        <f>IFERROR(IF(AND(B479&gt;0,B479/1),INDEX(Заказ!$B$1:$AV$3196,MATCH(B479,Заказ!$AV$1:$AV$3196,0),16),""),"")</f>
        <v/>
      </c>
      <c r="H479" s="1"/>
    </row>
    <row r="480" spans="1:8" x14ac:dyDescent="0.25">
      <c r="A480" s="1051" t="str">
        <f>IFERROR(IF(AND(B480&gt;0,B480/1),INDEX(Заказ!$B$412:$AV$3196,MATCH(B480,Заказ!$AV$412:$AV$3196,0),1),""),"")</f>
        <v/>
      </c>
      <c r="B480" s="1056" t="str">
        <f>IFERROR(IF(B479&gt;0,SMALL(Заказ!$AV$1:$AV$3196,1+B479),""),"")</f>
        <v/>
      </c>
      <c r="C480" s="1057" t="str">
        <f>IFERROR(IF(AND(B480&gt;0,B480/1),INDEX(Заказ!$B$1:$AV$3196,MATCH(B480,Заказ!$AV$1:$AV$3196,0),3),""),"")</f>
        <v/>
      </c>
      <c r="D480" s="1058" t="str">
        <f>IFERROR(IF(AND(B480&gt;0,B480/1),INDEX(Заказ!$B$1:$AV$3196,MATCH(B480,Заказ!$AV$1:$AV$3196,0),9),""),"")</f>
        <v/>
      </c>
      <c r="E480" s="1056" t="str">
        <f>IFERROR(IF(AND(B480&gt;0,B480/1),INDEX(Заказ!$B$1:$AV$3196,MATCH(B480,Заказ!$AV$1:$AV$3196,0),5),""),"")</f>
        <v/>
      </c>
      <c r="F480" s="1056" t="str">
        <f>IFERROR(IF(AND(B480&gt;0,B480/1),INDEX(Заказ!$B$1:$AV$3196,MATCH(B480,Заказ!$AV$1:$AV$3196,0),16)/INDEX(Заказ!$B$1:$AV$3196,MATCH(B480,Заказ!$AV$1:$AV$3196,0),5),""),"")</f>
        <v/>
      </c>
      <c r="G480" s="1059" t="str">
        <f>IFERROR(IF(AND(B480&gt;0,B480/1),INDEX(Заказ!$B$1:$AV$3196,MATCH(B480,Заказ!$AV$1:$AV$3196,0),16),""),"")</f>
        <v/>
      </c>
      <c r="H480" s="1"/>
    </row>
    <row r="481" spans="1:8" x14ac:dyDescent="0.25">
      <c r="A481" s="1051" t="str">
        <f>IFERROR(IF(AND(B481&gt;0,B481/1),INDEX(Заказ!$B$412:$AV$3196,MATCH(B481,Заказ!$AV$412:$AV$3196,0),1),""),"")</f>
        <v/>
      </c>
      <c r="B481" s="1056" t="str">
        <f>IFERROR(IF(B480&gt;0,SMALL(Заказ!$AV$1:$AV$3196,1+B480),""),"")</f>
        <v/>
      </c>
      <c r="C481" s="1057" t="str">
        <f>IFERROR(IF(AND(B481&gt;0,B481/1),INDEX(Заказ!$B$1:$AV$3196,MATCH(B481,Заказ!$AV$1:$AV$3196,0),3),""),"")</f>
        <v/>
      </c>
      <c r="D481" s="1058" t="str">
        <f>IFERROR(IF(AND(B481&gt;0,B481/1),INDEX(Заказ!$B$1:$AV$3196,MATCH(B481,Заказ!$AV$1:$AV$3196,0),9),""),"")</f>
        <v/>
      </c>
      <c r="E481" s="1056" t="str">
        <f>IFERROR(IF(AND(B481&gt;0,B481/1),INDEX(Заказ!$B$1:$AV$3196,MATCH(B481,Заказ!$AV$1:$AV$3196,0),5),""),"")</f>
        <v/>
      </c>
      <c r="F481" s="1056" t="str">
        <f>IFERROR(IF(AND(B481&gt;0,B481/1),INDEX(Заказ!$B$1:$AV$3196,MATCH(B481,Заказ!$AV$1:$AV$3196,0),16)/INDEX(Заказ!$B$1:$AV$3196,MATCH(B481,Заказ!$AV$1:$AV$3196,0),5),""),"")</f>
        <v/>
      </c>
      <c r="G481" s="1059" t="str">
        <f>IFERROR(IF(AND(B481&gt;0,B481/1),INDEX(Заказ!$B$1:$AV$3196,MATCH(B481,Заказ!$AV$1:$AV$3196,0),16),""),"")</f>
        <v/>
      </c>
      <c r="H481" s="1"/>
    </row>
    <row r="482" spans="1:8" x14ac:dyDescent="0.25">
      <c r="A482" s="1051" t="str">
        <f>IFERROR(IF(AND(B482&gt;0,B482/1),INDEX(Заказ!$B$412:$AV$3196,MATCH(B482,Заказ!$AV$412:$AV$3196,0),1),""),"")</f>
        <v/>
      </c>
      <c r="B482" s="1056" t="str">
        <f>IFERROR(IF(B481&gt;0,SMALL(Заказ!$AV$1:$AV$3196,1+B481),""),"")</f>
        <v/>
      </c>
      <c r="C482" s="1057" t="str">
        <f>IFERROR(IF(AND(B482&gt;0,B482/1),INDEX(Заказ!$B$1:$AV$3196,MATCH(B482,Заказ!$AV$1:$AV$3196,0),3),""),"")</f>
        <v/>
      </c>
      <c r="D482" s="1058" t="str">
        <f>IFERROR(IF(AND(B482&gt;0,B482/1),INDEX(Заказ!$B$1:$AV$3196,MATCH(B482,Заказ!$AV$1:$AV$3196,0),9),""),"")</f>
        <v/>
      </c>
      <c r="E482" s="1056" t="str">
        <f>IFERROR(IF(AND(B482&gt;0,B482/1),INDEX(Заказ!$B$1:$AV$3196,MATCH(B482,Заказ!$AV$1:$AV$3196,0),5),""),"")</f>
        <v/>
      </c>
      <c r="F482" s="1056" t="str">
        <f>IFERROR(IF(AND(B482&gt;0,B482/1),INDEX(Заказ!$B$1:$AV$3196,MATCH(B482,Заказ!$AV$1:$AV$3196,0),16)/INDEX(Заказ!$B$1:$AV$3196,MATCH(B482,Заказ!$AV$1:$AV$3196,0),5),""),"")</f>
        <v/>
      </c>
      <c r="G482" s="1059" t="str">
        <f>IFERROR(IF(AND(B482&gt;0,B482/1),INDEX(Заказ!$B$1:$AV$3196,MATCH(B482,Заказ!$AV$1:$AV$3196,0),16),""),"")</f>
        <v/>
      </c>
      <c r="H482" s="1"/>
    </row>
    <row r="483" spans="1:8" x14ac:dyDescent="0.25">
      <c r="A483" s="1051" t="str">
        <f>IFERROR(IF(AND(B483&gt;0,B483/1),INDEX(Заказ!$B$412:$AV$3196,MATCH(B483,Заказ!$AV$412:$AV$3196,0),1),""),"")</f>
        <v/>
      </c>
      <c r="B483" s="1056" t="str">
        <f>IFERROR(IF(B482&gt;0,SMALL(Заказ!$AV$1:$AV$3196,1+B482),""),"")</f>
        <v/>
      </c>
      <c r="C483" s="1057" t="str">
        <f>IFERROR(IF(AND(B483&gt;0,B483/1),INDEX(Заказ!$B$1:$AV$3196,MATCH(B483,Заказ!$AV$1:$AV$3196,0),3),""),"")</f>
        <v/>
      </c>
      <c r="D483" s="1058" t="str">
        <f>IFERROR(IF(AND(B483&gt;0,B483/1),INDEX(Заказ!$B$1:$AV$3196,MATCH(B483,Заказ!$AV$1:$AV$3196,0),9),""),"")</f>
        <v/>
      </c>
      <c r="E483" s="1056" t="str">
        <f>IFERROR(IF(AND(B483&gt;0,B483/1),INDEX(Заказ!$B$1:$AV$3196,MATCH(B483,Заказ!$AV$1:$AV$3196,0),5),""),"")</f>
        <v/>
      </c>
      <c r="F483" s="1056" t="str">
        <f>IFERROR(IF(AND(B483&gt;0,B483/1),INDEX(Заказ!$B$1:$AV$3196,MATCH(B483,Заказ!$AV$1:$AV$3196,0),16)/INDEX(Заказ!$B$1:$AV$3196,MATCH(B483,Заказ!$AV$1:$AV$3196,0),5),""),"")</f>
        <v/>
      </c>
      <c r="G483" s="1059" t="str">
        <f>IFERROR(IF(AND(B483&gt;0,B483/1),INDEX(Заказ!$B$1:$AV$3196,MATCH(B483,Заказ!$AV$1:$AV$3196,0),16),""),"")</f>
        <v/>
      </c>
      <c r="H483" s="1"/>
    </row>
    <row r="484" spans="1:8" x14ac:dyDescent="0.25">
      <c r="A484" s="1051" t="str">
        <f>IFERROR(IF(AND(B484&gt;0,B484/1),INDEX(Заказ!$B$412:$AV$3196,MATCH(B484,Заказ!$AV$412:$AV$3196,0),1),""),"")</f>
        <v/>
      </c>
      <c r="B484" s="1056" t="str">
        <f>IFERROR(IF(B483&gt;0,SMALL(Заказ!$AV$1:$AV$3196,1+B483),""),"")</f>
        <v/>
      </c>
      <c r="C484" s="1057" t="str">
        <f>IFERROR(IF(AND(B484&gt;0,B484/1),INDEX(Заказ!$B$1:$AV$3196,MATCH(B484,Заказ!$AV$1:$AV$3196,0),3),""),"")</f>
        <v/>
      </c>
      <c r="D484" s="1058" t="str">
        <f>IFERROR(IF(AND(B484&gt;0,B484/1),INDEX(Заказ!$B$1:$AV$3196,MATCH(B484,Заказ!$AV$1:$AV$3196,0),9),""),"")</f>
        <v/>
      </c>
      <c r="E484" s="1056" t="str">
        <f>IFERROR(IF(AND(B484&gt;0,B484/1),INDEX(Заказ!$B$1:$AV$3196,MATCH(B484,Заказ!$AV$1:$AV$3196,0),5),""),"")</f>
        <v/>
      </c>
      <c r="F484" s="1056" t="str">
        <f>IFERROR(IF(AND(B484&gt;0,B484/1),INDEX(Заказ!$B$1:$AV$3196,MATCH(B484,Заказ!$AV$1:$AV$3196,0),16)/INDEX(Заказ!$B$1:$AV$3196,MATCH(B484,Заказ!$AV$1:$AV$3196,0),5),""),"")</f>
        <v/>
      </c>
      <c r="G484" s="1059" t="str">
        <f>IFERROR(IF(AND(B484&gt;0,B484/1),INDEX(Заказ!$B$1:$AV$3196,MATCH(B484,Заказ!$AV$1:$AV$3196,0),16),""),"")</f>
        <v/>
      </c>
      <c r="H484" s="1"/>
    </row>
    <row r="485" spans="1:8" x14ac:dyDescent="0.25">
      <c r="A485" s="1051" t="str">
        <f>IFERROR(IF(AND(B485&gt;0,B485/1),INDEX(Заказ!$B$412:$AV$3196,MATCH(B485,Заказ!$AV$412:$AV$3196,0),1),""),"")</f>
        <v/>
      </c>
      <c r="B485" s="1056" t="str">
        <f>IFERROR(IF(B484&gt;0,SMALL(Заказ!$AV$1:$AV$3196,1+B484),""),"")</f>
        <v/>
      </c>
      <c r="C485" s="1057" t="str">
        <f>IFERROR(IF(AND(B485&gt;0,B485/1),INDEX(Заказ!$B$1:$AV$3196,MATCH(B485,Заказ!$AV$1:$AV$3196,0),3),""),"")</f>
        <v/>
      </c>
      <c r="D485" s="1058" t="str">
        <f>IFERROR(IF(AND(B485&gt;0,B485/1),INDEX(Заказ!$B$1:$AV$3196,MATCH(B485,Заказ!$AV$1:$AV$3196,0),9),""),"")</f>
        <v/>
      </c>
      <c r="E485" s="1056" t="str">
        <f>IFERROR(IF(AND(B485&gt;0,B485/1),INDEX(Заказ!$B$1:$AV$3196,MATCH(B485,Заказ!$AV$1:$AV$3196,0),5),""),"")</f>
        <v/>
      </c>
      <c r="F485" s="1056" t="str">
        <f>IFERROR(IF(AND(B485&gt;0,B485/1),INDEX(Заказ!$B$1:$AV$3196,MATCH(B485,Заказ!$AV$1:$AV$3196,0),16)/INDEX(Заказ!$B$1:$AV$3196,MATCH(B485,Заказ!$AV$1:$AV$3196,0),5),""),"")</f>
        <v/>
      </c>
      <c r="G485" s="1059" t="str">
        <f>IFERROR(IF(AND(B485&gt;0,B485/1),INDEX(Заказ!$B$1:$AV$3196,MATCH(B485,Заказ!$AV$1:$AV$3196,0),16),""),"")</f>
        <v/>
      </c>
      <c r="H485" s="1"/>
    </row>
    <row r="486" spans="1:8" x14ac:dyDescent="0.25">
      <c r="A486" s="1051" t="str">
        <f>IFERROR(IF(AND(B486&gt;0,B486/1),INDEX(Заказ!$B$412:$AV$3196,MATCH(B486,Заказ!$AV$412:$AV$3196,0),1),""),"")</f>
        <v/>
      </c>
      <c r="B486" s="1056" t="str">
        <f>IFERROR(IF(B485&gt;0,SMALL(Заказ!$AV$1:$AV$3196,1+B485),""),"")</f>
        <v/>
      </c>
      <c r="C486" s="1057" t="str">
        <f>IFERROR(IF(AND(B486&gt;0,B486/1),INDEX(Заказ!$B$1:$AV$3196,MATCH(B486,Заказ!$AV$1:$AV$3196,0),3),""),"")</f>
        <v/>
      </c>
      <c r="D486" s="1058" t="str">
        <f>IFERROR(IF(AND(B486&gt;0,B486/1),INDEX(Заказ!$B$1:$AV$3196,MATCH(B486,Заказ!$AV$1:$AV$3196,0),9),""),"")</f>
        <v/>
      </c>
      <c r="E486" s="1056" t="str">
        <f>IFERROR(IF(AND(B486&gt;0,B486/1),INDEX(Заказ!$B$1:$AV$3196,MATCH(B486,Заказ!$AV$1:$AV$3196,0),5),""),"")</f>
        <v/>
      </c>
      <c r="F486" s="1056" t="str">
        <f>IFERROR(IF(AND(B486&gt;0,B486/1),INDEX(Заказ!$B$1:$AV$3196,MATCH(B486,Заказ!$AV$1:$AV$3196,0),16)/INDEX(Заказ!$B$1:$AV$3196,MATCH(B486,Заказ!$AV$1:$AV$3196,0),5),""),"")</f>
        <v/>
      </c>
      <c r="G486" s="1059" t="str">
        <f>IFERROR(IF(AND(B486&gt;0,B486/1),INDEX(Заказ!$B$1:$AV$3196,MATCH(B486,Заказ!$AV$1:$AV$3196,0),16),""),"")</f>
        <v/>
      </c>
      <c r="H486" s="1"/>
    </row>
    <row r="487" spans="1:8" x14ac:dyDescent="0.25">
      <c r="A487" s="1051" t="str">
        <f>IFERROR(IF(AND(B487&gt;0,B487/1),INDEX(Заказ!$B$412:$AV$3196,MATCH(B487,Заказ!$AV$412:$AV$3196,0),1),""),"")</f>
        <v/>
      </c>
      <c r="B487" s="1056" t="str">
        <f>IFERROR(IF(B486&gt;0,SMALL(Заказ!$AV$1:$AV$3196,1+B486),""),"")</f>
        <v/>
      </c>
      <c r="C487" s="1057" t="str">
        <f>IFERROR(IF(AND(B487&gt;0,B487/1),INDEX(Заказ!$B$1:$AV$3196,MATCH(B487,Заказ!$AV$1:$AV$3196,0),3),""),"")</f>
        <v/>
      </c>
      <c r="D487" s="1058" t="str">
        <f>IFERROR(IF(AND(B487&gt;0,B487/1),INDEX(Заказ!$B$1:$AV$3196,MATCH(B487,Заказ!$AV$1:$AV$3196,0),9),""),"")</f>
        <v/>
      </c>
      <c r="E487" s="1056" t="str">
        <f>IFERROR(IF(AND(B487&gt;0,B487/1),INDEX(Заказ!$B$1:$AV$3196,MATCH(B487,Заказ!$AV$1:$AV$3196,0),5),""),"")</f>
        <v/>
      </c>
      <c r="F487" s="1056" t="str">
        <f>IFERROR(IF(AND(B487&gt;0,B487/1),INDEX(Заказ!$B$1:$AV$3196,MATCH(B487,Заказ!$AV$1:$AV$3196,0),16)/INDEX(Заказ!$B$1:$AV$3196,MATCH(B487,Заказ!$AV$1:$AV$3196,0),5),""),"")</f>
        <v/>
      </c>
      <c r="G487" s="1059" t="str">
        <f>IFERROR(IF(AND(B487&gt;0,B487/1),INDEX(Заказ!$B$1:$AV$3196,MATCH(B487,Заказ!$AV$1:$AV$3196,0),16),""),"")</f>
        <v/>
      </c>
      <c r="H487" s="1"/>
    </row>
    <row r="488" spans="1:8" x14ac:dyDescent="0.25">
      <c r="A488" s="1051" t="str">
        <f>IFERROR(IF(AND(B488&gt;0,B488/1),INDEX(Заказ!$B$412:$AV$3196,MATCH(B488,Заказ!$AV$412:$AV$3196,0),1),""),"")</f>
        <v/>
      </c>
      <c r="B488" s="1056" t="str">
        <f>IFERROR(IF(B487&gt;0,SMALL(Заказ!$AV$1:$AV$3196,1+B487),""),"")</f>
        <v/>
      </c>
      <c r="C488" s="1057" t="str">
        <f>IFERROR(IF(AND(B488&gt;0,B488/1),INDEX(Заказ!$B$1:$AV$3196,MATCH(B488,Заказ!$AV$1:$AV$3196,0),3),""),"")</f>
        <v/>
      </c>
      <c r="D488" s="1058" t="str">
        <f>IFERROR(IF(AND(B488&gt;0,B488/1),INDEX(Заказ!$B$1:$AV$3196,MATCH(B488,Заказ!$AV$1:$AV$3196,0),9),""),"")</f>
        <v/>
      </c>
      <c r="E488" s="1056" t="str">
        <f>IFERROR(IF(AND(B488&gt;0,B488/1),INDEX(Заказ!$B$1:$AV$3196,MATCH(B488,Заказ!$AV$1:$AV$3196,0),5),""),"")</f>
        <v/>
      </c>
      <c r="F488" s="1056" t="str">
        <f>IFERROR(IF(AND(B488&gt;0,B488/1),INDEX(Заказ!$B$1:$AV$3196,MATCH(B488,Заказ!$AV$1:$AV$3196,0),16)/INDEX(Заказ!$B$1:$AV$3196,MATCH(B488,Заказ!$AV$1:$AV$3196,0),5),""),"")</f>
        <v/>
      </c>
      <c r="G488" s="1059" t="str">
        <f>IFERROR(IF(AND(B488&gt;0,B488/1),INDEX(Заказ!$B$1:$AV$3196,MATCH(B488,Заказ!$AV$1:$AV$3196,0),16),""),"")</f>
        <v/>
      </c>
      <c r="H488" s="1"/>
    </row>
    <row r="489" spans="1:8" x14ac:dyDescent="0.25">
      <c r="A489" s="1051" t="str">
        <f>IFERROR(IF(AND(B489&gt;0,B489/1),INDEX(Заказ!$B$412:$AV$3196,MATCH(B489,Заказ!$AV$412:$AV$3196,0),1),""),"")</f>
        <v/>
      </c>
      <c r="B489" s="1056" t="str">
        <f>IFERROR(IF(B488&gt;0,SMALL(Заказ!$AV$1:$AV$3196,1+B488),""),"")</f>
        <v/>
      </c>
      <c r="C489" s="1057" t="str">
        <f>IFERROR(IF(AND(B489&gt;0,B489/1),INDEX(Заказ!$B$1:$AV$3196,MATCH(B489,Заказ!$AV$1:$AV$3196,0),3),""),"")</f>
        <v/>
      </c>
      <c r="D489" s="1058" t="str">
        <f>IFERROR(IF(AND(B489&gt;0,B489/1),INDEX(Заказ!$B$1:$AV$3196,MATCH(B489,Заказ!$AV$1:$AV$3196,0),9),""),"")</f>
        <v/>
      </c>
      <c r="E489" s="1056" t="str">
        <f>IFERROR(IF(AND(B489&gt;0,B489/1),INDEX(Заказ!$B$1:$AV$3196,MATCH(B489,Заказ!$AV$1:$AV$3196,0),5),""),"")</f>
        <v/>
      </c>
      <c r="F489" s="1056" t="str">
        <f>IFERROR(IF(AND(B489&gt;0,B489/1),INDEX(Заказ!$B$1:$AV$3196,MATCH(B489,Заказ!$AV$1:$AV$3196,0),16)/INDEX(Заказ!$B$1:$AV$3196,MATCH(B489,Заказ!$AV$1:$AV$3196,0),5),""),"")</f>
        <v/>
      </c>
      <c r="G489" s="1059" t="str">
        <f>IFERROR(IF(AND(B489&gt;0,B489/1),INDEX(Заказ!$B$1:$AV$3196,MATCH(B489,Заказ!$AV$1:$AV$3196,0),16),""),"")</f>
        <v/>
      </c>
      <c r="H489" s="1"/>
    </row>
    <row r="490" spans="1:8" x14ac:dyDescent="0.25">
      <c r="A490" s="1051" t="str">
        <f>IFERROR(IF(AND(B490&gt;0,B490/1),INDEX(Заказ!$B$412:$AV$3196,MATCH(B490,Заказ!$AV$412:$AV$3196,0),1),""),"")</f>
        <v/>
      </c>
      <c r="B490" s="1056" t="str">
        <f>IFERROR(IF(B489&gt;0,SMALL(Заказ!$AV$1:$AV$3196,1+B489),""),"")</f>
        <v/>
      </c>
      <c r="C490" s="1057" t="str">
        <f>IFERROR(IF(AND(B490&gt;0,B490/1),INDEX(Заказ!$B$1:$AV$3196,MATCH(B490,Заказ!$AV$1:$AV$3196,0),3),""),"")</f>
        <v/>
      </c>
      <c r="D490" s="1058" t="str">
        <f>IFERROR(IF(AND(B490&gt;0,B490/1),INDEX(Заказ!$B$1:$AV$3196,MATCH(B490,Заказ!$AV$1:$AV$3196,0),9),""),"")</f>
        <v/>
      </c>
      <c r="E490" s="1056" t="str">
        <f>IFERROR(IF(AND(B490&gt;0,B490/1),INDEX(Заказ!$B$1:$AV$3196,MATCH(B490,Заказ!$AV$1:$AV$3196,0),5),""),"")</f>
        <v/>
      </c>
      <c r="F490" s="1056" t="str">
        <f>IFERROR(IF(AND(B490&gt;0,B490/1),INDEX(Заказ!$B$1:$AV$3196,MATCH(B490,Заказ!$AV$1:$AV$3196,0),16)/INDEX(Заказ!$B$1:$AV$3196,MATCH(B490,Заказ!$AV$1:$AV$3196,0),5),""),"")</f>
        <v/>
      </c>
      <c r="G490" s="1059" t="str">
        <f>IFERROR(IF(AND(B490&gt;0,B490/1),INDEX(Заказ!$B$1:$AV$3196,MATCH(B490,Заказ!$AV$1:$AV$3196,0),16),""),"")</f>
        <v/>
      </c>
      <c r="H490" s="1"/>
    </row>
    <row r="491" spans="1:8" x14ac:dyDescent="0.25">
      <c r="A491" s="1051" t="str">
        <f>IFERROR(IF(AND(B491&gt;0,B491/1),INDEX(Заказ!$B$412:$AV$3196,MATCH(B491,Заказ!$AV$412:$AV$3196,0),1),""),"")</f>
        <v/>
      </c>
      <c r="B491" s="1056" t="str">
        <f>IFERROR(IF(B490&gt;0,SMALL(Заказ!$AV$1:$AV$3196,1+B490),""),"")</f>
        <v/>
      </c>
      <c r="C491" s="1057" t="str">
        <f>IFERROR(IF(AND(B491&gt;0,B491/1),INDEX(Заказ!$B$1:$AV$3196,MATCH(B491,Заказ!$AV$1:$AV$3196,0),3),""),"")</f>
        <v/>
      </c>
      <c r="D491" s="1058" t="str">
        <f>IFERROR(IF(AND(B491&gt;0,B491/1),INDEX(Заказ!$B$1:$AV$3196,MATCH(B491,Заказ!$AV$1:$AV$3196,0),9),""),"")</f>
        <v/>
      </c>
      <c r="E491" s="1056" t="str">
        <f>IFERROR(IF(AND(B491&gt;0,B491/1),INDEX(Заказ!$B$1:$AV$3196,MATCH(B491,Заказ!$AV$1:$AV$3196,0),5),""),"")</f>
        <v/>
      </c>
      <c r="F491" s="1056" t="str">
        <f>IFERROR(IF(AND(B491&gt;0,B491/1),INDEX(Заказ!$B$1:$AV$3196,MATCH(B491,Заказ!$AV$1:$AV$3196,0),16)/INDEX(Заказ!$B$1:$AV$3196,MATCH(B491,Заказ!$AV$1:$AV$3196,0),5),""),"")</f>
        <v/>
      </c>
      <c r="G491" s="1059" t="str">
        <f>IFERROR(IF(AND(B491&gt;0,B491/1),INDEX(Заказ!$B$1:$AV$3196,MATCH(B491,Заказ!$AV$1:$AV$3196,0),16),""),"")</f>
        <v/>
      </c>
      <c r="H491" s="1"/>
    </row>
    <row r="492" spans="1:8" x14ac:dyDescent="0.25">
      <c r="A492" s="1051" t="str">
        <f>IFERROR(IF(AND(B492&gt;0,B492/1),INDEX(Заказ!$B$412:$AV$3196,MATCH(B492,Заказ!$AV$412:$AV$3196,0),1),""),"")</f>
        <v/>
      </c>
      <c r="B492" s="1056" t="str">
        <f>IFERROR(IF(B491&gt;0,SMALL(Заказ!$AV$1:$AV$3196,1+B491),""),"")</f>
        <v/>
      </c>
      <c r="C492" s="1057" t="str">
        <f>IFERROR(IF(AND(B492&gt;0,B492/1),INDEX(Заказ!$B$1:$AV$3196,MATCH(B492,Заказ!$AV$1:$AV$3196,0),3),""),"")</f>
        <v/>
      </c>
      <c r="D492" s="1058" t="str">
        <f>IFERROR(IF(AND(B492&gt;0,B492/1),INDEX(Заказ!$B$1:$AV$3196,MATCH(B492,Заказ!$AV$1:$AV$3196,0),9),""),"")</f>
        <v/>
      </c>
      <c r="E492" s="1056" t="str">
        <f>IFERROR(IF(AND(B492&gt;0,B492/1),INDEX(Заказ!$B$1:$AV$3196,MATCH(B492,Заказ!$AV$1:$AV$3196,0),5),""),"")</f>
        <v/>
      </c>
      <c r="F492" s="1056" t="str">
        <f>IFERROR(IF(AND(B492&gt;0,B492/1),INDEX(Заказ!$B$1:$AV$3196,MATCH(B492,Заказ!$AV$1:$AV$3196,0),16)/INDEX(Заказ!$B$1:$AV$3196,MATCH(B492,Заказ!$AV$1:$AV$3196,0),5),""),"")</f>
        <v/>
      </c>
      <c r="G492" s="1059" t="str">
        <f>IFERROR(IF(AND(B492&gt;0,B492/1),INDEX(Заказ!$B$1:$AV$3196,MATCH(B492,Заказ!$AV$1:$AV$3196,0),16),""),"")</f>
        <v/>
      </c>
      <c r="H492" s="1"/>
    </row>
    <row r="493" spans="1:8" x14ac:dyDescent="0.25">
      <c r="A493" s="1051" t="str">
        <f>IFERROR(IF(AND(B493&gt;0,B493/1),INDEX(Заказ!$B$412:$AV$3196,MATCH(B493,Заказ!$AV$412:$AV$3196,0),1),""),"")</f>
        <v/>
      </c>
      <c r="B493" s="1056" t="str">
        <f>IFERROR(IF(B492&gt;0,SMALL(Заказ!$AV$1:$AV$3196,1+B492),""),"")</f>
        <v/>
      </c>
      <c r="C493" s="1057" t="str">
        <f>IFERROR(IF(AND(B493&gt;0,B493/1),INDEX(Заказ!$B$1:$AV$3196,MATCH(B493,Заказ!$AV$1:$AV$3196,0),3),""),"")</f>
        <v/>
      </c>
      <c r="D493" s="1058" t="str">
        <f>IFERROR(IF(AND(B493&gt;0,B493/1),INDEX(Заказ!$B$1:$AV$3196,MATCH(B493,Заказ!$AV$1:$AV$3196,0),9),""),"")</f>
        <v/>
      </c>
      <c r="E493" s="1056" t="str">
        <f>IFERROR(IF(AND(B493&gt;0,B493/1),INDEX(Заказ!$B$1:$AV$3196,MATCH(B493,Заказ!$AV$1:$AV$3196,0),5),""),"")</f>
        <v/>
      </c>
      <c r="F493" s="1056" t="str">
        <f>IFERROR(IF(AND(B493&gt;0,B493/1),INDEX(Заказ!$B$1:$AV$3196,MATCH(B493,Заказ!$AV$1:$AV$3196,0),16)/INDEX(Заказ!$B$1:$AV$3196,MATCH(B493,Заказ!$AV$1:$AV$3196,0),5),""),"")</f>
        <v/>
      </c>
      <c r="G493" s="1059" t="str">
        <f>IFERROR(IF(AND(B493&gt;0,B493/1),INDEX(Заказ!$B$1:$AV$3196,MATCH(B493,Заказ!$AV$1:$AV$3196,0),16),""),"")</f>
        <v/>
      </c>
      <c r="H493" s="1"/>
    </row>
    <row r="494" spans="1:8" x14ac:dyDescent="0.25">
      <c r="A494" s="1051" t="str">
        <f>IFERROR(IF(AND(B494&gt;0,B494/1),INDEX(Заказ!$B$412:$AV$3196,MATCH(B494,Заказ!$AV$412:$AV$3196,0),1),""),"")</f>
        <v/>
      </c>
      <c r="B494" s="1056" t="str">
        <f>IFERROR(IF(B493&gt;0,SMALL(Заказ!$AV$1:$AV$3196,1+B493),""),"")</f>
        <v/>
      </c>
      <c r="C494" s="1057" t="str">
        <f>IFERROR(IF(AND(B494&gt;0,B494/1),INDEX(Заказ!$B$1:$AV$3196,MATCH(B494,Заказ!$AV$1:$AV$3196,0),3),""),"")</f>
        <v/>
      </c>
      <c r="D494" s="1058" t="str">
        <f>IFERROR(IF(AND(B494&gt;0,B494/1),INDEX(Заказ!$B$1:$AV$3196,MATCH(B494,Заказ!$AV$1:$AV$3196,0),9),""),"")</f>
        <v/>
      </c>
      <c r="E494" s="1056" t="str">
        <f>IFERROR(IF(AND(B494&gt;0,B494/1),INDEX(Заказ!$B$1:$AV$3196,MATCH(B494,Заказ!$AV$1:$AV$3196,0),5),""),"")</f>
        <v/>
      </c>
      <c r="F494" s="1056" t="str">
        <f>IFERROR(IF(AND(B494&gt;0,B494/1),INDEX(Заказ!$B$1:$AV$3196,MATCH(B494,Заказ!$AV$1:$AV$3196,0),16)/INDEX(Заказ!$B$1:$AV$3196,MATCH(B494,Заказ!$AV$1:$AV$3196,0),5),""),"")</f>
        <v/>
      </c>
      <c r="G494" s="1059" t="str">
        <f>IFERROR(IF(AND(B494&gt;0,B494/1),INDEX(Заказ!$B$1:$AV$3196,MATCH(B494,Заказ!$AV$1:$AV$3196,0),16),""),"")</f>
        <v/>
      </c>
      <c r="H494" s="1"/>
    </row>
    <row r="495" spans="1:8" x14ac:dyDescent="0.25">
      <c r="A495" s="1051" t="str">
        <f>IFERROR(IF(AND(B495&gt;0,B495/1),INDEX(Заказ!$B$412:$AV$3196,MATCH(B495,Заказ!$AV$412:$AV$3196,0),1),""),"")</f>
        <v/>
      </c>
      <c r="B495" s="1056" t="str">
        <f>IFERROR(IF(B494&gt;0,SMALL(Заказ!$AV$1:$AV$3196,1+B494),""),"")</f>
        <v/>
      </c>
      <c r="C495" s="1057" t="str">
        <f>IFERROR(IF(AND(B495&gt;0,B495/1),INDEX(Заказ!$B$1:$AV$3196,MATCH(B495,Заказ!$AV$1:$AV$3196,0),3),""),"")</f>
        <v/>
      </c>
      <c r="D495" s="1058" t="str">
        <f>IFERROR(IF(AND(B495&gt;0,B495/1),INDEX(Заказ!$B$1:$AV$3196,MATCH(B495,Заказ!$AV$1:$AV$3196,0),9),""),"")</f>
        <v/>
      </c>
      <c r="E495" s="1056" t="str">
        <f>IFERROR(IF(AND(B495&gt;0,B495/1),INDEX(Заказ!$B$1:$AV$3196,MATCH(B495,Заказ!$AV$1:$AV$3196,0),5),""),"")</f>
        <v/>
      </c>
      <c r="F495" s="1056" t="str">
        <f>IFERROR(IF(AND(B495&gt;0,B495/1),INDEX(Заказ!$B$1:$AV$3196,MATCH(B495,Заказ!$AV$1:$AV$3196,0),16)/INDEX(Заказ!$B$1:$AV$3196,MATCH(B495,Заказ!$AV$1:$AV$3196,0),5),""),"")</f>
        <v/>
      </c>
      <c r="G495" s="1059" t="str">
        <f>IFERROR(IF(AND(B495&gt;0,B495/1),INDEX(Заказ!$B$1:$AV$3196,MATCH(B495,Заказ!$AV$1:$AV$3196,0),16),""),"")</f>
        <v/>
      </c>
      <c r="H495" s="1"/>
    </row>
    <row r="496" spans="1:8" x14ac:dyDescent="0.25">
      <c r="A496" s="1051" t="str">
        <f>IFERROR(IF(AND(B496&gt;0,B496/1),INDEX(Заказ!$B$412:$AV$3196,MATCH(B496,Заказ!$AV$412:$AV$3196,0),1),""),"")</f>
        <v/>
      </c>
      <c r="B496" s="1056" t="str">
        <f>IFERROR(IF(B495&gt;0,SMALL(Заказ!$AV$1:$AV$3196,1+B495),""),"")</f>
        <v/>
      </c>
      <c r="C496" s="1057" t="str">
        <f>IFERROR(IF(AND(B496&gt;0,B496/1),INDEX(Заказ!$B$1:$AV$3196,MATCH(B496,Заказ!$AV$1:$AV$3196,0),3),""),"")</f>
        <v/>
      </c>
      <c r="D496" s="1058" t="str">
        <f>IFERROR(IF(AND(B496&gt;0,B496/1),INDEX(Заказ!$B$1:$AV$3196,MATCH(B496,Заказ!$AV$1:$AV$3196,0),9),""),"")</f>
        <v/>
      </c>
      <c r="E496" s="1056" t="str">
        <f>IFERROR(IF(AND(B496&gt;0,B496/1),INDEX(Заказ!$B$1:$AV$3196,MATCH(B496,Заказ!$AV$1:$AV$3196,0),5),""),"")</f>
        <v/>
      </c>
      <c r="F496" s="1056" t="str">
        <f>IFERROR(IF(AND(B496&gt;0,B496/1),INDEX(Заказ!$B$1:$AV$3196,MATCH(B496,Заказ!$AV$1:$AV$3196,0),16)/INDEX(Заказ!$B$1:$AV$3196,MATCH(B496,Заказ!$AV$1:$AV$3196,0),5),""),"")</f>
        <v/>
      </c>
      <c r="G496" s="1059" t="str">
        <f>IFERROR(IF(AND(B496&gt;0,B496/1),INDEX(Заказ!$B$1:$AV$3196,MATCH(B496,Заказ!$AV$1:$AV$3196,0),16),""),"")</f>
        <v/>
      </c>
      <c r="H496" s="1"/>
    </row>
    <row r="497" spans="1:8" x14ac:dyDescent="0.25">
      <c r="A497" s="1051" t="str">
        <f>IFERROR(IF(AND(B497&gt;0,B497/1),INDEX(Заказ!$B$412:$AV$3196,MATCH(B497,Заказ!$AV$412:$AV$3196,0),1),""),"")</f>
        <v/>
      </c>
      <c r="B497" s="1056" t="str">
        <f>IFERROR(IF(B496&gt;0,SMALL(Заказ!$AV$1:$AV$3196,1+B496),""),"")</f>
        <v/>
      </c>
      <c r="C497" s="1057" t="str">
        <f>IFERROR(IF(AND(B497&gt;0,B497/1),INDEX(Заказ!$B$1:$AV$3196,MATCH(B497,Заказ!$AV$1:$AV$3196,0),3),""),"")</f>
        <v/>
      </c>
      <c r="D497" s="1058" t="str">
        <f>IFERROR(IF(AND(B497&gt;0,B497/1),INDEX(Заказ!$B$1:$AV$3196,MATCH(B497,Заказ!$AV$1:$AV$3196,0),9),""),"")</f>
        <v/>
      </c>
      <c r="E497" s="1056" t="str">
        <f>IFERROR(IF(AND(B497&gt;0,B497/1),INDEX(Заказ!$B$1:$AV$3196,MATCH(B497,Заказ!$AV$1:$AV$3196,0),5),""),"")</f>
        <v/>
      </c>
      <c r="F497" s="1056" t="str">
        <f>IFERROR(IF(AND(B497&gt;0,B497/1),INDEX(Заказ!$B$1:$AV$3196,MATCH(B497,Заказ!$AV$1:$AV$3196,0),16)/INDEX(Заказ!$B$1:$AV$3196,MATCH(B497,Заказ!$AV$1:$AV$3196,0),5),""),"")</f>
        <v/>
      </c>
      <c r="G497" s="1059" t="str">
        <f>IFERROR(IF(AND(B497&gt;0,B497/1),INDEX(Заказ!$B$1:$AV$3196,MATCH(B497,Заказ!$AV$1:$AV$3196,0),16),""),"")</f>
        <v/>
      </c>
      <c r="H497" s="1"/>
    </row>
    <row r="498" spans="1:8" x14ac:dyDescent="0.25">
      <c r="A498" s="1051" t="str">
        <f>IFERROR(IF(AND(B498&gt;0,B498/1),INDEX(Заказ!$B$412:$AV$3196,MATCH(B498,Заказ!$AV$412:$AV$3196,0),1),""),"")</f>
        <v/>
      </c>
      <c r="B498" s="1056" t="str">
        <f>IFERROR(IF(B497&gt;0,SMALL(Заказ!$AV$1:$AV$3196,1+B497),""),"")</f>
        <v/>
      </c>
      <c r="C498" s="1057" t="str">
        <f>IFERROR(IF(AND(B498&gt;0,B498/1),INDEX(Заказ!$B$1:$AV$3196,MATCH(B498,Заказ!$AV$1:$AV$3196,0),3),""),"")</f>
        <v/>
      </c>
      <c r="D498" s="1058" t="str">
        <f>IFERROR(IF(AND(B498&gt;0,B498/1),INDEX(Заказ!$B$1:$AV$3196,MATCH(B498,Заказ!$AV$1:$AV$3196,0),9),""),"")</f>
        <v/>
      </c>
      <c r="E498" s="1056" t="str">
        <f>IFERROR(IF(AND(B498&gt;0,B498/1),INDEX(Заказ!$B$1:$AV$3196,MATCH(B498,Заказ!$AV$1:$AV$3196,0),5),""),"")</f>
        <v/>
      </c>
      <c r="F498" s="1056" t="str">
        <f>IFERROR(IF(AND(B498&gt;0,B498/1),INDEX(Заказ!$B$1:$AV$3196,MATCH(B498,Заказ!$AV$1:$AV$3196,0),16)/INDEX(Заказ!$B$1:$AV$3196,MATCH(B498,Заказ!$AV$1:$AV$3196,0),5),""),"")</f>
        <v/>
      </c>
      <c r="G498" s="1059" t="str">
        <f>IFERROR(IF(AND(B498&gt;0,B498/1),INDEX(Заказ!$B$1:$AV$3196,MATCH(B498,Заказ!$AV$1:$AV$3196,0),16),""),"")</f>
        <v/>
      </c>
      <c r="H498" s="1"/>
    </row>
    <row r="499" spans="1:8" x14ac:dyDescent="0.25">
      <c r="A499" s="1051" t="str">
        <f>IFERROR(IF(AND(B499&gt;0,B499/1),INDEX(Заказ!$B$412:$AV$3196,MATCH(B499,Заказ!$AV$412:$AV$3196,0),1),""),"")</f>
        <v/>
      </c>
      <c r="B499" s="1056" t="str">
        <f>IFERROR(IF(B498&gt;0,SMALL(Заказ!$AV$1:$AV$3196,1+B498),""),"")</f>
        <v/>
      </c>
      <c r="C499" s="1057" t="str">
        <f>IFERROR(IF(AND(B499&gt;0,B499/1),INDEX(Заказ!$B$1:$AV$3196,MATCH(B499,Заказ!$AV$1:$AV$3196,0),3),""),"")</f>
        <v/>
      </c>
      <c r="D499" s="1058" t="str">
        <f>IFERROR(IF(AND(B499&gt;0,B499/1),INDEX(Заказ!$B$1:$AV$3196,MATCH(B499,Заказ!$AV$1:$AV$3196,0),9),""),"")</f>
        <v/>
      </c>
      <c r="E499" s="1056" t="str">
        <f>IFERROR(IF(AND(B499&gt;0,B499/1),INDEX(Заказ!$B$1:$AV$3196,MATCH(B499,Заказ!$AV$1:$AV$3196,0),5),""),"")</f>
        <v/>
      </c>
      <c r="F499" s="1056" t="str">
        <f>IFERROR(IF(AND(B499&gt;0,B499/1),INDEX(Заказ!$B$1:$AV$3196,MATCH(B499,Заказ!$AV$1:$AV$3196,0),16)/INDEX(Заказ!$B$1:$AV$3196,MATCH(B499,Заказ!$AV$1:$AV$3196,0),5),""),"")</f>
        <v/>
      </c>
      <c r="G499" s="1059" t="str">
        <f>IFERROR(IF(AND(B499&gt;0,B499/1),INDEX(Заказ!$B$1:$AV$3196,MATCH(B499,Заказ!$AV$1:$AV$3196,0),16),""),"")</f>
        <v/>
      </c>
      <c r="H499" s="1"/>
    </row>
    <row r="500" spans="1:8" x14ac:dyDescent="0.25">
      <c r="A500" s="1051" t="str">
        <f>IFERROR(IF(AND(B500&gt;0,B500/1),INDEX(Заказ!$B$412:$AV$3196,MATCH(B500,Заказ!$AV$412:$AV$3196,0),1),""),"")</f>
        <v/>
      </c>
      <c r="B500" s="1056" t="str">
        <f>IFERROR(IF(B499&gt;0,SMALL(Заказ!$AV$1:$AV$3196,1+B499),""),"")</f>
        <v/>
      </c>
      <c r="C500" s="1057" t="str">
        <f>IFERROR(IF(AND(B500&gt;0,B500/1),INDEX(Заказ!$B$1:$AV$3196,MATCH(B500,Заказ!$AV$1:$AV$3196,0),3),""),"")</f>
        <v/>
      </c>
      <c r="D500" s="1058" t="str">
        <f>IFERROR(IF(AND(B500&gt;0,B500/1),INDEX(Заказ!$B$1:$AV$3196,MATCH(B500,Заказ!$AV$1:$AV$3196,0),9),""),"")</f>
        <v/>
      </c>
      <c r="E500" s="1056" t="str">
        <f>IFERROR(IF(AND(B500&gt;0,B500/1),INDEX(Заказ!$B$1:$AV$3196,MATCH(B500,Заказ!$AV$1:$AV$3196,0),5),""),"")</f>
        <v/>
      </c>
      <c r="F500" s="1056" t="str">
        <f>IFERROR(IF(AND(B500&gt;0,B500/1),INDEX(Заказ!$B$1:$AV$3196,MATCH(B500,Заказ!$AV$1:$AV$3196,0),16)/INDEX(Заказ!$B$1:$AV$3196,MATCH(B500,Заказ!$AV$1:$AV$3196,0),5),""),"")</f>
        <v/>
      </c>
      <c r="G500" s="1059" t="str">
        <f>IFERROR(IF(AND(B500&gt;0,B500/1),INDEX(Заказ!$B$1:$AV$3196,MATCH(B500,Заказ!$AV$1:$AV$3196,0),16),""),"")</f>
        <v/>
      </c>
      <c r="H500" s="1"/>
    </row>
    <row r="501" spans="1:8" x14ac:dyDescent="0.25">
      <c r="A501" s="1051" t="str">
        <f>IFERROR(IF(AND(B501&gt;0,B501/1),INDEX(Заказ!$B$412:$AV$3196,MATCH(B501,Заказ!$AV$412:$AV$3196,0),1),""),"")</f>
        <v/>
      </c>
      <c r="B501" s="1056" t="str">
        <f>IFERROR(IF(B500&gt;0,SMALL(Заказ!$AV$1:$AV$3196,1+B500),""),"")</f>
        <v/>
      </c>
      <c r="C501" s="1057" t="str">
        <f>IFERROR(IF(AND(B501&gt;0,B501/1),INDEX(Заказ!$B$1:$AV$3196,MATCH(B501,Заказ!$AV$1:$AV$3196,0),3),""),"")</f>
        <v/>
      </c>
      <c r="D501" s="1058" t="str">
        <f>IFERROR(IF(AND(B501&gt;0,B501/1),INDEX(Заказ!$B$1:$AV$3196,MATCH(B501,Заказ!$AV$1:$AV$3196,0),9),""),"")</f>
        <v/>
      </c>
      <c r="E501" s="1056" t="str">
        <f>IFERROR(IF(AND(B501&gt;0,B501/1),INDEX(Заказ!$B$1:$AV$3196,MATCH(B501,Заказ!$AV$1:$AV$3196,0),5),""),"")</f>
        <v/>
      </c>
      <c r="F501" s="1056" t="str">
        <f>IFERROR(IF(AND(B501&gt;0,B501/1),INDEX(Заказ!$B$1:$AV$3196,MATCH(B501,Заказ!$AV$1:$AV$3196,0),16)/INDEX(Заказ!$B$1:$AV$3196,MATCH(B501,Заказ!$AV$1:$AV$3196,0),5),""),"")</f>
        <v/>
      </c>
      <c r="G501" s="1059" t="str">
        <f>IFERROR(IF(AND(B501&gt;0,B501/1),INDEX(Заказ!$B$1:$AV$3196,MATCH(B501,Заказ!$AV$1:$AV$3196,0),16),""),"")</f>
        <v/>
      </c>
      <c r="H501" s="1"/>
    </row>
    <row r="502" spans="1:8" x14ac:dyDescent="0.25">
      <c r="A502" s="1051" t="str">
        <f>IFERROR(IF(AND(B502&gt;0,B502/1),INDEX(Заказ!$B$412:$AV$3196,MATCH(B502,Заказ!$AV$412:$AV$3196,0),1),""),"")</f>
        <v/>
      </c>
      <c r="B502" s="1056" t="str">
        <f>IFERROR(IF(B501&gt;0,SMALL(Заказ!$AV$1:$AV$3196,1+B501),""),"")</f>
        <v/>
      </c>
      <c r="C502" s="1057" t="str">
        <f>IFERROR(IF(AND(B502&gt;0,B502/1),INDEX(Заказ!$B$1:$AV$3196,MATCH(B502,Заказ!$AV$1:$AV$3196,0),3),""),"")</f>
        <v/>
      </c>
      <c r="D502" s="1058" t="str">
        <f>IFERROR(IF(AND(B502&gt;0,B502/1),INDEX(Заказ!$B$1:$AV$3196,MATCH(B502,Заказ!$AV$1:$AV$3196,0),9),""),"")</f>
        <v/>
      </c>
      <c r="E502" s="1056" t="str">
        <f>IFERROR(IF(AND(B502&gt;0,B502/1),INDEX(Заказ!$B$1:$AV$3196,MATCH(B502,Заказ!$AV$1:$AV$3196,0),5),""),"")</f>
        <v/>
      </c>
      <c r="F502" s="1056" t="str">
        <f>IFERROR(IF(AND(B502&gt;0,B502/1),INDEX(Заказ!$B$1:$AV$3196,MATCH(B502,Заказ!$AV$1:$AV$3196,0),16)/INDEX(Заказ!$B$1:$AV$3196,MATCH(B502,Заказ!$AV$1:$AV$3196,0),5),""),"")</f>
        <v/>
      </c>
      <c r="G502" s="1059" t="str">
        <f>IFERROR(IF(AND(B502&gt;0,B502/1),INDEX(Заказ!$B$1:$AV$3196,MATCH(B502,Заказ!$AV$1:$AV$3196,0),16),""),"")</f>
        <v/>
      </c>
      <c r="H502" s="1"/>
    </row>
    <row r="503" spans="1:8" x14ac:dyDescent="0.25">
      <c r="A503" s="1051" t="str">
        <f>IFERROR(IF(AND(B503&gt;0,B503/1),INDEX(Заказ!$B$412:$AV$3196,MATCH(B503,Заказ!$AV$412:$AV$3196,0),1),""),"")</f>
        <v/>
      </c>
      <c r="B503" s="1056" t="str">
        <f>IFERROR(IF(B502&gt;0,SMALL(Заказ!$AV$1:$AV$3196,1+B502),""),"")</f>
        <v/>
      </c>
      <c r="C503" s="1057" t="str">
        <f>IFERROR(IF(AND(B503&gt;0,B503/1),INDEX(Заказ!$B$1:$AV$3196,MATCH(B503,Заказ!$AV$1:$AV$3196,0),3),""),"")</f>
        <v/>
      </c>
      <c r="D503" s="1058" t="str">
        <f>IFERROR(IF(AND(B503&gt;0,B503/1),INDEX(Заказ!$B$1:$AV$3196,MATCH(B503,Заказ!$AV$1:$AV$3196,0),9),""),"")</f>
        <v/>
      </c>
      <c r="E503" s="1056" t="str">
        <f>IFERROR(IF(AND(B503&gt;0,B503/1),INDEX(Заказ!$B$1:$AV$3196,MATCH(B503,Заказ!$AV$1:$AV$3196,0),5),""),"")</f>
        <v/>
      </c>
      <c r="F503" s="1056" t="str">
        <f>IFERROR(IF(AND(B503&gt;0,B503/1),INDEX(Заказ!$B$1:$AV$3196,MATCH(B503,Заказ!$AV$1:$AV$3196,0),16)/INDEX(Заказ!$B$1:$AV$3196,MATCH(B503,Заказ!$AV$1:$AV$3196,0),5),""),"")</f>
        <v/>
      </c>
      <c r="G503" s="1059" t="str">
        <f>IFERROR(IF(AND(B503&gt;0,B503/1),INDEX(Заказ!$B$1:$AV$3196,MATCH(B503,Заказ!$AV$1:$AV$3196,0),16),""),"")</f>
        <v/>
      </c>
      <c r="H503" s="1"/>
    </row>
    <row r="504" spans="1:8" x14ac:dyDescent="0.25">
      <c r="A504" s="1051" t="str">
        <f>IFERROR(IF(AND(B504&gt;0,B504/1),INDEX(Заказ!$B$412:$AV$3196,MATCH(B504,Заказ!$AV$412:$AV$3196,0),1),""),"")</f>
        <v/>
      </c>
      <c r="B504" s="1056" t="str">
        <f>IFERROR(IF(B503&gt;0,SMALL(Заказ!$AV$1:$AV$3196,1+B503),""),"")</f>
        <v/>
      </c>
      <c r="C504" s="1057" t="str">
        <f>IFERROR(IF(AND(B504&gt;0,B504/1),INDEX(Заказ!$B$1:$AV$3196,MATCH(B504,Заказ!$AV$1:$AV$3196,0),3),""),"")</f>
        <v/>
      </c>
      <c r="D504" s="1058" t="str">
        <f>IFERROR(IF(AND(B504&gt;0,B504/1),INDEX(Заказ!$B$1:$AV$3196,MATCH(B504,Заказ!$AV$1:$AV$3196,0),9),""),"")</f>
        <v/>
      </c>
      <c r="E504" s="1056" t="str">
        <f>IFERROR(IF(AND(B504&gt;0,B504/1),INDEX(Заказ!$B$1:$AV$3196,MATCH(B504,Заказ!$AV$1:$AV$3196,0),5),""),"")</f>
        <v/>
      </c>
      <c r="F504" s="1056" t="str">
        <f>IFERROR(IF(AND(B504&gt;0,B504/1),INDEX(Заказ!$B$1:$AV$3196,MATCH(B504,Заказ!$AV$1:$AV$3196,0),16)/INDEX(Заказ!$B$1:$AV$3196,MATCH(B504,Заказ!$AV$1:$AV$3196,0),5),""),"")</f>
        <v/>
      </c>
      <c r="G504" s="1059" t="str">
        <f>IFERROR(IF(AND(B504&gt;0,B504/1),INDEX(Заказ!$B$1:$AV$3196,MATCH(B504,Заказ!$AV$1:$AV$3196,0),16),""),"")</f>
        <v/>
      </c>
      <c r="H504" s="1"/>
    </row>
    <row r="505" spans="1:8" x14ac:dyDescent="0.25">
      <c r="A505" s="1051" t="str">
        <f>IFERROR(IF(AND(B505&gt;0,B505/1),INDEX(Заказ!$B$412:$AV$3196,MATCH(B505,Заказ!$AV$412:$AV$3196,0),1),""),"")</f>
        <v/>
      </c>
      <c r="B505" s="1056" t="str">
        <f>IFERROR(IF(B504&gt;0,SMALL(Заказ!$AV$1:$AV$3196,1+B504),""),"")</f>
        <v/>
      </c>
      <c r="C505" s="1057" t="str">
        <f>IFERROR(IF(AND(B505&gt;0,B505/1),INDEX(Заказ!$B$1:$AV$3196,MATCH(B505,Заказ!$AV$1:$AV$3196,0),3),""),"")</f>
        <v/>
      </c>
      <c r="D505" s="1058" t="str">
        <f>IFERROR(IF(AND(B505&gt;0,B505/1),INDEX(Заказ!$B$1:$AV$3196,MATCH(B505,Заказ!$AV$1:$AV$3196,0),9),""),"")</f>
        <v/>
      </c>
      <c r="E505" s="1056" t="str">
        <f>IFERROR(IF(AND(B505&gt;0,B505/1),INDEX(Заказ!$B$1:$AV$3196,MATCH(B505,Заказ!$AV$1:$AV$3196,0),5),""),"")</f>
        <v/>
      </c>
      <c r="F505" s="1056" t="str">
        <f>IFERROR(IF(AND(B505&gt;0,B505/1),INDEX(Заказ!$B$1:$AV$3196,MATCH(B505,Заказ!$AV$1:$AV$3196,0),16)/INDEX(Заказ!$B$1:$AV$3196,MATCH(B505,Заказ!$AV$1:$AV$3196,0),5),""),"")</f>
        <v/>
      </c>
      <c r="G505" s="1059" t="str">
        <f>IFERROR(IF(AND(B505&gt;0,B505/1),INDEX(Заказ!$B$1:$AV$3196,MATCH(B505,Заказ!$AV$1:$AV$3196,0),16),""),"")</f>
        <v/>
      </c>
      <c r="H505" s="1"/>
    </row>
    <row r="506" spans="1:8" x14ac:dyDescent="0.25">
      <c r="A506" s="1051" t="str">
        <f>IFERROR(IF(AND(B506&gt;0,B506/1),INDEX(Заказ!$B$412:$AV$3196,MATCH(B506,Заказ!$AV$412:$AV$3196,0),1),""),"")</f>
        <v/>
      </c>
      <c r="B506" s="1056" t="str">
        <f>IFERROR(IF(B505&gt;0,SMALL(Заказ!$AV$1:$AV$3196,1+B505),""),"")</f>
        <v/>
      </c>
      <c r="C506" s="1057" t="str">
        <f>IFERROR(IF(AND(B506&gt;0,B506/1),INDEX(Заказ!$B$1:$AV$3196,MATCH(B506,Заказ!$AV$1:$AV$3196,0),3),""),"")</f>
        <v/>
      </c>
      <c r="D506" s="1058" t="str">
        <f>IFERROR(IF(AND(B506&gt;0,B506/1),INDEX(Заказ!$B$1:$AV$3196,MATCH(B506,Заказ!$AV$1:$AV$3196,0),9),""),"")</f>
        <v/>
      </c>
      <c r="E506" s="1056" t="str">
        <f>IFERROR(IF(AND(B506&gt;0,B506/1),INDEX(Заказ!$B$1:$AV$3196,MATCH(B506,Заказ!$AV$1:$AV$3196,0),5),""),"")</f>
        <v/>
      </c>
      <c r="F506" s="1056" t="str">
        <f>IFERROR(IF(AND(B506&gt;0,B506/1),INDEX(Заказ!$B$1:$AV$3196,MATCH(B506,Заказ!$AV$1:$AV$3196,0),16)/INDEX(Заказ!$B$1:$AV$3196,MATCH(B506,Заказ!$AV$1:$AV$3196,0),5),""),"")</f>
        <v/>
      </c>
      <c r="G506" s="1059" t="str">
        <f>IFERROR(IF(AND(B506&gt;0,B506/1),INDEX(Заказ!$B$1:$AV$3196,MATCH(B506,Заказ!$AV$1:$AV$3196,0),16),""),"")</f>
        <v/>
      </c>
      <c r="H506" s="1"/>
    </row>
    <row r="507" spans="1:8" x14ac:dyDescent="0.25">
      <c r="A507" s="1051" t="str">
        <f>IFERROR(IF(AND(B507&gt;0,B507/1),INDEX(Заказ!$B$412:$AV$3196,MATCH(B507,Заказ!$AV$412:$AV$3196,0),1),""),"")</f>
        <v/>
      </c>
      <c r="B507" s="1056" t="str">
        <f>IFERROR(IF(B506&gt;0,SMALL(Заказ!$AV$1:$AV$3196,1+B506),""),"")</f>
        <v/>
      </c>
      <c r="C507" s="1057" t="str">
        <f>IFERROR(IF(AND(B507&gt;0,B507/1),INDEX(Заказ!$B$1:$AV$3196,MATCH(B507,Заказ!$AV$1:$AV$3196,0),3),""),"")</f>
        <v/>
      </c>
      <c r="D507" s="1058" t="str">
        <f>IFERROR(IF(AND(B507&gt;0,B507/1),INDEX(Заказ!$B$1:$AV$3196,MATCH(B507,Заказ!$AV$1:$AV$3196,0),9),""),"")</f>
        <v/>
      </c>
      <c r="E507" s="1056" t="str">
        <f>IFERROR(IF(AND(B507&gt;0,B507/1),INDEX(Заказ!$B$1:$AV$3196,MATCH(B507,Заказ!$AV$1:$AV$3196,0),5),""),"")</f>
        <v/>
      </c>
      <c r="F507" s="1056" t="str">
        <f>IFERROR(IF(AND(B507&gt;0,B507/1),INDEX(Заказ!$B$1:$AV$3196,MATCH(B507,Заказ!$AV$1:$AV$3196,0),16)/INDEX(Заказ!$B$1:$AV$3196,MATCH(B507,Заказ!$AV$1:$AV$3196,0),5),""),"")</f>
        <v/>
      </c>
      <c r="G507" s="1059" t="str">
        <f>IFERROR(IF(AND(B507&gt;0,B507/1),INDEX(Заказ!$B$1:$AV$3196,MATCH(B507,Заказ!$AV$1:$AV$3196,0),16),""),"")</f>
        <v/>
      </c>
      <c r="H507" s="1"/>
    </row>
    <row r="508" spans="1:8" x14ac:dyDescent="0.25">
      <c r="A508" s="1051" t="str">
        <f>IFERROR(IF(AND(B508&gt;0,B508/1),INDEX(Заказ!$B$412:$AV$3196,MATCH(B508,Заказ!$AV$412:$AV$3196,0),1),""),"")</f>
        <v/>
      </c>
      <c r="B508" s="1056" t="str">
        <f>IFERROR(IF(B507&gt;0,SMALL(Заказ!$AV$1:$AV$3196,1+B507),""),"")</f>
        <v/>
      </c>
      <c r="C508" s="1057" t="str">
        <f>IFERROR(IF(AND(B508&gt;0,B508/1),INDEX(Заказ!$B$1:$AV$3196,MATCH(B508,Заказ!$AV$1:$AV$3196,0),3),""),"")</f>
        <v/>
      </c>
      <c r="D508" s="1058" t="str">
        <f>IFERROR(IF(AND(B508&gt;0,B508/1),INDEX(Заказ!$B$1:$AV$3196,MATCH(B508,Заказ!$AV$1:$AV$3196,0),9),""),"")</f>
        <v/>
      </c>
      <c r="E508" s="1056" t="str">
        <f>IFERROR(IF(AND(B508&gt;0,B508/1),INDEX(Заказ!$B$1:$AV$3196,MATCH(B508,Заказ!$AV$1:$AV$3196,0),5),""),"")</f>
        <v/>
      </c>
      <c r="F508" s="1056" t="str">
        <f>IFERROR(IF(AND(B508&gt;0,B508/1),INDEX(Заказ!$B$1:$AV$3196,MATCH(B508,Заказ!$AV$1:$AV$3196,0),16)/INDEX(Заказ!$B$1:$AV$3196,MATCH(B508,Заказ!$AV$1:$AV$3196,0),5),""),"")</f>
        <v/>
      </c>
      <c r="G508" s="1059" t="str">
        <f>IFERROR(IF(AND(B508&gt;0,B508/1),INDEX(Заказ!$B$1:$AV$3196,MATCH(B508,Заказ!$AV$1:$AV$3196,0),16),""),"")</f>
        <v/>
      </c>
      <c r="H508" s="1"/>
    </row>
    <row r="509" spans="1:8" x14ac:dyDescent="0.25">
      <c r="A509" s="1051" t="str">
        <f>IFERROR(IF(AND(B509&gt;0,B509/1),INDEX(Заказ!$B$412:$AV$3196,MATCH(B509,Заказ!$AV$412:$AV$3196,0),1),""),"")</f>
        <v/>
      </c>
      <c r="B509" s="1056" t="str">
        <f>IFERROR(IF(B508&gt;0,SMALL(Заказ!$AV$1:$AV$3196,1+B508),""),"")</f>
        <v/>
      </c>
      <c r="C509" s="1057" t="str">
        <f>IFERROR(IF(AND(B509&gt;0,B509/1),INDEX(Заказ!$B$1:$AV$3196,MATCH(B509,Заказ!$AV$1:$AV$3196,0),3),""),"")</f>
        <v/>
      </c>
      <c r="D509" s="1058" t="str">
        <f>IFERROR(IF(AND(B509&gt;0,B509/1),INDEX(Заказ!$B$1:$AV$3196,MATCH(B509,Заказ!$AV$1:$AV$3196,0),9),""),"")</f>
        <v/>
      </c>
      <c r="E509" s="1056" t="str">
        <f>IFERROR(IF(AND(B509&gt;0,B509/1),INDEX(Заказ!$B$1:$AV$3196,MATCH(B509,Заказ!$AV$1:$AV$3196,0),5),""),"")</f>
        <v/>
      </c>
      <c r="F509" s="1056" t="str">
        <f>IFERROR(IF(AND(B509&gt;0,B509/1),INDEX(Заказ!$B$1:$AV$3196,MATCH(B509,Заказ!$AV$1:$AV$3196,0),16)/INDEX(Заказ!$B$1:$AV$3196,MATCH(B509,Заказ!$AV$1:$AV$3196,0),5),""),"")</f>
        <v/>
      </c>
      <c r="G509" s="1059" t="str">
        <f>IFERROR(IF(AND(B509&gt;0,B509/1),INDEX(Заказ!$B$1:$AV$3196,MATCH(B509,Заказ!$AV$1:$AV$3196,0),16),""),"")</f>
        <v/>
      </c>
      <c r="H509" s="1"/>
    </row>
    <row r="510" spans="1:8" x14ac:dyDescent="0.25">
      <c r="A510" s="1051" t="str">
        <f>IFERROR(IF(AND(B510&gt;0,B510/1),INDEX(Заказ!$B$412:$AV$3196,MATCH(B510,Заказ!$AV$412:$AV$3196,0),1),""),"")</f>
        <v/>
      </c>
      <c r="B510" s="1056" t="str">
        <f>IFERROR(IF(B509&gt;0,SMALL(Заказ!$AV$1:$AV$3196,1+B509),""),"")</f>
        <v/>
      </c>
      <c r="C510" s="1057" t="str">
        <f>IFERROR(IF(AND(B510&gt;0,B510/1),INDEX(Заказ!$B$1:$AV$3196,MATCH(B510,Заказ!$AV$1:$AV$3196,0),3),""),"")</f>
        <v/>
      </c>
      <c r="D510" s="1058" t="str">
        <f>IFERROR(IF(AND(B510&gt;0,B510/1),INDEX(Заказ!$B$1:$AV$3196,MATCH(B510,Заказ!$AV$1:$AV$3196,0),9),""),"")</f>
        <v/>
      </c>
      <c r="E510" s="1056" t="str">
        <f>IFERROR(IF(AND(B510&gt;0,B510/1),INDEX(Заказ!$B$1:$AV$3196,MATCH(B510,Заказ!$AV$1:$AV$3196,0),5),""),"")</f>
        <v/>
      </c>
      <c r="F510" s="1056" t="str">
        <f>IFERROR(IF(AND(B510&gt;0,B510/1),INDEX(Заказ!$B$1:$AV$3196,MATCH(B510,Заказ!$AV$1:$AV$3196,0),16)/INDEX(Заказ!$B$1:$AV$3196,MATCH(B510,Заказ!$AV$1:$AV$3196,0),5),""),"")</f>
        <v/>
      </c>
      <c r="G510" s="1059" t="str">
        <f>IFERROR(IF(AND(B510&gt;0,B510/1),INDEX(Заказ!$B$1:$AV$3196,MATCH(B510,Заказ!$AV$1:$AV$3196,0),16),""),"")</f>
        <v/>
      </c>
      <c r="H510" s="1"/>
    </row>
  </sheetData>
  <mergeCells count="5">
    <mergeCell ref="B2:G2"/>
    <mergeCell ref="B3:C5"/>
    <mergeCell ref="F3:G3"/>
    <mergeCell ref="F4:G4"/>
    <mergeCell ref="F5:G5"/>
  </mergeCells>
  <conditionalFormatting sqref="B9:B510">
    <cfRule type="expression" dxfId="11" priority="1">
      <formula>B9*1&gt;1</formula>
    </cfRule>
  </conditionalFormatting>
  <conditionalFormatting sqref="C9:C510">
    <cfRule type="expression" dxfId="10" priority="6">
      <formula>AND(B9*1&gt;1)</formula>
    </cfRule>
  </conditionalFormatting>
  <conditionalFormatting sqref="D9:D510">
    <cfRule type="expression" dxfId="9" priority="5">
      <formula>B9*1&gt;1</formula>
    </cfRule>
  </conditionalFormatting>
  <conditionalFormatting sqref="E9:E510">
    <cfRule type="expression" dxfId="8" priority="4">
      <formula>B9*1&gt;1</formula>
    </cfRule>
  </conditionalFormatting>
  <conditionalFormatting sqref="F9:F510">
    <cfRule type="expression" dxfId="7" priority="3">
      <formula>B9*1&gt;1</formula>
    </cfRule>
  </conditionalFormatting>
  <conditionalFormatting sqref="G9:G510">
    <cfRule type="expression" dxfId="6" priority="2">
      <formula>B9*1&gt;1</formula>
    </cfRule>
  </conditionalFormatting>
  <pageMargins left="0.7" right="0.7" top="0.75" bottom="0.75" header="0.3" footer="0.3"/>
  <pageSetup paperSize="9" scale="78" orientation="portrait" horizontalDpi="1200" verticalDpi="1200"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5769-22BF-4ECF-96D7-5D024C1E475C}">
  <sheetPr codeName="Лист3"/>
  <dimension ref="A2:I3051"/>
  <sheetViews>
    <sheetView zoomScaleNormal="100" workbookViewId="0">
      <selection activeCell="I1" sqref="A1:I1048576"/>
    </sheetView>
  </sheetViews>
  <sheetFormatPr defaultRowHeight="15" x14ac:dyDescent="0.25"/>
  <cols>
    <col min="1" max="1" width="3.28515625" style="84" customWidth="1"/>
    <col min="2" max="2" width="7.140625" style="84" customWidth="1"/>
    <col min="3" max="3" width="74.140625" style="84" customWidth="1"/>
    <col min="4" max="4" width="9.140625" style="84"/>
    <col min="5" max="7" width="2" style="84" customWidth="1"/>
    <col min="8" max="9" width="9.140625" style="84"/>
  </cols>
  <sheetData>
    <row r="2" spans="2:9" x14ac:dyDescent="0.25">
      <c r="H2" s="1037" t="s">
        <v>7146</v>
      </c>
      <c r="I2" s="1037">
        <f>SUM(I10:I3079)-I2985</f>
        <v>0</v>
      </c>
    </row>
    <row r="7" spans="2:9" x14ac:dyDescent="0.25">
      <c r="B7" s="84">
        <v>21232</v>
      </c>
      <c r="D7" s="84" t="str">
        <f t="shared" ref="D7:D93" si="0">IFERROR(ROUND(I7/H7,2),"")</f>
        <v/>
      </c>
      <c r="H7" s="1038">
        <f>IFERROR(VLOOKUP(B7,#REF!,2,0),0)</f>
        <v>0</v>
      </c>
      <c r="I7" s="1038">
        <f>IFERROR(H7*0.01,0)</f>
        <v>0</v>
      </c>
    </row>
    <row r="8" spans="2:9" x14ac:dyDescent="0.25">
      <c r="B8" s="84">
        <v>20689</v>
      </c>
      <c r="D8" s="84" t="str">
        <f t="shared" si="0"/>
        <v/>
      </c>
      <c r="H8" s="1038">
        <f>IFERROR(VLOOKUP(B8,#REF!,2,0),0)</f>
        <v>0</v>
      </c>
      <c r="I8" s="1038">
        <f>IFERROR(H8*0.01,0)</f>
        <v>0</v>
      </c>
    </row>
    <row r="9" spans="2:9" x14ac:dyDescent="0.25">
      <c r="B9" s="84">
        <v>20573</v>
      </c>
      <c r="D9" s="84" t="str">
        <f t="shared" si="0"/>
        <v/>
      </c>
      <c r="H9" s="1038">
        <f>IFERROR(VLOOKUP(B9,#REF!,2,0),0)</f>
        <v>0</v>
      </c>
      <c r="I9" s="1038">
        <f>IFERROR(H9*0.01,0)</f>
        <v>0</v>
      </c>
    </row>
    <row r="10" spans="2:9" x14ac:dyDescent="0.25">
      <c r="B10" s="84">
        <v>21109</v>
      </c>
      <c r="D10" s="84" t="str">
        <f t="shared" si="0"/>
        <v/>
      </c>
      <c r="H10" s="84">
        <f>IFERROR(VLOOKUP(B10,Заказ!B:Q,5,0),0)</f>
        <v>0</v>
      </c>
      <c r="I10" s="84">
        <f>IFERROR(VLOOKUP(B10,Заказ!B:Q,16,0),0)</f>
        <v>0</v>
      </c>
    </row>
    <row r="11" spans="2:9" x14ac:dyDescent="0.25">
      <c r="B11" s="84">
        <v>21110</v>
      </c>
      <c r="D11" s="84" t="str">
        <f t="shared" si="0"/>
        <v/>
      </c>
      <c r="H11" s="84">
        <f>IFERROR(VLOOKUP(B11,Заказ!B:Q,5,0),0)</f>
        <v>0</v>
      </c>
      <c r="I11" s="84">
        <f>IFERROR(VLOOKUP(B11,Заказ!B:Q,16,0),0)</f>
        <v>0</v>
      </c>
    </row>
    <row r="12" spans="2:9" x14ac:dyDescent="0.25">
      <c r="B12" s="84">
        <v>21043</v>
      </c>
      <c r="D12" s="84" t="str">
        <f t="shared" si="0"/>
        <v/>
      </c>
      <c r="H12" s="84">
        <f>IFERROR(VLOOKUP(B12,Заказ!B:Q,5,0),0)</f>
        <v>0</v>
      </c>
      <c r="I12" s="84">
        <f>IFERROR(VLOOKUP(B12,Заказ!B:Q,16,0),0)</f>
        <v>0</v>
      </c>
    </row>
    <row r="13" spans="2:9" x14ac:dyDescent="0.25">
      <c r="B13" s="84">
        <v>20751</v>
      </c>
      <c r="D13" s="84" t="str">
        <f t="shared" si="0"/>
        <v/>
      </c>
      <c r="H13" s="84">
        <f>IFERROR(VLOOKUP(B13,Заказ!B:Q,5,0),0)</f>
        <v>0</v>
      </c>
      <c r="I13" s="84">
        <f>IFERROR(VLOOKUP(B13,Заказ!B:Q,16,0),0)</f>
        <v>0</v>
      </c>
    </row>
    <row r="14" spans="2:9" x14ac:dyDescent="0.25">
      <c r="B14" s="84">
        <v>17640</v>
      </c>
      <c r="D14" s="84" t="str">
        <f t="shared" si="0"/>
        <v/>
      </c>
      <c r="H14" s="84">
        <f>IFERROR(VLOOKUP(B14,Заказ!B:Q,5,0),0)</f>
        <v>0</v>
      </c>
      <c r="I14" s="84">
        <f>IFERROR(VLOOKUP(B14,Заказ!B:Q,16,0),0)</f>
        <v>0</v>
      </c>
    </row>
    <row r="15" spans="2:9" x14ac:dyDescent="0.25">
      <c r="B15" s="84">
        <v>19632</v>
      </c>
      <c r="D15" s="84" t="str">
        <f t="shared" si="0"/>
        <v/>
      </c>
      <c r="H15" s="84">
        <f>IFERROR(VLOOKUP(B15,Заказ!B:Q,5,0),0)</f>
        <v>0</v>
      </c>
      <c r="I15" s="84">
        <f>IFERROR(VLOOKUP(B15,Заказ!B:Q,16,0),0)</f>
        <v>0</v>
      </c>
    </row>
    <row r="16" spans="2:9" x14ac:dyDescent="0.25">
      <c r="B16" s="84">
        <v>20264</v>
      </c>
      <c r="D16" s="84" t="str">
        <f t="shared" si="0"/>
        <v/>
      </c>
      <c r="H16" s="84">
        <f>IFERROR(VLOOKUP(B16,Заказ!B:Q,5,0),0)</f>
        <v>0</v>
      </c>
      <c r="I16" s="84">
        <f>IFERROR(VLOOKUP(B16,Заказ!B:Q,16,0),0)</f>
        <v>0</v>
      </c>
    </row>
    <row r="17" spans="2:9" x14ac:dyDescent="0.25">
      <c r="B17" s="84">
        <v>20265</v>
      </c>
      <c r="D17" s="84" t="str">
        <f t="shared" si="0"/>
        <v/>
      </c>
      <c r="H17" s="84">
        <f>IFERROR(VLOOKUP(B17,Заказ!B:Q,5,0),0)</f>
        <v>0</v>
      </c>
      <c r="I17" s="84">
        <f>IFERROR(VLOOKUP(B17,Заказ!B:Q,16,0),0)</f>
        <v>0</v>
      </c>
    </row>
    <row r="18" spans="2:9" x14ac:dyDescent="0.25">
      <c r="B18" s="84">
        <v>20266</v>
      </c>
      <c r="D18" s="84" t="str">
        <f t="shared" si="0"/>
        <v/>
      </c>
      <c r="H18" s="84">
        <f>IFERROR(VLOOKUP(B18,Заказ!B:Q,5,0),0)</f>
        <v>0</v>
      </c>
      <c r="I18" s="84">
        <f>IFERROR(VLOOKUP(B18,Заказ!B:Q,16,0),0)</f>
        <v>0</v>
      </c>
    </row>
    <row r="19" spans="2:9" x14ac:dyDescent="0.25">
      <c r="B19" s="84">
        <v>19278</v>
      </c>
      <c r="D19" s="84" t="str">
        <f t="shared" si="0"/>
        <v/>
      </c>
      <c r="H19" s="84">
        <f>IFERROR(VLOOKUP(B19,Заказ!B:Q,5,0),0)</f>
        <v>0</v>
      </c>
      <c r="I19" s="84">
        <f>IFERROR(VLOOKUP(B19,Заказ!B:Q,16,0),0)</f>
        <v>0</v>
      </c>
    </row>
    <row r="20" spans="2:9" x14ac:dyDescent="0.25">
      <c r="B20" s="84">
        <v>19803</v>
      </c>
      <c r="D20" s="84" t="str">
        <f t="shared" si="0"/>
        <v/>
      </c>
      <c r="H20" s="84">
        <f>IFERROR(VLOOKUP(B20,Заказ!B:Q,5,0),0)</f>
        <v>0</v>
      </c>
      <c r="I20" s="84">
        <f>IFERROR(VLOOKUP(B20,Заказ!B:Q,16,0),0)</f>
        <v>0</v>
      </c>
    </row>
    <row r="21" spans="2:9" x14ac:dyDescent="0.25">
      <c r="B21" s="84">
        <v>19823</v>
      </c>
      <c r="D21" s="84" t="str">
        <f t="shared" si="0"/>
        <v/>
      </c>
      <c r="H21" s="84">
        <f>IFERROR(VLOOKUP(B21,Заказ!B:Q,5,0),0)</f>
        <v>0</v>
      </c>
      <c r="I21" s="84">
        <f>IFERROR(VLOOKUP(B21,Заказ!B:Q,16,0),0)</f>
        <v>0</v>
      </c>
    </row>
    <row r="22" spans="2:9" x14ac:dyDescent="0.25">
      <c r="B22" s="84">
        <v>19277</v>
      </c>
      <c r="D22" s="84" t="str">
        <f t="shared" si="0"/>
        <v/>
      </c>
      <c r="H22" s="84">
        <f>IFERROR(VLOOKUP(B22,Заказ!B:Q,5,0),0)</f>
        <v>0</v>
      </c>
      <c r="I22" s="84">
        <f>IFERROR(VLOOKUP(B22,Заказ!B:Q,16,0),0)</f>
        <v>0</v>
      </c>
    </row>
    <row r="23" spans="2:9" x14ac:dyDescent="0.25">
      <c r="B23" s="84">
        <v>19318</v>
      </c>
      <c r="D23" s="84" t="str">
        <f t="shared" si="0"/>
        <v/>
      </c>
      <c r="H23" s="84">
        <f>IFERROR(VLOOKUP(B23,Заказ!B:Q,5,0),0)</f>
        <v>0</v>
      </c>
      <c r="I23" s="84">
        <f>IFERROR(VLOOKUP(B23,Заказ!B:Q,16,0),0)</f>
        <v>0</v>
      </c>
    </row>
    <row r="24" spans="2:9" x14ac:dyDescent="0.25">
      <c r="B24" s="84">
        <v>20568</v>
      </c>
      <c r="D24" s="84" t="str">
        <f t="shared" si="0"/>
        <v/>
      </c>
      <c r="H24" s="84">
        <f>IFERROR(VLOOKUP(B24,Заказ!B:Q,5,0),0)</f>
        <v>0</v>
      </c>
      <c r="I24" s="84">
        <f>IFERROR(VLOOKUP(B24,Заказ!B:Q,16,0),0)</f>
        <v>0</v>
      </c>
    </row>
    <row r="25" spans="2:9" x14ac:dyDescent="0.25">
      <c r="B25" s="84">
        <v>19619</v>
      </c>
      <c r="D25" s="84" t="str">
        <f t="shared" si="0"/>
        <v/>
      </c>
      <c r="H25" s="84">
        <f>IFERROR(VLOOKUP(B25,Заказ!B:Q,5,0),0)</f>
        <v>0</v>
      </c>
      <c r="I25" s="84">
        <f>IFERROR(VLOOKUP(B25,Заказ!B:Q,16,0),0)</f>
        <v>0</v>
      </c>
    </row>
    <row r="26" spans="2:9" x14ac:dyDescent="0.25">
      <c r="B26" s="84">
        <v>21081</v>
      </c>
      <c r="D26" s="84" t="str">
        <f t="shared" si="0"/>
        <v/>
      </c>
      <c r="H26" s="84">
        <f>IFERROR(VLOOKUP(B26,Заказ!B:Q,5,0),0)</f>
        <v>0</v>
      </c>
      <c r="I26" s="84">
        <f>IFERROR(VLOOKUP(B26,Заказ!B:Q,16,0),0)</f>
        <v>0</v>
      </c>
    </row>
    <row r="27" spans="2:9" x14ac:dyDescent="0.25">
      <c r="B27" s="84">
        <v>21107</v>
      </c>
      <c r="D27" s="84" t="str">
        <f t="shared" si="0"/>
        <v/>
      </c>
      <c r="H27" s="84">
        <f>IFERROR(VLOOKUP(B27,Заказ!B:Q,5,0),0)</f>
        <v>0</v>
      </c>
      <c r="I27" s="84">
        <f>IFERROR(VLOOKUP(B27,Заказ!B:Q,16,0),0)</f>
        <v>0</v>
      </c>
    </row>
    <row r="28" spans="2:9" x14ac:dyDescent="0.25">
      <c r="B28" s="84">
        <v>20566</v>
      </c>
      <c r="D28" s="84" t="str">
        <f t="shared" si="0"/>
        <v/>
      </c>
      <c r="H28" s="84">
        <f>IFERROR(VLOOKUP(B28,Заказ!B:Q,5,0),0)</f>
        <v>0</v>
      </c>
      <c r="I28" s="84">
        <f>IFERROR(VLOOKUP(B28,Заказ!B:Q,16,0),0)</f>
        <v>0</v>
      </c>
    </row>
    <row r="29" spans="2:9" x14ac:dyDescent="0.25">
      <c r="B29" s="84">
        <v>20565</v>
      </c>
      <c r="D29" s="84" t="str">
        <f t="shared" si="0"/>
        <v/>
      </c>
      <c r="H29" s="84">
        <f>IFERROR(VLOOKUP(B29,Заказ!B:Q,5,0),0)</f>
        <v>0</v>
      </c>
      <c r="I29" s="84">
        <f>IFERROR(VLOOKUP(B29,Заказ!B:Q,16,0),0)</f>
        <v>0</v>
      </c>
    </row>
    <row r="30" spans="2:9" x14ac:dyDescent="0.25">
      <c r="B30" s="84">
        <v>20567</v>
      </c>
      <c r="D30" s="84" t="str">
        <f t="shared" si="0"/>
        <v/>
      </c>
      <c r="H30" s="84">
        <f>IFERROR(VLOOKUP(B30,Заказ!B:Q,5,0),0)</f>
        <v>0</v>
      </c>
      <c r="I30" s="84">
        <f>IFERROR(VLOOKUP(B30,Заказ!B:Q,16,0),0)</f>
        <v>0</v>
      </c>
    </row>
    <row r="31" spans="2:9" x14ac:dyDescent="0.25">
      <c r="B31" s="84">
        <v>20377</v>
      </c>
      <c r="D31" s="84" t="str">
        <f t="shared" si="0"/>
        <v/>
      </c>
      <c r="H31" s="84">
        <f>IFERROR(VLOOKUP(B31,Заказ!B:Q,5,0),0)</f>
        <v>0</v>
      </c>
      <c r="I31" s="84">
        <f>IFERROR(VLOOKUP(B31,Заказ!B:Q,16,0),0)</f>
        <v>0</v>
      </c>
    </row>
    <row r="32" spans="2:9" x14ac:dyDescent="0.25">
      <c r="B32" s="84">
        <v>20396</v>
      </c>
      <c r="D32" s="84" t="str">
        <f t="shared" si="0"/>
        <v/>
      </c>
      <c r="H32" s="84">
        <f>IFERROR(VLOOKUP(B32,Заказ!B:Q,5,0),0)</f>
        <v>0</v>
      </c>
      <c r="I32" s="84">
        <f>IFERROR(VLOOKUP(B32,Заказ!B:Q,16,0),0)</f>
        <v>0</v>
      </c>
    </row>
    <row r="33" spans="2:9" x14ac:dyDescent="0.25">
      <c r="B33" s="84">
        <v>21559</v>
      </c>
      <c r="D33" s="84" t="str">
        <f t="shared" si="0"/>
        <v/>
      </c>
      <c r="H33" s="84">
        <f>IFERROR(VLOOKUP(B33,Заказ!B:Q,5,0),0)</f>
        <v>0</v>
      </c>
      <c r="I33" s="84">
        <f>IFERROR(VLOOKUP(B33,Заказ!B:Q,16,0),0)</f>
        <v>0</v>
      </c>
    </row>
    <row r="34" spans="2:9" x14ac:dyDescent="0.25">
      <c r="B34" s="84">
        <v>15802</v>
      </c>
      <c r="D34" s="84" t="str">
        <f t="shared" si="0"/>
        <v/>
      </c>
      <c r="H34" s="84">
        <f>IFERROR(VLOOKUP(B34,Заказ!B:Q,5,0),0)</f>
        <v>0</v>
      </c>
      <c r="I34" s="84">
        <f>IFERROR(VLOOKUP(B34,Заказ!B:Q,16,0),0)</f>
        <v>0</v>
      </c>
    </row>
    <row r="35" spans="2:9" x14ac:dyDescent="0.25">
      <c r="B35" s="84">
        <v>16174</v>
      </c>
      <c r="D35" s="84" t="str">
        <f t="shared" si="0"/>
        <v/>
      </c>
      <c r="H35" s="84">
        <f>IFERROR(VLOOKUP(B35,Заказ!B:Q,5,0),0)</f>
        <v>0</v>
      </c>
      <c r="I35" s="84">
        <f>IFERROR(VLOOKUP(B35,Заказ!B:Q,16,0),0)</f>
        <v>0</v>
      </c>
    </row>
    <row r="36" spans="2:9" x14ac:dyDescent="0.25">
      <c r="B36" s="84">
        <v>18280</v>
      </c>
      <c r="D36" s="84" t="str">
        <f t="shared" si="0"/>
        <v/>
      </c>
      <c r="H36" s="84">
        <f>IFERROR(VLOOKUP(B36,Заказ!B:Q,5,0),0)</f>
        <v>0</v>
      </c>
      <c r="I36" s="84">
        <f>IFERROR(VLOOKUP(B36,Заказ!B:Q,16,0),0)</f>
        <v>0</v>
      </c>
    </row>
    <row r="37" spans="2:9" x14ac:dyDescent="0.25">
      <c r="B37" s="84">
        <v>20085</v>
      </c>
      <c r="D37" s="84" t="str">
        <f t="shared" si="0"/>
        <v/>
      </c>
      <c r="H37" s="84">
        <f>IFERROR(VLOOKUP(B37,Заказ!B:Q,5,0),0)</f>
        <v>0</v>
      </c>
      <c r="I37" s="84">
        <f>IFERROR(VLOOKUP(B37,Заказ!B:Q,16,0),0)</f>
        <v>0</v>
      </c>
    </row>
    <row r="38" spans="2:9" x14ac:dyDescent="0.25">
      <c r="B38" s="84">
        <v>18685</v>
      </c>
      <c r="D38" s="84" t="str">
        <f t="shared" si="0"/>
        <v/>
      </c>
      <c r="H38" s="84">
        <f>IFERROR(VLOOKUP(B38,Заказ!B:Q,5,0),0)</f>
        <v>0</v>
      </c>
      <c r="I38" s="84">
        <f>IFERROR(VLOOKUP(B38,Заказ!B:Q,16,0),0)</f>
        <v>0</v>
      </c>
    </row>
    <row r="39" spans="2:9" x14ac:dyDescent="0.25">
      <c r="B39" s="84">
        <v>18681</v>
      </c>
      <c r="D39" s="84" t="str">
        <f t="shared" si="0"/>
        <v/>
      </c>
      <c r="H39" s="84">
        <f>IFERROR(VLOOKUP(B39,Заказ!B:Q,5,0),0)</f>
        <v>0</v>
      </c>
      <c r="I39" s="84">
        <f>IFERROR(VLOOKUP(B39,Заказ!B:Q,16,0),0)</f>
        <v>0</v>
      </c>
    </row>
    <row r="40" spans="2:9" x14ac:dyDescent="0.25">
      <c r="B40" s="84">
        <v>19770</v>
      </c>
      <c r="D40" s="84" t="str">
        <f t="shared" si="0"/>
        <v/>
      </c>
      <c r="H40" s="84">
        <f>IFERROR(VLOOKUP(B40,Заказ!B:Q,5,0),0)</f>
        <v>0</v>
      </c>
      <c r="I40" s="84">
        <f>IFERROR(VLOOKUP(B40,Заказ!B:Q,16,0),0)</f>
        <v>0</v>
      </c>
    </row>
    <row r="41" spans="2:9" x14ac:dyDescent="0.25">
      <c r="B41" s="84">
        <v>19618</v>
      </c>
      <c r="D41" s="84" t="str">
        <f t="shared" si="0"/>
        <v/>
      </c>
      <c r="H41" s="84">
        <f>IFERROR(VLOOKUP(B41,Заказ!B:Q,5,0),0)</f>
        <v>0</v>
      </c>
      <c r="I41" s="84">
        <f>IFERROR(VLOOKUP(B41,Заказ!B:Q,16,0),0)</f>
        <v>0</v>
      </c>
    </row>
    <row r="42" spans="2:9" x14ac:dyDescent="0.25">
      <c r="B42" s="84">
        <v>9295</v>
      </c>
      <c r="D42" s="84" t="str">
        <f t="shared" si="0"/>
        <v/>
      </c>
      <c r="H42" s="84">
        <f>IFERROR(VLOOKUP(B42,Заказ!B:Q,5,0),0)</f>
        <v>0</v>
      </c>
      <c r="I42" s="84">
        <f>IFERROR(VLOOKUP(B42,Заказ!B:Q,16,0),0)</f>
        <v>0</v>
      </c>
    </row>
    <row r="43" spans="2:9" x14ac:dyDescent="0.25">
      <c r="B43" s="84">
        <v>8000</v>
      </c>
      <c r="D43" s="84" t="str">
        <f t="shared" si="0"/>
        <v/>
      </c>
      <c r="H43" s="84">
        <f>IFERROR(VLOOKUP(B43,Заказ!B:Q,5,0),0)</f>
        <v>0</v>
      </c>
      <c r="I43" s="84">
        <f>IFERROR(VLOOKUP(B43,Заказ!B:Q,16,0),0)</f>
        <v>0</v>
      </c>
    </row>
    <row r="44" spans="2:9" x14ac:dyDescent="0.25">
      <c r="B44" s="84">
        <v>13540</v>
      </c>
      <c r="D44" s="84" t="str">
        <f t="shared" si="0"/>
        <v/>
      </c>
      <c r="H44" s="84">
        <f>IFERROR(VLOOKUP(B44,Заказ!B:Q,5,0),0)</f>
        <v>0</v>
      </c>
      <c r="I44" s="84">
        <f>IFERROR(VLOOKUP(B44,Заказ!B:Q,16,0),0)</f>
        <v>0</v>
      </c>
    </row>
    <row r="45" spans="2:9" x14ac:dyDescent="0.25">
      <c r="B45" s="84">
        <v>10236</v>
      </c>
      <c r="D45" s="84" t="str">
        <f t="shared" si="0"/>
        <v/>
      </c>
      <c r="H45" s="84">
        <f>IFERROR(VLOOKUP(B45,Заказ!B:Q,5,0),0)</f>
        <v>0</v>
      </c>
      <c r="I45" s="84">
        <f>IFERROR(VLOOKUP(B45,Заказ!B:Q,16,0),0)</f>
        <v>0</v>
      </c>
    </row>
    <row r="46" spans="2:9" x14ac:dyDescent="0.25">
      <c r="B46" s="84">
        <v>8004</v>
      </c>
      <c r="D46" s="84" t="str">
        <f t="shared" si="0"/>
        <v/>
      </c>
      <c r="H46" s="84">
        <f>IFERROR(VLOOKUP(B46,Заказ!B:Q,5,0),0)</f>
        <v>0</v>
      </c>
      <c r="I46" s="84">
        <f>IFERROR(VLOOKUP(B46,Заказ!B:Q,16,0),0)</f>
        <v>0</v>
      </c>
    </row>
    <row r="47" spans="2:9" x14ac:dyDescent="0.25">
      <c r="B47" s="84">
        <v>8003</v>
      </c>
      <c r="D47" s="84" t="str">
        <f t="shared" si="0"/>
        <v/>
      </c>
      <c r="H47" s="84">
        <f>IFERROR(VLOOKUP(B47,Заказ!B:Q,5,0),0)</f>
        <v>0</v>
      </c>
      <c r="I47" s="84">
        <f>IFERROR(VLOOKUP(B47,Заказ!B:Q,16,0),0)</f>
        <v>0</v>
      </c>
    </row>
    <row r="48" spans="2:9" x14ac:dyDescent="0.25">
      <c r="B48" s="84">
        <v>9559</v>
      </c>
      <c r="D48" s="84" t="str">
        <f t="shared" si="0"/>
        <v/>
      </c>
      <c r="H48" s="84">
        <f>IFERROR(VLOOKUP(B48,Заказ!B:Q,5,0),0)</f>
        <v>0</v>
      </c>
      <c r="I48" s="84">
        <f>IFERROR(VLOOKUP(B48,Заказ!B:Q,16,0),0)</f>
        <v>0</v>
      </c>
    </row>
    <row r="49" spans="2:9" x14ac:dyDescent="0.25">
      <c r="B49" s="84">
        <v>385</v>
      </c>
      <c r="D49" s="84" t="str">
        <f t="shared" si="0"/>
        <v/>
      </c>
      <c r="H49" s="84">
        <f>IFERROR(VLOOKUP(B49,Заказ!B:Q,5,0),0)</f>
        <v>0</v>
      </c>
      <c r="I49" s="84">
        <f>IFERROR(VLOOKUP(B49,Заказ!B:Q,16,0),0)</f>
        <v>0</v>
      </c>
    </row>
    <row r="50" spans="2:9" x14ac:dyDescent="0.25">
      <c r="B50" s="84">
        <v>20691</v>
      </c>
      <c r="D50" s="84" t="str">
        <f t="shared" si="0"/>
        <v/>
      </c>
      <c r="H50" s="84">
        <f>IFERROR(VLOOKUP(B50,Заказ!B:Q,5,0),0)</f>
        <v>0</v>
      </c>
      <c r="I50" s="84">
        <f>IFERROR(VLOOKUP(B50,Заказ!B:Q,16,0),0)</f>
        <v>0</v>
      </c>
    </row>
    <row r="51" spans="2:9" x14ac:dyDescent="0.25">
      <c r="B51" s="84">
        <v>20692</v>
      </c>
      <c r="D51" s="84" t="str">
        <f t="shared" si="0"/>
        <v/>
      </c>
      <c r="H51" s="84">
        <f>IFERROR(VLOOKUP(B51,Заказ!B:Q,5,0),0)</f>
        <v>0</v>
      </c>
      <c r="I51" s="84">
        <f>IFERROR(VLOOKUP(B51,Заказ!B:Q,16,0),0)</f>
        <v>0</v>
      </c>
    </row>
    <row r="52" spans="2:9" x14ac:dyDescent="0.25">
      <c r="B52" s="84">
        <v>20693</v>
      </c>
      <c r="D52" s="84" t="str">
        <f t="shared" si="0"/>
        <v/>
      </c>
      <c r="H52" s="84">
        <f>IFERROR(VLOOKUP(B52,Заказ!B:Q,5,0),0)</f>
        <v>0</v>
      </c>
      <c r="I52" s="84">
        <f>IFERROR(VLOOKUP(B52,Заказ!B:Q,16,0),0)</f>
        <v>0</v>
      </c>
    </row>
    <row r="53" spans="2:9" x14ac:dyDescent="0.25">
      <c r="B53" s="84">
        <v>20695</v>
      </c>
      <c r="D53" s="84" t="str">
        <f t="shared" si="0"/>
        <v/>
      </c>
      <c r="H53" s="84">
        <f>IFERROR(VLOOKUP(B53,Заказ!B:Q,5,0),0)</f>
        <v>0</v>
      </c>
      <c r="I53" s="84">
        <f>IFERROR(VLOOKUP(B53,Заказ!B:Q,16,0),0)</f>
        <v>0</v>
      </c>
    </row>
    <row r="54" spans="2:9" x14ac:dyDescent="0.25">
      <c r="B54" s="84">
        <v>20696</v>
      </c>
      <c r="D54" s="84" t="str">
        <f t="shared" si="0"/>
        <v/>
      </c>
      <c r="H54" s="84">
        <f>IFERROR(VLOOKUP(B54,Заказ!B:Q,5,0),0)</f>
        <v>0</v>
      </c>
      <c r="I54" s="84">
        <f>IFERROR(VLOOKUP(B54,Заказ!B:Q,16,0),0)</f>
        <v>0</v>
      </c>
    </row>
    <row r="55" spans="2:9" x14ac:dyDescent="0.25">
      <c r="B55" s="84">
        <v>20694</v>
      </c>
      <c r="D55" s="84" t="str">
        <f t="shared" si="0"/>
        <v/>
      </c>
      <c r="H55" s="84">
        <f>IFERROR(VLOOKUP(B55,Заказ!B:Q,5,0),0)</f>
        <v>0</v>
      </c>
      <c r="I55" s="84">
        <f>IFERROR(VLOOKUP(B55,Заказ!B:Q,16,0),0)</f>
        <v>0</v>
      </c>
    </row>
    <row r="56" spans="2:9" x14ac:dyDescent="0.25">
      <c r="B56" s="84">
        <v>20697</v>
      </c>
      <c r="D56" s="84" t="str">
        <f t="shared" si="0"/>
        <v/>
      </c>
      <c r="H56" s="84">
        <f>IFERROR(VLOOKUP(B56,Заказ!B:Q,5,0),0)</f>
        <v>0</v>
      </c>
      <c r="I56" s="84">
        <f>IFERROR(VLOOKUP(B56,Заказ!B:Q,16,0),0)</f>
        <v>0</v>
      </c>
    </row>
    <row r="57" spans="2:9" x14ac:dyDescent="0.25">
      <c r="B57" s="84">
        <v>20698</v>
      </c>
      <c r="D57" s="84" t="str">
        <f t="shared" si="0"/>
        <v/>
      </c>
      <c r="H57" s="84">
        <f>IFERROR(VLOOKUP(B57,Заказ!B:Q,5,0),0)</f>
        <v>0</v>
      </c>
      <c r="I57" s="84">
        <f>IFERROR(VLOOKUP(B57,Заказ!B:Q,16,0),0)</f>
        <v>0</v>
      </c>
    </row>
    <row r="58" spans="2:9" x14ac:dyDescent="0.25">
      <c r="B58" s="84">
        <v>20699</v>
      </c>
      <c r="D58" s="84" t="str">
        <f t="shared" si="0"/>
        <v/>
      </c>
      <c r="H58" s="84">
        <f>IFERROR(VLOOKUP(B58,Заказ!B:Q,5,0),0)</f>
        <v>0</v>
      </c>
      <c r="I58" s="84">
        <f>IFERROR(VLOOKUP(B58,Заказ!B:Q,16,0),0)</f>
        <v>0</v>
      </c>
    </row>
    <row r="59" spans="2:9" x14ac:dyDescent="0.25">
      <c r="B59" s="84">
        <v>21090</v>
      </c>
      <c r="D59" s="84" t="str">
        <f t="shared" si="0"/>
        <v/>
      </c>
      <c r="H59" s="84">
        <f>IFERROR(VLOOKUP(B59,Заказ!B:Q,5,0),0)</f>
        <v>0</v>
      </c>
      <c r="I59" s="84">
        <f>IFERROR(VLOOKUP(B59,Заказ!B:Q,16,0),0)</f>
        <v>0</v>
      </c>
    </row>
    <row r="60" spans="2:9" x14ac:dyDescent="0.25">
      <c r="B60" s="84">
        <v>21091</v>
      </c>
      <c r="D60" s="84" t="str">
        <f t="shared" si="0"/>
        <v/>
      </c>
      <c r="H60" s="84">
        <f>IFERROR(VLOOKUP(B60,Заказ!B:Q,5,0),0)</f>
        <v>0</v>
      </c>
      <c r="I60" s="84">
        <f>IFERROR(VLOOKUP(B60,Заказ!B:Q,16,0),0)</f>
        <v>0</v>
      </c>
    </row>
    <row r="61" spans="2:9" x14ac:dyDescent="0.25">
      <c r="B61" s="84">
        <v>21092</v>
      </c>
      <c r="D61" s="84" t="str">
        <f t="shared" si="0"/>
        <v/>
      </c>
      <c r="H61" s="84">
        <f>IFERROR(VLOOKUP(B61,Заказ!B:Q,5,0),0)</f>
        <v>0</v>
      </c>
      <c r="I61" s="84">
        <f>IFERROR(VLOOKUP(B61,Заказ!B:Q,16,0),0)</f>
        <v>0</v>
      </c>
    </row>
    <row r="62" spans="2:9" x14ac:dyDescent="0.25">
      <c r="B62" s="84">
        <v>8856</v>
      </c>
      <c r="D62" s="84" t="str">
        <f t="shared" si="0"/>
        <v/>
      </c>
      <c r="H62" s="84">
        <f>IFERROR(VLOOKUP(B62,Заказ!B:Q,5,0),0)</f>
        <v>0</v>
      </c>
      <c r="I62" s="84">
        <f>IFERROR(VLOOKUP(B62,Заказ!B:Q,16,0),0)</f>
        <v>0</v>
      </c>
    </row>
    <row r="63" spans="2:9" x14ac:dyDescent="0.25">
      <c r="B63" s="84">
        <v>8855</v>
      </c>
      <c r="D63" s="84" t="str">
        <f t="shared" si="0"/>
        <v/>
      </c>
      <c r="H63" s="84">
        <f>IFERROR(VLOOKUP(B63,Заказ!B:Q,5,0),0)</f>
        <v>0</v>
      </c>
      <c r="I63" s="84">
        <f>IFERROR(VLOOKUP(B63,Заказ!B:Q,16,0),0)</f>
        <v>0</v>
      </c>
    </row>
    <row r="64" spans="2:9" x14ac:dyDescent="0.25">
      <c r="B64" s="84">
        <v>8859</v>
      </c>
      <c r="D64" s="84" t="str">
        <f t="shared" si="0"/>
        <v/>
      </c>
      <c r="H64" s="84">
        <f>IFERROR(VLOOKUP(B64,Заказ!B:Q,5,0),0)</f>
        <v>0</v>
      </c>
      <c r="I64" s="84">
        <f>IFERROR(VLOOKUP(B64,Заказ!B:Q,16,0),0)</f>
        <v>0</v>
      </c>
    </row>
    <row r="65" spans="2:9" x14ac:dyDescent="0.25">
      <c r="B65" s="84">
        <v>8857</v>
      </c>
      <c r="D65" s="84" t="str">
        <f t="shared" si="0"/>
        <v/>
      </c>
      <c r="H65" s="84">
        <f>IFERROR(VLOOKUP(B65,Заказ!B:Q,5,0),0)</f>
        <v>0</v>
      </c>
      <c r="I65" s="84">
        <f>IFERROR(VLOOKUP(B65,Заказ!B:Q,16,0),0)</f>
        <v>0</v>
      </c>
    </row>
    <row r="66" spans="2:9" x14ac:dyDescent="0.25">
      <c r="B66" s="84">
        <v>8858</v>
      </c>
      <c r="D66" s="84" t="str">
        <f t="shared" si="0"/>
        <v/>
      </c>
      <c r="H66" s="84">
        <f>IFERROR(VLOOKUP(B66,Заказ!B:Q,5,0),0)</f>
        <v>0</v>
      </c>
      <c r="I66" s="84">
        <f>IFERROR(VLOOKUP(B66,Заказ!B:Q,16,0),0)</f>
        <v>0</v>
      </c>
    </row>
    <row r="67" spans="2:9" x14ac:dyDescent="0.25">
      <c r="B67" s="84">
        <v>11666</v>
      </c>
      <c r="D67" s="84" t="str">
        <f t="shared" si="0"/>
        <v/>
      </c>
      <c r="H67" s="84">
        <f>IFERROR(VLOOKUP(B67,Заказ!B:Q,5,0),0)</f>
        <v>0</v>
      </c>
      <c r="I67" s="84">
        <f>IFERROR(VLOOKUP(B67,Заказ!B:Q,16,0),0)</f>
        <v>0</v>
      </c>
    </row>
    <row r="68" spans="2:9" x14ac:dyDescent="0.25">
      <c r="B68" s="84">
        <v>11665</v>
      </c>
      <c r="D68" s="84" t="str">
        <f t="shared" si="0"/>
        <v/>
      </c>
      <c r="H68" s="84">
        <f>IFERROR(VLOOKUP(B68,Заказ!B:Q,5,0),0)</f>
        <v>0</v>
      </c>
      <c r="I68" s="84">
        <f>IFERROR(VLOOKUP(B68,Заказ!B:Q,16,0),0)</f>
        <v>0</v>
      </c>
    </row>
    <row r="69" spans="2:9" x14ac:dyDescent="0.25">
      <c r="B69" s="84">
        <v>8862</v>
      </c>
      <c r="D69" s="84" t="str">
        <f t="shared" si="0"/>
        <v/>
      </c>
      <c r="H69" s="84">
        <f>IFERROR(VLOOKUP(B69,Заказ!B:Q,5,0),0)</f>
        <v>0</v>
      </c>
      <c r="I69" s="84">
        <f>IFERROR(VLOOKUP(B69,Заказ!B:Q,16,0),0)</f>
        <v>0</v>
      </c>
    </row>
    <row r="70" spans="2:9" x14ac:dyDescent="0.25">
      <c r="B70" s="84">
        <v>8860</v>
      </c>
      <c r="D70" s="84" t="str">
        <f t="shared" si="0"/>
        <v/>
      </c>
      <c r="H70" s="84">
        <f>IFERROR(VLOOKUP(B70,Заказ!B:Q,5,0),0)</f>
        <v>0</v>
      </c>
      <c r="I70" s="84">
        <f>IFERROR(VLOOKUP(B70,Заказ!B:Q,16,0),0)</f>
        <v>0</v>
      </c>
    </row>
    <row r="71" spans="2:9" x14ac:dyDescent="0.25">
      <c r="B71" s="84">
        <v>13037</v>
      </c>
      <c r="D71" s="84" t="str">
        <f t="shared" si="0"/>
        <v/>
      </c>
      <c r="H71" s="84">
        <f>IFERROR(VLOOKUP(B71,Заказ!B:Q,5,0),0)</f>
        <v>0</v>
      </c>
      <c r="I71" s="84">
        <f>IFERROR(VLOOKUP(B71,Заказ!B:Q,16,0),0)</f>
        <v>0</v>
      </c>
    </row>
    <row r="72" spans="2:9" x14ac:dyDescent="0.25">
      <c r="B72" s="84">
        <v>13038</v>
      </c>
      <c r="D72" s="84" t="str">
        <f t="shared" si="0"/>
        <v/>
      </c>
      <c r="H72" s="84">
        <f>IFERROR(VLOOKUP(B72,Заказ!B:Q,5,0),0)</f>
        <v>0</v>
      </c>
      <c r="I72" s="84">
        <f>IFERROR(VLOOKUP(B72,Заказ!B:Q,16,0),0)</f>
        <v>0</v>
      </c>
    </row>
    <row r="73" spans="2:9" x14ac:dyDescent="0.25">
      <c r="B73" s="84">
        <v>10796</v>
      </c>
      <c r="D73" s="84" t="str">
        <f t="shared" si="0"/>
        <v/>
      </c>
      <c r="H73" s="84">
        <f>IFERROR(VLOOKUP(B73,Заказ!B:Q,5,0),0)</f>
        <v>0</v>
      </c>
      <c r="I73" s="84">
        <f>IFERROR(VLOOKUP(B73,Заказ!B:Q,16,0),0)</f>
        <v>0</v>
      </c>
    </row>
    <row r="74" spans="2:9" x14ac:dyDescent="0.25">
      <c r="B74" s="84">
        <v>12036</v>
      </c>
      <c r="D74" s="84" t="str">
        <f t="shared" si="0"/>
        <v/>
      </c>
      <c r="H74" s="84">
        <f>IFERROR(VLOOKUP(B74,Заказ!B:Q,5,0),0)</f>
        <v>0</v>
      </c>
      <c r="I74" s="84">
        <f>IFERROR(VLOOKUP(B74,Заказ!B:Q,16,0),0)</f>
        <v>0</v>
      </c>
    </row>
    <row r="75" spans="2:9" x14ac:dyDescent="0.25">
      <c r="B75" s="84">
        <v>56</v>
      </c>
      <c r="D75" s="84" t="str">
        <f t="shared" si="0"/>
        <v/>
      </c>
      <c r="H75" s="84">
        <f>IFERROR(VLOOKUP(B75,Заказ!B:Q,5,0),0)</f>
        <v>0</v>
      </c>
      <c r="I75" s="84">
        <f>IFERROR(VLOOKUP(B75,Заказ!B:Q,16,0),0)</f>
        <v>0</v>
      </c>
    </row>
    <row r="76" spans="2:9" x14ac:dyDescent="0.25">
      <c r="B76" s="84">
        <v>14899</v>
      </c>
      <c r="D76" s="84" t="str">
        <f t="shared" si="0"/>
        <v/>
      </c>
      <c r="H76" s="84">
        <f>IFERROR(VLOOKUP(B76,Заказ!B:Q,5,0),0)</f>
        <v>0</v>
      </c>
      <c r="I76" s="84">
        <f>IFERROR(VLOOKUP(B76,Заказ!B:Q,16,0),0)</f>
        <v>0</v>
      </c>
    </row>
    <row r="77" spans="2:9" x14ac:dyDescent="0.25">
      <c r="B77" s="84">
        <v>12587</v>
      </c>
      <c r="D77" s="84" t="str">
        <f t="shared" si="0"/>
        <v/>
      </c>
      <c r="H77" s="84">
        <f>IFERROR(VLOOKUP(B77,Заказ!B:Q,5,0),0)</f>
        <v>0</v>
      </c>
      <c r="I77" s="84">
        <f>IFERROR(VLOOKUP(B77,Заказ!B:Q,16,0),0)</f>
        <v>0</v>
      </c>
    </row>
    <row r="78" spans="2:9" x14ac:dyDescent="0.25">
      <c r="B78" s="84">
        <v>1916</v>
      </c>
      <c r="D78" s="84" t="str">
        <f t="shared" si="0"/>
        <v/>
      </c>
      <c r="H78" s="84">
        <f>IFERROR(VLOOKUP(B78,Заказ!B:Q,5,0),0)</f>
        <v>0</v>
      </c>
      <c r="I78" s="84">
        <f>IFERROR(VLOOKUP(B78,Заказ!B:Q,16,0),0)</f>
        <v>0</v>
      </c>
    </row>
    <row r="79" spans="2:9" x14ac:dyDescent="0.25">
      <c r="B79" s="84">
        <v>12521</v>
      </c>
      <c r="D79" s="84" t="str">
        <f t="shared" si="0"/>
        <v/>
      </c>
      <c r="H79" s="84">
        <f>IFERROR(VLOOKUP(B79,Заказ!B:Q,5,0),0)</f>
        <v>0</v>
      </c>
      <c r="I79" s="84">
        <f>IFERROR(VLOOKUP(B79,Заказ!B:Q,16,0),0)</f>
        <v>0</v>
      </c>
    </row>
    <row r="80" spans="2:9" x14ac:dyDescent="0.25">
      <c r="B80" s="84">
        <v>10754</v>
      </c>
      <c r="D80" s="84" t="str">
        <f t="shared" si="0"/>
        <v/>
      </c>
      <c r="H80" s="84">
        <f>IFERROR(VLOOKUP(B80,Заказ!B:Q,5,0),0)</f>
        <v>0</v>
      </c>
      <c r="I80" s="84">
        <f>IFERROR(VLOOKUP(B80,Заказ!B:Q,16,0),0)</f>
        <v>0</v>
      </c>
    </row>
    <row r="81" spans="2:9" x14ac:dyDescent="0.25">
      <c r="B81" s="84">
        <v>84</v>
      </c>
      <c r="D81" s="84" t="str">
        <f t="shared" si="0"/>
        <v/>
      </c>
      <c r="H81" s="84">
        <f>IFERROR(VLOOKUP(B81,Заказ!B:Q,5,0),0)</f>
        <v>0</v>
      </c>
      <c r="I81" s="84">
        <f>IFERROR(VLOOKUP(B81,Заказ!B:Q,16,0),0)</f>
        <v>0</v>
      </c>
    </row>
    <row r="82" spans="2:9" x14ac:dyDescent="0.25">
      <c r="B82" s="84">
        <v>20623</v>
      </c>
      <c r="D82" s="84" t="str">
        <f t="shared" si="0"/>
        <v/>
      </c>
      <c r="H82" s="84">
        <f>IFERROR(VLOOKUP(B82,Заказ!B:Q,5,0),0)</f>
        <v>0</v>
      </c>
      <c r="I82" s="84">
        <f>IFERROR(VLOOKUP(B82,Заказ!B:Q,16,0),0)</f>
        <v>0</v>
      </c>
    </row>
    <row r="83" spans="2:9" x14ac:dyDescent="0.25">
      <c r="B83" s="84">
        <v>20629</v>
      </c>
      <c r="D83" s="84" t="str">
        <f t="shared" si="0"/>
        <v/>
      </c>
      <c r="H83" s="84">
        <f>IFERROR(VLOOKUP(B83,Заказ!B:Q,5,0),0)</f>
        <v>0</v>
      </c>
      <c r="I83" s="84">
        <f>IFERROR(VLOOKUP(B83,Заказ!B:Q,16,0),0)</f>
        <v>0</v>
      </c>
    </row>
    <row r="84" spans="2:9" x14ac:dyDescent="0.25">
      <c r="B84" s="84">
        <v>20625</v>
      </c>
      <c r="D84" s="84" t="str">
        <f t="shared" si="0"/>
        <v/>
      </c>
      <c r="H84" s="84">
        <f>IFERROR(VLOOKUP(B84,Заказ!B:Q,5,0),0)</f>
        <v>0</v>
      </c>
      <c r="I84" s="84">
        <f>IFERROR(VLOOKUP(B84,Заказ!B:Q,16,0),0)</f>
        <v>0</v>
      </c>
    </row>
    <row r="85" spans="2:9" x14ac:dyDescent="0.25">
      <c r="B85" s="84">
        <v>20622</v>
      </c>
      <c r="D85" s="84" t="str">
        <f t="shared" si="0"/>
        <v/>
      </c>
      <c r="H85" s="84">
        <f>IFERROR(VLOOKUP(B85,Заказ!B:Q,5,0),0)</f>
        <v>0</v>
      </c>
      <c r="I85" s="84">
        <f>IFERROR(VLOOKUP(B85,Заказ!B:Q,16,0),0)</f>
        <v>0</v>
      </c>
    </row>
    <row r="86" spans="2:9" x14ac:dyDescent="0.25">
      <c r="B86" s="84">
        <v>20618</v>
      </c>
      <c r="D86" s="84" t="str">
        <f t="shared" si="0"/>
        <v/>
      </c>
      <c r="H86" s="84">
        <f>IFERROR(VLOOKUP(B86,Заказ!B:Q,5,0),0)</f>
        <v>0</v>
      </c>
      <c r="I86" s="84">
        <f>IFERROR(VLOOKUP(B86,Заказ!B:Q,16,0),0)</f>
        <v>0</v>
      </c>
    </row>
    <row r="87" spans="2:9" x14ac:dyDescent="0.25">
      <c r="B87" s="84">
        <v>20620</v>
      </c>
      <c r="D87" s="84" t="str">
        <f t="shared" si="0"/>
        <v/>
      </c>
      <c r="H87" s="84">
        <f>IFERROR(VLOOKUP(B87,Заказ!B:Q,5,0),0)</f>
        <v>0</v>
      </c>
      <c r="I87" s="84">
        <f>IFERROR(VLOOKUP(B87,Заказ!B:Q,16,0),0)</f>
        <v>0</v>
      </c>
    </row>
    <row r="88" spans="2:9" x14ac:dyDescent="0.25">
      <c r="B88" s="84">
        <v>20628</v>
      </c>
      <c r="D88" s="84" t="str">
        <f t="shared" si="0"/>
        <v/>
      </c>
      <c r="H88" s="84">
        <f>IFERROR(VLOOKUP(B88,Заказ!B:Q,5,0),0)</f>
        <v>0</v>
      </c>
      <c r="I88" s="84">
        <f>IFERROR(VLOOKUP(B88,Заказ!B:Q,16,0),0)</f>
        <v>0</v>
      </c>
    </row>
    <row r="89" spans="2:9" x14ac:dyDescent="0.25">
      <c r="B89" s="84">
        <v>20626</v>
      </c>
      <c r="D89" s="84" t="str">
        <f t="shared" si="0"/>
        <v/>
      </c>
      <c r="H89" s="84">
        <f>IFERROR(VLOOKUP(B89,Заказ!B:Q,5,0),0)</f>
        <v>0</v>
      </c>
      <c r="I89" s="84">
        <f>IFERROR(VLOOKUP(B89,Заказ!B:Q,16,0),0)</f>
        <v>0</v>
      </c>
    </row>
    <row r="90" spans="2:9" x14ac:dyDescent="0.25">
      <c r="B90" s="84">
        <v>20619</v>
      </c>
      <c r="D90" s="84" t="str">
        <f t="shared" si="0"/>
        <v/>
      </c>
      <c r="H90" s="84">
        <f>IFERROR(VLOOKUP(B90,Заказ!B:Q,5,0),0)</f>
        <v>0</v>
      </c>
      <c r="I90" s="84">
        <f>IFERROR(VLOOKUP(B90,Заказ!B:Q,16,0),0)</f>
        <v>0</v>
      </c>
    </row>
    <row r="91" spans="2:9" x14ac:dyDescent="0.25">
      <c r="B91" s="84">
        <v>20624</v>
      </c>
      <c r="D91" s="84" t="str">
        <f t="shared" si="0"/>
        <v/>
      </c>
      <c r="H91" s="84">
        <f>IFERROR(VLOOKUP(B91,Заказ!B:Q,5,0),0)</f>
        <v>0</v>
      </c>
      <c r="I91" s="84">
        <f>IFERROR(VLOOKUP(B91,Заказ!B:Q,16,0),0)</f>
        <v>0</v>
      </c>
    </row>
    <row r="92" spans="2:9" x14ac:dyDescent="0.25">
      <c r="B92" s="84">
        <v>20621</v>
      </c>
      <c r="D92" s="84" t="str">
        <f t="shared" si="0"/>
        <v/>
      </c>
      <c r="H92" s="84">
        <f>IFERROR(VLOOKUP(B92,Заказ!B:Q,5,0),0)</f>
        <v>0</v>
      </c>
      <c r="I92" s="84">
        <f>IFERROR(VLOOKUP(B92,Заказ!B:Q,16,0),0)</f>
        <v>0</v>
      </c>
    </row>
    <row r="93" spans="2:9" x14ac:dyDescent="0.25">
      <c r="B93" s="84">
        <v>18259</v>
      </c>
      <c r="D93" s="84" t="str">
        <f t="shared" si="0"/>
        <v/>
      </c>
      <c r="H93" s="84">
        <f>IFERROR(VLOOKUP(B93,Заказ!B:Q,5,0),0)</f>
        <v>0</v>
      </c>
      <c r="I93" s="84">
        <f>IFERROR(VLOOKUP(B93,Заказ!B:Q,16,0),0)</f>
        <v>0</v>
      </c>
    </row>
    <row r="94" spans="2:9" x14ac:dyDescent="0.25">
      <c r="B94" s="84">
        <v>14824</v>
      </c>
      <c r="D94" s="84" t="str">
        <f t="shared" ref="D94:D173" si="1">IFERROR(ROUND(I94/H94,2),"")</f>
        <v/>
      </c>
      <c r="H94" s="84">
        <f>IFERROR(VLOOKUP(B94,Заказ!B:Q,5,0),0)</f>
        <v>0</v>
      </c>
      <c r="I94" s="84">
        <f>IFERROR(VLOOKUP(B94,Заказ!B:Q,16,0),0)</f>
        <v>0</v>
      </c>
    </row>
    <row r="95" spans="2:9" x14ac:dyDescent="0.25">
      <c r="B95" s="84">
        <v>16726</v>
      </c>
      <c r="D95" s="84" t="str">
        <f t="shared" si="1"/>
        <v/>
      </c>
      <c r="H95" s="84">
        <f>IFERROR(VLOOKUP(B95,Заказ!B:Q,5,0),0)</f>
        <v>0</v>
      </c>
      <c r="I95" s="84">
        <f>IFERROR(VLOOKUP(B95,Заказ!B:Q,16,0),0)</f>
        <v>0</v>
      </c>
    </row>
    <row r="96" spans="2:9" x14ac:dyDescent="0.25">
      <c r="B96" s="84">
        <v>18215</v>
      </c>
      <c r="D96" s="84" t="str">
        <f t="shared" si="1"/>
        <v/>
      </c>
      <c r="H96" s="84">
        <f>IFERROR(VLOOKUP(B96,Заказ!B:Q,5,0),0)</f>
        <v>0</v>
      </c>
      <c r="I96" s="84">
        <f>IFERROR(VLOOKUP(B96,Заказ!B:Q,16,0),0)</f>
        <v>0</v>
      </c>
    </row>
    <row r="97" spans="2:9" x14ac:dyDescent="0.25">
      <c r="B97" s="84">
        <v>18214</v>
      </c>
      <c r="D97" s="84" t="str">
        <f t="shared" si="1"/>
        <v/>
      </c>
      <c r="H97" s="84">
        <f>IFERROR(VLOOKUP(B97,Заказ!B:Q,5,0),0)</f>
        <v>0</v>
      </c>
      <c r="I97" s="84">
        <f>IFERROR(VLOOKUP(B97,Заказ!B:Q,16,0),0)</f>
        <v>0</v>
      </c>
    </row>
    <row r="98" spans="2:9" x14ac:dyDescent="0.25">
      <c r="B98" s="84">
        <v>15869</v>
      </c>
      <c r="D98" s="84" t="str">
        <f t="shared" si="1"/>
        <v/>
      </c>
      <c r="H98" s="84">
        <f>IFERROR(VLOOKUP(B98,Заказ!B:Q,5,0),0)</f>
        <v>0</v>
      </c>
      <c r="I98" s="84">
        <f>IFERROR(VLOOKUP(B98,Заказ!B:Q,16,0),0)</f>
        <v>0</v>
      </c>
    </row>
    <row r="99" spans="2:9" x14ac:dyDescent="0.25">
      <c r="B99" s="84">
        <v>17736</v>
      </c>
      <c r="D99" s="84" t="str">
        <f t="shared" si="1"/>
        <v/>
      </c>
      <c r="H99" s="84">
        <f>IFERROR(VLOOKUP(B99,Заказ!B:Q,5,0),0)</f>
        <v>0</v>
      </c>
      <c r="I99" s="84">
        <f>IFERROR(VLOOKUP(B99,Заказ!B:Q,16,0),0)</f>
        <v>0</v>
      </c>
    </row>
    <row r="100" spans="2:9" x14ac:dyDescent="0.25">
      <c r="B100" s="84">
        <v>17737</v>
      </c>
      <c r="D100" s="84" t="str">
        <f t="shared" si="1"/>
        <v/>
      </c>
      <c r="H100" s="84">
        <f>IFERROR(VLOOKUP(B100,Заказ!B:Q,5,0),0)</f>
        <v>0</v>
      </c>
      <c r="I100" s="84">
        <f>IFERROR(VLOOKUP(B100,Заказ!B:Q,16,0),0)</f>
        <v>0</v>
      </c>
    </row>
    <row r="101" spans="2:9" x14ac:dyDescent="0.25">
      <c r="B101" s="84">
        <v>14181</v>
      </c>
      <c r="D101" s="84" t="str">
        <f t="shared" si="1"/>
        <v/>
      </c>
      <c r="H101" s="84">
        <f>IFERROR(VLOOKUP(B101,Заказ!B:Q,5,0),0)</f>
        <v>0</v>
      </c>
      <c r="I101" s="84">
        <f>IFERROR(VLOOKUP(B101,Заказ!B:Q,16,0),0)</f>
        <v>0</v>
      </c>
    </row>
    <row r="102" spans="2:9" x14ac:dyDescent="0.25">
      <c r="B102" s="84">
        <v>14180</v>
      </c>
      <c r="D102" s="84" t="str">
        <f t="shared" si="1"/>
        <v/>
      </c>
      <c r="H102" s="84">
        <f>IFERROR(VLOOKUP(B102,Заказ!B:Q,5,0),0)</f>
        <v>0</v>
      </c>
      <c r="I102" s="84">
        <f>IFERROR(VLOOKUP(B102,Заказ!B:Q,16,0),0)</f>
        <v>0</v>
      </c>
    </row>
    <row r="103" spans="2:9" x14ac:dyDescent="0.25">
      <c r="B103" s="84">
        <v>14664</v>
      </c>
      <c r="D103" s="84" t="str">
        <f t="shared" si="1"/>
        <v/>
      </c>
      <c r="H103" s="84">
        <f>IFERROR(VLOOKUP(B103,Заказ!B:Q,5,0),0)</f>
        <v>0</v>
      </c>
      <c r="I103" s="84">
        <f>IFERROR(VLOOKUP(B103,Заказ!B:Q,16,0),0)</f>
        <v>0</v>
      </c>
    </row>
    <row r="104" spans="2:9" x14ac:dyDescent="0.25">
      <c r="B104" s="84">
        <v>14504</v>
      </c>
      <c r="D104" s="84" t="str">
        <f t="shared" si="1"/>
        <v/>
      </c>
      <c r="H104" s="84">
        <f>IFERROR(VLOOKUP(B104,Заказ!B:Q,5,0),0)</f>
        <v>0</v>
      </c>
      <c r="I104" s="84">
        <f>IFERROR(VLOOKUP(B104,Заказ!B:Q,16,0),0)</f>
        <v>0</v>
      </c>
    </row>
    <row r="105" spans="2:9" x14ac:dyDescent="0.25">
      <c r="B105" s="84">
        <v>20071</v>
      </c>
      <c r="D105" s="84" t="str">
        <f t="shared" si="1"/>
        <v/>
      </c>
      <c r="H105" s="84">
        <f>IFERROR(VLOOKUP(B105,Заказ!B:Q,5,0),0)</f>
        <v>0</v>
      </c>
      <c r="I105" s="84">
        <f>IFERROR(VLOOKUP(B105,Заказ!B:Q,16,0),0)</f>
        <v>0</v>
      </c>
    </row>
    <row r="106" spans="2:9" x14ac:dyDescent="0.25">
      <c r="B106" s="84">
        <v>16638</v>
      </c>
      <c r="D106" s="84" t="str">
        <f t="shared" si="1"/>
        <v/>
      </c>
      <c r="H106" s="84">
        <f>IFERROR(VLOOKUP(B106,Заказ!B:Q,5,0),0)</f>
        <v>0</v>
      </c>
      <c r="I106" s="84">
        <f>IFERROR(VLOOKUP(B106,Заказ!B:Q,16,0),0)</f>
        <v>0</v>
      </c>
    </row>
    <row r="107" spans="2:9" x14ac:dyDescent="0.25">
      <c r="B107" s="84">
        <v>16977</v>
      </c>
      <c r="D107" s="84" t="str">
        <f t="shared" si="1"/>
        <v/>
      </c>
      <c r="H107" s="84">
        <f>IFERROR(VLOOKUP(B107,Заказ!B:Q,5,0),0)</f>
        <v>0</v>
      </c>
      <c r="I107" s="84">
        <f>IFERROR(VLOOKUP(B107,Заказ!B:Q,16,0),0)</f>
        <v>0</v>
      </c>
    </row>
    <row r="108" spans="2:9" x14ac:dyDescent="0.25">
      <c r="B108" s="84">
        <v>16975</v>
      </c>
      <c r="D108" s="84" t="str">
        <f t="shared" si="1"/>
        <v/>
      </c>
      <c r="H108" s="84">
        <f>IFERROR(VLOOKUP(B108,Заказ!B:Q,5,0),0)</f>
        <v>0</v>
      </c>
      <c r="I108" s="84">
        <f>IFERROR(VLOOKUP(B108,Заказ!B:Q,16,0),0)</f>
        <v>0</v>
      </c>
    </row>
    <row r="109" spans="2:9" x14ac:dyDescent="0.25">
      <c r="B109" s="84">
        <v>16974</v>
      </c>
      <c r="D109" s="84" t="str">
        <f t="shared" si="1"/>
        <v/>
      </c>
      <c r="H109" s="84">
        <f>IFERROR(VLOOKUP(B109,Заказ!B:Q,5,0),0)</f>
        <v>0</v>
      </c>
      <c r="I109" s="84">
        <f>IFERROR(VLOOKUP(B109,Заказ!B:Q,16,0),0)</f>
        <v>0</v>
      </c>
    </row>
    <row r="110" spans="2:9" x14ac:dyDescent="0.25">
      <c r="B110" s="84">
        <v>16641</v>
      </c>
      <c r="D110" s="84" t="str">
        <f t="shared" si="1"/>
        <v/>
      </c>
      <c r="H110" s="84">
        <f>IFERROR(VLOOKUP(B110,Заказ!B:Q,5,0),0)</f>
        <v>0</v>
      </c>
      <c r="I110" s="84">
        <f>IFERROR(VLOOKUP(B110,Заказ!B:Q,16,0),0)</f>
        <v>0</v>
      </c>
    </row>
    <row r="111" spans="2:9" x14ac:dyDescent="0.25">
      <c r="B111" s="84">
        <v>16642</v>
      </c>
      <c r="D111" s="84" t="str">
        <f t="shared" si="1"/>
        <v/>
      </c>
      <c r="H111" s="84">
        <f>IFERROR(VLOOKUP(B111,Заказ!B:Q,5,0),0)</f>
        <v>0</v>
      </c>
      <c r="I111" s="84">
        <f>IFERROR(VLOOKUP(B111,Заказ!B:Q,16,0),0)</f>
        <v>0</v>
      </c>
    </row>
    <row r="112" spans="2:9" x14ac:dyDescent="0.25">
      <c r="B112" s="84">
        <v>21103</v>
      </c>
      <c r="D112" s="84" t="str">
        <f t="shared" si="1"/>
        <v/>
      </c>
      <c r="H112" s="84">
        <f>IFERROR(VLOOKUP(B112,Заказ!B:Q,5,0),0)</f>
        <v>0</v>
      </c>
      <c r="I112" s="84">
        <f>IFERROR(VLOOKUP(B112,Заказ!B:Q,16,0),0)</f>
        <v>0</v>
      </c>
    </row>
    <row r="113" spans="2:9" x14ac:dyDescent="0.25">
      <c r="B113" s="84">
        <v>16640</v>
      </c>
      <c r="D113" s="84" t="str">
        <f t="shared" si="1"/>
        <v/>
      </c>
      <c r="H113" s="84">
        <f>IFERROR(VLOOKUP(B113,Заказ!B:Q,5,0),0)</f>
        <v>0</v>
      </c>
      <c r="I113" s="84">
        <f>IFERROR(VLOOKUP(B113,Заказ!B:Q,16,0),0)</f>
        <v>0</v>
      </c>
    </row>
    <row r="114" spans="2:9" x14ac:dyDescent="0.25">
      <c r="B114" s="84">
        <v>18515</v>
      </c>
      <c r="D114" s="84" t="str">
        <f t="shared" si="1"/>
        <v/>
      </c>
      <c r="H114" s="84">
        <f>IFERROR(VLOOKUP(B114,Заказ!B:Q,5,0),0)</f>
        <v>0</v>
      </c>
      <c r="I114" s="84">
        <f>IFERROR(VLOOKUP(B114,Заказ!B:Q,16,0),0)</f>
        <v>0</v>
      </c>
    </row>
    <row r="115" spans="2:9" x14ac:dyDescent="0.25">
      <c r="B115" s="84">
        <v>18516</v>
      </c>
      <c r="D115" s="84" t="str">
        <f t="shared" si="1"/>
        <v/>
      </c>
      <c r="H115" s="84">
        <f>IFERROR(VLOOKUP(B115,Заказ!B:Q,5,0),0)</f>
        <v>0</v>
      </c>
      <c r="I115" s="84">
        <f>IFERROR(VLOOKUP(B115,Заказ!B:Q,16,0),0)</f>
        <v>0</v>
      </c>
    </row>
    <row r="116" spans="2:9" x14ac:dyDescent="0.25">
      <c r="B116" s="84">
        <v>13715</v>
      </c>
      <c r="D116" s="84" t="str">
        <f t="shared" si="1"/>
        <v/>
      </c>
      <c r="H116" s="84">
        <f>IFERROR(VLOOKUP(B116,Заказ!B:Q,5,0),0)</f>
        <v>0</v>
      </c>
      <c r="I116" s="84">
        <f>IFERROR(VLOOKUP(B116,Заказ!B:Q,16,0),0)</f>
        <v>0</v>
      </c>
    </row>
    <row r="117" spans="2:9" x14ac:dyDescent="0.25">
      <c r="B117" s="84">
        <v>20115</v>
      </c>
      <c r="D117" s="84" t="str">
        <f t="shared" si="1"/>
        <v/>
      </c>
      <c r="H117" s="84">
        <f>IFERROR(VLOOKUP(B117,Заказ!B:Q,5,0),0)</f>
        <v>0</v>
      </c>
      <c r="I117" s="84">
        <f>IFERROR(VLOOKUP(B117,Заказ!B:Q,16,0),0)</f>
        <v>0</v>
      </c>
    </row>
    <row r="118" spans="2:9" x14ac:dyDescent="0.25">
      <c r="B118" s="84">
        <v>20116</v>
      </c>
      <c r="D118" s="84" t="str">
        <f t="shared" si="1"/>
        <v/>
      </c>
      <c r="H118" s="84">
        <f>IFERROR(VLOOKUP(B118,Заказ!B:Q,5,0),0)</f>
        <v>0</v>
      </c>
      <c r="I118" s="84">
        <f>IFERROR(VLOOKUP(B118,Заказ!B:Q,16,0),0)</f>
        <v>0</v>
      </c>
    </row>
    <row r="119" spans="2:9" x14ac:dyDescent="0.25">
      <c r="B119" s="84">
        <v>17996</v>
      </c>
      <c r="D119" s="84" t="str">
        <f t="shared" si="1"/>
        <v/>
      </c>
      <c r="H119" s="84">
        <f>IFERROR(VLOOKUP(B119,Заказ!B:Q,5,0),0)</f>
        <v>0</v>
      </c>
      <c r="I119" s="84">
        <f>IFERROR(VLOOKUP(B119,Заказ!B:Q,16,0),0)</f>
        <v>0</v>
      </c>
    </row>
    <row r="120" spans="2:9" x14ac:dyDescent="0.25">
      <c r="B120" s="84">
        <v>20117</v>
      </c>
      <c r="D120" s="84" t="str">
        <f t="shared" si="1"/>
        <v/>
      </c>
      <c r="H120" s="84">
        <f>IFERROR(VLOOKUP(B120,Заказ!B:Q,5,0),0)</f>
        <v>0</v>
      </c>
      <c r="I120" s="84">
        <f>IFERROR(VLOOKUP(B120,Заказ!B:Q,16,0),0)</f>
        <v>0</v>
      </c>
    </row>
    <row r="121" spans="2:9" x14ac:dyDescent="0.25">
      <c r="B121" s="84">
        <v>18310</v>
      </c>
      <c r="D121" s="84" t="str">
        <f t="shared" si="1"/>
        <v/>
      </c>
      <c r="H121" s="84">
        <f>IFERROR(VLOOKUP(B121,Заказ!B:Q,5,0),0)</f>
        <v>0</v>
      </c>
      <c r="I121" s="84">
        <f>IFERROR(VLOOKUP(B121,Заказ!B:Q,16,0),0)</f>
        <v>0</v>
      </c>
    </row>
    <row r="122" spans="2:9" x14ac:dyDescent="0.25">
      <c r="B122" s="84">
        <v>20118</v>
      </c>
      <c r="D122" s="84" t="str">
        <f t="shared" si="1"/>
        <v/>
      </c>
      <c r="H122" s="84">
        <f>IFERROR(VLOOKUP(B122,Заказ!B:Q,5,0),0)</f>
        <v>0</v>
      </c>
      <c r="I122" s="84">
        <f>IFERROR(VLOOKUP(B122,Заказ!B:Q,16,0),0)</f>
        <v>0</v>
      </c>
    </row>
    <row r="123" spans="2:9" x14ac:dyDescent="0.25">
      <c r="B123" s="84">
        <v>21126</v>
      </c>
      <c r="D123" s="84" t="str">
        <f t="shared" si="1"/>
        <v/>
      </c>
      <c r="H123" s="84">
        <f>IFERROR(VLOOKUP(B123,Заказ!B:Q,5,0),0)</f>
        <v>0</v>
      </c>
      <c r="I123" s="84">
        <f>IFERROR(VLOOKUP(B123,Заказ!B:Q,16,0),0)</f>
        <v>0</v>
      </c>
    </row>
    <row r="124" spans="2:9" x14ac:dyDescent="0.25">
      <c r="B124" s="84">
        <v>21124</v>
      </c>
      <c r="D124" s="84" t="str">
        <f t="shared" si="1"/>
        <v/>
      </c>
      <c r="H124" s="84">
        <f>IFERROR(VLOOKUP(B124,Заказ!B:Q,5,0),0)</f>
        <v>0</v>
      </c>
      <c r="I124" s="84">
        <f>IFERROR(VLOOKUP(B124,Заказ!B:Q,16,0),0)</f>
        <v>0</v>
      </c>
    </row>
    <row r="125" spans="2:9" x14ac:dyDescent="0.25">
      <c r="B125" s="84">
        <v>21125</v>
      </c>
      <c r="D125" s="84" t="str">
        <f t="shared" si="1"/>
        <v/>
      </c>
      <c r="H125" s="84">
        <f>IFERROR(VLOOKUP(B125,Заказ!B:Q,5,0),0)</f>
        <v>0</v>
      </c>
      <c r="I125" s="84">
        <f>IFERROR(VLOOKUP(B125,Заказ!B:Q,16,0),0)</f>
        <v>0</v>
      </c>
    </row>
    <row r="126" spans="2:9" x14ac:dyDescent="0.25">
      <c r="B126" s="84">
        <v>19151</v>
      </c>
      <c r="D126" s="84" t="str">
        <f t="shared" si="1"/>
        <v/>
      </c>
      <c r="H126" s="84">
        <f>IFERROR(VLOOKUP(B126,Заказ!B:Q,5,0),0)</f>
        <v>0</v>
      </c>
      <c r="I126" s="84">
        <f>IFERROR(VLOOKUP(B126,Заказ!B:Q,16,0),0)</f>
        <v>0</v>
      </c>
    </row>
    <row r="127" spans="2:9" x14ac:dyDescent="0.25">
      <c r="B127" s="84">
        <v>20712</v>
      </c>
      <c r="D127" s="84" t="str">
        <f t="shared" si="1"/>
        <v/>
      </c>
      <c r="H127" s="84">
        <f>IFERROR(VLOOKUP(B127,Заказ!B:Q,5,0),0)</f>
        <v>0</v>
      </c>
      <c r="I127" s="84">
        <f>IFERROR(VLOOKUP(B127,Заказ!B:Q,16,0),0)</f>
        <v>0</v>
      </c>
    </row>
    <row r="128" spans="2:9" x14ac:dyDescent="0.25">
      <c r="B128" s="84">
        <v>20713</v>
      </c>
      <c r="D128" s="84" t="str">
        <f t="shared" si="1"/>
        <v/>
      </c>
      <c r="H128" s="84">
        <f>IFERROR(VLOOKUP(B128,Заказ!B:Q,5,0),0)</f>
        <v>0</v>
      </c>
      <c r="I128" s="84">
        <f>IFERROR(VLOOKUP(B128,Заказ!B:Q,16,0),0)</f>
        <v>0</v>
      </c>
    </row>
    <row r="129" spans="2:9" x14ac:dyDescent="0.25">
      <c r="B129" s="84">
        <v>20714</v>
      </c>
      <c r="D129" s="84" t="str">
        <f t="shared" si="1"/>
        <v/>
      </c>
      <c r="H129" s="84">
        <f>IFERROR(VLOOKUP(B129,Заказ!B:Q,5,0),0)</f>
        <v>0</v>
      </c>
      <c r="I129" s="84">
        <f>IFERROR(VLOOKUP(B129,Заказ!B:Q,16,0),0)</f>
        <v>0</v>
      </c>
    </row>
    <row r="130" spans="2:9" x14ac:dyDescent="0.25">
      <c r="B130" s="84">
        <v>19153</v>
      </c>
      <c r="D130" s="84" t="str">
        <f t="shared" si="1"/>
        <v/>
      </c>
      <c r="H130" s="84">
        <f>IFERROR(VLOOKUP(B130,Заказ!B:Q,5,0),0)</f>
        <v>0</v>
      </c>
      <c r="I130" s="84">
        <f>IFERROR(VLOOKUP(B130,Заказ!B:Q,16,0),0)</f>
        <v>0</v>
      </c>
    </row>
    <row r="131" spans="2:9" x14ac:dyDescent="0.25">
      <c r="B131" s="84">
        <v>19890</v>
      </c>
      <c r="D131" s="84" t="str">
        <f t="shared" si="1"/>
        <v/>
      </c>
      <c r="H131" s="84">
        <f>IFERROR(VLOOKUP(B131,Заказ!B:Q,5,0),0)</f>
        <v>0</v>
      </c>
      <c r="I131" s="84">
        <f>IFERROR(VLOOKUP(B131,Заказ!B:Q,16,0),0)</f>
        <v>0</v>
      </c>
    </row>
    <row r="132" spans="2:9" x14ac:dyDescent="0.25">
      <c r="B132" s="84">
        <v>19690</v>
      </c>
      <c r="D132" s="84" t="str">
        <f t="shared" si="1"/>
        <v/>
      </c>
      <c r="H132" s="84">
        <f>IFERROR(VLOOKUP(B132,Заказ!B:Q,5,0),0)</f>
        <v>0</v>
      </c>
      <c r="I132" s="84">
        <f>IFERROR(VLOOKUP(B132,Заказ!B:Q,16,0),0)</f>
        <v>0</v>
      </c>
    </row>
    <row r="133" spans="2:9" x14ac:dyDescent="0.25">
      <c r="B133" s="84">
        <v>19155</v>
      </c>
      <c r="D133" s="84" t="str">
        <f t="shared" si="1"/>
        <v/>
      </c>
      <c r="H133" s="84">
        <f>IFERROR(VLOOKUP(B133,Заказ!B:Q,5,0),0)</f>
        <v>0</v>
      </c>
      <c r="I133" s="84">
        <f>IFERROR(VLOOKUP(B133,Заказ!B:Q,16,0),0)</f>
        <v>0</v>
      </c>
    </row>
    <row r="134" spans="2:9" x14ac:dyDescent="0.25">
      <c r="B134" s="84">
        <v>19154</v>
      </c>
      <c r="D134" s="84" t="str">
        <f t="shared" si="1"/>
        <v/>
      </c>
      <c r="H134" s="84">
        <f>IFERROR(VLOOKUP(B134,Заказ!B:Q,5,0),0)</f>
        <v>0</v>
      </c>
      <c r="I134" s="84">
        <f>IFERROR(VLOOKUP(B134,Заказ!B:Q,16,0),0)</f>
        <v>0</v>
      </c>
    </row>
    <row r="135" spans="2:9" x14ac:dyDescent="0.25">
      <c r="B135" s="84">
        <v>20551</v>
      </c>
      <c r="D135" s="84" t="str">
        <f t="shared" si="1"/>
        <v/>
      </c>
      <c r="H135" s="84">
        <f>IFERROR(VLOOKUP(B135,Заказ!B:Q,5,0),0)</f>
        <v>0</v>
      </c>
      <c r="I135" s="84">
        <f>IFERROR(VLOOKUP(B135,Заказ!B:Q,16,0),0)</f>
        <v>0</v>
      </c>
    </row>
    <row r="136" spans="2:9" x14ac:dyDescent="0.25">
      <c r="B136" s="84">
        <v>19152</v>
      </c>
      <c r="D136" s="84" t="str">
        <f t="shared" si="1"/>
        <v/>
      </c>
      <c r="H136" s="84">
        <f>IFERROR(VLOOKUP(B136,Заказ!B:Q,5,0),0)</f>
        <v>0</v>
      </c>
      <c r="I136" s="84">
        <f>IFERROR(VLOOKUP(B136,Заказ!B:Q,16,0),0)</f>
        <v>0</v>
      </c>
    </row>
    <row r="137" spans="2:9" x14ac:dyDescent="0.25">
      <c r="B137" s="84">
        <v>21586</v>
      </c>
      <c r="D137" s="84" t="str">
        <f t="shared" ref="D137:D149" si="2">IFERROR(ROUND(I137/H137,2),"")</f>
        <v/>
      </c>
      <c r="H137" s="84">
        <f>IFERROR(VLOOKUP(B137,Заказ!B:Q,5,0),0)</f>
        <v>0</v>
      </c>
      <c r="I137" s="84">
        <f>IFERROR(VLOOKUP(B137,Заказ!B:Q,16,0),0)</f>
        <v>0</v>
      </c>
    </row>
    <row r="138" spans="2:9" x14ac:dyDescent="0.25">
      <c r="B138" s="84">
        <v>21577</v>
      </c>
      <c r="D138" s="84" t="str">
        <f t="shared" si="2"/>
        <v/>
      </c>
      <c r="H138" s="84">
        <f>IFERROR(VLOOKUP(B138,Заказ!B:Q,5,0),0)</f>
        <v>0</v>
      </c>
      <c r="I138" s="84">
        <f>IFERROR(VLOOKUP(B138,Заказ!B:Q,16,0),0)</f>
        <v>0</v>
      </c>
    </row>
    <row r="139" spans="2:9" x14ac:dyDescent="0.25">
      <c r="B139" s="84">
        <v>21568</v>
      </c>
      <c r="D139" s="84" t="str">
        <f t="shared" si="2"/>
        <v/>
      </c>
      <c r="H139" s="84">
        <f>IFERROR(VLOOKUP(B139,Заказ!B:Q,5,0),0)</f>
        <v>0</v>
      </c>
      <c r="I139" s="84">
        <f>IFERROR(VLOOKUP(B139,Заказ!B:Q,16,0),0)</f>
        <v>0</v>
      </c>
    </row>
    <row r="140" spans="2:9" x14ac:dyDescent="0.25">
      <c r="B140" s="84">
        <v>21567</v>
      </c>
      <c r="D140" s="84" t="str">
        <f t="shared" si="2"/>
        <v/>
      </c>
      <c r="H140" s="84">
        <f>IFERROR(VLOOKUP(B140,Заказ!B:Q,5,0),0)</f>
        <v>0</v>
      </c>
      <c r="I140" s="84">
        <f>IFERROR(VLOOKUP(B140,Заказ!B:Q,16,0),0)</f>
        <v>0</v>
      </c>
    </row>
    <row r="141" spans="2:9" x14ac:dyDescent="0.25">
      <c r="B141" s="84">
        <v>21570</v>
      </c>
      <c r="D141" s="84" t="str">
        <f t="shared" si="2"/>
        <v/>
      </c>
      <c r="H141" s="84">
        <f>IFERROR(VLOOKUP(B141,Заказ!B:Q,5,0),0)</f>
        <v>0</v>
      </c>
      <c r="I141" s="84">
        <f>IFERROR(VLOOKUP(B141,Заказ!B:Q,16,0),0)</f>
        <v>0</v>
      </c>
    </row>
    <row r="142" spans="2:9" x14ac:dyDescent="0.25">
      <c r="B142" s="84">
        <v>21569</v>
      </c>
      <c r="D142" s="84" t="str">
        <f t="shared" si="2"/>
        <v/>
      </c>
      <c r="H142" s="84">
        <f>IFERROR(VLOOKUP(B142,Заказ!B:Q,5,0),0)</f>
        <v>0</v>
      </c>
      <c r="I142" s="84">
        <f>IFERROR(VLOOKUP(B142,Заказ!B:Q,16,0),0)</f>
        <v>0</v>
      </c>
    </row>
    <row r="143" spans="2:9" x14ac:dyDescent="0.25">
      <c r="B143" s="84">
        <v>21575</v>
      </c>
      <c r="D143" s="84" t="str">
        <f t="shared" si="2"/>
        <v/>
      </c>
      <c r="H143" s="84">
        <f>IFERROR(VLOOKUP(B143,Заказ!B:Q,5,0),0)</f>
        <v>0</v>
      </c>
      <c r="I143" s="84">
        <f>IFERROR(VLOOKUP(B143,Заказ!B:Q,16,0),0)</f>
        <v>0</v>
      </c>
    </row>
    <row r="144" spans="2:9" x14ac:dyDescent="0.25">
      <c r="B144" s="84">
        <v>21571</v>
      </c>
      <c r="D144" s="84" t="str">
        <f t="shared" si="2"/>
        <v/>
      </c>
      <c r="H144" s="84">
        <f>IFERROR(VLOOKUP(B144,Заказ!B:Q,5,0),0)</f>
        <v>0</v>
      </c>
      <c r="I144" s="84">
        <f>IFERROR(VLOOKUP(B144,Заказ!B:Q,16,0),0)</f>
        <v>0</v>
      </c>
    </row>
    <row r="145" spans="2:9" x14ac:dyDescent="0.25">
      <c r="B145" s="84">
        <v>21572</v>
      </c>
      <c r="D145" s="84" t="str">
        <f t="shared" si="2"/>
        <v/>
      </c>
      <c r="H145" s="84">
        <f>IFERROR(VLOOKUP(B145,Заказ!B:Q,5,0),0)</f>
        <v>0</v>
      </c>
      <c r="I145" s="84">
        <f>IFERROR(VLOOKUP(B145,Заказ!B:Q,16,0),0)</f>
        <v>0</v>
      </c>
    </row>
    <row r="146" spans="2:9" x14ac:dyDescent="0.25">
      <c r="B146" s="84">
        <v>21573</v>
      </c>
      <c r="D146" s="84" t="str">
        <f t="shared" si="2"/>
        <v/>
      </c>
      <c r="H146" s="84">
        <f>IFERROR(VLOOKUP(B146,Заказ!B:Q,5,0),0)</f>
        <v>0</v>
      </c>
      <c r="I146" s="84">
        <f>IFERROR(VLOOKUP(B146,Заказ!B:Q,16,0),0)</f>
        <v>0</v>
      </c>
    </row>
    <row r="147" spans="2:9" x14ac:dyDescent="0.25">
      <c r="B147" s="84">
        <v>21574</v>
      </c>
      <c r="D147" s="84" t="str">
        <f t="shared" si="2"/>
        <v/>
      </c>
      <c r="H147" s="84">
        <f>IFERROR(VLOOKUP(B147,Заказ!B:Q,5,0),0)</f>
        <v>0</v>
      </c>
      <c r="I147" s="84">
        <f>IFERROR(VLOOKUP(B147,Заказ!B:Q,16,0),0)</f>
        <v>0</v>
      </c>
    </row>
    <row r="148" spans="2:9" x14ac:dyDescent="0.25">
      <c r="B148" s="84">
        <v>11826</v>
      </c>
      <c r="D148" s="84" t="str">
        <f t="shared" si="2"/>
        <v/>
      </c>
      <c r="H148" s="84">
        <f>IFERROR(VLOOKUP(B148,Заказ!B:Q,5,0),0)</f>
        <v>0</v>
      </c>
      <c r="I148" s="84">
        <f>IFERROR(VLOOKUP(B148,Заказ!B:Q,16,0),0)</f>
        <v>0</v>
      </c>
    </row>
    <row r="149" spans="2:9" x14ac:dyDescent="0.25">
      <c r="B149" s="84">
        <v>11783</v>
      </c>
      <c r="D149" s="84" t="str">
        <f t="shared" si="2"/>
        <v/>
      </c>
      <c r="H149" s="84">
        <f>IFERROR(VLOOKUP(B149,Заказ!B:Q,5,0),0)</f>
        <v>0</v>
      </c>
      <c r="I149" s="84">
        <f>IFERROR(VLOOKUP(B149,Заказ!B:Q,16,0),0)</f>
        <v>0</v>
      </c>
    </row>
    <row r="150" spans="2:9" x14ac:dyDescent="0.25">
      <c r="B150" s="84">
        <v>8886</v>
      </c>
      <c r="D150" s="84" t="str">
        <f t="shared" si="1"/>
        <v/>
      </c>
      <c r="H150" s="84">
        <f>IFERROR(VLOOKUP(B150,Заказ!B:Q,5,0),0)</f>
        <v>0</v>
      </c>
      <c r="I150" s="84">
        <f>IFERROR(VLOOKUP(B150,Заказ!B:Q,16,0),0)</f>
        <v>0</v>
      </c>
    </row>
    <row r="151" spans="2:9" x14ac:dyDescent="0.25">
      <c r="B151" s="84">
        <v>10131</v>
      </c>
      <c r="D151" s="84" t="str">
        <f t="shared" si="1"/>
        <v/>
      </c>
      <c r="H151" s="84">
        <f>IFERROR(VLOOKUP(B151,Заказ!B:Q,5,0),0)</f>
        <v>0</v>
      </c>
      <c r="I151" s="84">
        <f>IFERROR(VLOOKUP(B151,Заказ!B:Q,16,0),0)</f>
        <v>0</v>
      </c>
    </row>
    <row r="152" spans="2:9" x14ac:dyDescent="0.25">
      <c r="B152" s="84">
        <v>9535</v>
      </c>
      <c r="D152" s="84" t="str">
        <f t="shared" si="1"/>
        <v/>
      </c>
      <c r="H152" s="84">
        <f>IFERROR(VLOOKUP(B152,Заказ!B:Q,5,0),0)</f>
        <v>0</v>
      </c>
      <c r="I152" s="84">
        <f>IFERROR(VLOOKUP(B152,Заказ!B:Q,16,0),0)</f>
        <v>0</v>
      </c>
    </row>
    <row r="153" spans="2:9" x14ac:dyDescent="0.25">
      <c r="B153" s="84">
        <v>18267</v>
      </c>
      <c r="D153" s="84" t="str">
        <f t="shared" si="1"/>
        <v/>
      </c>
      <c r="H153" s="84">
        <f>IFERROR(VLOOKUP(B153,Заказ!B:Q,5,0),0)</f>
        <v>0</v>
      </c>
      <c r="I153" s="84">
        <f>IFERROR(VLOOKUP(B153,Заказ!B:Q,16,0),0)</f>
        <v>0</v>
      </c>
    </row>
    <row r="154" spans="2:9" x14ac:dyDescent="0.25">
      <c r="B154" s="84">
        <v>16349</v>
      </c>
      <c r="D154" s="84" t="str">
        <f t="shared" si="1"/>
        <v/>
      </c>
      <c r="H154" s="84">
        <f>IFERROR(VLOOKUP(B154,Заказ!B:Q,5,0),0)</f>
        <v>0</v>
      </c>
      <c r="I154" s="84">
        <f>IFERROR(VLOOKUP(B154,Заказ!B:Q,16,0),0)</f>
        <v>0</v>
      </c>
    </row>
    <row r="155" spans="2:9" x14ac:dyDescent="0.25">
      <c r="B155" s="84">
        <v>16350</v>
      </c>
      <c r="D155" s="84" t="str">
        <f t="shared" si="1"/>
        <v/>
      </c>
      <c r="H155" s="84">
        <f>IFERROR(VLOOKUP(B155,Заказ!B:Q,5,0),0)</f>
        <v>0</v>
      </c>
      <c r="I155" s="84">
        <f>IFERROR(VLOOKUP(B155,Заказ!B:Q,16,0),0)</f>
        <v>0</v>
      </c>
    </row>
    <row r="156" spans="2:9" x14ac:dyDescent="0.25">
      <c r="B156" s="84">
        <v>16351</v>
      </c>
      <c r="D156" s="84" t="str">
        <f t="shared" si="1"/>
        <v/>
      </c>
      <c r="H156" s="84">
        <f>IFERROR(VLOOKUP(B156,Заказ!B:Q,5,0),0)</f>
        <v>0</v>
      </c>
      <c r="I156" s="84">
        <f>IFERROR(VLOOKUP(B156,Заказ!B:Q,16,0),0)</f>
        <v>0</v>
      </c>
    </row>
    <row r="157" spans="2:9" x14ac:dyDescent="0.25">
      <c r="B157" s="84">
        <v>16352</v>
      </c>
      <c r="D157" s="84" t="str">
        <f t="shared" si="1"/>
        <v/>
      </c>
      <c r="H157" s="84">
        <f>IFERROR(VLOOKUP(B157,Заказ!B:Q,5,0),0)</f>
        <v>0</v>
      </c>
      <c r="I157" s="84">
        <f>IFERROR(VLOOKUP(B157,Заказ!B:Q,16,0),0)</f>
        <v>0</v>
      </c>
    </row>
    <row r="158" spans="2:9" x14ac:dyDescent="0.25">
      <c r="B158" s="84">
        <v>18266</v>
      </c>
      <c r="D158" s="84" t="str">
        <f t="shared" si="1"/>
        <v/>
      </c>
      <c r="H158" s="84">
        <f>IFERROR(VLOOKUP(B158,Заказ!B:Q,5,0),0)</f>
        <v>0</v>
      </c>
      <c r="I158" s="84">
        <f>IFERROR(VLOOKUP(B158,Заказ!B:Q,16,0),0)</f>
        <v>0</v>
      </c>
    </row>
    <row r="159" spans="2:9" x14ac:dyDescent="0.25">
      <c r="B159" s="84">
        <v>18264</v>
      </c>
      <c r="D159" s="84" t="str">
        <f t="shared" si="1"/>
        <v/>
      </c>
      <c r="H159" s="84">
        <f>IFERROR(VLOOKUP(B159,Заказ!B:Q,5,0),0)</f>
        <v>0</v>
      </c>
      <c r="I159" s="84">
        <f>IFERROR(VLOOKUP(B159,Заказ!B:Q,16,0),0)</f>
        <v>0</v>
      </c>
    </row>
    <row r="160" spans="2:9" x14ac:dyDescent="0.25">
      <c r="B160" s="84">
        <v>12617</v>
      </c>
      <c r="D160" s="84" t="str">
        <f t="shared" si="1"/>
        <v/>
      </c>
      <c r="H160" s="84">
        <f>IFERROR(VLOOKUP(B160,Заказ!B:Q,5,0),0)</f>
        <v>0</v>
      </c>
      <c r="I160" s="84">
        <f>IFERROR(VLOOKUP(B160,Заказ!B:Q,16,0),0)</f>
        <v>0</v>
      </c>
    </row>
    <row r="161" spans="2:9" x14ac:dyDescent="0.25">
      <c r="B161" s="84">
        <v>12507</v>
      </c>
      <c r="D161" s="84" t="str">
        <f t="shared" si="1"/>
        <v/>
      </c>
      <c r="H161" s="84">
        <f>IFERROR(VLOOKUP(B161,Заказ!B:Q,5,0),0)</f>
        <v>0</v>
      </c>
      <c r="I161" s="84">
        <f>IFERROR(VLOOKUP(B161,Заказ!B:Q,16,0),0)</f>
        <v>0</v>
      </c>
    </row>
    <row r="162" spans="2:9" x14ac:dyDescent="0.25">
      <c r="B162" s="84">
        <v>11582</v>
      </c>
      <c r="D162" s="84" t="str">
        <f t="shared" si="1"/>
        <v/>
      </c>
      <c r="H162" s="84">
        <f>IFERROR(VLOOKUP(B162,Заказ!B:Q,5,0),0)</f>
        <v>0</v>
      </c>
      <c r="I162" s="84">
        <f>IFERROR(VLOOKUP(B162,Заказ!B:Q,16,0),0)</f>
        <v>0</v>
      </c>
    </row>
    <row r="163" spans="2:9" x14ac:dyDescent="0.25">
      <c r="B163" s="84">
        <v>12224</v>
      </c>
      <c r="D163" s="84" t="str">
        <f t="shared" si="1"/>
        <v/>
      </c>
      <c r="H163" s="84">
        <f>IFERROR(VLOOKUP(B163,Заказ!B:Q,5,0),0)</f>
        <v>0</v>
      </c>
      <c r="I163" s="84">
        <f>IFERROR(VLOOKUP(B163,Заказ!B:Q,16,0),0)</f>
        <v>0</v>
      </c>
    </row>
    <row r="164" spans="2:9" x14ac:dyDescent="0.25">
      <c r="B164" s="84">
        <v>11583</v>
      </c>
      <c r="D164" s="84" t="str">
        <f t="shared" si="1"/>
        <v/>
      </c>
      <c r="H164" s="84">
        <f>IFERROR(VLOOKUP(B164,Заказ!B:Q,5,0),0)</f>
        <v>0</v>
      </c>
      <c r="I164" s="84">
        <f>IFERROR(VLOOKUP(B164,Заказ!B:Q,16,0),0)</f>
        <v>0</v>
      </c>
    </row>
    <row r="165" spans="2:9" x14ac:dyDescent="0.25">
      <c r="B165" s="84">
        <v>18451</v>
      </c>
      <c r="D165" s="84" t="str">
        <f t="shared" si="1"/>
        <v/>
      </c>
      <c r="H165" s="84">
        <f>IFERROR(VLOOKUP(B165,Заказ!B:Q,5,0),0)</f>
        <v>0</v>
      </c>
      <c r="I165" s="84">
        <f>IFERROR(VLOOKUP(B165,Заказ!B:Q,16,0),0)</f>
        <v>0</v>
      </c>
    </row>
    <row r="166" spans="2:9" x14ac:dyDescent="0.25">
      <c r="B166" s="84">
        <v>12527</v>
      </c>
      <c r="D166" s="84" t="str">
        <f t="shared" si="1"/>
        <v/>
      </c>
      <c r="H166" s="84">
        <f>IFERROR(VLOOKUP(B166,Заказ!B:Q,5,0),0)</f>
        <v>0</v>
      </c>
      <c r="I166" s="84">
        <f>IFERROR(VLOOKUP(B166,Заказ!B:Q,16,0),0)</f>
        <v>0</v>
      </c>
    </row>
    <row r="167" spans="2:9" x14ac:dyDescent="0.25">
      <c r="B167" s="84">
        <v>14825</v>
      </c>
      <c r="D167" s="84" t="str">
        <f t="shared" si="1"/>
        <v/>
      </c>
      <c r="H167" s="84">
        <f>IFERROR(VLOOKUP(B167,Заказ!B:Q,5,0),0)</f>
        <v>0</v>
      </c>
      <c r="I167" s="84">
        <f>IFERROR(VLOOKUP(B167,Заказ!B:Q,16,0),0)</f>
        <v>0</v>
      </c>
    </row>
    <row r="168" spans="2:9" x14ac:dyDescent="0.25">
      <c r="B168" s="84">
        <v>17081</v>
      </c>
      <c r="D168" s="84" t="str">
        <f t="shared" si="1"/>
        <v/>
      </c>
      <c r="H168" s="84">
        <f>IFERROR(VLOOKUP(B168,Заказ!B:Q,5,0),0)</f>
        <v>0</v>
      </c>
      <c r="I168" s="84">
        <f>IFERROR(VLOOKUP(B168,Заказ!B:Q,16,0),0)</f>
        <v>0</v>
      </c>
    </row>
    <row r="169" spans="2:9" x14ac:dyDescent="0.25">
      <c r="B169" s="84">
        <v>17174</v>
      </c>
      <c r="D169" s="84" t="str">
        <f t="shared" si="1"/>
        <v/>
      </c>
      <c r="H169" s="84">
        <f>IFERROR(VLOOKUP(B169,Заказ!B:Q,5,0),0)</f>
        <v>0</v>
      </c>
      <c r="I169" s="84">
        <f>IFERROR(VLOOKUP(B169,Заказ!B:Q,16,0),0)</f>
        <v>0</v>
      </c>
    </row>
    <row r="170" spans="2:9" x14ac:dyDescent="0.25">
      <c r="B170" s="84">
        <v>17080</v>
      </c>
      <c r="D170" s="84" t="str">
        <f t="shared" si="1"/>
        <v/>
      </c>
      <c r="H170" s="84">
        <f>IFERROR(VLOOKUP(B170,Заказ!B:Q,5,0),0)</f>
        <v>0</v>
      </c>
      <c r="I170" s="84">
        <f>IFERROR(VLOOKUP(B170,Заказ!B:Q,16,0),0)</f>
        <v>0</v>
      </c>
    </row>
    <row r="171" spans="2:9" x14ac:dyDescent="0.25">
      <c r="B171" s="84">
        <v>16878</v>
      </c>
      <c r="D171" s="84" t="str">
        <f t="shared" si="1"/>
        <v/>
      </c>
      <c r="H171" s="84">
        <f>IFERROR(VLOOKUP(B171,Заказ!B:Q,5,0),0)</f>
        <v>0</v>
      </c>
      <c r="I171" s="84">
        <f>IFERROR(VLOOKUP(B171,Заказ!B:Q,16,0),0)</f>
        <v>0</v>
      </c>
    </row>
    <row r="172" spans="2:9" x14ac:dyDescent="0.25">
      <c r="B172" s="84">
        <v>16120</v>
      </c>
      <c r="D172" s="84" t="str">
        <f t="shared" si="1"/>
        <v/>
      </c>
      <c r="H172" s="84">
        <f>IFERROR(VLOOKUP(B172,Заказ!B:Q,5,0),0)</f>
        <v>0</v>
      </c>
      <c r="I172" s="84">
        <f>IFERROR(VLOOKUP(B172,Заказ!B:Q,16,0),0)</f>
        <v>0</v>
      </c>
    </row>
    <row r="173" spans="2:9" x14ac:dyDescent="0.25">
      <c r="B173" s="84">
        <v>16118</v>
      </c>
      <c r="D173" s="84" t="str">
        <f t="shared" si="1"/>
        <v/>
      </c>
      <c r="H173" s="84">
        <f>IFERROR(VLOOKUP(B173,Заказ!B:Q,5,0),0)</f>
        <v>0</v>
      </c>
      <c r="I173" s="84">
        <f>IFERROR(VLOOKUP(B173,Заказ!B:Q,16,0),0)</f>
        <v>0</v>
      </c>
    </row>
    <row r="174" spans="2:9" x14ac:dyDescent="0.25">
      <c r="B174" s="84">
        <v>16119</v>
      </c>
      <c r="D174" s="84" t="str">
        <f t="shared" ref="D174:D217" si="3">IFERROR(ROUND(I174/H174,2),"")</f>
        <v/>
      </c>
      <c r="H174" s="84">
        <f>IFERROR(VLOOKUP(B174,Заказ!B:Q,5,0),0)</f>
        <v>0</v>
      </c>
      <c r="I174" s="84">
        <f>IFERROR(VLOOKUP(B174,Заказ!B:Q,16,0),0)</f>
        <v>0</v>
      </c>
    </row>
    <row r="175" spans="2:9" x14ac:dyDescent="0.25">
      <c r="B175" s="84">
        <v>16281</v>
      </c>
      <c r="D175" s="84" t="str">
        <f t="shared" si="3"/>
        <v/>
      </c>
      <c r="H175" s="84">
        <f>IFERROR(VLOOKUP(B175,Заказ!B:Q,5,0),0)</f>
        <v>0</v>
      </c>
      <c r="I175" s="84">
        <f>IFERROR(VLOOKUP(B175,Заказ!B:Q,16,0),0)</f>
        <v>0</v>
      </c>
    </row>
    <row r="176" spans="2:9" x14ac:dyDescent="0.25">
      <c r="B176" s="84">
        <v>19110</v>
      </c>
      <c r="D176" s="84" t="str">
        <f t="shared" si="3"/>
        <v/>
      </c>
      <c r="H176" s="84">
        <f>IFERROR(VLOOKUP(B176,Заказ!B:Q,5,0),0)</f>
        <v>0</v>
      </c>
      <c r="I176" s="84">
        <f>IFERROR(VLOOKUP(B176,Заказ!B:Q,16,0),0)</f>
        <v>0</v>
      </c>
    </row>
    <row r="177" spans="2:9" x14ac:dyDescent="0.25">
      <c r="B177" s="84">
        <v>19109</v>
      </c>
      <c r="D177" s="84" t="str">
        <f t="shared" si="3"/>
        <v/>
      </c>
      <c r="H177" s="84">
        <f>IFERROR(VLOOKUP(B177,Заказ!B:Q,5,0),0)</f>
        <v>0</v>
      </c>
      <c r="I177" s="84">
        <f>IFERROR(VLOOKUP(B177,Заказ!B:Q,16,0),0)</f>
        <v>0</v>
      </c>
    </row>
    <row r="178" spans="2:9" x14ac:dyDescent="0.25">
      <c r="B178" s="84">
        <v>17961</v>
      </c>
      <c r="D178" s="84" t="str">
        <f t="shared" si="3"/>
        <v/>
      </c>
      <c r="H178" s="84">
        <f>IFERROR(VLOOKUP(B178,Заказ!B:Q,5,0),0)</f>
        <v>0</v>
      </c>
      <c r="I178" s="84">
        <f>IFERROR(VLOOKUP(B178,Заказ!B:Q,16,0),0)</f>
        <v>0</v>
      </c>
    </row>
    <row r="179" spans="2:9" x14ac:dyDescent="0.25">
      <c r="B179" s="84">
        <v>16383</v>
      </c>
      <c r="D179" s="84" t="str">
        <f t="shared" si="3"/>
        <v/>
      </c>
      <c r="H179" s="84">
        <f>IFERROR(VLOOKUP(B179,Заказ!B:Q,5,0),0)</f>
        <v>0</v>
      </c>
      <c r="I179" s="84">
        <f>IFERROR(VLOOKUP(B179,Заказ!B:Q,16,0),0)</f>
        <v>0</v>
      </c>
    </row>
    <row r="180" spans="2:9" x14ac:dyDescent="0.25">
      <c r="B180" s="84">
        <v>16392</v>
      </c>
      <c r="D180" s="84" t="str">
        <f t="shared" si="3"/>
        <v/>
      </c>
      <c r="H180" s="84">
        <f>IFERROR(VLOOKUP(B180,Заказ!B:Q,5,0),0)</f>
        <v>0</v>
      </c>
      <c r="I180" s="84">
        <f>IFERROR(VLOOKUP(B180,Заказ!B:Q,16,0),0)</f>
        <v>0</v>
      </c>
    </row>
    <row r="181" spans="2:9" x14ac:dyDescent="0.25">
      <c r="B181" s="84">
        <v>16395</v>
      </c>
      <c r="D181" s="84" t="str">
        <f t="shared" si="3"/>
        <v/>
      </c>
      <c r="H181" s="84">
        <f>IFERROR(VLOOKUP(B181,Заказ!B:Q,5,0),0)</f>
        <v>0</v>
      </c>
      <c r="I181" s="84">
        <f>IFERROR(VLOOKUP(B181,Заказ!B:Q,16,0),0)</f>
        <v>0</v>
      </c>
    </row>
    <row r="182" spans="2:9" x14ac:dyDescent="0.25">
      <c r="B182" s="84">
        <v>18663</v>
      </c>
      <c r="D182" s="84" t="str">
        <f t="shared" si="3"/>
        <v/>
      </c>
      <c r="H182" s="84">
        <f>IFERROR(VLOOKUP(B182,Заказ!B:Q,5,0),0)</f>
        <v>0</v>
      </c>
      <c r="I182" s="84">
        <f>IFERROR(VLOOKUP(B182,Заказ!B:Q,16,0),0)</f>
        <v>0</v>
      </c>
    </row>
    <row r="183" spans="2:9" x14ac:dyDescent="0.25">
      <c r="B183" s="84">
        <v>16372</v>
      </c>
      <c r="D183" s="84" t="str">
        <f t="shared" si="3"/>
        <v/>
      </c>
      <c r="H183" s="84">
        <f>IFERROR(VLOOKUP(B183,Заказ!B:Q,5,0),0)</f>
        <v>0</v>
      </c>
      <c r="I183" s="84">
        <f>IFERROR(VLOOKUP(B183,Заказ!B:Q,16,0),0)</f>
        <v>0</v>
      </c>
    </row>
    <row r="184" spans="2:9" x14ac:dyDescent="0.25">
      <c r="D184" s="84" t="str">
        <f t="shared" si="3"/>
        <v/>
      </c>
      <c r="H184" s="84">
        <f>IFERROR(VLOOKUP(B184,Заказ!B:Q,5,0),0)</f>
        <v>0</v>
      </c>
      <c r="I184" s="84">
        <f>IFERROR(VLOOKUP(B184,Заказ!B:Q,16,0),0)</f>
        <v>0</v>
      </c>
    </row>
    <row r="185" spans="2:9" x14ac:dyDescent="0.25">
      <c r="B185" s="84">
        <v>8887</v>
      </c>
      <c r="D185" s="84" t="str">
        <f t="shared" si="3"/>
        <v/>
      </c>
      <c r="H185" s="84">
        <f>IFERROR(VLOOKUP(B185,Заказ!B:Q,5,0),0)</f>
        <v>0</v>
      </c>
      <c r="I185" s="84">
        <f>IFERROR(VLOOKUP(B185,Заказ!B:Q,16,0),0)</f>
        <v>0</v>
      </c>
    </row>
    <row r="186" spans="2:9" x14ac:dyDescent="0.25">
      <c r="B186" s="84">
        <v>8879</v>
      </c>
      <c r="D186" s="84" t="str">
        <f t="shared" si="3"/>
        <v/>
      </c>
      <c r="H186" s="84">
        <f>IFERROR(VLOOKUP(B186,Заказ!B:Q,5,0),0)</f>
        <v>0</v>
      </c>
      <c r="I186" s="84">
        <f>IFERROR(VLOOKUP(B186,Заказ!B:Q,16,0),0)</f>
        <v>0</v>
      </c>
    </row>
    <row r="187" spans="2:9" x14ac:dyDescent="0.25">
      <c r="B187" s="84">
        <v>12070</v>
      </c>
      <c r="D187" s="84" t="str">
        <f t="shared" si="3"/>
        <v/>
      </c>
      <c r="H187" s="84">
        <f>IFERROR(VLOOKUP(B187,Заказ!B:Q,5,0),0)</f>
        <v>0</v>
      </c>
      <c r="I187" s="84">
        <f>IFERROR(VLOOKUP(B187,Заказ!B:Q,16,0),0)</f>
        <v>0</v>
      </c>
    </row>
    <row r="188" spans="2:9" x14ac:dyDescent="0.25">
      <c r="B188" s="84">
        <v>17547</v>
      </c>
      <c r="D188" s="84" t="str">
        <f t="shared" si="3"/>
        <v/>
      </c>
      <c r="H188" s="84">
        <f>IFERROR(VLOOKUP(B188,Заказ!B:Q,5,0),0)</f>
        <v>0</v>
      </c>
      <c r="I188" s="84">
        <f>IFERROR(VLOOKUP(B188,Заказ!B:Q,16,0),0)</f>
        <v>0</v>
      </c>
    </row>
    <row r="189" spans="2:9" x14ac:dyDescent="0.25">
      <c r="B189" s="84">
        <v>8876</v>
      </c>
      <c r="D189" s="84" t="str">
        <f t="shared" si="3"/>
        <v/>
      </c>
      <c r="H189" s="84">
        <f>IFERROR(VLOOKUP(B189,Заказ!B:Q,5,0),0)</f>
        <v>0</v>
      </c>
      <c r="I189" s="84">
        <f>IFERROR(VLOOKUP(B189,Заказ!B:Q,16,0),0)</f>
        <v>0</v>
      </c>
    </row>
    <row r="190" spans="2:9" x14ac:dyDescent="0.25">
      <c r="B190" s="84">
        <v>8875</v>
      </c>
      <c r="D190" s="84" t="str">
        <f t="shared" si="3"/>
        <v/>
      </c>
      <c r="H190" s="84">
        <f>IFERROR(VLOOKUP(B190,Заказ!B:Q,5,0),0)</f>
        <v>0</v>
      </c>
      <c r="I190" s="84">
        <f>IFERROR(VLOOKUP(B190,Заказ!B:Q,16,0),0)</f>
        <v>0</v>
      </c>
    </row>
    <row r="191" spans="2:9" x14ac:dyDescent="0.25">
      <c r="B191" s="84">
        <v>15801</v>
      </c>
      <c r="D191" s="84" t="str">
        <f t="shared" si="3"/>
        <v/>
      </c>
      <c r="H191" s="84">
        <f>IFERROR(VLOOKUP(B191,Заказ!B:Q,5,0),0)</f>
        <v>0</v>
      </c>
      <c r="I191" s="84">
        <f>IFERROR(VLOOKUP(B191,Заказ!B:Q,16,0),0)</f>
        <v>0</v>
      </c>
    </row>
    <row r="192" spans="2:9" x14ac:dyDescent="0.25">
      <c r="B192" s="84">
        <v>16116</v>
      </c>
      <c r="D192" s="84" t="str">
        <f t="shared" si="3"/>
        <v/>
      </c>
      <c r="H192" s="84">
        <f>IFERROR(VLOOKUP(B192,Заказ!B:Q,5,0),0)</f>
        <v>0</v>
      </c>
      <c r="I192" s="84">
        <f>IFERROR(VLOOKUP(B192,Заказ!B:Q,16,0),0)</f>
        <v>0</v>
      </c>
    </row>
    <row r="193" spans="2:9" x14ac:dyDescent="0.25">
      <c r="B193" s="84">
        <v>15800</v>
      </c>
      <c r="D193" s="84" t="str">
        <f t="shared" si="3"/>
        <v/>
      </c>
      <c r="H193" s="84">
        <f>IFERROR(VLOOKUP(B193,Заказ!B:Q,5,0),0)</f>
        <v>0</v>
      </c>
      <c r="I193" s="84">
        <f>IFERROR(VLOOKUP(B193,Заказ!B:Q,16,0),0)</f>
        <v>0</v>
      </c>
    </row>
    <row r="194" spans="2:9" x14ac:dyDescent="0.25">
      <c r="B194" s="84">
        <v>16115</v>
      </c>
      <c r="D194" s="84" t="str">
        <f t="shared" si="3"/>
        <v/>
      </c>
      <c r="H194" s="84">
        <f>IFERROR(VLOOKUP(B194,Заказ!B:Q,5,0),0)</f>
        <v>0</v>
      </c>
      <c r="I194" s="84">
        <f>IFERROR(VLOOKUP(B194,Заказ!B:Q,16,0),0)</f>
        <v>0</v>
      </c>
    </row>
    <row r="195" spans="2:9" x14ac:dyDescent="0.25">
      <c r="B195" s="84">
        <v>16117</v>
      </c>
      <c r="D195" s="84" t="str">
        <f t="shared" si="3"/>
        <v/>
      </c>
      <c r="H195" s="84">
        <f>IFERROR(VLOOKUP(B195,Заказ!B:Q,5,0),0)</f>
        <v>0</v>
      </c>
      <c r="I195" s="84">
        <f>IFERROR(VLOOKUP(B195,Заказ!B:Q,16,0),0)</f>
        <v>0</v>
      </c>
    </row>
    <row r="196" spans="2:9" x14ac:dyDescent="0.25">
      <c r="B196" s="84">
        <v>13232</v>
      </c>
      <c r="D196" s="84" t="str">
        <f t="shared" si="3"/>
        <v/>
      </c>
      <c r="H196" s="84">
        <f>IFERROR(VLOOKUP(B196,Заказ!B:Q,5,0),0)</f>
        <v>0</v>
      </c>
      <c r="I196" s="84">
        <f>IFERROR(VLOOKUP(B196,Заказ!B:Q,16,0),0)</f>
        <v>0</v>
      </c>
    </row>
    <row r="197" spans="2:9" x14ac:dyDescent="0.25">
      <c r="B197" s="84">
        <v>13233</v>
      </c>
      <c r="D197" s="84" t="str">
        <f t="shared" si="3"/>
        <v/>
      </c>
      <c r="H197" s="84">
        <f>IFERROR(VLOOKUP(B197,Заказ!B:Q,5,0),0)</f>
        <v>0</v>
      </c>
      <c r="I197" s="84">
        <f>IFERROR(VLOOKUP(B197,Заказ!B:Q,16,0),0)</f>
        <v>0</v>
      </c>
    </row>
    <row r="198" spans="2:9" x14ac:dyDescent="0.25">
      <c r="B198" s="84">
        <v>13333</v>
      </c>
      <c r="D198" s="84" t="str">
        <f t="shared" si="3"/>
        <v/>
      </c>
      <c r="H198" s="84">
        <f>IFERROR(VLOOKUP(B198,Заказ!B:Q,5,0),0)</f>
        <v>0</v>
      </c>
      <c r="I198" s="84">
        <f>IFERROR(VLOOKUP(B198,Заказ!B:Q,16,0),0)</f>
        <v>0</v>
      </c>
    </row>
    <row r="199" spans="2:9" x14ac:dyDescent="0.25">
      <c r="B199" s="84">
        <v>12225</v>
      </c>
      <c r="D199" s="84" t="str">
        <f t="shared" si="3"/>
        <v/>
      </c>
      <c r="H199" s="84">
        <f>IFERROR(VLOOKUP(B199,Заказ!B:Q,5,0),0)</f>
        <v>0</v>
      </c>
      <c r="I199" s="84">
        <f>IFERROR(VLOOKUP(B199,Заказ!B:Q,16,0),0)</f>
        <v>0</v>
      </c>
    </row>
    <row r="200" spans="2:9" x14ac:dyDescent="0.25">
      <c r="B200" s="84">
        <v>9047</v>
      </c>
      <c r="D200" s="84" t="str">
        <f t="shared" si="3"/>
        <v/>
      </c>
      <c r="H200" s="84">
        <f>IFERROR(VLOOKUP(B200,Заказ!B:Q,5,0),0)</f>
        <v>0</v>
      </c>
      <c r="I200" s="84">
        <f>IFERROR(VLOOKUP(B200,Заказ!B:Q,16,0),0)</f>
        <v>0</v>
      </c>
    </row>
    <row r="201" spans="2:9" x14ac:dyDescent="0.25">
      <c r="B201" s="84">
        <v>12065</v>
      </c>
      <c r="D201" s="84" t="str">
        <f t="shared" si="3"/>
        <v/>
      </c>
      <c r="H201" s="84">
        <f>IFERROR(VLOOKUP(B201,Заказ!B:Q,5,0),0)</f>
        <v>0</v>
      </c>
      <c r="I201" s="84">
        <f>IFERROR(VLOOKUP(B201,Заказ!B:Q,16,0),0)</f>
        <v>0</v>
      </c>
    </row>
    <row r="202" spans="2:9" x14ac:dyDescent="0.25">
      <c r="B202" s="84">
        <v>10449</v>
      </c>
      <c r="D202" s="84" t="str">
        <f t="shared" si="3"/>
        <v/>
      </c>
      <c r="H202" s="84">
        <f>IFERROR(VLOOKUP(B202,Заказ!B:Q,5,0),0)</f>
        <v>0</v>
      </c>
      <c r="I202" s="84">
        <f>IFERROR(VLOOKUP(B202,Заказ!B:Q,16,0),0)</f>
        <v>0</v>
      </c>
    </row>
    <row r="203" spans="2:9" x14ac:dyDescent="0.25">
      <c r="B203" s="84">
        <v>10448</v>
      </c>
      <c r="D203" s="84" t="str">
        <f t="shared" si="3"/>
        <v/>
      </c>
      <c r="H203" s="84">
        <f>IFERROR(VLOOKUP(B203,Заказ!B:Q,5,0),0)</f>
        <v>0</v>
      </c>
      <c r="I203" s="84">
        <f>IFERROR(VLOOKUP(B203,Заказ!B:Q,16,0),0)</f>
        <v>0</v>
      </c>
    </row>
    <row r="204" spans="2:9" x14ac:dyDescent="0.25">
      <c r="B204" s="84">
        <v>12071</v>
      </c>
      <c r="D204" s="84" t="str">
        <f t="shared" si="3"/>
        <v/>
      </c>
      <c r="H204" s="84">
        <f>IFERROR(VLOOKUP(B204,Заказ!B:Q,5,0),0)</f>
        <v>0</v>
      </c>
      <c r="I204" s="84">
        <f>IFERROR(VLOOKUP(B204,Заказ!B:Q,16,0),0)</f>
        <v>0</v>
      </c>
    </row>
    <row r="205" spans="2:9" x14ac:dyDescent="0.25">
      <c r="B205" s="84">
        <v>8884</v>
      </c>
      <c r="D205" s="84" t="str">
        <f t="shared" si="3"/>
        <v/>
      </c>
      <c r="H205" s="84">
        <f>IFERROR(VLOOKUP(B205,Заказ!B:Q,5,0),0)</f>
        <v>0</v>
      </c>
      <c r="I205" s="84">
        <f>IFERROR(VLOOKUP(B205,Заказ!B:Q,16,0),0)</f>
        <v>0</v>
      </c>
    </row>
    <row r="206" spans="2:9" x14ac:dyDescent="0.25">
      <c r="B206" s="84">
        <v>8885</v>
      </c>
      <c r="D206" s="84" t="str">
        <f t="shared" si="3"/>
        <v/>
      </c>
      <c r="H206" s="84">
        <f>IFERROR(VLOOKUP(B206,Заказ!B:Q,5,0),0)</f>
        <v>0</v>
      </c>
      <c r="I206" s="84">
        <f>IFERROR(VLOOKUP(B206,Заказ!B:Q,16,0),0)</f>
        <v>0</v>
      </c>
    </row>
    <row r="207" spans="2:9" x14ac:dyDescent="0.25">
      <c r="B207" s="84">
        <v>16370</v>
      </c>
      <c r="D207" s="84" t="str">
        <f t="shared" si="3"/>
        <v/>
      </c>
      <c r="H207" s="84">
        <f>IFERROR(VLOOKUP(B207,Заказ!B:Q,5,0),0)</f>
        <v>0</v>
      </c>
      <c r="I207" s="84">
        <f>IFERROR(VLOOKUP(B207,Заказ!B:Q,16,0),0)</f>
        <v>0</v>
      </c>
    </row>
    <row r="208" spans="2:9" x14ac:dyDescent="0.25">
      <c r="B208" s="84">
        <v>16403</v>
      </c>
      <c r="D208" s="84" t="str">
        <f t="shared" si="3"/>
        <v/>
      </c>
      <c r="H208" s="84">
        <f>IFERROR(VLOOKUP(B208,Заказ!B:Q,5,0),0)</f>
        <v>0</v>
      </c>
      <c r="I208" s="84">
        <f>IFERROR(VLOOKUP(B208,Заказ!B:Q,16,0),0)</f>
        <v>0</v>
      </c>
    </row>
    <row r="209" spans="2:9" x14ac:dyDescent="0.25">
      <c r="B209" s="84">
        <v>16368</v>
      </c>
      <c r="D209" s="84" t="str">
        <f t="shared" si="3"/>
        <v/>
      </c>
      <c r="H209" s="84">
        <f>IFERROR(VLOOKUP(B209,Заказ!B:Q,5,0),0)</f>
        <v>0</v>
      </c>
      <c r="I209" s="84">
        <f>IFERROR(VLOOKUP(B209,Заказ!B:Q,16,0),0)</f>
        <v>0</v>
      </c>
    </row>
    <row r="210" spans="2:9" x14ac:dyDescent="0.25">
      <c r="B210" s="84">
        <v>16391</v>
      </c>
      <c r="D210" s="84" t="str">
        <f t="shared" si="3"/>
        <v/>
      </c>
      <c r="H210" s="84">
        <f>IFERROR(VLOOKUP(B210,Заказ!B:Q,5,0),0)</f>
        <v>0</v>
      </c>
      <c r="I210" s="84">
        <f>IFERROR(VLOOKUP(B210,Заказ!B:Q,16,0),0)</f>
        <v>0</v>
      </c>
    </row>
    <row r="211" spans="2:9" x14ac:dyDescent="0.25">
      <c r="B211" s="84">
        <v>16379</v>
      </c>
      <c r="D211" s="84" t="str">
        <f t="shared" si="3"/>
        <v/>
      </c>
      <c r="H211" s="84">
        <f>IFERROR(VLOOKUP(B211,Заказ!B:Q,5,0),0)</f>
        <v>0</v>
      </c>
      <c r="I211" s="84">
        <f>IFERROR(VLOOKUP(B211,Заказ!B:Q,16,0),0)</f>
        <v>0</v>
      </c>
    </row>
    <row r="212" spans="2:9" x14ac:dyDescent="0.25">
      <c r="B212" s="84">
        <v>19577</v>
      </c>
      <c r="D212" s="84" t="str">
        <f t="shared" si="3"/>
        <v/>
      </c>
      <c r="H212" s="84">
        <f>IFERROR(VLOOKUP(B212,Заказ!B:Q,5,0),0)</f>
        <v>0</v>
      </c>
      <c r="I212" s="84">
        <f>IFERROR(VLOOKUP(B212,Заказ!B:Q,16,0),0)</f>
        <v>0</v>
      </c>
    </row>
    <row r="213" spans="2:9" x14ac:dyDescent="0.25">
      <c r="B213" s="84">
        <v>16376</v>
      </c>
      <c r="D213" s="84" t="str">
        <f t="shared" si="3"/>
        <v/>
      </c>
      <c r="H213" s="84">
        <f>IFERROR(VLOOKUP(B213,Заказ!B:Q,5,0),0)</f>
        <v>0</v>
      </c>
      <c r="I213" s="84">
        <f>IFERROR(VLOOKUP(B213,Заказ!B:Q,16,0),0)</f>
        <v>0</v>
      </c>
    </row>
    <row r="214" spans="2:9" x14ac:dyDescent="0.25">
      <c r="B214" s="84">
        <v>16377</v>
      </c>
      <c r="D214" s="84" t="str">
        <f t="shared" si="3"/>
        <v/>
      </c>
      <c r="H214" s="84">
        <f>IFERROR(VLOOKUP(B214,Заказ!B:Q,5,0),0)</f>
        <v>0</v>
      </c>
      <c r="I214" s="84">
        <f>IFERROR(VLOOKUP(B214,Заказ!B:Q,16,0),0)</f>
        <v>0</v>
      </c>
    </row>
    <row r="215" spans="2:9" x14ac:dyDescent="0.25">
      <c r="B215" s="84">
        <v>16378</v>
      </c>
      <c r="D215" s="84" t="str">
        <f t="shared" si="3"/>
        <v/>
      </c>
      <c r="H215" s="84">
        <f>IFERROR(VLOOKUP(B215,Заказ!B:Q,5,0),0)</f>
        <v>0</v>
      </c>
      <c r="I215" s="84">
        <f>IFERROR(VLOOKUP(B215,Заказ!B:Q,16,0),0)</f>
        <v>0</v>
      </c>
    </row>
    <row r="216" spans="2:9" x14ac:dyDescent="0.25">
      <c r="B216" s="84">
        <v>17776</v>
      </c>
      <c r="D216" s="84" t="str">
        <f t="shared" si="3"/>
        <v/>
      </c>
      <c r="H216" s="84">
        <f>IFERROR(VLOOKUP(B216,Заказ!B:Q,5,0),0)</f>
        <v>0</v>
      </c>
      <c r="I216" s="84">
        <f>IFERROR(VLOOKUP(B216,Заказ!B:Q,16,0),0)</f>
        <v>0</v>
      </c>
    </row>
    <row r="217" spans="2:9" x14ac:dyDescent="0.25">
      <c r="B217" s="84">
        <v>16373</v>
      </c>
      <c r="D217" s="84" t="str">
        <f t="shared" si="3"/>
        <v/>
      </c>
      <c r="H217" s="84">
        <f>IFERROR(VLOOKUP(B217,Заказ!B:Q,5,0),0)</f>
        <v>0</v>
      </c>
      <c r="I217" s="84">
        <f>IFERROR(VLOOKUP(B217,Заказ!B:Q,16,0),0)</f>
        <v>0</v>
      </c>
    </row>
    <row r="218" spans="2:9" x14ac:dyDescent="0.25">
      <c r="B218" s="84">
        <v>19841</v>
      </c>
      <c r="D218" s="84" t="str">
        <f t="shared" ref="D218:D271" si="4">IFERROR(ROUND(I218/H218,2),"")</f>
        <v/>
      </c>
      <c r="H218" s="84">
        <f>IFERROR(VLOOKUP(B218,Заказ!B:Q,5,0),0)</f>
        <v>0</v>
      </c>
      <c r="I218" s="84">
        <f>IFERROR(VLOOKUP(B218,Заказ!B:Q,16,0),0)</f>
        <v>0</v>
      </c>
    </row>
    <row r="219" spans="2:9" x14ac:dyDescent="0.25">
      <c r="B219" s="84">
        <v>16374</v>
      </c>
      <c r="D219" s="84" t="str">
        <f t="shared" si="4"/>
        <v/>
      </c>
      <c r="H219" s="84">
        <f>IFERROR(VLOOKUP(B219,Заказ!B:Q,5,0),0)</f>
        <v>0</v>
      </c>
      <c r="I219" s="84">
        <f>IFERROR(VLOOKUP(B219,Заказ!B:Q,16,0),0)</f>
        <v>0</v>
      </c>
    </row>
    <row r="220" spans="2:9" x14ac:dyDescent="0.25">
      <c r="B220" s="84">
        <v>16375</v>
      </c>
      <c r="D220" s="84" t="str">
        <f t="shared" si="4"/>
        <v/>
      </c>
      <c r="H220" s="84">
        <f>IFERROR(VLOOKUP(B220,Заказ!B:Q,5,0),0)</f>
        <v>0</v>
      </c>
      <c r="I220" s="84">
        <f>IFERROR(VLOOKUP(B220,Заказ!B:Q,16,0),0)</f>
        <v>0</v>
      </c>
    </row>
    <row r="221" spans="2:9" x14ac:dyDescent="0.25">
      <c r="B221" s="84">
        <v>18198</v>
      </c>
      <c r="D221" s="84" t="str">
        <f t="shared" si="4"/>
        <v/>
      </c>
      <c r="H221" s="84">
        <f>IFERROR(VLOOKUP(B221,Заказ!B:Q,5,0),0)</f>
        <v>0</v>
      </c>
      <c r="I221" s="84">
        <f>IFERROR(VLOOKUP(B221,Заказ!B:Q,16,0),0)</f>
        <v>0</v>
      </c>
    </row>
    <row r="222" spans="2:9" x14ac:dyDescent="0.25">
      <c r="B222" s="84">
        <v>16384</v>
      </c>
      <c r="D222" s="84" t="str">
        <f t="shared" si="4"/>
        <v/>
      </c>
      <c r="H222" s="84">
        <f>IFERROR(VLOOKUP(B222,Заказ!B:Q,5,0),0)</f>
        <v>0</v>
      </c>
      <c r="I222" s="84">
        <f>IFERROR(VLOOKUP(B222,Заказ!B:Q,16,0),0)</f>
        <v>0</v>
      </c>
    </row>
    <row r="223" spans="2:9" x14ac:dyDescent="0.25">
      <c r="B223" s="84">
        <v>21013</v>
      </c>
      <c r="D223" s="84" t="str">
        <f t="shared" si="4"/>
        <v/>
      </c>
      <c r="H223" s="84">
        <f>IFERROR(VLOOKUP(B223,Заказ!B:Q,5,0),0)</f>
        <v>0</v>
      </c>
      <c r="I223" s="84">
        <f>IFERROR(VLOOKUP(B223,Заказ!B:Q,16,0),0)</f>
        <v>0</v>
      </c>
    </row>
    <row r="224" spans="2:9" x14ac:dyDescent="0.25">
      <c r="B224" s="84">
        <v>21019</v>
      </c>
      <c r="D224" s="84" t="str">
        <f t="shared" si="4"/>
        <v/>
      </c>
      <c r="H224" s="84">
        <f>IFERROR(VLOOKUP(B224,Заказ!B:Q,5,0),0)</f>
        <v>0</v>
      </c>
      <c r="I224" s="84">
        <f>IFERROR(VLOOKUP(B224,Заказ!B:Q,16,0),0)</f>
        <v>0</v>
      </c>
    </row>
    <row r="225" spans="2:9" x14ac:dyDescent="0.25">
      <c r="B225" s="84">
        <v>21444</v>
      </c>
      <c r="D225" s="84" t="str">
        <f t="shared" si="4"/>
        <v/>
      </c>
      <c r="H225" s="84">
        <f>IFERROR(VLOOKUP(B225,Заказ!B:Q,5,0),0)</f>
        <v>0</v>
      </c>
      <c r="I225" s="84">
        <f>IFERROR(VLOOKUP(B225,Заказ!B:Q,16,0),0)</f>
        <v>0</v>
      </c>
    </row>
    <row r="226" spans="2:9" x14ac:dyDescent="0.25">
      <c r="B226" s="84">
        <v>21443</v>
      </c>
      <c r="D226" s="84" t="str">
        <f t="shared" si="4"/>
        <v/>
      </c>
      <c r="H226" s="84">
        <f>IFERROR(VLOOKUP(B226,Заказ!B:Q,5,0),0)</f>
        <v>0</v>
      </c>
      <c r="I226" s="84">
        <f>IFERROR(VLOOKUP(B226,Заказ!B:Q,16,0),0)</f>
        <v>0</v>
      </c>
    </row>
    <row r="227" spans="2:9" x14ac:dyDescent="0.25">
      <c r="B227" s="84">
        <v>21446</v>
      </c>
      <c r="D227" s="84" t="str">
        <f t="shared" si="4"/>
        <v/>
      </c>
      <c r="H227" s="84">
        <f>IFERROR(VLOOKUP(B227,Заказ!B:Q,5,0),0)</f>
        <v>0</v>
      </c>
      <c r="I227" s="84">
        <f>IFERROR(VLOOKUP(B227,Заказ!B:Q,16,0),0)</f>
        <v>0</v>
      </c>
    </row>
    <row r="228" spans="2:9" x14ac:dyDescent="0.25">
      <c r="B228" s="84">
        <v>21198</v>
      </c>
      <c r="D228" s="84" t="str">
        <f t="shared" si="4"/>
        <v/>
      </c>
      <c r="H228" s="84">
        <f>IFERROR(VLOOKUP(B228,Заказ!B:Q,5,0),0)</f>
        <v>0</v>
      </c>
      <c r="I228" s="84">
        <f>IFERROR(VLOOKUP(B228,Заказ!B:Q,16,0),0)</f>
        <v>0</v>
      </c>
    </row>
    <row r="229" spans="2:9" x14ac:dyDescent="0.25">
      <c r="B229" s="84">
        <v>21012</v>
      </c>
      <c r="D229" s="84" t="str">
        <f t="shared" si="4"/>
        <v/>
      </c>
      <c r="H229" s="84">
        <f>IFERROR(VLOOKUP(B229,Заказ!B:Q,5,0),0)</f>
        <v>0</v>
      </c>
      <c r="I229" s="84">
        <f>IFERROR(VLOOKUP(B229,Заказ!B:Q,16,0),0)</f>
        <v>0</v>
      </c>
    </row>
    <row r="230" spans="2:9" x14ac:dyDescent="0.25">
      <c r="B230" s="84">
        <v>21069</v>
      </c>
      <c r="D230" s="84" t="str">
        <f t="shared" si="4"/>
        <v/>
      </c>
      <c r="H230" s="84">
        <f>IFERROR(VLOOKUP(B230,Заказ!B:Q,5,0),0)</f>
        <v>0</v>
      </c>
      <c r="I230" s="84">
        <f>IFERROR(VLOOKUP(B230,Заказ!B:Q,16,0),0)</f>
        <v>0</v>
      </c>
    </row>
    <row r="231" spans="2:9" x14ac:dyDescent="0.25">
      <c r="B231" s="84">
        <v>21018</v>
      </c>
      <c r="D231" s="84" t="str">
        <f t="shared" si="4"/>
        <v/>
      </c>
      <c r="H231" s="84">
        <f>IFERROR(VLOOKUP(B231,Заказ!B:Q,5,0),0)</f>
        <v>0</v>
      </c>
      <c r="I231" s="84">
        <f>IFERROR(VLOOKUP(B231,Заказ!B:Q,16,0),0)</f>
        <v>0</v>
      </c>
    </row>
    <row r="232" spans="2:9" x14ac:dyDescent="0.25">
      <c r="B232" s="84">
        <v>21014</v>
      </c>
      <c r="D232" s="84" t="str">
        <f t="shared" si="4"/>
        <v/>
      </c>
      <c r="H232" s="84">
        <f>IFERROR(VLOOKUP(B232,Заказ!B:Q,5,0),0)</f>
        <v>0</v>
      </c>
      <c r="I232" s="84">
        <f>IFERROR(VLOOKUP(B232,Заказ!B:Q,16,0),0)</f>
        <v>0</v>
      </c>
    </row>
    <row r="233" spans="2:9" x14ac:dyDescent="0.25">
      <c r="B233" s="84">
        <v>21017</v>
      </c>
      <c r="D233" s="84" t="str">
        <f t="shared" si="4"/>
        <v/>
      </c>
      <c r="H233" s="84">
        <f>IFERROR(VLOOKUP(B233,Заказ!B:Q,5,0),0)</f>
        <v>0</v>
      </c>
      <c r="I233" s="84">
        <f>IFERROR(VLOOKUP(B233,Заказ!B:Q,16,0),0)</f>
        <v>0</v>
      </c>
    </row>
    <row r="234" spans="2:9" x14ac:dyDescent="0.25">
      <c r="B234" s="84">
        <v>21015</v>
      </c>
      <c r="D234" s="84" t="str">
        <f t="shared" si="4"/>
        <v/>
      </c>
      <c r="H234" s="84">
        <f>IFERROR(VLOOKUP(B234,Заказ!B:Q,5,0),0)</f>
        <v>0</v>
      </c>
      <c r="I234" s="84">
        <f>IFERROR(VLOOKUP(B234,Заказ!B:Q,16,0),0)</f>
        <v>0</v>
      </c>
    </row>
    <row r="235" spans="2:9" x14ac:dyDescent="0.25">
      <c r="B235" s="84">
        <v>21061</v>
      </c>
      <c r="D235" s="84" t="str">
        <f t="shared" si="4"/>
        <v/>
      </c>
      <c r="H235" s="84">
        <f>IFERROR(VLOOKUP(B235,Заказ!B:Q,5,0),0)</f>
        <v>0</v>
      </c>
      <c r="I235" s="84">
        <f>IFERROR(VLOOKUP(B235,Заказ!B:Q,16,0),0)</f>
        <v>0</v>
      </c>
    </row>
    <row r="236" spans="2:9" x14ac:dyDescent="0.25">
      <c r="B236" s="84">
        <v>21063</v>
      </c>
      <c r="D236" s="84" t="str">
        <f t="shared" si="4"/>
        <v/>
      </c>
      <c r="H236" s="84">
        <f>IFERROR(VLOOKUP(B236,Заказ!B:Q,5,0),0)</f>
        <v>0</v>
      </c>
      <c r="I236" s="84">
        <f>IFERROR(VLOOKUP(B236,Заказ!B:Q,16,0),0)</f>
        <v>0</v>
      </c>
    </row>
    <row r="237" spans="2:9" x14ac:dyDescent="0.25">
      <c r="B237" s="84">
        <v>21016</v>
      </c>
      <c r="D237" s="84" t="str">
        <f t="shared" si="4"/>
        <v/>
      </c>
      <c r="H237" s="84">
        <f>IFERROR(VLOOKUP(B237,Заказ!B:Q,5,0),0)</f>
        <v>0</v>
      </c>
      <c r="I237" s="84">
        <f>IFERROR(VLOOKUP(B237,Заказ!B:Q,16,0),0)</f>
        <v>0</v>
      </c>
    </row>
    <row r="238" spans="2:9" x14ac:dyDescent="0.25">
      <c r="B238" s="84">
        <v>21062</v>
      </c>
      <c r="D238" s="84" t="str">
        <f t="shared" si="4"/>
        <v/>
      </c>
      <c r="H238" s="84">
        <f>IFERROR(VLOOKUP(B238,Заказ!B:Q,5,0),0)</f>
        <v>0</v>
      </c>
      <c r="I238" s="84">
        <f>IFERROR(VLOOKUP(B238,Заказ!B:Q,16,0),0)</f>
        <v>0</v>
      </c>
    </row>
    <row r="239" spans="2:9" x14ac:dyDescent="0.25">
      <c r="B239" s="84">
        <v>21060</v>
      </c>
      <c r="D239" s="84" t="str">
        <f t="shared" si="4"/>
        <v/>
      </c>
      <c r="H239" s="84">
        <f>IFERROR(VLOOKUP(B239,Заказ!B:Q,5,0),0)</f>
        <v>0</v>
      </c>
      <c r="I239" s="84">
        <f>IFERROR(VLOOKUP(B239,Заказ!B:Q,16,0),0)</f>
        <v>0</v>
      </c>
    </row>
    <row r="240" spans="2:9" x14ac:dyDescent="0.25">
      <c r="B240" s="84">
        <v>21025</v>
      </c>
      <c r="D240" s="84" t="str">
        <f t="shared" si="4"/>
        <v/>
      </c>
      <c r="H240" s="84">
        <f>IFERROR(VLOOKUP(B240,Заказ!B:Q,5,0),0)</f>
        <v>0</v>
      </c>
      <c r="I240" s="84">
        <f>IFERROR(VLOOKUP(B240,Заказ!B:Q,16,0),0)</f>
        <v>0</v>
      </c>
    </row>
    <row r="241" spans="2:9" x14ac:dyDescent="0.25">
      <c r="B241" s="84">
        <v>21026</v>
      </c>
      <c r="D241" s="84" t="str">
        <f t="shared" si="4"/>
        <v/>
      </c>
      <c r="H241" s="84">
        <f>IFERROR(VLOOKUP(B241,Заказ!B:Q,5,0),0)</f>
        <v>0</v>
      </c>
      <c r="I241" s="84">
        <f>IFERROR(VLOOKUP(B241,Заказ!B:Q,16,0),0)</f>
        <v>0</v>
      </c>
    </row>
    <row r="242" spans="2:9" x14ac:dyDescent="0.25">
      <c r="B242" s="84">
        <v>21462</v>
      </c>
      <c r="D242" s="84" t="str">
        <f t="shared" si="4"/>
        <v/>
      </c>
      <c r="H242" s="84">
        <f>IFERROR(VLOOKUP(B242,Заказ!B:Q,5,0),0)</f>
        <v>0</v>
      </c>
      <c r="I242" s="84">
        <f>IFERROR(VLOOKUP(B242,Заказ!B:Q,16,0),0)</f>
        <v>0</v>
      </c>
    </row>
    <row r="243" spans="2:9" x14ac:dyDescent="0.25">
      <c r="B243" s="84">
        <v>21463</v>
      </c>
      <c r="D243" s="84" t="str">
        <f t="shared" si="4"/>
        <v/>
      </c>
      <c r="H243" s="84">
        <f>IFERROR(VLOOKUP(B243,Заказ!B:Q,5,0),0)</f>
        <v>0</v>
      </c>
      <c r="I243" s="84">
        <f>IFERROR(VLOOKUP(B243,Заказ!B:Q,16,0),0)</f>
        <v>0</v>
      </c>
    </row>
    <row r="244" spans="2:9" x14ac:dyDescent="0.25">
      <c r="B244" s="84">
        <v>21464</v>
      </c>
      <c r="D244" s="84" t="str">
        <f t="shared" si="4"/>
        <v/>
      </c>
      <c r="H244" s="84">
        <f>IFERROR(VLOOKUP(B244,Заказ!B:Q,5,0),0)</f>
        <v>0</v>
      </c>
      <c r="I244" s="84">
        <f>IFERROR(VLOOKUP(B244,Заказ!B:Q,16,0),0)</f>
        <v>0</v>
      </c>
    </row>
    <row r="245" spans="2:9" x14ac:dyDescent="0.25">
      <c r="B245" s="84">
        <v>21024</v>
      </c>
      <c r="D245" s="84" t="str">
        <f t="shared" si="4"/>
        <v/>
      </c>
      <c r="H245" s="84">
        <f>IFERROR(VLOOKUP(B245,Заказ!B:Q,5,0),0)</f>
        <v>0</v>
      </c>
      <c r="I245" s="84">
        <f>IFERROR(VLOOKUP(B245,Заказ!B:Q,16,0),0)</f>
        <v>0</v>
      </c>
    </row>
    <row r="246" spans="2:9" x14ac:dyDescent="0.25">
      <c r="B246" s="84">
        <v>21020</v>
      </c>
      <c r="D246" s="84" t="str">
        <f t="shared" si="4"/>
        <v/>
      </c>
      <c r="H246" s="84">
        <f>IFERROR(VLOOKUP(B246,Заказ!B:Q,5,0),0)</f>
        <v>0</v>
      </c>
      <c r="I246" s="84">
        <f>IFERROR(VLOOKUP(B246,Заказ!B:Q,16,0),0)</f>
        <v>0</v>
      </c>
    </row>
    <row r="247" spans="2:9" x14ac:dyDescent="0.25">
      <c r="B247" s="84">
        <v>21067</v>
      </c>
      <c r="D247" s="84" t="str">
        <f t="shared" si="4"/>
        <v/>
      </c>
      <c r="H247" s="84">
        <f>IFERROR(VLOOKUP(B247,Заказ!B:Q,5,0),0)</f>
        <v>0</v>
      </c>
      <c r="I247" s="84">
        <f>IFERROR(VLOOKUP(B247,Заказ!B:Q,16,0),0)</f>
        <v>0</v>
      </c>
    </row>
    <row r="248" spans="2:9" x14ac:dyDescent="0.25">
      <c r="B248" s="84">
        <v>21021</v>
      </c>
      <c r="D248" s="84" t="str">
        <f t="shared" si="4"/>
        <v/>
      </c>
      <c r="H248" s="84">
        <f>IFERROR(VLOOKUP(B248,Заказ!B:Q,5,0),0)</f>
        <v>0</v>
      </c>
      <c r="I248" s="84">
        <f>IFERROR(VLOOKUP(B248,Заказ!B:Q,16,0),0)</f>
        <v>0</v>
      </c>
    </row>
    <row r="249" spans="2:9" x14ac:dyDescent="0.25">
      <c r="B249" s="84">
        <v>21022</v>
      </c>
      <c r="D249" s="84" t="str">
        <f t="shared" si="4"/>
        <v/>
      </c>
      <c r="H249" s="84">
        <f>IFERROR(VLOOKUP(B249,Заказ!B:Q,5,0),0)</f>
        <v>0</v>
      </c>
      <c r="I249" s="84">
        <f>IFERROR(VLOOKUP(B249,Заказ!B:Q,16,0),0)</f>
        <v>0</v>
      </c>
    </row>
    <row r="250" spans="2:9" x14ac:dyDescent="0.25">
      <c r="B250" s="84">
        <v>21065</v>
      </c>
      <c r="D250" s="84" t="str">
        <f t="shared" si="4"/>
        <v/>
      </c>
      <c r="H250" s="84">
        <f>IFERROR(VLOOKUP(B250,Заказ!B:Q,5,0),0)</f>
        <v>0</v>
      </c>
      <c r="I250" s="84">
        <f>IFERROR(VLOOKUP(B250,Заказ!B:Q,16,0),0)</f>
        <v>0</v>
      </c>
    </row>
    <row r="251" spans="2:9" x14ac:dyDescent="0.25">
      <c r="B251" s="84">
        <v>21068</v>
      </c>
      <c r="D251" s="84" t="str">
        <f t="shared" si="4"/>
        <v/>
      </c>
      <c r="H251" s="84">
        <f>IFERROR(VLOOKUP(B251,Заказ!B:Q,5,0),0)</f>
        <v>0</v>
      </c>
      <c r="I251" s="84">
        <f>IFERROR(VLOOKUP(B251,Заказ!B:Q,16,0),0)</f>
        <v>0</v>
      </c>
    </row>
    <row r="252" spans="2:9" x14ac:dyDescent="0.25">
      <c r="B252" s="84">
        <v>21066</v>
      </c>
      <c r="D252" s="84" t="str">
        <f t="shared" si="4"/>
        <v/>
      </c>
      <c r="H252" s="84">
        <f>IFERROR(VLOOKUP(B252,Заказ!B:Q,5,0),0)</f>
        <v>0</v>
      </c>
      <c r="I252" s="84">
        <f>IFERROR(VLOOKUP(B252,Заказ!B:Q,16,0),0)</f>
        <v>0</v>
      </c>
    </row>
    <row r="253" spans="2:9" x14ac:dyDescent="0.25">
      <c r="B253" s="84">
        <v>21447</v>
      </c>
      <c r="D253" s="84" t="str">
        <f t="shared" si="4"/>
        <v/>
      </c>
      <c r="H253" s="84">
        <f>IFERROR(VLOOKUP(B253,Заказ!B:Q,5,0),0)</f>
        <v>0</v>
      </c>
      <c r="I253" s="84">
        <f>IFERROR(VLOOKUP(B253,Заказ!B:Q,16,0),0)</f>
        <v>0</v>
      </c>
    </row>
    <row r="254" spans="2:9" x14ac:dyDescent="0.25">
      <c r="B254" s="84">
        <v>21064</v>
      </c>
      <c r="D254" s="84" t="str">
        <f t="shared" si="4"/>
        <v/>
      </c>
      <c r="H254" s="84">
        <f>IFERROR(VLOOKUP(B254,Заказ!B:Q,5,0),0)</f>
        <v>0</v>
      </c>
      <c r="I254" s="84">
        <f>IFERROR(VLOOKUP(B254,Заказ!B:Q,16,0),0)</f>
        <v>0</v>
      </c>
    </row>
    <row r="255" spans="2:9" x14ac:dyDescent="0.25">
      <c r="B255" s="84">
        <v>21023</v>
      </c>
      <c r="D255" s="84" t="str">
        <f t="shared" si="4"/>
        <v/>
      </c>
      <c r="H255" s="84">
        <f>IFERROR(VLOOKUP(B255,Заказ!B:Q,5,0),0)</f>
        <v>0</v>
      </c>
      <c r="I255" s="84">
        <f>IFERROR(VLOOKUP(B255,Заказ!B:Q,16,0),0)</f>
        <v>0</v>
      </c>
    </row>
    <row r="256" spans="2:9" x14ac:dyDescent="0.25">
      <c r="B256" s="84">
        <v>21008</v>
      </c>
      <c r="D256" s="84" t="str">
        <f t="shared" si="4"/>
        <v/>
      </c>
      <c r="H256" s="84">
        <f>IFERROR(VLOOKUP(B256,Заказ!B:Q,5,0),0)</f>
        <v>0</v>
      </c>
      <c r="I256" s="84">
        <f>IFERROR(VLOOKUP(B256,Заказ!B:Q,16,0),0)</f>
        <v>0</v>
      </c>
    </row>
    <row r="257" spans="2:9" x14ac:dyDescent="0.25">
      <c r="B257" s="84">
        <v>21445</v>
      </c>
      <c r="D257" s="84" t="str">
        <f t="shared" si="4"/>
        <v/>
      </c>
      <c r="H257" s="84">
        <f>IFERROR(VLOOKUP(B257,Заказ!B:Q,5,0),0)</f>
        <v>0</v>
      </c>
      <c r="I257" s="84">
        <f>IFERROR(VLOOKUP(B257,Заказ!B:Q,16,0),0)</f>
        <v>0</v>
      </c>
    </row>
    <row r="258" spans="2:9" x14ac:dyDescent="0.25">
      <c r="B258" s="84">
        <v>21449</v>
      </c>
      <c r="D258" s="84" t="str">
        <f t="shared" si="4"/>
        <v/>
      </c>
      <c r="H258" s="84">
        <f>IFERROR(VLOOKUP(B258,Заказ!B:Q,5,0),0)</f>
        <v>0</v>
      </c>
      <c r="I258" s="84">
        <f>IFERROR(VLOOKUP(B258,Заказ!B:Q,16,0),0)</f>
        <v>0</v>
      </c>
    </row>
    <row r="259" spans="2:9" x14ac:dyDescent="0.25">
      <c r="B259" s="84">
        <v>21009</v>
      </c>
      <c r="D259" s="84" t="str">
        <f t="shared" si="4"/>
        <v/>
      </c>
      <c r="H259" s="84">
        <f>IFERROR(VLOOKUP(B259,Заказ!B:Q,5,0),0)</f>
        <v>0</v>
      </c>
      <c r="I259" s="84">
        <f>IFERROR(VLOOKUP(B259,Заказ!B:Q,16,0),0)</f>
        <v>0</v>
      </c>
    </row>
    <row r="260" spans="2:9" x14ac:dyDescent="0.25">
      <c r="B260" s="84">
        <v>21007</v>
      </c>
      <c r="D260" s="84" t="str">
        <f t="shared" si="4"/>
        <v/>
      </c>
      <c r="H260" s="84">
        <f>IFERROR(VLOOKUP(B260,Заказ!B:Q,5,0),0)</f>
        <v>0</v>
      </c>
      <c r="I260" s="84">
        <f>IFERROR(VLOOKUP(B260,Заказ!B:Q,16,0),0)</f>
        <v>0</v>
      </c>
    </row>
    <row r="261" spans="2:9" x14ac:dyDescent="0.25">
      <c r="B261" s="84">
        <v>21010</v>
      </c>
      <c r="D261" s="84" t="str">
        <f t="shared" si="4"/>
        <v/>
      </c>
      <c r="H261" s="84">
        <f>IFERROR(VLOOKUP(B261,Заказ!B:Q,5,0),0)</f>
        <v>0</v>
      </c>
      <c r="I261" s="84">
        <f>IFERROR(VLOOKUP(B261,Заказ!B:Q,16,0),0)</f>
        <v>0</v>
      </c>
    </row>
    <row r="262" spans="2:9" x14ac:dyDescent="0.25">
      <c r="B262" s="84">
        <v>21011</v>
      </c>
      <c r="D262" s="84" t="str">
        <f t="shared" si="4"/>
        <v/>
      </c>
      <c r="H262" s="84">
        <f>IFERROR(VLOOKUP(B262,Заказ!B:Q,5,0),0)</f>
        <v>0</v>
      </c>
      <c r="I262" s="84">
        <f>IFERROR(VLOOKUP(B262,Заказ!B:Q,16,0),0)</f>
        <v>0</v>
      </c>
    </row>
    <row r="263" spans="2:9" x14ac:dyDescent="0.25">
      <c r="B263" s="84">
        <v>15476</v>
      </c>
      <c r="D263" s="84" t="str">
        <f t="shared" si="4"/>
        <v/>
      </c>
      <c r="H263" s="84">
        <f>IFERROR(VLOOKUP(B263,Заказ!B:Q,5,0),0)</f>
        <v>0</v>
      </c>
      <c r="I263" s="84">
        <f>IFERROR(VLOOKUP(B263,Заказ!B:Q,16,0),0)</f>
        <v>0</v>
      </c>
    </row>
    <row r="264" spans="2:9" x14ac:dyDescent="0.25">
      <c r="B264" s="84">
        <v>15475</v>
      </c>
      <c r="D264" s="84" t="str">
        <f t="shared" si="4"/>
        <v/>
      </c>
      <c r="H264" s="84">
        <f>IFERROR(VLOOKUP(B264,Заказ!B:Q,5,0),0)</f>
        <v>0</v>
      </c>
      <c r="I264" s="84">
        <f>IFERROR(VLOOKUP(B264,Заказ!B:Q,16,0),0)</f>
        <v>0</v>
      </c>
    </row>
    <row r="265" spans="2:9" x14ac:dyDescent="0.25">
      <c r="B265" s="84">
        <v>15478</v>
      </c>
      <c r="D265" s="84" t="str">
        <f t="shared" si="4"/>
        <v/>
      </c>
      <c r="H265" s="84">
        <f>IFERROR(VLOOKUP(B265,Заказ!B:Q,5,0),0)</f>
        <v>0</v>
      </c>
      <c r="I265" s="84">
        <f>IFERROR(VLOOKUP(B265,Заказ!B:Q,16,0),0)</f>
        <v>0</v>
      </c>
    </row>
    <row r="266" spans="2:9" x14ac:dyDescent="0.25">
      <c r="B266" s="84">
        <v>15477</v>
      </c>
      <c r="D266" s="84" t="str">
        <f t="shared" si="4"/>
        <v/>
      </c>
      <c r="H266" s="84">
        <f>IFERROR(VLOOKUP(B266,Заказ!B:Q,5,0),0)</f>
        <v>0</v>
      </c>
      <c r="I266" s="84">
        <f>IFERROR(VLOOKUP(B266,Заказ!B:Q,16,0),0)</f>
        <v>0</v>
      </c>
    </row>
    <row r="267" spans="2:9" x14ac:dyDescent="0.25">
      <c r="B267" s="84">
        <v>18062</v>
      </c>
      <c r="D267" s="84" t="str">
        <f t="shared" si="4"/>
        <v/>
      </c>
      <c r="H267" s="84">
        <f>IFERROR(VLOOKUP(B267,Заказ!B:Q,5,0),0)</f>
        <v>0</v>
      </c>
      <c r="I267" s="84">
        <f>IFERROR(VLOOKUP(B267,Заказ!B:Q,16,0),0)</f>
        <v>0</v>
      </c>
    </row>
    <row r="268" spans="2:9" x14ac:dyDescent="0.25">
      <c r="B268" s="84">
        <v>16637</v>
      </c>
      <c r="D268" s="84" t="str">
        <f t="shared" si="4"/>
        <v/>
      </c>
      <c r="H268" s="84">
        <f>IFERROR(VLOOKUP(B268,Заказ!B:Q,5,0),0)</f>
        <v>0</v>
      </c>
      <c r="I268" s="84">
        <f>IFERROR(VLOOKUP(B268,Заказ!B:Q,16,0),0)</f>
        <v>0</v>
      </c>
    </row>
    <row r="269" spans="2:9" x14ac:dyDescent="0.25">
      <c r="B269" s="84">
        <v>8880</v>
      </c>
      <c r="D269" s="84" t="str">
        <f t="shared" si="4"/>
        <v/>
      </c>
      <c r="H269" s="84">
        <f>IFERROR(VLOOKUP(B269,Заказ!B:Q,5,0),0)</f>
        <v>0</v>
      </c>
      <c r="I269" s="84">
        <f>IFERROR(VLOOKUP(B269,Заказ!B:Q,16,0),0)</f>
        <v>0</v>
      </c>
    </row>
    <row r="270" spans="2:9" x14ac:dyDescent="0.25">
      <c r="B270" s="84">
        <v>8878</v>
      </c>
      <c r="D270" s="84" t="str">
        <f t="shared" si="4"/>
        <v/>
      </c>
      <c r="H270" s="84">
        <f>IFERROR(VLOOKUP(B270,Заказ!B:Q,5,0),0)</f>
        <v>0</v>
      </c>
      <c r="I270" s="84">
        <f>IFERROR(VLOOKUP(B270,Заказ!B:Q,16,0),0)</f>
        <v>0</v>
      </c>
    </row>
    <row r="271" spans="2:9" x14ac:dyDescent="0.25">
      <c r="B271" s="84">
        <v>13052</v>
      </c>
      <c r="D271" s="84" t="str">
        <f t="shared" si="4"/>
        <v/>
      </c>
      <c r="H271" s="84">
        <f>IFERROR(VLOOKUP(B271,Заказ!B:Q,5,0),0)</f>
        <v>0</v>
      </c>
      <c r="I271" s="84">
        <f>IFERROR(VLOOKUP(B271,Заказ!B:Q,16,0),0)</f>
        <v>0</v>
      </c>
    </row>
    <row r="272" spans="2:9" x14ac:dyDescent="0.25">
      <c r="B272" s="84">
        <v>8877</v>
      </c>
      <c r="D272" s="84" t="str">
        <f t="shared" ref="D272:D513" si="5">IFERROR(ROUND(I272/H272,2),"")</f>
        <v/>
      </c>
      <c r="H272" s="84">
        <f>IFERROR(VLOOKUP(B272,Заказ!B:Q,5,0),0)</f>
        <v>0</v>
      </c>
      <c r="I272" s="84">
        <f>IFERROR(VLOOKUP(B272,Заказ!B:Q,16,0),0)</f>
        <v>0</v>
      </c>
    </row>
    <row r="273" spans="2:9" x14ac:dyDescent="0.25">
      <c r="B273" s="84">
        <v>17198</v>
      </c>
      <c r="D273" s="84" t="str">
        <f t="shared" si="5"/>
        <v/>
      </c>
      <c r="H273" s="84">
        <f>IFERROR(VLOOKUP(B273,Заказ!B:Q,5,0),0)</f>
        <v>0</v>
      </c>
      <c r="I273" s="84">
        <f>IFERROR(VLOOKUP(B273,Заказ!B:Q,16,0),0)</f>
        <v>0</v>
      </c>
    </row>
    <row r="274" spans="2:9" x14ac:dyDescent="0.25">
      <c r="B274" s="84">
        <v>10096</v>
      </c>
      <c r="D274" s="84" t="str">
        <f t="shared" si="5"/>
        <v/>
      </c>
      <c r="H274" s="84">
        <f>IFERROR(VLOOKUP(B274,Заказ!B:Q,5,0),0)</f>
        <v>0</v>
      </c>
      <c r="I274" s="84">
        <f>IFERROR(VLOOKUP(B274,Заказ!B:Q,16,0),0)</f>
        <v>0</v>
      </c>
    </row>
    <row r="275" spans="2:9" x14ac:dyDescent="0.25">
      <c r="B275" s="84">
        <v>9949</v>
      </c>
      <c r="D275" s="84" t="str">
        <f t="shared" si="5"/>
        <v/>
      </c>
      <c r="H275" s="84">
        <f>IFERROR(VLOOKUP(B275,Заказ!B:Q,5,0),0)</f>
        <v>0</v>
      </c>
      <c r="I275" s="84">
        <f>IFERROR(VLOOKUP(B275,Заказ!B:Q,16,0),0)</f>
        <v>0</v>
      </c>
    </row>
    <row r="276" spans="2:9" x14ac:dyDescent="0.25">
      <c r="B276" s="84">
        <v>18449</v>
      </c>
      <c r="D276" s="84" t="str">
        <f t="shared" si="5"/>
        <v/>
      </c>
      <c r="H276" s="84">
        <f>IFERROR(VLOOKUP(B276,Заказ!B:Q,5,0),0)</f>
        <v>0</v>
      </c>
      <c r="I276" s="84">
        <f>IFERROR(VLOOKUP(B276,Заказ!B:Q,16,0),0)</f>
        <v>0</v>
      </c>
    </row>
    <row r="277" spans="2:9" x14ac:dyDescent="0.25">
      <c r="B277" s="84">
        <v>18305</v>
      </c>
      <c r="D277" s="84" t="str">
        <f t="shared" si="5"/>
        <v/>
      </c>
      <c r="H277" s="84">
        <f>IFERROR(VLOOKUP(B277,Заказ!B:Q,5,0),0)</f>
        <v>0</v>
      </c>
      <c r="I277" s="84">
        <f>IFERROR(VLOOKUP(B277,Заказ!B:Q,16,0),0)</f>
        <v>0</v>
      </c>
    </row>
    <row r="278" spans="2:9" x14ac:dyDescent="0.25">
      <c r="B278" s="84">
        <v>18303</v>
      </c>
      <c r="D278" s="84" t="str">
        <f t="shared" si="5"/>
        <v/>
      </c>
      <c r="H278" s="84">
        <f>IFERROR(VLOOKUP(B278,Заказ!B:Q,5,0),0)</f>
        <v>0</v>
      </c>
      <c r="I278" s="84">
        <f>IFERROR(VLOOKUP(B278,Заказ!B:Q,16,0),0)</f>
        <v>0</v>
      </c>
    </row>
    <row r="279" spans="2:9" x14ac:dyDescent="0.25">
      <c r="B279" s="84">
        <v>18448</v>
      </c>
      <c r="D279" s="84" t="str">
        <f t="shared" si="5"/>
        <v/>
      </c>
      <c r="H279" s="84">
        <f>IFERROR(VLOOKUP(B279,Заказ!B:Q,5,0),0)</f>
        <v>0</v>
      </c>
      <c r="I279" s="84">
        <f>IFERROR(VLOOKUP(B279,Заказ!B:Q,16,0),0)</f>
        <v>0</v>
      </c>
    </row>
    <row r="280" spans="2:9" x14ac:dyDescent="0.25">
      <c r="B280" s="84">
        <v>18304</v>
      </c>
      <c r="D280" s="84" t="str">
        <f t="shared" si="5"/>
        <v/>
      </c>
      <c r="H280" s="84">
        <f>IFERROR(VLOOKUP(B280,Заказ!B:Q,5,0),0)</f>
        <v>0</v>
      </c>
      <c r="I280" s="84">
        <f>IFERROR(VLOOKUP(B280,Заказ!B:Q,16,0),0)</f>
        <v>0</v>
      </c>
    </row>
    <row r="281" spans="2:9" x14ac:dyDescent="0.25">
      <c r="B281" s="84">
        <v>18447</v>
      </c>
      <c r="D281" s="84" t="str">
        <f t="shared" si="5"/>
        <v/>
      </c>
      <c r="H281" s="84">
        <f>IFERROR(VLOOKUP(B281,Заказ!B:Q,5,0),0)</f>
        <v>0</v>
      </c>
      <c r="I281" s="84">
        <f>IFERROR(VLOOKUP(B281,Заказ!B:Q,16,0),0)</f>
        <v>0</v>
      </c>
    </row>
    <row r="282" spans="2:9" x14ac:dyDescent="0.25">
      <c r="B282" s="84">
        <v>18450</v>
      </c>
      <c r="D282" s="84" t="str">
        <f t="shared" si="5"/>
        <v/>
      </c>
      <c r="H282" s="84">
        <f>IFERROR(VLOOKUP(B282,Заказ!B:Q,5,0),0)</f>
        <v>0</v>
      </c>
      <c r="I282" s="84">
        <f>IFERROR(VLOOKUP(B282,Заказ!B:Q,16,0),0)</f>
        <v>0</v>
      </c>
    </row>
    <row r="283" spans="2:9" x14ac:dyDescent="0.25">
      <c r="B283" s="84">
        <v>18302</v>
      </c>
      <c r="D283" s="84" t="str">
        <f t="shared" si="5"/>
        <v/>
      </c>
      <c r="H283" s="84">
        <f>IFERROR(VLOOKUP(B283,Заказ!B:Q,5,0),0)</f>
        <v>0</v>
      </c>
      <c r="I283" s="84">
        <f>IFERROR(VLOOKUP(B283,Заказ!B:Q,16,0),0)</f>
        <v>0</v>
      </c>
    </row>
    <row r="284" spans="2:9" x14ac:dyDescent="0.25">
      <c r="B284" s="84">
        <v>17257</v>
      </c>
      <c r="D284" s="84" t="str">
        <f t="shared" si="5"/>
        <v/>
      </c>
      <c r="H284" s="84">
        <f>IFERROR(VLOOKUP(B284,Заказ!B:Q,5,0),0)</f>
        <v>0</v>
      </c>
      <c r="I284" s="84">
        <f>IFERROR(VLOOKUP(B284,Заказ!B:Q,16,0),0)</f>
        <v>0</v>
      </c>
    </row>
    <row r="285" spans="2:9" x14ac:dyDescent="0.25">
      <c r="B285" s="84">
        <v>17967</v>
      </c>
      <c r="D285" s="84" t="str">
        <f t="shared" si="5"/>
        <v/>
      </c>
      <c r="H285" s="84">
        <f>IFERROR(VLOOKUP(B285,Заказ!B:Q,5,0),0)</f>
        <v>0</v>
      </c>
      <c r="I285" s="84">
        <f>IFERROR(VLOOKUP(B285,Заказ!B:Q,16,0),0)</f>
        <v>0</v>
      </c>
    </row>
    <row r="286" spans="2:9" x14ac:dyDescent="0.25">
      <c r="B286" s="84">
        <v>17695</v>
      </c>
      <c r="D286" s="84" t="str">
        <f t="shared" si="5"/>
        <v/>
      </c>
      <c r="H286" s="84">
        <f>IFERROR(VLOOKUP(B286,Заказ!B:Q,5,0),0)</f>
        <v>0</v>
      </c>
      <c r="I286" s="84">
        <f>IFERROR(VLOOKUP(B286,Заказ!B:Q,16,0),0)</f>
        <v>0</v>
      </c>
    </row>
    <row r="287" spans="2:9" x14ac:dyDescent="0.25">
      <c r="B287" s="84">
        <v>17698</v>
      </c>
      <c r="D287" s="84" t="str">
        <f t="shared" si="5"/>
        <v/>
      </c>
      <c r="H287" s="84">
        <f>IFERROR(VLOOKUP(B287,Заказ!B:Q,5,0),0)</f>
        <v>0</v>
      </c>
      <c r="I287" s="84">
        <f>IFERROR(VLOOKUP(B287,Заказ!B:Q,16,0),0)</f>
        <v>0</v>
      </c>
    </row>
    <row r="288" spans="2:9" x14ac:dyDescent="0.25">
      <c r="B288" s="84">
        <v>17696</v>
      </c>
      <c r="D288" s="84" t="str">
        <f t="shared" si="5"/>
        <v/>
      </c>
      <c r="H288" s="84">
        <f>IFERROR(VLOOKUP(B288,Заказ!B:Q,5,0),0)</f>
        <v>0</v>
      </c>
      <c r="I288" s="84">
        <f>IFERROR(VLOOKUP(B288,Заказ!B:Q,16,0),0)</f>
        <v>0</v>
      </c>
    </row>
    <row r="289" spans="2:9" x14ac:dyDescent="0.25">
      <c r="B289" s="84">
        <v>20044</v>
      </c>
      <c r="D289" s="84" t="str">
        <f t="shared" si="5"/>
        <v/>
      </c>
      <c r="H289" s="84">
        <f>IFERROR(VLOOKUP(B289,Заказ!B:Q,5,0),0)</f>
        <v>0</v>
      </c>
      <c r="I289" s="84">
        <f>IFERROR(VLOOKUP(B289,Заказ!B:Q,16,0),0)</f>
        <v>0</v>
      </c>
    </row>
    <row r="290" spans="2:9" x14ac:dyDescent="0.25">
      <c r="B290" s="84">
        <v>19112</v>
      </c>
      <c r="D290" s="84" t="str">
        <f t="shared" si="5"/>
        <v/>
      </c>
      <c r="H290" s="84">
        <f>IFERROR(VLOOKUP(B290,Заказ!B:Q,5,0),0)</f>
        <v>0</v>
      </c>
      <c r="I290" s="84">
        <f>IFERROR(VLOOKUP(B290,Заказ!B:Q,16,0),0)</f>
        <v>0</v>
      </c>
    </row>
    <row r="291" spans="2:9" x14ac:dyDescent="0.25">
      <c r="B291" s="84">
        <v>19111</v>
      </c>
      <c r="D291" s="84" t="str">
        <f t="shared" si="5"/>
        <v/>
      </c>
      <c r="H291" s="84">
        <f>IFERROR(VLOOKUP(B291,Заказ!B:Q,5,0),0)</f>
        <v>0</v>
      </c>
      <c r="I291" s="84">
        <f>IFERROR(VLOOKUP(B291,Заказ!B:Q,16,0),0)</f>
        <v>0</v>
      </c>
    </row>
    <row r="292" spans="2:9" x14ac:dyDescent="0.25">
      <c r="B292" s="84">
        <v>21242</v>
      </c>
      <c r="D292" s="84" t="str">
        <f t="shared" si="5"/>
        <v/>
      </c>
      <c r="H292" s="84">
        <f>IFERROR(VLOOKUP(B292,Заказ!B:Q,5,0),0)</f>
        <v>0</v>
      </c>
      <c r="I292" s="84">
        <f>IFERROR(VLOOKUP(B292,Заказ!B:Q,16,0),0)</f>
        <v>0</v>
      </c>
    </row>
    <row r="293" spans="2:9" x14ac:dyDescent="0.25">
      <c r="B293" s="84">
        <v>21328</v>
      </c>
      <c r="D293" s="84" t="str">
        <f t="shared" si="5"/>
        <v/>
      </c>
      <c r="H293" s="84">
        <f>IFERROR(VLOOKUP(B293,Заказ!B:Q,5,0),0)</f>
        <v>0</v>
      </c>
      <c r="I293" s="84">
        <f>IFERROR(VLOOKUP(B293,Заказ!B:Q,16,0),0)</f>
        <v>0</v>
      </c>
    </row>
    <row r="294" spans="2:9" x14ac:dyDescent="0.25">
      <c r="B294" s="84">
        <v>21241</v>
      </c>
      <c r="D294" s="84" t="str">
        <f t="shared" si="5"/>
        <v/>
      </c>
      <c r="H294" s="84">
        <f>IFERROR(VLOOKUP(B294,Заказ!B:Q,5,0),0)</f>
        <v>0</v>
      </c>
      <c r="I294" s="84">
        <f>IFERROR(VLOOKUP(B294,Заказ!B:Q,16,0),0)</f>
        <v>0</v>
      </c>
    </row>
    <row r="295" spans="2:9" x14ac:dyDescent="0.25">
      <c r="B295" s="84">
        <v>21332</v>
      </c>
      <c r="D295" s="84" t="str">
        <f t="shared" si="5"/>
        <v/>
      </c>
      <c r="H295" s="84">
        <f>IFERROR(VLOOKUP(B295,Заказ!B:Q,5,0),0)</f>
        <v>0</v>
      </c>
      <c r="I295" s="84">
        <f>IFERROR(VLOOKUP(B295,Заказ!B:Q,16,0),0)</f>
        <v>0</v>
      </c>
    </row>
    <row r="296" spans="2:9" x14ac:dyDescent="0.25">
      <c r="B296" s="84">
        <v>21329</v>
      </c>
      <c r="D296" s="84" t="str">
        <f t="shared" si="5"/>
        <v/>
      </c>
      <c r="H296" s="84">
        <f>IFERROR(VLOOKUP(B296,Заказ!B:Q,5,0),0)</f>
        <v>0</v>
      </c>
      <c r="I296" s="84">
        <f>IFERROR(VLOOKUP(B296,Заказ!B:Q,16,0),0)</f>
        <v>0</v>
      </c>
    </row>
    <row r="297" spans="2:9" x14ac:dyDescent="0.25">
      <c r="B297" s="84">
        <v>21243</v>
      </c>
      <c r="D297" s="84" t="str">
        <f t="shared" si="5"/>
        <v/>
      </c>
      <c r="H297" s="84">
        <f>IFERROR(VLOOKUP(B297,Заказ!B:Q,5,0),0)</f>
        <v>0</v>
      </c>
      <c r="I297" s="84">
        <f>IFERROR(VLOOKUP(B297,Заказ!B:Q,16,0),0)</f>
        <v>0</v>
      </c>
    </row>
    <row r="298" spans="2:9" x14ac:dyDescent="0.25">
      <c r="B298" s="84">
        <v>21244</v>
      </c>
      <c r="D298" s="84" t="str">
        <f t="shared" si="5"/>
        <v/>
      </c>
      <c r="H298" s="84">
        <f>IFERROR(VLOOKUP(B298,Заказ!B:Q,5,0),0)</f>
        <v>0</v>
      </c>
      <c r="I298" s="84">
        <f>IFERROR(VLOOKUP(B298,Заказ!B:Q,16,0),0)</f>
        <v>0</v>
      </c>
    </row>
    <row r="299" spans="2:9" x14ac:dyDescent="0.25">
      <c r="B299" s="84">
        <v>21331</v>
      </c>
      <c r="D299" s="84" t="str">
        <f t="shared" si="5"/>
        <v/>
      </c>
      <c r="H299" s="84">
        <f>IFERROR(VLOOKUP(B299,Заказ!B:Q,5,0),0)</f>
        <v>0</v>
      </c>
      <c r="I299" s="84">
        <f>IFERROR(VLOOKUP(B299,Заказ!B:Q,16,0),0)</f>
        <v>0</v>
      </c>
    </row>
    <row r="300" spans="2:9" x14ac:dyDescent="0.25">
      <c r="B300" s="84">
        <v>21246</v>
      </c>
      <c r="D300" s="84" t="str">
        <f t="shared" si="5"/>
        <v/>
      </c>
      <c r="H300" s="84">
        <f>IFERROR(VLOOKUP(B300,Заказ!B:Q,5,0),0)</f>
        <v>0</v>
      </c>
      <c r="I300" s="84">
        <f>IFERROR(VLOOKUP(B300,Заказ!B:Q,16,0),0)</f>
        <v>0</v>
      </c>
    </row>
    <row r="301" spans="2:9" x14ac:dyDescent="0.25">
      <c r="B301" s="84">
        <v>21247</v>
      </c>
      <c r="D301" s="84" t="str">
        <f t="shared" si="5"/>
        <v/>
      </c>
      <c r="H301" s="84">
        <f>IFERROR(VLOOKUP(B301,Заказ!B:Q,5,0),0)</f>
        <v>0</v>
      </c>
      <c r="I301" s="84">
        <f>IFERROR(VLOOKUP(B301,Заказ!B:Q,16,0),0)</f>
        <v>0</v>
      </c>
    </row>
    <row r="302" spans="2:9" x14ac:dyDescent="0.25">
      <c r="B302" s="84">
        <v>21245</v>
      </c>
      <c r="D302" s="84" t="str">
        <f t="shared" si="5"/>
        <v/>
      </c>
      <c r="H302" s="84">
        <f>IFERROR(VLOOKUP(B302,Заказ!B:Q,5,0),0)</f>
        <v>0</v>
      </c>
      <c r="I302" s="84">
        <f>IFERROR(VLOOKUP(B302,Заказ!B:Q,16,0),0)</f>
        <v>0</v>
      </c>
    </row>
    <row r="303" spans="2:9" x14ac:dyDescent="0.25">
      <c r="B303" s="84">
        <v>21248</v>
      </c>
      <c r="D303" s="84" t="str">
        <f t="shared" si="5"/>
        <v/>
      </c>
      <c r="H303" s="84">
        <f>IFERROR(VLOOKUP(B303,Заказ!B:Q,5,0),0)</f>
        <v>0</v>
      </c>
      <c r="I303" s="84">
        <f>IFERROR(VLOOKUP(B303,Заказ!B:Q,16,0),0)</f>
        <v>0</v>
      </c>
    </row>
    <row r="304" spans="2:9" x14ac:dyDescent="0.25">
      <c r="B304" s="84">
        <v>21250</v>
      </c>
      <c r="D304" s="84" t="str">
        <f t="shared" si="5"/>
        <v/>
      </c>
      <c r="H304" s="84">
        <f>IFERROR(VLOOKUP(B304,Заказ!B:Q,5,0),0)</f>
        <v>0</v>
      </c>
      <c r="I304" s="84">
        <f>IFERROR(VLOOKUP(B304,Заказ!B:Q,16,0),0)</f>
        <v>0</v>
      </c>
    </row>
    <row r="305" spans="2:9" x14ac:dyDescent="0.25">
      <c r="B305" s="84">
        <v>21271</v>
      </c>
      <c r="D305" s="84" t="str">
        <f t="shared" si="5"/>
        <v/>
      </c>
      <c r="H305" s="84">
        <f>IFERROR(VLOOKUP(B305,Заказ!B:Q,5,0),0)</f>
        <v>0</v>
      </c>
      <c r="I305" s="84">
        <f>IFERROR(VLOOKUP(B305,Заказ!B:Q,16,0),0)</f>
        <v>0</v>
      </c>
    </row>
    <row r="306" spans="2:9" x14ac:dyDescent="0.25">
      <c r="B306" s="84">
        <v>21251</v>
      </c>
      <c r="D306" s="84" t="str">
        <f t="shared" si="5"/>
        <v/>
      </c>
      <c r="H306" s="84">
        <f>IFERROR(VLOOKUP(B306,Заказ!B:Q,5,0),0)</f>
        <v>0</v>
      </c>
      <c r="I306" s="84">
        <f>IFERROR(VLOOKUP(B306,Заказ!B:Q,16,0),0)</f>
        <v>0</v>
      </c>
    </row>
    <row r="307" spans="2:9" x14ac:dyDescent="0.25">
      <c r="B307" s="84">
        <v>21249</v>
      </c>
      <c r="D307" s="84" t="str">
        <f t="shared" si="5"/>
        <v/>
      </c>
      <c r="H307" s="84">
        <f>IFERROR(VLOOKUP(B307,Заказ!B:Q,5,0),0)</f>
        <v>0</v>
      </c>
      <c r="I307" s="84">
        <f>IFERROR(VLOOKUP(B307,Заказ!B:Q,16,0),0)</f>
        <v>0</v>
      </c>
    </row>
    <row r="308" spans="2:9" x14ac:dyDescent="0.25">
      <c r="B308" s="84">
        <v>21283</v>
      </c>
      <c r="D308" s="84" t="str">
        <f t="shared" si="5"/>
        <v/>
      </c>
      <c r="H308" s="84">
        <f>IFERROR(VLOOKUP(B308,Заказ!B:Q,5,0),0)</f>
        <v>0</v>
      </c>
      <c r="I308" s="84">
        <f>IFERROR(VLOOKUP(B308,Заказ!B:Q,16,0),0)</f>
        <v>0</v>
      </c>
    </row>
    <row r="309" spans="2:9" x14ac:dyDescent="0.25">
      <c r="B309" s="84">
        <v>21252</v>
      </c>
      <c r="D309" s="84" t="str">
        <f t="shared" si="5"/>
        <v/>
      </c>
      <c r="H309" s="84">
        <f>IFERROR(VLOOKUP(B309,Заказ!B:Q,5,0),0)</f>
        <v>0</v>
      </c>
      <c r="I309" s="84">
        <f>IFERROR(VLOOKUP(B309,Заказ!B:Q,16,0),0)</f>
        <v>0</v>
      </c>
    </row>
    <row r="310" spans="2:9" x14ac:dyDescent="0.25">
      <c r="B310" s="84">
        <v>21253</v>
      </c>
      <c r="D310" s="84" t="str">
        <f t="shared" si="5"/>
        <v/>
      </c>
      <c r="H310" s="84">
        <f>IFERROR(VLOOKUP(B310,Заказ!B:Q,5,0),0)</f>
        <v>0</v>
      </c>
      <c r="I310" s="84">
        <f>IFERROR(VLOOKUP(B310,Заказ!B:Q,16,0),0)</f>
        <v>0</v>
      </c>
    </row>
    <row r="311" spans="2:9" x14ac:dyDescent="0.25">
      <c r="B311" s="84">
        <v>21275</v>
      </c>
      <c r="D311" s="84" t="str">
        <f t="shared" si="5"/>
        <v/>
      </c>
      <c r="H311" s="84">
        <f>IFERROR(VLOOKUP(B311,Заказ!B:Q,5,0),0)</f>
        <v>0</v>
      </c>
      <c r="I311" s="84">
        <f>IFERROR(VLOOKUP(B311,Заказ!B:Q,16,0),0)</f>
        <v>0</v>
      </c>
    </row>
    <row r="312" spans="2:9" x14ac:dyDescent="0.25">
      <c r="B312" s="84">
        <v>21276</v>
      </c>
      <c r="D312" s="84" t="str">
        <f t="shared" si="5"/>
        <v/>
      </c>
      <c r="H312" s="84">
        <f>IFERROR(VLOOKUP(B312,Заказ!B:Q,5,0),0)</f>
        <v>0</v>
      </c>
      <c r="I312" s="84">
        <f>IFERROR(VLOOKUP(B312,Заказ!B:Q,16,0),0)</f>
        <v>0</v>
      </c>
    </row>
    <row r="313" spans="2:9" x14ac:dyDescent="0.25">
      <c r="B313" s="84">
        <v>21274</v>
      </c>
      <c r="D313" s="84" t="str">
        <f t="shared" si="5"/>
        <v/>
      </c>
      <c r="H313" s="84">
        <f>IFERROR(VLOOKUP(B313,Заказ!B:Q,5,0),0)</f>
        <v>0</v>
      </c>
      <c r="I313" s="84">
        <f>IFERROR(VLOOKUP(B313,Заказ!B:Q,16,0),0)</f>
        <v>0</v>
      </c>
    </row>
    <row r="314" spans="2:9" x14ac:dyDescent="0.25">
      <c r="B314" s="84">
        <v>21260</v>
      </c>
      <c r="D314" s="84" t="str">
        <f t="shared" si="5"/>
        <v/>
      </c>
      <c r="H314" s="84">
        <f>IFERROR(VLOOKUP(B314,Заказ!B:Q,5,0),0)</f>
        <v>0</v>
      </c>
      <c r="I314" s="84">
        <f>IFERROR(VLOOKUP(B314,Заказ!B:Q,16,0),0)</f>
        <v>0</v>
      </c>
    </row>
    <row r="315" spans="2:9" x14ac:dyDescent="0.25">
      <c r="B315" s="84">
        <v>21261</v>
      </c>
      <c r="D315" s="84" t="str">
        <f t="shared" si="5"/>
        <v/>
      </c>
      <c r="H315" s="84">
        <f>IFERROR(VLOOKUP(B315,Заказ!B:Q,5,0),0)</f>
        <v>0</v>
      </c>
      <c r="I315" s="84">
        <f>IFERROR(VLOOKUP(B315,Заказ!B:Q,16,0),0)</f>
        <v>0</v>
      </c>
    </row>
    <row r="316" spans="2:9" x14ac:dyDescent="0.25">
      <c r="B316" s="84">
        <v>21262</v>
      </c>
      <c r="D316" s="84" t="str">
        <f t="shared" si="5"/>
        <v/>
      </c>
      <c r="H316" s="84">
        <f>IFERROR(VLOOKUP(B316,Заказ!B:Q,5,0),0)</f>
        <v>0</v>
      </c>
      <c r="I316" s="84">
        <f>IFERROR(VLOOKUP(B316,Заказ!B:Q,16,0),0)</f>
        <v>0</v>
      </c>
    </row>
    <row r="317" spans="2:9" x14ac:dyDescent="0.25">
      <c r="B317" s="84">
        <v>21263</v>
      </c>
      <c r="D317" s="84" t="str">
        <f t="shared" si="5"/>
        <v/>
      </c>
      <c r="H317" s="84">
        <f>IFERROR(VLOOKUP(B317,Заказ!B:Q,5,0),0)</f>
        <v>0</v>
      </c>
      <c r="I317" s="84">
        <f>IFERROR(VLOOKUP(B317,Заказ!B:Q,16,0),0)</f>
        <v>0</v>
      </c>
    </row>
    <row r="318" spans="2:9" x14ac:dyDescent="0.25">
      <c r="B318" s="84">
        <v>21264</v>
      </c>
      <c r="D318" s="84" t="str">
        <f t="shared" si="5"/>
        <v/>
      </c>
      <c r="H318" s="84">
        <f>IFERROR(VLOOKUP(B318,Заказ!B:Q,5,0),0)</f>
        <v>0</v>
      </c>
      <c r="I318" s="84">
        <f>IFERROR(VLOOKUP(B318,Заказ!B:Q,16,0),0)</f>
        <v>0</v>
      </c>
    </row>
    <row r="319" spans="2:9" x14ac:dyDescent="0.25">
      <c r="B319" s="84">
        <v>21265</v>
      </c>
      <c r="D319" s="84" t="str">
        <f t="shared" si="5"/>
        <v/>
      </c>
      <c r="H319" s="84">
        <f>IFERROR(VLOOKUP(B319,Заказ!B:Q,5,0),0)</f>
        <v>0</v>
      </c>
      <c r="I319" s="84">
        <f>IFERROR(VLOOKUP(B319,Заказ!B:Q,16,0),0)</f>
        <v>0</v>
      </c>
    </row>
    <row r="320" spans="2:9" x14ac:dyDescent="0.25">
      <c r="B320" s="84">
        <v>21371</v>
      </c>
      <c r="D320" s="84" t="str">
        <f t="shared" si="5"/>
        <v/>
      </c>
      <c r="H320" s="84">
        <f>IFERROR(VLOOKUP(B320,Заказ!B:Q,5,0),0)</f>
        <v>0</v>
      </c>
      <c r="I320" s="84">
        <f>IFERROR(VLOOKUP(B320,Заказ!B:Q,16,0),0)</f>
        <v>0</v>
      </c>
    </row>
    <row r="321" spans="2:9" x14ac:dyDescent="0.25">
      <c r="B321" s="84">
        <v>21370</v>
      </c>
      <c r="D321" s="84" t="str">
        <f t="shared" si="5"/>
        <v/>
      </c>
      <c r="H321" s="84">
        <f>IFERROR(VLOOKUP(B321,Заказ!B:Q,5,0),0)</f>
        <v>0</v>
      </c>
      <c r="I321" s="84">
        <f>IFERROR(VLOOKUP(B321,Заказ!B:Q,16,0),0)</f>
        <v>0</v>
      </c>
    </row>
    <row r="322" spans="2:9" x14ac:dyDescent="0.25">
      <c r="B322" s="84">
        <v>21266</v>
      </c>
      <c r="D322" s="84" t="str">
        <f t="shared" si="5"/>
        <v/>
      </c>
      <c r="H322" s="84">
        <f>IFERROR(VLOOKUP(B322,Заказ!B:Q,5,0),0)</f>
        <v>0</v>
      </c>
      <c r="I322" s="84">
        <f>IFERROR(VLOOKUP(B322,Заказ!B:Q,16,0),0)</f>
        <v>0</v>
      </c>
    </row>
    <row r="323" spans="2:9" x14ac:dyDescent="0.25">
      <c r="B323" s="84">
        <v>21336</v>
      </c>
      <c r="D323" s="84" t="str">
        <f t="shared" si="5"/>
        <v/>
      </c>
      <c r="H323" s="84">
        <f>IFERROR(VLOOKUP(B323,Заказ!B:Q,5,0),0)</f>
        <v>0</v>
      </c>
      <c r="I323" s="84">
        <f>IFERROR(VLOOKUP(B323,Заказ!B:Q,16,0),0)</f>
        <v>0</v>
      </c>
    </row>
    <row r="324" spans="2:9" x14ac:dyDescent="0.25">
      <c r="B324" s="84">
        <v>21273</v>
      </c>
      <c r="D324" s="84" t="str">
        <f t="shared" si="5"/>
        <v/>
      </c>
      <c r="H324" s="84">
        <f>IFERROR(VLOOKUP(B324,Заказ!B:Q,5,0),0)</f>
        <v>0</v>
      </c>
      <c r="I324" s="84">
        <f>IFERROR(VLOOKUP(B324,Заказ!B:Q,16,0),0)</f>
        <v>0</v>
      </c>
    </row>
    <row r="325" spans="2:9" x14ac:dyDescent="0.25">
      <c r="B325" s="84">
        <v>21285</v>
      </c>
      <c r="D325" s="84" t="str">
        <f t="shared" si="5"/>
        <v/>
      </c>
      <c r="H325" s="84">
        <f>IFERROR(VLOOKUP(B325,Заказ!B:Q,5,0),0)</f>
        <v>0</v>
      </c>
      <c r="I325" s="84">
        <f>IFERROR(VLOOKUP(B325,Заказ!B:Q,16,0),0)</f>
        <v>0</v>
      </c>
    </row>
    <row r="326" spans="2:9" x14ac:dyDescent="0.25">
      <c r="B326" s="84">
        <v>21452</v>
      </c>
      <c r="D326" s="84" t="str">
        <f t="shared" si="5"/>
        <v/>
      </c>
      <c r="H326" s="84">
        <f>IFERROR(VLOOKUP(B326,Заказ!B:Q,5,0),0)</f>
        <v>0</v>
      </c>
      <c r="I326" s="84">
        <f>IFERROR(VLOOKUP(B326,Заказ!B:Q,16,0),0)</f>
        <v>0</v>
      </c>
    </row>
    <row r="327" spans="2:9" x14ac:dyDescent="0.25">
      <c r="B327" s="84">
        <v>21254</v>
      </c>
      <c r="D327" s="84" t="str">
        <f t="shared" si="5"/>
        <v/>
      </c>
      <c r="H327" s="84">
        <f>IFERROR(VLOOKUP(B327,Заказ!B:Q,5,0),0)</f>
        <v>0</v>
      </c>
      <c r="I327" s="84">
        <f>IFERROR(VLOOKUP(B327,Заказ!B:Q,16,0),0)</f>
        <v>0</v>
      </c>
    </row>
    <row r="328" spans="2:9" x14ac:dyDescent="0.25">
      <c r="B328" s="84">
        <v>21337</v>
      </c>
      <c r="D328" s="84" t="str">
        <f t="shared" si="5"/>
        <v/>
      </c>
      <c r="H328" s="84">
        <f>IFERROR(VLOOKUP(B328,Заказ!B:Q,5,0),0)</f>
        <v>0</v>
      </c>
      <c r="I328" s="84">
        <f>IFERROR(VLOOKUP(B328,Заказ!B:Q,16,0),0)</f>
        <v>0</v>
      </c>
    </row>
    <row r="329" spans="2:9" x14ac:dyDescent="0.25">
      <c r="B329" s="84">
        <v>21267</v>
      </c>
      <c r="D329" s="84" t="str">
        <f t="shared" si="5"/>
        <v/>
      </c>
      <c r="H329" s="84">
        <f>IFERROR(VLOOKUP(B329,Заказ!B:Q,5,0),0)</f>
        <v>0</v>
      </c>
      <c r="I329" s="84">
        <f>IFERROR(VLOOKUP(B329,Заказ!B:Q,16,0),0)</f>
        <v>0</v>
      </c>
    </row>
    <row r="330" spans="2:9" x14ac:dyDescent="0.25">
      <c r="B330" s="84">
        <v>21268</v>
      </c>
      <c r="D330" s="84" t="str">
        <f t="shared" si="5"/>
        <v/>
      </c>
      <c r="H330" s="84">
        <f>IFERROR(VLOOKUP(B330,Заказ!B:Q,5,0),0)</f>
        <v>0</v>
      </c>
      <c r="I330" s="84">
        <f>IFERROR(VLOOKUP(B330,Заказ!B:Q,16,0),0)</f>
        <v>0</v>
      </c>
    </row>
    <row r="331" spans="2:9" x14ac:dyDescent="0.25">
      <c r="B331" s="84">
        <v>21333</v>
      </c>
      <c r="D331" s="84" t="str">
        <f t="shared" si="5"/>
        <v/>
      </c>
      <c r="H331" s="84">
        <f>IFERROR(VLOOKUP(B331,Заказ!B:Q,5,0),0)</f>
        <v>0</v>
      </c>
      <c r="I331" s="84">
        <f>IFERROR(VLOOKUP(B331,Заказ!B:Q,16,0),0)</f>
        <v>0</v>
      </c>
    </row>
    <row r="332" spans="2:9" x14ac:dyDescent="0.25">
      <c r="B332" s="84">
        <v>21278</v>
      </c>
      <c r="D332" s="84" t="str">
        <f t="shared" si="5"/>
        <v/>
      </c>
      <c r="H332" s="84">
        <f>IFERROR(VLOOKUP(B332,Заказ!B:Q,5,0),0)</f>
        <v>0</v>
      </c>
      <c r="I332" s="84">
        <f>IFERROR(VLOOKUP(B332,Заказ!B:Q,16,0),0)</f>
        <v>0</v>
      </c>
    </row>
    <row r="333" spans="2:9" x14ac:dyDescent="0.25">
      <c r="B333" s="84">
        <v>21277</v>
      </c>
      <c r="D333" s="84" t="str">
        <f t="shared" si="5"/>
        <v/>
      </c>
      <c r="H333" s="84">
        <f>IFERROR(VLOOKUP(B333,Заказ!B:Q,5,0),0)</f>
        <v>0</v>
      </c>
      <c r="I333" s="84">
        <f>IFERROR(VLOOKUP(B333,Заказ!B:Q,16,0),0)</f>
        <v>0</v>
      </c>
    </row>
    <row r="334" spans="2:9" x14ac:dyDescent="0.25">
      <c r="B334" s="84">
        <v>21455</v>
      </c>
      <c r="D334" s="84" t="str">
        <f t="shared" si="5"/>
        <v/>
      </c>
      <c r="H334" s="84">
        <f>IFERROR(VLOOKUP(B334,Заказ!B:Q,5,0),0)</f>
        <v>0</v>
      </c>
      <c r="I334" s="84">
        <f>IFERROR(VLOOKUP(B334,Заказ!B:Q,16,0),0)</f>
        <v>0</v>
      </c>
    </row>
    <row r="335" spans="2:9" x14ac:dyDescent="0.25">
      <c r="B335" s="84">
        <v>21256</v>
      </c>
      <c r="D335" s="84" t="str">
        <f t="shared" si="5"/>
        <v/>
      </c>
      <c r="H335" s="84">
        <f>IFERROR(VLOOKUP(B335,Заказ!B:Q,5,0),0)</f>
        <v>0</v>
      </c>
      <c r="I335" s="84">
        <f>IFERROR(VLOOKUP(B335,Заказ!B:Q,16,0),0)</f>
        <v>0</v>
      </c>
    </row>
    <row r="336" spans="2:9" x14ac:dyDescent="0.25">
      <c r="B336" s="84">
        <v>21257</v>
      </c>
      <c r="D336" s="84" t="str">
        <f t="shared" si="5"/>
        <v/>
      </c>
      <c r="H336" s="84">
        <f>IFERROR(VLOOKUP(B336,Заказ!B:Q,5,0),0)</f>
        <v>0</v>
      </c>
      <c r="I336" s="84">
        <f>IFERROR(VLOOKUP(B336,Заказ!B:Q,16,0),0)</f>
        <v>0</v>
      </c>
    </row>
    <row r="337" spans="2:9" x14ac:dyDescent="0.25">
      <c r="B337" s="84">
        <v>21258</v>
      </c>
      <c r="D337" s="84" t="str">
        <f t="shared" si="5"/>
        <v/>
      </c>
      <c r="H337" s="84">
        <f>IFERROR(VLOOKUP(B337,Заказ!B:Q,5,0),0)</f>
        <v>0</v>
      </c>
      <c r="I337" s="84">
        <f>IFERROR(VLOOKUP(B337,Заказ!B:Q,16,0),0)</f>
        <v>0</v>
      </c>
    </row>
    <row r="338" spans="2:9" x14ac:dyDescent="0.25">
      <c r="B338" s="84">
        <v>21259</v>
      </c>
      <c r="D338" s="84" t="str">
        <f t="shared" si="5"/>
        <v/>
      </c>
      <c r="H338" s="84">
        <f>IFERROR(VLOOKUP(B338,Заказ!B:Q,5,0),0)</f>
        <v>0</v>
      </c>
      <c r="I338" s="84">
        <f>IFERROR(VLOOKUP(B338,Заказ!B:Q,16,0),0)</f>
        <v>0</v>
      </c>
    </row>
    <row r="339" spans="2:9" x14ac:dyDescent="0.25">
      <c r="B339" s="84">
        <v>21255</v>
      </c>
      <c r="D339" s="84" t="str">
        <f t="shared" si="5"/>
        <v/>
      </c>
      <c r="H339" s="84">
        <f>IFERROR(VLOOKUP(B339,Заказ!B:Q,5,0),0)</f>
        <v>0</v>
      </c>
      <c r="I339" s="84">
        <f>IFERROR(VLOOKUP(B339,Заказ!B:Q,16,0),0)</f>
        <v>0</v>
      </c>
    </row>
    <row r="340" spans="2:9" x14ac:dyDescent="0.25">
      <c r="B340" s="84">
        <v>20073</v>
      </c>
      <c r="D340" s="84" t="str">
        <f t="shared" si="5"/>
        <v/>
      </c>
      <c r="H340" s="84">
        <f>IFERROR(VLOOKUP(B340,Заказ!B:Q,5,0),0)</f>
        <v>0</v>
      </c>
      <c r="I340" s="84">
        <f>IFERROR(VLOOKUP(B340,Заказ!B:Q,16,0),0)</f>
        <v>0</v>
      </c>
    </row>
    <row r="341" spans="2:9" x14ac:dyDescent="0.25">
      <c r="B341" s="84">
        <v>20074</v>
      </c>
      <c r="D341" s="84" t="str">
        <f t="shared" si="5"/>
        <v/>
      </c>
      <c r="H341" s="84">
        <f>IFERROR(VLOOKUP(B341,Заказ!B:Q,5,0),0)</f>
        <v>0</v>
      </c>
      <c r="I341" s="84">
        <f>IFERROR(VLOOKUP(B341,Заказ!B:Q,16,0),0)</f>
        <v>0</v>
      </c>
    </row>
    <row r="342" spans="2:9" x14ac:dyDescent="0.25">
      <c r="B342" s="84">
        <v>20067</v>
      </c>
      <c r="D342" s="84" t="str">
        <f t="shared" si="5"/>
        <v/>
      </c>
      <c r="H342" s="84">
        <f>IFERROR(VLOOKUP(B342,Заказ!B:Q,5,0),0)</f>
        <v>0</v>
      </c>
      <c r="I342" s="84">
        <f>IFERROR(VLOOKUP(B342,Заказ!B:Q,16,0),0)</f>
        <v>0</v>
      </c>
    </row>
    <row r="343" spans="2:9" x14ac:dyDescent="0.25">
      <c r="B343" s="84">
        <v>20066</v>
      </c>
      <c r="D343" s="84" t="str">
        <f t="shared" si="5"/>
        <v/>
      </c>
      <c r="H343" s="84">
        <f>IFERROR(VLOOKUP(B343,Заказ!B:Q,5,0),0)</f>
        <v>0</v>
      </c>
      <c r="I343" s="84">
        <f>IFERROR(VLOOKUP(B343,Заказ!B:Q,16,0),0)</f>
        <v>0</v>
      </c>
    </row>
    <row r="344" spans="2:9" x14ac:dyDescent="0.25">
      <c r="B344" s="84">
        <v>20645</v>
      </c>
      <c r="D344" s="84" t="str">
        <f t="shared" si="5"/>
        <v/>
      </c>
      <c r="H344" s="84">
        <f>IFERROR(VLOOKUP(B344,Заказ!B:Q,5,0),0)</f>
        <v>0</v>
      </c>
      <c r="I344" s="84">
        <f>IFERROR(VLOOKUP(B344,Заказ!B:Q,16,0),0)</f>
        <v>0</v>
      </c>
    </row>
    <row r="345" spans="2:9" x14ac:dyDescent="0.25">
      <c r="B345" s="84">
        <v>20417</v>
      </c>
      <c r="D345" s="84" t="str">
        <f t="shared" si="5"/>
        <v/>
      </c>
      <c r="H345" s="84">
        <f>IFERROR(VLOOKUP(B345,Заказ!B:Q,5,0),0)</f>
        <v>0</v>
      </c>
      <c r="I345" s="84">
        <f>IFERROR(VLOOKUP(B345,Заказ!B:Q,16,0),0)</f>
        <v>0</v>
      </c>
    </row>
    <row r="346" spans="2:9" x14ac:dyDescent="0.25">
      <c r="B346" s="84">
        <v>20069</v>
      </c>
      <c r="D346" s="84" t="str">
        <f t="shared" si="5"/>
        <v/>
      </c>
      <c r="H346" s="84">
        <f>IFERROR(VLOOKUP(B346,Заказ!B:Q,5,0),0)</f>
        <v>0</v>
      </c>
      <c r="I346" s="84">
        <f>IFERROR(VLOOKUP(B346,Заказ!B:Q,16,0),0)</f>
        <v>0</v>
      </c>
    </row>
    <row r="347" spans="2:9" x14ac:dyDescent="0.25">
      <c r="B347" s="84">
        <v>20638</v>
      </c>
      <c r="D347" s="84" t="str">
        <f t="shared" si="5"/>
        <v/>
      </c>
      <c r="H347" s="84">
        <f>IFERROR(VLOOKUP(B347,Заказ!B:Q,5,0),0)</f>
        <v>0</v>
      </c>
      <c r="I347" s="84">
        <f>IFERROR(VLOOKUP(B347,Заказ!B:Q,16,0),0)</f>
        <v>0</v>
      </c>
    </row>
    <row r="348" spans="2:9" x14ac:dyDescent="0.25">
      <c r="B348" s="84">
        <v>20642</v>
      </c>
      <c r="D348" s="84" t="str">
        <f t="shared" si="5"/>
        <v/>
      </c>
      <c r="H348" s="84">
        <f>IFERROR(VLOOKUP(B348,Заказ!B:Q,5,0),0)</f>
        <v>0</v>
      </c>
      <c r="I348" s="84">
        <f>IFERROR(VLOOKUP(B348,Заказ!B:Q,16,0),0)</f>
        <v>0</v>
      </c>
    </row>
    <row r="349" spans="2:9" x14ac:dyDescent="0.25">
      <c r="B349" s="84">
        <v>20644</v>
      </c>
      <c r="D349" s="84" t="str">
        <f t="shared" si="5"/>
        <v/>
      </c>
      <c r="H349" s="84">
        <f>IFERROR(VLOOKUP(B349,Заказ!B:Q,5,0),0)</f>
        <v>0</v>
      </c>
      <c r="I349" s="84">
        <f>IFERROR(VLOOKUP(B349,Заказ!B:Q,16,0),0)</f>
        <v>0</v>
      </c>
    </row>
    <row r="350" spans="2:9" x14ac:dyDescent="0.25">
      <c r="B350" s="84">
        <v>20643</v>
      </c>
      <c r="D350" s="84" t="str">
        <f t="shared" si="5"/>
        <v/>
      </c>
      <c r="H350" s="84">
        <f>IFERROR(VLOOKUP(B350,Заказ!B:Q,5,0),0)</f>
        <v>0</v>
      </c>
      <c r="I350" s="84">
        <f>IFERROR(VLOOKUP(B350,Заказ!B:Q,16,0),0)</f>
        <v>0</v>
      </c>
    </row>
    <row r="351" spans="2:9" x14ac:dyDescent="0.25">
      <c r="B351" s="84">
        <v>20640</v>
      </c>
      <c r="D351" s="84" t="str">
        <f t="shared" si="5"/>
        <v/>
      </c>
      <c r="H351" s="84">
        <f>IFERROR(VLOOKUP(B351,Заказ!B:Q,5,0),0)</f>
        <v>0</v>
      </c>
      <c r="I351" s="84">
        <f>IFERROR(VLOOKUP(B351,Заказ!B:Q,16,0),0)</f>
        <v>0</v>
      </c>
    </row>
    <row r="352" spans="2:9" x14ac:dyDescent="0.25">
      <c r="B352" s="84">
        <v>20075</v>
      </c>
      <c r="D352" s="84" t="str">
        <f t="shared" si="5"/>
        <v/>
      </c>
      <c r="H352" s="84">
        <f>IFERROR(VLOOKUP(B352,Заказ!B:Q,5,0),0)</f>
        <v>0</v>
      </c>
      <c r="I352" s="84">
        <f>IFERROR(VLOOKUP(B352,Заказ!B:Q,16,0),0)</f>
        <v>0</v>
      </c>
    </row>
    <row r="353" spans="2:9" x14ac:dyDescent="0.25">
      <c r="B353" s="84">
        <v>20062</v>
      </c>
      <c r="D353" s="84" t="str">
        <f t="shared" si="5"/>
        <v/>
      </c>
      <c r="H353" s="84">
        <f>IFERROR(VLOOKUP(B353,Заказ!B:Q,5,0),0)</f>
        <v>0</v>
      </c>
      <c r="I353" s="84">
        <f>IFERROR(VLOOKUP(B353,Заказ!B:Q,16,0),0)</f>
        <v>0</v>
      </c>
    </row>
    <row r="354" spans="2:9" x14ac:dyDescent="0.25">
      <c r="B354" s="84">
        <v>20558</v>
      </c>
      <c r="D354" s="84" t="str">
        <f t="shared" si="5"/>
        <v/>
      </c>
      <c r="H354" s="84">
        <f>IFERROR(VLOOKUP(B354,Заказ!B:Q,5,0),0)</f>
        <v>0</v>
      </c>
      <c r="I354" s="84">
        <f>IFERROR(VLOOKUP(B354,Заказ!B:Q,16,0),0)</f>
        <v>0</v>
      </c>
    </row>
    <row r="355" spans="2:9" x14ac:dyDescent="0.25">
      <c r="B355" s="84">
        <v>20064</v>
      </c>
      <c r="D355" s="84" t="str">
        <f t="shared" si="5"/>
        <v/>
      </c>
      <c r="H355" s="84">
        <f>IFERROR(VLOOKUP(B355,Заказ!B:Q,5,0),0)</f>
        <v>0</v>
      </c>
      <c r="I355" s="84">
        <f>IFERROR(VLOOKUP(B355,Заказ!B:Q,16,0),0)</f>
        <v>0</v>
      </c>
    </row>
    <row r="356" spans="2:9" x14ac:dyDescent="0.25">
      <c r="B356" s="84">
        <v>20086</v>
      </c>
      <c r="D356" s="84" t="str">
        <f t="shared" si="5"/>
        <v/>
      </c>
      <c r="H356" s="84">
        <f>IFERROR(VLOOKUP(B356,Заказ!B:Q,5,0),0)</f>
        <v>0</v>
      </c>
      <c r="I356" s="84">
        <f>IFERROR(VLOOKUP(B356,Заказ!B:Q,16,0),0)</f>
        <v>0</v>
      </c>
    </row>
    <row r="357" spans="2:9" x14ac:dyDescent="0.25">
      <c r="B357" s="84">
        <v>20065</v>
      </c>
      <c r="D357" s="84" t="str">
        <f t="shared" si="5"/>
        <v/>
      </c>
      <c r="H357" s="84">
        <f>IFERROR(VLOOKUP(B357,Заказ!B:Q,5,0),0)</f>
        <v>0</v>
      </c>
      <c r="I357" s="84">
        <f>IFERROR(VLOOKUP(B357,Заказ!B:Q,16,0),0)</f>
        <v>0</v>
      </c>
    </row>
    <row r="358" spans="2:9" x14ac:dyDescent="0.25">
      <c r="B358" s="84">
        <v>20063</v>
      </c>
      <c r="D358" s="84" t="str">
        <f t="shared" si="5"/>
        <v/>
      </c>
      <c r="H358" s="84">
        <f>IFERROR(VLOOKUP(B358,Заказ!B:Q,5,0),0)</f>
        <v>0</v>
      </c>
      <c r="I358" s="84">
        <f>IFERROR(VLOOKUP(B358,Заказ!B:Q,16,0),0)</f>
        <v>0</v>
      </c>
    </row>
    <row r="359" spans="2:9" x14ac:dyDescent="0.25">
      <c r="B359" s="84">
        <v>20076</v>
      </c>
      <c r="D359" s="84" t="str">
        <f t="shared" si="5"/>
        <v/>
      </c>
      <c r="H359" s="84">
        <f>IFERROR(VLOOKUP(B359,Заказ!B:Q,5,0),0)</f>
        <v>0</v>
      </c>
      <c r="I359" s="84">
        <f>IFERROR(VLOOKUP(B359,Заказ!B:Q,16,0),0)</f>
        <v>0</v>
      </c>
    </row>
    <row r="360" spans="2:9" x14ac:dyDescent="0.25">
      <c r="B360" s="84">
        <v>20129</v>
      </c>
      <c r="D360" s="84" t="str">
        <f t="shared" si="5"/>
        <v/>
      </c>
      <c r="H360" s="84">
        <f>IFERROR(VLOOKUP(B360,Заказ!B:Q,5,0),0)</f>
        <v>0</v>
      </c>
      <c r="I360" s="84">
        <f>IFERROR(VLOOKUP(B360,Заказ!B:Q,16,0),0)</f>
        <v>0</v>
      </c>
    </row>
    <row r="361" spans="2:9" x14ac:dyDescent="0.25">
      <c r="B361" s="84">
        <v>20078</v>
      </c>
      <c r="D361" s="84" t="str">
        <f t="shared" si="5"/>
        <v/>
      </c>
      <c r="H361" s="84">
        <f>IFERROR(VLOOKUP(B361,Заказ!B:Q,5,0),0)</f>
        <v>0</v>
      </c>
      <c r="I361" s="84">
        <f>IFERROR(VLOOKUP(B361,Заказ!B:Q,16,0),0)</f>
        <v>0</v>
      </c>
    </row>
    <row r="362" spans="2:9" x14ac:dyDescent="0.25">
      <c r="B362" s="84">
        <v>20130</v>
      </c>
      <c r="D362" s="84" t="str">
        <f t="shared" si="5"/>
        <v/>
      </c>
      <c r="H362" s="84">
        <f>IFERROR(VLOOKUP(B362,Заказ!B:Q,5,0),0)</f>
        <v>0</v>
      </c>
      <c r="I362" s="84">
        <f>IFERROR(VLOOKUP(B362,Заказ!B:Q,16,0),0)</f>
        <v>0</v>
      </c>
    </row>
    <row r="363" spans="2:9" x14ac:dyDescent="0.25">
      <c r="B363" s="84">
        <v>20092</v>
      </c>
      <c r="D363" s="84" t="str">
        <f t="shared" si="5"/>
        <v/>
      </c>
      <c r="H363" s="84">
        <f>IFERROR(VLOOKUP(B363,Заказ!B:Q,5,0),0)</f>
        <v>0</v>
      </c>
      <c r="I363" s="84">
        <f>IFERROR(VLOOKUP(B363,Заказ!B:Q,16,0),0)</f>
        <v>0</v>
      </c>
    </row>
    <row r="364" spans="2:9" x14ac:dyDescent="0.25">
      <c r="B364" s="84">
        <v>20077</v>
      </c>
      <c r="D364" s="84" t="str">
        <f t="shared" si="5"/>
        <v/>
      </c>
      <c r="H364" s="84">
        <f>IFERROR(VLOOKUP(B364,Заказ!B:Q,5,0),0)</f>
        <v>0</v>
      </c>
      <c r="I364" s="84">
        <f>IFERROR(VLOOKUP(B364,Заказ!B:Q,16,0),0)</f>
        <v>0</v>
      </c>
    </row>
    <row r="365" spans="2:9" x14ac:dyDescent="0.25">
      <c r="B365" s="84">
        <v>20647</v>
      </c>
      <c r="D365" s="84" t="str">
        <f t="shared" si="5"/>
        <v/>
      </c>
      <c r="H365" s="84">
        <f>IFERROR(VLOOKUP(B365,Заказ!B:Q,5,0),0)</f>
        <v>0</v>
      </c>
      <c r="I365" s="84">
        <f>IFERROR(VLOOKUP(B365,Заказ!B:Q,16,0),0)</f>
        <v>0</v>
      </c>
    </row>
    <row r="366" spans="2:9" x14ac:dyDescent="0.25">
      <c r="B366" s="84">
        <v>20093</v>
      </c>
      <c r="D366" s="84" t="str">
        <f t="shared" si="5"/>
        <v/>
      </c>
      <c r="H366" s="84">
        <f>IFERROR(VLOOKUP(B366,Заказ!B:Q,5,0),0)</f>
        <v>0</v>
      </c>
      <c r="I366" s="84">
        <f>IFERROR(VLOOKUP(B366,Заказ!B:Q,16,0),0)</f>
        <v>0</v>
      </c>
    </row>
    <row r="367" spans="2:9" x14ac:dyDescent="0.25">
      <c r="B367" s="84">
        <v>20648</v>
      </c>
      <c r="D367" s="84" t="str">
        <f t="shared" si="5"/>
        <v/>
      </c>
      <c r="H367" s="84">
        <f>IFERROR(VLOOKUP(B367,Заказ!B:Q,5,0),0)</f>
        <v>0</v>
      </c>
      <c r="I367" s="84">
        <f>IFERROR(VLOOKUP(B367,Заказ!B:Q,16,0),0)</f>
        <v>0</v>
      </c>
    </row>
    <row r="368" spans="2:9" x14ac:dyDescent="0.25">
      <c r="B368" s="84">
        <v>20646</v>
      </c>
      <c r="D368" s="84" t="str">
        <f t="shared" si="5"/>
        <v/>
      </c>
      <c r="H368" s="84">
        <f>IFERROR(VLOOKUP(B368,Заказ!B:Q,5,0),0)</f>
        <v>0</v>
      </c>
      <c r="I368" s="84">
        <f>IFERROR(VLOOKUP(B368,Заказ!B:Q,16,0),0)</f>
        <v>0</v>
      </c>
    </row>
    <row r="369" spans="2:9" x14ac:dyDescent="0.25">
      <c r="B369" s="84">
        <v>20072</v>
      </c>
      <c r="D369" s="84" t="str">
        <f t="shared" si="5"/>
        <v/>
      </c>
      <c r="H369" s="84">
        <f>IFERROR(VLOOKUP(B369,Заказ!B:Q,5,0),0)</f>
        <v>0</v>
      </c>
      <c r="I369" s="84">
        <f>IFERROR(VLOOKUP(B369,Заказ!B:Q,16,0),0)</f>
        <v>0</v>
      </c>
    </row>
    <row r="370" spans="2:9" x14ac:dyDescent="0.25">
      <c r="B370" s="84">
        <v>20649</v>
      </c>
      <c r="D370" s="84" t="str">
        <f t="shared" si="5"/>
        <v/>
      </c>
      <c r="H370" s="84">
        <f>IFERROR(VLOOKUP(B370,Заказ!B:Q,5,0),0)</f>
        <v>0</v>
      </c>
      <c r="I370" s="84">
        <f>IFERROR(VLOOKUP(B370,Заказ!B:Q,16,0),0)</f>
        <v>0</v>
      </c>
    </row>
    <row r="371" spans="2:9" x14ac:dyDescent="0.25">
      <c r="B371" s="84">
        <v>20091</v>
      </c>
      <c r="D371" s="84" t="str">
        <f t="shared" si="5"/>
        <v/>
      </c>
      <c r="H371" s="84">
        <f>IFERROR(VLOOKUP(B371,Заказ!B:Q,5,0),0)</f>
        <v>0</v>
      </c>
      <c r="I371" s="84">
        <f>IFERROR(VLOOKUP(B371,Заказ!B:Q,16,0),0)</f>
        <v>0</v>
      </c>
    </row>
    <row r="372" spans="2:9" x14ac:dyDescent="0.25">
      <c r="B372" s="84">
        <v>20639</v>
      </c>
      <c r="D372" s="84" t="str">
        <f t="shared" si="5"/>
        <v/>
      </c>
      <c r="H372" s="84">
        <f>IFERROR(VLOOKUP(B372,Заказ!B:Q,5,0),0)</f>
        <v>0</v>
      </c>
      <c r="I372" s="84">
        <f>IFERROR(VLOOKUP(B372,Заказ!B:Q,16,0),0)</f>
        <v>0</v>
      </c>
    </row>
    <row r="373" spans="2:9" x14ac:dyDescent="0.25">
      <c r="B373" s="84">
        <v>20641</v>
      </c>
      <c r="D373" s="84" t="str">
        <f t="shared" si="5"/>
        <v/>
      </c>
      <c r="H373" s="84">
        <f>IFERROR(VLOOKUP(B373,Заказ!B:Q,5,0),0)</f>
        <v>0</v>
      </c>
      <c r="I373" s="84">
        <f>IFERROR(VLOOKUP(B373,Заказ!B:Q,16,0),0)</f>
        <v>0</v>
      </c>
    </row>
    <row r="374" spans="2:9" x14ac:dyDescent="0.25">
      <c r="B374" s="84">
        <v>18201</v>
      </c>
      <c r="D374" s="84" t="str">
        <f t="shared" si="5"/>
        <v/>
      </c>
      <c r="H374" s="84">
        <f>IFERROR(VLOOKUP(B374,Заказ!B:Q,5,0),0)</f>
        <v>0</v>
      </c>
      <c r="I374" s="84">
        <f>IFERROR(VLOOKUP(B374,Заказ!B:Q,16,0),0)</f>
        <v>0</v>
      </c>
    </row>
    <row r="375" spans="2:9" x14ac:dyDescent="0.25">
      <c r="B375" s="84">
        <v>18203</v>
      </c>
      <c r="D375" s="84" t="str">
        <f t="shared" si="5"/>
        <v/>
      </c>
      <c r="H375" s="84">
        <f>IFERROR(VLOOKUP(B375,Заказ!B:Q,5,0),0)</f>
        <v>0</v>
      </c>
      <c r="I375" s="84">
        <f>IFERROR(VLOOKUP(B375,Заказ!B:Q,16,0),0)</f>
        <v>0</v>
      </c>
    </row>
    <row r="376" spans="2:9" x14ac:dyDescent="0.25">
      <c r="B376" s="84">
        <v>18202</v>
      </c>
      <c r="D376" s="84" t="str">
        <f t="shared" si="5"/>
        <v/>
      </c>
      <c r="H376" s="84">
        <f>IFERROR(VLOOKUP(B376,Заказ!B:Q,5,0),0)</f>
        <v>0</v>
      </c>
      <c r="I376" s="84">
        <f>IFERROR(VLOOKUP(B376,Заказ!B:Q,16,0),0)</f>
        <v>0</v>
      </c>
    </row>
    <row r="377" spans="2:9" x14ac:dyDescent="0.25">
      <c r="B377" s="84">
        <v>18696</v>
      </c>
      <c r="D377" s="84" t="str">
        <f t="shared" si="5"/>
        <v/>
      </c>
      <c r="H377" s="84">
        <f>IFERROR(VLOOKUP(B377,Заказ!B:Q,5,0),0)</f>
        <v>0</v>
      </c>
      <c r="I377" s="84">
        <f>IFERROR(VLOOKUP(B377,Заказ!B:Q,16,0),0)</f>
        <v>0</v>
      </c>
    </row>
    <row r="378" spans="2:9" x14ac:dyDescent="0.25">
      <c r="B378" s="84">
        <v>18695</v>
      </c>
      <c r="D378" s="84" t="str">
        <f t="shared" si="5"/>
        <v/>
      </c>
      <c r="H378" s="84">
        <f>IFERROR(VLOOKUP(B378,Заказ!B:Q,5,0),0)</f>
        <v>0</v>
      </c>
      <c r="I378" s="84">
        <f>IFERROR(VLOOKUP(B378,Заказ!B:Q,16,0),0)</f>
        <v>0</v>
      </c>
    </row>
    <row r="379" spans="2:9" x14ac:dyDescent="0.25">
      <c r="B379" s="84">
        <v>16943</v>
      </c>
      <c r="D379" s="84" t="str">
        <f t="shared" si="5"/>
        <v/>
      </c>
      <c r="H379" s="84">
        <f>IFERROR(VLOOKUP(B379,Заказ!B:Q,5,0),0)</f>
        <v>0</v>
      </c>
      <c r="I379" s="84">
        <f>IFERROR(VLOOKUP(B379,Заказ!B:Q,16,0),0)</f>
        <v>0</v>
      </c>
    </row>
    <row r="380" spans="2:9" x14ac:dyDescent="0.25">
      <c r="B380" s="84">
        <v>17146</v>
      </c>
      <c r="D380" s="84" t="str">
        <f t="shared" si="5"/>
        <v/>
      </c>
      <c r="H380" s="84">
        <f>IFERROR(VLOOKUP(B380,Заказ!B:Q,5,0),0)</f>
        <v>0</v>
      </c>
      <c r="I380" s="84">
        <f>IFERROR(VLOOKUP(B380,Заказ!B:Q,16,0),0)</f>
        <v>0</v>
      </c>
    </row>
    <row r="381" spans="2:9" x14ac:dyDescent="0.25">
      <c r="B381" s="84">
        <v>16944</v>
      </c>
      <c r="D381" s="84" t="str">
        <f t="shared" si="5"/>
        <v/>
      </c>
      <c r="H381" s="84">
        <f>IFERROR(VLOOKUP(B381,Заказ!B:Q,5,0),0)</f>
        <v>0</v>
      </c>
      <c r="I381" s="84">
        <f>IFERROR(VLOOKUP(B381,Заказ!B:Q,16,0),0)</f>
        <v>0</v>
      </c>
    </row>
    <row r="382" spans="2:9" x14ac:dyDescent="0.25">
      <c r="B382" s="84">
        <v>17147</v>
      </c>
      <c r="D382" s="84" t="str">
        <f t="shared" si="5"/>
        <v/>
      </c>
      <c r="H382" s="84">
        <f>IFERROR(VLOOKUP(B382,Заказ!B:Q,5,0),0)</f>
        <v>0</v>
      </c>
      <c r="I382" s="84">
        <f>IFERROR(VLOOKUP(B382,Заказ!B:Q,16,0),0)</f>
        <v>0</v>
      </c>
    </row>
    <row r="383" spans="2:9" x14ac:dyDescent="0.25">
      <c r="B383" s="84">
        <v>16968</v>
      </c>
      <c r="D383" s="84" t="str">
        <f t="shared" si="5"/>
        <v/>
      </c>
      <c r="H383" s="84">
        <f>IFERROR(VLOOKUP(B383,Заказ!B:Q,5,0),0)</f>
        <v>0</v>
      </c>
      <c r="I383" s="84">
        <f>IFERROR(VLOOKUP(B383,Заказ!B:Q,16,0),0)</f>
        <v>0</v>
      </c>
    </row>
    <row r="384" spans="2:9" x14ac:dyDescent="0.25">
      <c r="B384" s="84">
        <v>16945</v>
      </c>
      <c r="D384" s="84" t="str">
        <f t="shared" si="5"/>
        <v/>
      </c>
      <c r="H384" s="84">
        <f>IFERROR(VLOOKUP(B384,Заказ!B:Q,5,0),0)</f>
        <v>0</v>
      </c>
      <c r="I384" s="84">
        <f>IFERROR(VLOOKUP(B384,Заказ!B:Q,16,0),0)</f>
        <v>0</v>
      </c>
    </row>
    <row r="385" spans="2:9" x14ac:dyDescent="0.25">
      <c r="B385" s="84">
        <v>16946</v>
      </c>
      <c r="D385" s="84" t="str">
        <f t="shared" si="5"/>
        <v/>
      </c>
      <c r="H385" s="84">
        <f>IFERROR(VLOOKUP(B385,Заказ!B:Q,5,0),0)</f>
        <v>0</v>
      </c>
      <c r="I385" s="84">
        <f>IFERROR(VLOOKUP(B385,Заказ!B:Q,16,0),0)</f>
        <v>0</v>
      </c>
    </row>
    <row r="386" spans="2:9" x14ac:dyDescent="0.25">
      <c r="B386" s="84">
        <v>19882</v>
      </c>
      <c r="D386" s="84" t="str">
        <f t="shared" ref="D386:D387" si="6">IFERROR(ROUND(I386/H386,2),"")</f>
        <v/>
      </c>
      <c r="H386" s="84">
        <f>IFERROR(VLOOKUP(B386,Заказ!B:Q,5,0),0)</f>
        <v>0</v>
      </c>
      <c r="I386" s="84">
        <f>IFERROR(VLOOKUP(B386,Заказ!B:Q,16,0),0)</f>
        <v>0</v>
      </c>
    </row>
    <row r="387" spans="2:9" x14ac:dyDescent="0.25">
      <c r="B387" s="84">
        <v>16947</v>
      </c>
      <c r="D387" s="84" t="str">
        <f t="shared" si="6"/>
        <v/>
      </c>
      <c r="H387" s="84">
        <f>IFERROR(VLOOKUP(B387,Заказ!B:Q,5,0),0)</f>
        <v>0</v>
      </c>
      <c r="I387" s="84">
        <f>IFERROR(VLOOKUP(B387,Заказ!B:Q,16,0),0)</f>
        <v>0</v>
      </c>
    </row>
    <row r="388" spans="2:9" x14ac:dyDescent="0.25">
      <c r="B388" s="84">
        <v>20987</v>
      </c>
      <c r="D388" s="84" t="str">
        <f t="shared" si="5"/>
        <v/>
      </c>
      <c r="H388" s="84">
        <f>IFERROR(VLOOKUP(B388,Заказ!B:Q,5,0),0)</f>
        <v>0</v>
      </c>
      <c r="I388" s="84">
        <f>IFERROR(VLOOKUP(B388,Заказ!B:Q,16,0),0)</f>
        <v>0</v>
      </c>
    </row>
    <row r="389" spans="2:9" x14ac:dyDescent="0.25">
      <c r="B389" s="84">
        <v>16969</v>
      </c>
      <c r="D389" s="84" t="str">
        <f t="shared" si="5"/>
        <v/>
      </c>
      <c r="H389" s="84">
        <f>IFERROR(VLOOKUP(B389,Заказ!B:Q,5,0),0)</f>
        <v>0</v>
      </c>
      <c r="I389" s="84">
        <f>IFERROR(VLOOKUP(B389,Заказ!B:Q,16,0),0)</f>
        <v>0</v>
      </c>
    </row>
    <row r="390" spans="2:9" x14ac:dyDescent="0.25">
      <c r="B390" s="84">
        <v>20496</v>
      </c>
      <c r="D390" s="84" t="str">
        <f t="shared" si="5"/>
        <v/>
      </c>
      <c r="H390" s="84">
        <f>IFERROR(VLOOKUP(B390,Заказ!B:Q,5,0),0)</f>
        <v>0</v>
      </c>
      <c r="I390" s="84">
        <f>IFERROR(VLOOKUP(B390,Заказ!B:Q,16,0),0)</f>
        <v>0</v>
      </c>
    </row>
    <row r="391" spans="2:9" x14ac:dyDescent="0.25">
      <c r="B391" s="84">
        <v>17150</v>
      </c>
      <c r="D391" s="84" t="str">
        <f t="shared" si="5"/>
        <v/>
      </c>
      <c r="H391" s="84">
        <f>IFERROR(VLOOKUP(B391,Заказ!B:Q,5,0),0)</f>
        <v>0</v>
      </c>
      <c r="I391" s="84">
        <f>IFERROR(VLOOKUP(B391,Заказ!B:Q,16,0),0)</f>
        <v>0</v>
      </c>
    </row>
    <row r="392" spans="2:9" x14ac:dyDescent="0.25">
      <c r="B392" s="84">
        <v>17151</v>
      </c>
      <c r="D392" s="84" t="str">
        <f t="shared" si="5"/>
        <v/>
      </c>
      <c r="H392" s="84">
        <f>IFERROR(VLOOKUP(B392,Заказ!B:Q,5,0),0)</f>
        <v>0</v>
      </c>
      <c r="I392" s="84">
        <f>IFERROR(VLOOKUP(B392,Заказ!B:Q,16,0),0)</f>
        <v>0</v>
      </c>
    </row>
    <row r="393" spans="2:9" x14ac:dyDescent="0.25">
      <c r="B393" s="84">
        <v>16949</v>
      </c>
      <c r="D393" s="84" t="str">
        <f t="shared" si="5"/>
        <v/>
      </c>
      <c r="H393" s="84">
        <f>IFERROR(VLOOKUP(B393,Заказ!B:Q,5,0),0)</f>
        <v>0</v>
      </c>
      <c r="I393" s="84">
        <f>IFERROR(VLOOKUP(B393,Заказ!B:Q,16,0),0)</f>
        <v>0</v>
      </c>
    </row>
    <row r="394" spans="2:9" x14ac:dyDescent="0.25">
      <c r="B394" s="84">
        <v>16950</v>
      </c>
      <c r="D394" s="84" t="str">
        <f t="shared" si="5"/>
        <v/>
      </c>
      <c r="H394" s="84">
        <f>IFERROR(VLOOKUP(B394,Заказ!B:Q,5,0),0)</f>
        <v>0</v>
      </c>
      <c r="I394" s="84">
        <f>IFERROR(VLOOKUP(B394,Заказ!B:Q,16,0),0)</f>
        <v>0</v>
      </c>
    </row>
    <row r="395" spans="2:9" x14ac:dyDescent="0.25">
      <c r="B395" s="84">
        <v>20992</v>
      </c>
      <c r="D395" s="84" t="str">
        <f t="shared" si="5"/>
        <v/>
      </c>
      <c r="H395" s="84">
        <f>IFERROR(VLOOKUP(B395,Заказ!B:Q,5,0),0)</f>
        <v>0</v>
      </c>
      <c r="I395" s="84">
        <f>IFERROR(VLOOKUP(B395,Заказ!B:Q,16,0),0)</f>
        <v>0</v>
      </c>
    </row>
    <row r="396" spans="2:9" x14ac:dyDescent="0.25">
      <c r="B396" s="84">
        <v>16951</v>
      </c>
      <c r="D396" s="84" t="str">
        <f t="shared" si="5"/>
        <v/>
      </c>
      <c r="H396" s="84">
        <f>IFERROR(VLOOKUP(B396,Заказ!B:Q,5,0),0)</f>
        <v>0</v>
      </c>
      <c r="I396" s="84">
        <f>IFERROR(VLOOKUP(B396,Заказ!B:Q,16,0),0)</f>
        <v>0</v>
      </c>
    </row>
    <row r="397" spans="2:9" x14ac:dyDescent="0.25">
      <c r="B397" s="84">
        <v>17152</v>
      </c>
      <c r="D397" s="84" t="str">
        <f t="shared" si="5"/>
        <v/>
      </c>
      <c r="H397" s="84">
        <f>IFERROR(VLOOKUP(B397,Заказ!B:Q,5,0),0)</f>
        <v>0</v>
      </c>
      <c r="I397" s="84">
        <f>IFERROR(VLOOKUP(B397,Заказ!B:Q,16,0),0)</f>
        <v>0</v>
      </c>
    </row>
    <row r="398" spans="2:9" x14ac:dyDescent="0.25">
      <c r="B398" s="84">
        <v>16952</v>
      </c>
      <c r="D398" s="84" t="str">
        <f t="shared" si="5"/>
        <v/>
      </c>
      <c r="H398" s="84">
        <f>IFERROR(VLOOKUP(B398,Заказ!B:Q,5,0),0)</f>
        <v>0</v>
      </c>
      <c r="I398" s="84">
        <f>IFERROR(VLOOKUP(B398,Заказ!B:Q,16,0),0)</f>
        <v>0</v>
      </c>
    </row>
    <row r="399" spans="2:9" x14ac:dyDescent="0.25">
      <c r="B399" s="84">
        <v>17153</v>
      </c>
      <c r="D399" s="84" t="str">
        <f t="shared" si="5"/>
        <v/>
      </c>
      <c r="H399" s="84">
        <f>IFERROR(VLOOKUP(B399,Заказ!B:Q,5,0),0)</f>
        <v>0</v>
      </c>
      <c r="I399" s="84">
        <f>IFERROR(VLOOKUP(B399,Заказ!B:Q,16,0),0)</f>
        <v>0</v>
      </c>
    </row>
    <row r="400" spans="2:9" x14ac:dyDescent="0.25">
      <c r="B400" s="84">
        <v>16970</v>
      </c>
      <c r="D400" s="84" t="str">
        <f t="shared" si="5"/>
        <v/>
      </c>
      <c r="H400" s="84">
        <f>IFERROR(VLOOKUP(B400,Заказ!B:Q,5,0),0)</f>
        <v>0</v>
      </c>
      <c r="I400" s="84">
        <f>IFERROR(VLOOKUP(B400,Заказ!B:Q,16,0),0)</f>
        <v>0</v>
      </c>
    </row>
    <row r="401" spans="2:9" x14ac:dyDescent="0.25">
      <c r="B401" s="84">
        <v>17154</v>
      </c>
      <c r="D401" s="84" t="str">
        <f t="shared" si="5"/>
        <v/>
      </c>
      <c r="H401" s="84">
        <f>IFERROR(VLOOKUP(B401,Заказ!B:Q,5,0),0)</f>
        <v>0</v>
      </c>
      <c r="I401" s="84">
        <f>IFERROR(VLOOKUP(B401,Заказ!B:Q,16,0),0)</f>
        <v>0</v>
      </c>
    </row>
    <row r="402" spans="2:9" x14ac:dyDescent="0.25">
      <c r="B402" s="84">
        <v>17129</v>
      </c>
      <c r="D402" s="84" t="str">
        <f t="shared" si="5"/>
        <v/>
      </c>
      <c r="H402" s="84">
        <f>IFERROR(VLOOKUP(B402,Заказ!B:Q,5,0),0)</f>
        <v>0</v>
      </c>
      <c r="I402" s="84">
        <f>IFERROR(VLOOKUP(B402,Заказ!B:Q,16,0),0)</f>
        <v>0</v>
      </c>
    </row>
    <row r="403" spans="2:9" x14ac:dyDescent="0.25">
      <c r="B403" s="84">
        <v>16953</v>
      </c>
      <c r="D403" s="84" t="str">
        <f t="shared" si="5"/>
        <v/>
      </c>
      <c r="H403" s="84">
        <f>IFERROR(VLOOKUP(B403,Заказ!B:Q,5,0),0)</f>
        <v>0</v>
      </c>
      <c r="I403" s="84">
        <f>IFERROR(VLOOKUP(B403,Заказ!B:Q,16,0),0)</f>
        <v>0</v>
      </c>
    </row>
    <row r="404" spans="2:9" x14ac:dyDescent="0.25">
      <c r="B404" s="84">
        <v>20495</v>
      </c>
      <c r="D404" s="84" t="str">
        <f t="shared" si="5"/>
        <v/>
      </c>
      <c r="H404" s="84">
        <f>IFERROR(VLOOKUP(B404,Заказ!B:Q,5,0),0)</f>
        <v>0</v>
      </c>
      <c r="I404" s="84">
        <f>IFERROR(VLOOKUP(B404,Заказ!B:Q,16,0),0)</f>
        <v>0</v>
      </c>
    </row>
    <row r="405" spans="2:9" x14ac:dyDescent="0.25">
      <c r="B405" s="84">
        <v>19264</v>
      </c>
      <c r="D405" s="84" t="str">
        <f t="shared" si="5"/>
        <v/>
      </c>
      <c r="H405" s="84">
        <f>IFERROR(VLOOKUP(B405,Заказ!B:Q,5,0),0)</f>
        <v>0</v>
      </c>
      <c r="I405" s="84">
        <f>IFERROR(VLOOKUP(B405,Заказ!B:Q,16,0),0)</f>
        <v>0</v>
      </c>
    </row>
    <row r="406" spans="2:9" x14ac:dyDescent="0.25">
      <c r="B406" s="84">
        <v>16955</v>
      </c>
      <c r="D406" s="84" t="str">
        <f t="shared" si="5"/>
        <v/>
      </c>
      <c r="H406" s="84">
        <f>IFERROR(VLOOKUP(B406,Заказ!B:Q,5,0),0)</f>
        <v>0</v>
      </c>
      <c r="I406" s="84">
        <f>IFERROR(VLOOKUP(B406,Заказ!B:Q,16,0),0)</f>
        <v>0</v>
      </c>
    </row>
    <row r="407" spans="2:9" x14ac:dyDescent="0.25">
      <c r="B407" s="84">
        <v>20309</v>
      </c>
      <c r="D407" s="84" t="str">
        <f t="shared" si="5"/>
        <v/>
      </c>
      <c r="H407" s="84">
        <f>IFERROR(VLOOKUP(B407,Заказ!B:Q,5,0),0)</f>
        <v>0</v>
      </c>
      <c r="I407" s="84">
        <f>IFERROR(VLOOKUP(B407,Заказ!B:Q,16,0),0)</f>
        <v>0</v>
      </c>
    </row>
    <row r="408" spans="2:9" x14ac:dyDescent="0.25">
      <c r="B408" s="84">
        <v>20304</v>
      </c>
      <c r="D408" s="84" t="str">
        <f t="shared" si="5"/>
        <v/>
      </c>
      <c r="H408" s="84">
        <f>IFERROR(VLOOKUP(B408,Заказ!B:Q,5,0),0)</f>
        <v>0</v>
      </c>
      <c r="I408" s="84">
        <f>IFERROR(VLOOKUP(B408,Заказ!B:Q,16,0),0)</f>
        <v>0</v>
      </c>
    </row>
    <row r="409" spans="2:9" x14ac:dyDescent="0.25">
      <c r="B409" s="84">
        <v>17155</v>
      </c>
      <c r="D409" s="84" t="str">
        <f t="shared" si="5"/>
        <v/>
      </c>
      <c r="H409" s="84">
        <f>IFERROR(VLOOKUP(B409,Заказ!B:Q,5,0),0)</f>
        <v>0</v>
      </c>
      <c r="I409" s="84">
        <f>IFERROR(VLOOKUP(B409,Заказ!B:Q,16,0),0)</f>
        <v>0</v>
      </c>
    </row>
    <row r="410" spans="2:9" x14ac:dyDescent="0.25">
      <c r="B410" s="84">
        <v>16956</v>
      </c>
      <c r="D410" s="84" t="str">
        <f t="shared" si="5"/>
        <v/>
      </c>
      <c r="H410" s="84">
        <f>IFERROR(VLOOKUP(B410,Заказ!B:Q,5,0),0)</f>
        <v>0</v>
      </c>
      <c r="I410" s="84">
        <f>IFERROR(VLOOKUP(B410,Заказ!B:Q,16,0),0)</f>
        <v>0</v>
      </c>
    </row>
    <row r="411" spans="2:9" x14ac:dyDescent="0.25">
      <c r="B411" s="84">
        <v>16957</v>
      </c>
      <c r="D411" s="84" t="str">
        <f t="shared" si="5"/>
        <v/>
      </c>
      <c r="H411" s="84">
        <f>IFERROR(VLOOKUP(B411,Заказ!B:Q,5,0),0)</f>
        <v>0</v>
      </c>
      <c r="I411" s="84">
        <f>IFERROR(VLOOKUP(B411,Заказ!B:Q,16,0),0)</f>
        <v>0</v>
      </c>
    </row>
    <row r="412" spans="2:9" x14ac:dyDescent="0.25">
      <c r="B412" s="84">
        <v>20305</v>
      </c>
      <c r="D412" s="84" t="str">
        <f t="shared" si="5"/>
        <v/>
      </c>
      <c r="H412" s="84">
        <f>IFERROR(VLOOKUP(B412,Заказ!B:Q,5,0),0)</f>
        <v>0</v>
      </c>
      <c r="I412" s="84">
        <f>IFERROR(VLOOKUP(B412,Заказ!B:Q,16,0),0)</f>
        <v>0</v>
      </c>
    </row>
    <row r="413" spans="2:9" x14ac:dyDescent="0.25">
      <c r="B413" s="84">
        <v>20308</v>
      </c>
      <c r="D413" s="84" t="str">
        <f t="shared" si="5"/>
        <v/>
      </c>
      <c r="H413" s="84">
        <f>IFERROR(VLOOKUP(B413,Заказ!B:Q,5,0),0)</f>
        <v>0</v>
      </c>
      <c r="I413" s="84">
        <f>IFERROR(VLOOKUP(B413,Заказ!B:Q,16,0),0)</f>
        <v>0</v>
      </c>
    </row>
    <row r="414" spans="2:9" x14ac:dyDescent="0.25">
      <c r="B414" s="84">
        <v>19142</v>
      </c>
      <c r="D414" s="84" t="str">
        <f t="shared" si="5"/>
        <v/>
      </c>
      <c r="H414" s="84">
        <f>IFERROR(VLOOKUP(B414,Заказ!B:Q,5,0),0)</f>
        <v>0</v>
      </c>
      <c r="I414" s="84">
        <f>IFERROR(VLOOKUP(B414,Заказ!B:Q,16,0),0)</f>
        <v>0</v>
      </c>
    </row>
    <row r="415" spans="2:9" x14ac:dyDescent="0.25">
      <c r="B415" s="84">
        <v>19144</v>
      </c>
      <c r="D415" s="84" t="str">
        <f t="shared" si="5"/>
        <v/>
      </c>
      <c r="H415" s="84">
        <f>IFERROR(VLOOKUP(B415,Заказ!B:Q,5,0),0)</f>
        <v>0</v>
      </c>
      <c r="I415" s="84">
        <f>IFERROR(VLOOKUP(B415,Заказ!B:Q,16,0),0)</f>
        <v>0</v>
      </c>
    </row>
    <row r="416" spans="2:9" x14ac:dyDescent="0.25">
      <c r="B416" s="84">
        <v>16973</v>
      </c>
      <c r="D416" s="84" t="str">
        <f t="shared" si="5"/>
        <v/>
      </c>
      <c r="H416" s="84">
        <f>IFERROR(VLOOKUP(B416,Заказ!B:Q,5,0),0)</f>
        <v>0</v>
      </c>
      <c r="I416" s="84">
        <f>IFERROR(VLOOKUP(B416,Заказ!B:Q,16,0),0)</f>
        <v>0</v>
      </c>
    </row>
    <row r="417" spans="2:9" x14ac:dyDescent="0.25">
      <c r="B417" s="84">
        <v>18907</v>
      </c>
      <c r="D417" s="84" t="str">
        <f t="shared" si="5"/>
        <v/>
      </c>
      <c r="H417" s="84">
        <f>IFERROR(VLOOKUP(B417,Заказ!B:Q,5,0),0)</f>
        <v>0</v>
      </c>
      <c r="I417" s="84">
        <f>IFERROR(VLOOKUP(B417,Заказ!B:Q,16,0),0)</f>
        <v>0</v>
      </c>
    </row>
    <row r="418" spans="2:9" x14ac:dyDescent="0.25">
      <c r="B418" s="84">
        <v>18623</v>
      </c>
      <c r="D418" s="84" t="str">
        <f t="shared" si="5"/>
        <v/>
      </c>
      <c r="H418" s="84">
        <f>IFERROR(VLOOKUP(B418,Заказ!B:Q,5,0),0)</f>
        <v>0</v>
      </c>
      <c r="I418" s="84">
        <f>IFERROR(VLOOKUP(B418,Заказ!B:Q,16,0),0)</f>
        <v>0</v>
      </c>
    </row>
    <row r="419" spans="2:9" x14ac:dyDescent="0.25">
      <c r="B419" s="84">
        <v>17156</v>
      </c>
      <c r="D419" s="84" t="str">
        <f t="shared" si="5"/>
        <v/>
      </c>
      <c r="H419" s="84">
        <f>IFERROR(VLOOKUP(B419,Заказ!B:Q,5,0),0)</f>
        <v>0</v>
      </c>
      <c r="I419" s="84">
        <f>IFERROR(VLOOKUP(B419,Заказ!B:Q,16,0),0)</f>
        <v>0</v>
      </c>
    </row>
    <row r="420" spans="2:9" x14ac:dyDescent="0.25">
      <c r="B420" s="84">
        <v>16958</v>
      </c>
      <c r="D420" s="84" t="str">
        <f t="shared" si="5"/>
        <v/>
      </c>
      <c r="H420" s="84">
        <f>IFERROR(VLOOKUP(B420,Заказ!B:Q,5,0),0)</f>
        <v>0</v>
      </c>
      <c r="I420" s="84">
        <f>IFERROR(VLOOKUP(B420,Заказ!B:Q,16,0),0)</f>
        <v>0</v>
      </c>
    </row>
    <row r="421" spans="2:9" x14ac:dyDescent="0.25">
      <c r="B421" s="84">
        <v>19143</v>
      </c>
      <c r="D421" s="84" t="str">
        <f t="shared" si="5"/>
        <v/>
      </c>
      <c r="H421" s="84">
        <f>IFERROR(VLOOKUP(B421,Заказ!B:Q,5,0),0)</f>
        <v>0</v>
      </c>
      <c r="I421" s="84">
        <f>IFERROR(VLOOKUP(B421,Заказ!B:Q,16,0),0)</f>
        <v>0</v>
      </c>
    </row>
    <row r="422" spans="2:9" x14ac:dyDescent="0.25">
      <c r="B422" s="84">
        <v>17157</v>
      </c>
      <c r="D422" s="84" t="str">
        <f t="shared" si="5"/>
        <v/>
      </c>
      <c r="H422" s="84">
        <f>IFERROR(VLOOKUP(B422,Заказ!B:Q,5,0),0)</f>
        <v>0</v>
      </c>
      <c r="I422" s="84">
        <f>IFERROR(VLOOKUP(B422,Заказ!B:Q,16,0),0)</f>
        <v>0</v>
      </c>
    </row>
    <row r="423" spans="2:9" x14ac:dyDescent="0.25">
      <c r="B423" s="84">
        <v>19793</v>
      </c>
      <c r="D423" s="84" t="str">
        <f t="shared" si="5"/>
        <v/>
      </c>
      <c r="H423" s="84">
        <f>IFERROR(VLOOKUP(B423,Заказ!B:Q,5,0),0)</f>
        <v>0</v>
      </c>
      <c r="I423" s="84">
        <f>IFERROR(VLOOKUP(B423,Заказ!B:Q,16,0),0)</f>
        <v>0</v>
      </c>
    </row>
    <row r="424" spans="2:9" x14ac:dyDescent="0.25">
      <c r="B424" s="84">
        <v>19829</v>
      </c>
      <c r="D424" s="84" t="str">
        <f t="shared" si="5"/>
        <v/>
      </c>
      <c r="H424" s="84">
        <f>IFERROR(VLOOKUP(B424,Заказ!B:Q,5,0),0)</f>
        <v>0</v>
      </c>
      <c r="I424" s="84">
        <f>IFERROR(VLOOKUP(B424,Заказ!B:Q,16,0),0)</f>
        <v>0</v>
      </c>
    </row>
    <row r="425" spans="2:9" x14ac:dyDescent="0.25">
      <c r="B425" s="84">
        <v>19830</v>
      </c>
      <c r="D425" s="84" t="str">
        <f t="shared" si="5"/>
        <v/>
      </c>
      <c r="H425" s="84">
        <f>IFERROR(VLOOKUP(B425,Заказ!B:Q,5,0),0)</f>
        <v>0</v>
      </c>
      <c r="I425" s="84">
        <f>IFERROR(VLOOKUP(B425,Заказ!B:Q,16,0),0)</f>
        <v>0</v>
      </c>
    </row>
    <row r="426" spans="2:9" x14ac:dyDescent="0.25">
      <c r="B426" s="84">
        <v>16960</v>
      </c>
      <c r="D426" s="84" t="str">
        <f t="shared" si="5"/>
        <v/>
      </c>
      <c r="H426" s="84">
        <f>IFERROR(VLOOKUP(B426,Заказ!B:Q,5,0),0)</f>
        <v>0</v>
      </c>
      <c r="I426" s="84">
        <f>IFERROR(VLOOKUP(B426,Заказ!B:Q,16,0),0)</f>
        <v>0</v>
      </c>
    </row>
    <row r="427" spans="2:9" x14ac:dyDescent="0.25">
      <c r="B427" s="84">
        <v>16959</v>
      </c>
      <c r="D427" s="84" t="str">
        <f t="shared" si="5"/>
        <v/>
      </c>
      <c r="H427" s="84">
        <f>IFERROR(VLOOKUP(B427,Заказ!B:Q,5,0),0)</f>
        <v>0</v>
      </c>
      <c r="I427" s="84">
        <f>IFERROR(VLOOKUP(B427,Заказ!B:Q,16,0),0)</f>
        <v>0</v>
      </c>
    </row>
    <row r="428" spans="2:9" x14ac:dyDescent="0.25">
      <c r="B428" s="84">
        <v>18911</v>
      </c>
      <c r="D428" s="84" t="str">
        <f t="shared" si="5"/>
        <v/>
      </c>
      <c r="H428" s="84">
        <f>IFERROR(VLOOKUP(B428,Заказ!B:Q,5,0),0)</f>
        <v>0</v>
      </c>
      <c r="I428" s="84">
        <f>IFERROR(VLOOKUP(B428,Заказ!B:Q,16,0),0)</f>
        <v>0</v>
      </c>
    </row>
    <row r="429" spans="2:9" x14ac:dyDescent="0.25">
      <c r="B429" s="84">
        <v>19593</v>
      </c>
      <c r="D429" s="84" t="str">
        <f t="shared" si="5"/>
        <v/>
      </c>
      <c r="H429" s="84">
        <f>IFERROR(VLOOKUP(B429,Заказ!B:Q,5,0),0)</f>
        <v>0</v>
      </c>
      <c r="I429" s="84">
        <f>IFERROR(VLOOKUP(B429,Заказ!B:Q,16,0),0)</f>
        <v>0</v>
      </c>
    </row>
    <row r="430" spans="2:9" x14ac:dyDescent="0.25">
      <c r="B430" s="84">
        <v>18908</v>
      </c>
      <c r="D430" s="84" t="str">
        <f t="shared" si="5"/>
        <v/>
      </c>
      <c r="H430" s="84">
        <f>IFERROR(VLOOKUP(B430,Заказ!B:Q,5,0),0)</f>
        <v>0</v>
      </c>
      <c r="I430" s="84">
        <f>IFERROR(VLOOKUP(B430,Заказ!B:Q,16,0),0)</f>
        <v>0</v>
      </c>
    </row>
    <row r="431" spans="2:9" x14ac:dyDescent="0.25">
      <c r="B431" s="84">
        <v>18910</v>
      </c>
      <c r="D431" s="84" t="str">
        <f t="shared" si="5"/>
        <v/>
      </c>
      <c r="H431" s="84">
        <f>IFERROR(VLOOKUP(B431,Заказ!B:Q,5,0),0)</f>
        <v>0</v>
      </c>
      <c r="I431" s="84">
        <f>IFERROR(VLOOKUP(B431,Заказ!B:Q,16,0),0)</f>
        <v>0</v>
      </c>
    </row>
    <row r="432" spans="2:9" x14ac:dyDescent="0.25">
      <c r="B432" s="84">
        <v>18909</v>
      </c>
      <c r="D432" s="84" t="str">
        <f t="shared" si="5"/>
        <v/>
      </c>
      <c r="H432" s="84">
        <f>IFERROR(VLOOKUP(B432,Заказ!B:Q,5,0),0)</f>
        <v>0</v>
      </c>
      <c r="I432" s="84">
        <f>IFERROR(VLOOKUP(B432,Заказ!B:Q,16,0),0)</f>
        <v>0</v>
      </c>
    </row>
    <row r="433" spans="2:9" x14ac:dyDescent="0.25">
      <c r="B433" s="84">
        <v>18665</v>
      </c>
      <c r="D433" s="84" t="str">
        <f t="shared" si="5"/>
        <v/>
      </c>
      <c r="H433" s="84">
        <f>IFERROR(VLOOKUP(B433,Заказ!B:Q,5,0),0)</f>
        <v>0</v>
      </c>
      <c r="I433" s="84">
        <f>IFERROR(VLOOKUP(B433,Заказ!B:Q,16,0),0)</f>
        <v>0</v>
      </c>
    </row>
    <row r="434" spans="2:9" x14ac:dyDescent="0.25">
      <c r="B434" s="84">
        <v>18670</v>
      </c>
      <c r="D434" s="84" t="str">
        <f t="shared" si="5"/>
        <v/>
      </c>
      <c r="H434" s="84">
        <f>IFERROR(VLOOKUP(B434,Заказ!B:Q,5,0),0)</f>
        <v>0</v>
      </c>
      <c r="I434" s="84">
        <f>IFERROR(VLOOKUP(B434,Заказ!B:Q,16,0),0)</f>
        <v>0</v>
      </c>
    </row>
    <row r="435" spans="2:9" x14ac:dyDescent="0.25">
      <c r="B435" s="84">
        <v>18668</v>
      </c>
      <c r="D435" s="84" t="str">
        <f t="shared" si="5"/>
        <v/>
      </c>
      <c r="H435" s="84">
        <f>IFERROR(VLOOKUP(B435,Заказ!B:Q,5,0),0)</f>
        <v>0</v>
      </c>
      <c r="I435" s="84">
        <f>IFERROR(VLOOKUP(B435,Заказ!B:Q,16,0),0)</f>
        <v>0</v>
      </c>
    </row>
    <row r="436" spans="2:9" x14ac:dyDescent="0.25">
      <c r="B436" s="84">
        <v>17796</v>
      </c>
      <c r="D436" s="84" t="str">
        <f t="shared" si="5"/>
        <v/>
      </c>
      <c r="H436" s="84">
        <f>IFERROR(VLOOKUP(B436,Заказ!B:Q,5,0),0)</f>
        <v>0</v>
      </c>
      <c r="I436" s="84">
        <f>IFERROR(VLOOKUP(B436,Заказ!B:Q,16,0),0)</f>
        <v>0</v>
      </c>
    </row>
    <row r="437" spans="2:9" x14ac:dyDescent="0.25">
      <c r="B437" s="84">
        <v>18667</v>
      </c>
      <c r="D437" s="84" t="str">
        <f t="shared" si="5"/>
        <v/>
      </c>
      <c r="H437" s="84">
        <f>IFERROR(VLOOKUP(B437,Заказ!B:Q,5,0),0)</f>
        <v>0</v>
      </c>
      <c r="I437" s="84">
        <f>IFERROR(VLOOKUP(B437,Заказ!B:Q,16,0),0)</f>
        <v>0</v>
      </c>
    </row>
    <row r="438" spans="2:9" x14ac:dyDescent="0.25">
      <c r="B438" s="84">
        <v>18669</v>
      </c>
      <c r="D438" s="84" t="str">
        <f t="shared" si="5"/>
        <v/>
      </c>
      <c r="H438" s="84">
        <f>IFERROR(VLOOKUP(B438,Заказ!B:Q,5,0),0)</f>
        <v>0</v>
      </c>
      <c r="I438" s="84">
        <f>IFERROR(VLOOKUP(B438,Заказ!B:Q,16,0),0)</f>
        <v>0</v>
      </c>
    </row>
    <row r="439" spans="2:9" x14ac:dyDescent="0.25">
      <c r="B439" s="84">
        <v>17797</v>
      </c>
      <c r="D439" s="84" t="str">
        <f t="shared" si="5"/>
        <v/>
      </c>
      <c r="H439" s="84">
        <f>IFERROR(VLOOKUP(B439,Заказ!B:Q,5,0),0)</f>
        <v>0</v>
      </c>
      <c r="I439" s="84">
        <f>IFERROR(VLOOKUP(B439,Заказ!B:Q,16,0),0)</f>
        <v>0</v>
      </c>
    </row>
    <row r="440" spans="2:9" x14ac:dyDescent="0.25">
      <c r="B440" s="84">
        <v>17783</v>
      </c>
      <c r="D440" s="84" t="str">
        <f t="shared" si="5"/>
        <v/>
      </c>
      <c r="H440" s="84">
        <f>IFERROR(VLOOKUP(B440,Заказ!B:Q,5,0),0)</f>
        <v>0</v>
      </c>
      <c r="I440" s="84">
        <f>IFERROR(VLOOKUP(B440,Заказ!B:Q,16,0),0)</f>
        <v>0</v>
      </c>
    </row>
    <row r="441" spans="2:9" x14ac:dyDescent="0.25">
      <c r="B441" s="84">
        <v>18490</v>
      </c>
      <c r="D441" s="84" t="str">
        <f t="shared" si="5"/>
        <v/>
      </c>
      <c r="H441" s="84">
        <f>IFERROR(VLOOKUP(B441,Заказ!B:Q,5,0),0)</f>
        <v>0</v>
      </c>
      <c r="I441" s="84">
        <f>IFERROR(VLOOKUP(B441,Заказ!B:Q,16,0),0)</f>
        <v>0</v>
      </c>
    </row>
    <row r="442" spans="2:9" x14ac:dyDescent="0.25">
      <c r="B442" s="84">
        <v>17782</v>
      </c>
      <c r="D442" s="84" t="str">
        <f t="shared" si="5"/>
        <v/>
      </c>
      <c r="H442" s="84">
        <f>IFERROR(VLOOKUP(B442,Заказ!B:Q,5,0),0)</f>
        <v>0</v>
      </c>
      <c r="I442" s="84">
        <f>IFERROR(VLOOKUP(B442,Заказ!B:Q,16,0),0)</f>
        <v>0</v>
      </c>
    </row>
    <row r="443" spans="2:9" x14ac:dyDescent="0.25">
      <c r="B443" s="84">
        <v>17781</v>
      </c>
      <c r="D443" s="84" t="str">
        <f t="shared" si="5"/>
        <v/>
      </c>
      <c r="H443" s="84">
        <f>IFERROR(VLOOKUP(B443,Заказ!B:Q,5,0),0)</f>
        <v>0</v>
      </c>
      <c r="I443" s="84">
        <f>IFERROR(VLOOKUP(B443,Заказ!B:Q,16,0),0)</f>
        <v>0</v>
      </c>
    </row>
    <row r="444" spans="2:9" x14ac:dyDescent="0.25">
      <c r="B444" s="84">
        <v>18473</v>
      </c>
      <c r="D444" s="84" t="str">
        <f t="shared" si="5"/>
        <v/>
      </c>
      <c r="H444" s="84">
        <f>IFERROR(VLOOKUP(B444,Заказ!B:Q,5,0),0)</f>
        <v>0</v>
      </c>
      <c r="I444" s="84">
        <f>IFERROR(VLOOKUP(B444,Заказ!B:Q,16,0),0)</f>
        <v>0</v>
      </c>
    </row>
    <row r="445" spans="2:9" x14ac:dyDescent="0.25">
      <c r="B445" s="84">
        <v>18474</v>
      </c>
      <c r="D445" s="84" t="str">
        <f t="shared" si="5"/>
        <v/>
      </c>
      <c r="H445" s="84">
        <f>IFERROR(VLOOKUP(B445,Заказ!B:Q,5,0),0)</f>
        <v>0</v>
      </c>
      <c r="I445" s="84">
        <f>IFERROR(VLOOKUP(B445,Заказ!B:Q,16,0),0)</f>
        <v>0</v>
      </c>
    </row>
    <row r="446" spans="2:9" x14ac:dyDescent="0.25">
      <c r="B446" s="84">
        <v>18472</v>
      </c>
      <c r="D446" s="84" t="str">
        <f t="shared" si="5"/>
        <v/>
      </c>
      <c r="H446" s="84">
        <f>IFERROR(VLOOKUP(B446,Заказ!B:Q,5,0),0)</f>
        <v>0</v>
      </c>
      <c r="I446" s="84">
        <f>IFERROR(VLOOKUP(B446,Заказ!B:Q,16,0),0)</f>
        <v>0</v>
      </c>
    </row>
    <row r="447" spans="2:9" x14ac:dyDescent="0.25">
      <c r="B447" s="84">
        <v>18475</v>
      </c>
      <c r="D447" s="84" t="str">
        <f t="shared" si="5"/>
        <v/>
      </c>
      <c r="H447" s="84">
        <f>IFERROR(VLOOKUP(B447,Заказ!B:Q,5,0),0)</f>
        <v>0</v>
      </c>
      <c r="I447" s="84">
        <f>IFERROR(VLOOKUP(B447,Заказ!B:Q,16,0),0)</f>
        <v>0</v>
      </c>
    </row>
    <row r="448" spans="2:9" x14ac:dyDescent="0.25">
      <c r="B448" s="84">
        <v>18489</v>
      </c>
      <c r="D448" s="84" t="str">
        <f t="shared" si="5"/>
        <v/>
      </c>
      <c r="H448" s="84">
        <f>IFERROR(VLOOKUP(B448,Заказ!B:Q,5,0),0)</f>
        <v>0</v>
      </c>
      <c r="I448" s="84">
        <f>IFERROR(VLOOKUP(B448,Заказ!B:Q,16,0),0)</f>
        <v>0</v>
      </c>
    </row>
    <row r="449" spans="2:9" x14ac:dyDescent="0.25">
      <c r="B449" s="84">
        <v>18488</v>
      </c>
      <c r="D449" s="84" t="str">
        <f t="shared" si="5"/>
        <v/>
      </c>
      <c r="H449" s="84">
        <f>IFERROR(VLOOKUP(B449,Заказ!B:Q,5,0),0)</f>
        <v>0</v>
      </c>
      <c r="I449" s="84">
        <f>IFERROR(VLOOKUP(B449,Заказ!B:Q,16,0),0)</f>
        <v>0</v>
      </c>
    </row>
    <row r="450" spans="2:9" x14ac:dyDescent="0.25">
      <c r="B450" s="84">
        <v>17864</v>
      </c>
      <c r="D450" s="84" t="str">
        <f t="shared" si="5"/>
        <v/>
      </c>
      <c r="H450" s="84">
        <f>IFERROR(VLOOKUP(B450,Заказ!B:Q,5,0),0)</f>
        <v>0</v>
      </c>
      <c r="I450" s="84">
        <f>IFERROR(VLOOKUP(B450,Заказ!B:Q,16,0),0)</f>
        <v>0</v>
      </c>
    </row>
    <row r="451" spans="2:9" x14ac:dyDescent="0.25">
      <c r="B451" s="84">
        <v>17865</v>
      </c>
      <c r="D451" s="84" t="str">
        <f t="shared" si="5"/>
        <v/>
      </c>
      <c r="H451" s="84">
        <f>IFERROR(VLOOKUP(B451,Заказ!B:Q,5,0),0)</f>
        <v>0</v>
      </c>
      <c r="I451" s="84">
        <f>IFERROR(VLOOKUP(B451,Заказ!B:Q,16,0),0)</f>
        <v>0</v>
      </c>
    </row>
    <row r="452" spans="2:9" x14ac:dyDescent="0.25">
      <c r="B452" s="84">
        <v>17861</v>
      </c>
      <c r="D452" s="84" t="str">
        <f t="shared" si="5"/>
        <v/>
      </c>
      <c r="H452" s="84">
        <f>IFERROR(VLOOKUP(B452,Заказ!B:Q,5,0),0)</f>
        <v>0</v>
      </c>
      <c r="I452" s="84">
        <f>IFERROR(VLOOKUP(B452,Заказ!B:Q,16,0),0)</f>
        <v>0</v>
      </c>
    </row>
    <row r="453" spans="2:9" x14ac:dyDescent="0.25">
      <c r="B453" s="84">
        <v>17862</v>
      </c>
      <c r="D453" s="84" t="str">
        <f t="shared" si="5"/>
        <v/>
      </c>
      <c r="H453" s="84">
        <f>IFERROR(VLOOKUP(B453,Заказ!B:Q,5,0),0)</f>
        <v>0</v>
      </c>
      <c r="I453" s="84">
        <f>IFERROR(VLOOKUP(B453,Заказ!B:Q,16,0),0)</f>
        <v>0</v>
      </c>
    </row>
    <row r="454" spans="2:9" x14ac:dyDescent="0.25">
      <c r="B454" s="84">
        <v>17863</v>
      </c>
      <c r="D454" s="84" t="str">
        <f t="shared" si="5"/>
        <v/>
      </c>
      <c r="H454" s="84">
        <f>IFERROR(VLOOKUP(B454,Заказ!B:Q,5,0),0)</f>
        <v>0</v>
      </c>
      <c r="I454" s="84">
        <f>IFERROR(VLOOKUP(B454,Заказ!B:Q,16,0),0)</f>
        <v>0</v>
      </c>
    </row>
    <row r="455" spans="2:9" x14ac:dyDescent="0.25">
      <c r="B455" s="84">
        <v>17866</v>
      </c>
      <c r="D455" s="84" t="str">
        <f t="shared" si="5"/>
        <v/>
      </c>
      <c r="H455" s="84">
        <f>IFERROR(VLOOKUP(B455,Заказ!B:Q,5,0),0)</f>
        <v>0</v>
      </c>
      <c r="I455" s="84">
        <f>IFERROR(VLOOKUP(B455,Заказ!B:Q,16,0),0)</f>
        <v>0</v>
      </c>
    </row>
    <row r="456" spans="2:9" x14ac:dyDescent="0.25">
      <c r="B456" s="84">
        <v>17854</v>
      </c>
      <c r="D456" s="84" t="str">
        <f t="shared" si="5"/>
        <v/>
      </c>
      <c r="H456" s="84">
        <f>IFERROR(VLOOKUP(B456,Заказ!B:Q,5,0),0)</f>
        <v>0</v>
      </c>
      <c r="I456" s="84">
        <f>IFERROR(VLOOKUP(B456,Заказ!B:Q,16,0),0)</f>
        <v>0</v>
      </c>
    </row>
    <row r="457" spans="2:9" x14ac:dyDescent="0.25">
      <c r="B457" s="84">
        <v>17857</v>
      </c>
      <c r="D457" s="84" t="str">
        <f t="shared" si="5"/>
        <v/>
      </c>
      <c r="H457" s="84">
        <f>IFERROR(VLOOKUP(B457,Заказ!B:Q,5,0),0)</f>
        <v>0</v>
      </c>
      <c r="I457" s="84">
        <f>IFERROR(VLOOKUP(B457,Заказ!B:Q,16,0),0)</f>
        <v>0</v>
      </c>
    </row>
    <row r="458" spans="2:9" x14ac:dyDescent="0.25">
      <c r="B458" s="84">
        <v>17859</v>
      </c>
      <c r="D458" s="84" t="str">
        <f t="shared" si="5"/>
        <v/>
      </c>
      <c r="H458" s="84">
        <f>IFERROR(VLOOKUP(B458,Заказ!B:Q,5,0),0)</f>
        <v>0</v>
      </c>
      <c r="I458" s="84">
        <f>IFERROR(VLOOKUP(B458,Заказ!B:Q,16,0),0)</f>
        <v>0</v>
      </c>
    </row>
    <row r="459" spans="2:9" x14ac:dyDescent="0.25">
      <c r="B459" s="84">
        <v>17856</v>
      </c>
      <c r="D459" s="84" t="str">
        <f t="shared" si="5"/>
        <v/>
      </c>
      <c r="H459" s="84">
        <f>IFERROR(VLOOKUP(B459,Заказ!B:Q,5,0),0)</f>
        <v>0</v>
      </c>
      <c r="I459" s="84">
        <f>IFERROR(VLOOKUP(B459,Заказ!B:Q,16,0),0)</f>
        <v>0</v>
      </c>
    </row>
    <row r="460" spans="2:9" x14ac:dyDescent="0.25">
      <c r="B460" s="84">
        <v>17858</v>
      </c>
      <c r="D460" s="84" t="str">
        <f t="shared" si="5"/>
        <v/>
      </c>
      <c r="H460" s="84">
        <f>IFERROR(VLOOKUP(B460,Заказ!B:Q,5,0),0)</f>
        <v>0</v>
      </c>
      <c r="I460" s="84">
        <f>IFERROR(VLOOKUP(B460,Заказ!B:Q,16,0),0)</f>
        <v>0</v>
      </c>
    </row>
    <row r="461" spans="2:9" x14ac:dyDescent="0.25">
      <c r="B461" s="84">
        <v>17855</v>
      </c>
      <c r="D461" s="84" t="str">
        <f t="shared" si="5"/>
        <v/>
      </c>
      <c r="H461" s="84">
        <f>IFERROR(VLOOKUP(B461,Заказ!B:Q,5,0),0)</f>
        <v>0</v>
      </c>
      <c r="I461" s="84">
        <f>IFERROR(VLOOKUP(B461,Заказ!B:Q,16,0),0)</f>
        <v>0</v>
      </c>
    </row>
    <row r="462" spans="2:9" x14ac:dyDescent="0.25">
      <c r="B462" s="84">
        <v>17860</v>
      </c>
      <c r="D462" s="84" t="str">
        <f t="shared" si="5"/>
        <v/>
      </c>
      <c r="H462" s="84">
        <f>IFERROR(VLOOKUP(B462,Заказ!B:Q,5,0),0)</f>
        <v>0</v>
      </c>
      <c r="I462" s="84">
        <f>IFERROR(VLOOKUP(B462,Заказ!B:Q,16,0),0)</f>
        <v>0</v>
      </c>
    </row>
    <row r="463" spans="2:9" x14ac:dyDescent="0.25">
      <c r="B463" s="84">
        <v>17784</v>
      </c>
      <c r="D463" s="84" t="str">
        <f t="shared" si="5"/>
        <v/>
      </c>
      <c r="H463" s="84">
        <f>IFERROR(VLOOKUP(B463,Заказ!B:Q,5,0),0)</f>
        <v>0</v>
      </c>
      <c r="I463" s="84">
        <f>IFERROR(VLOOKUP(B463,Заказ!B:Q,16,0),0)</f>
        <v>0</v>
      </c>
    </row>
    <row r="464" spans="2:9" x14ac:dyDescent="0.25">
      <c r="B464" s="84">
        <v>17785</v>
      </c>
      <c r="D464" s="84" t="str">
        <f t="shared" si="5"/>
        <v/>
      </c>
      <c r="H464" s="84">
        <f>IFERROR(VLOOKUP(B464,Заказ!B:Q,5,0),0)</f>
        <v>0</v>
      </c>
      <c r="I464" s="84">
        <f>IFERROR(VLOOKUP(B464,Заказ!B:Q,16,0),0)</f>
        <v>0</v>
      </c>
    </row>
    <row r="465" spans="2:9" x14ac:dyDescent="0.25">
      <c r="B465" s="84">
        <v>17789</v>
      </c>
      <c r="D465" s="84" t="str">
        <f t="shared" si="5"/>
        <v/>
      </c>
      <c r="H465" s="84">
        <f>IFERROR(VLOOKUP(B465,Заказ!B:Q,5,0),0)</f>
        <v>0</v>
      </c>
      <c r="I465" s="84">
        <f>IFERROR(VLOOKUP(B465,Заказ!B:Q,16,0),0)</f>
        <v>0</v>
      </c>
    </row>
    <row r="466" spans="2:9" x14ac:dyDescent="0.25">
      <c r="B466" s="84">
        <v>17787</v>
      </c>
      <c r="D466" s="84" t="str">
        <f t="shared" si="5"/>
        <v/>
      </c>
      <c r="H466" s="84">
        <f>IFERROR(VLOOKUP(B466,Заказ!B:Q,5,0),0)</f>
        <v>0</v>
      </c>
      <c r="I466" s="84">
        <f>IFERROR(VLOOKUP(B466,Заказ!B:Q,16,0),0)</f>
        <v>0</v>
      </c>
    </row>
    <row r="467" spans="2:9" x14ac:dyDescent="0.25">
      <c r="B467" s="84">
        <v>17786</v>
      </c>
      <c r="D467" s="84" t="str">
        <f t="shared" si="5"/>
        <v/>
      </c>
      <c r="H467" s="84">
        <f>IFERROR(VLOOKUP(B467,Заказ!B:Q,5,0),0)</f>
        <v>0</v>
      </c>
      <c r="I467" s="84">
        <f>IFERROR(VLOOKUP(B467,Заказ!B:Q,16,0),0)</f>
        <v>0</v>
      </c>
    </row>
    <row r="468" spans="2:9" x14ac:dyDescent="0.25">
      <c r="B468" s="84">
        <v>17788</v>
      </c>
      <c r="D468" s="84" t="str">
        <f t="shared" si="5"/>
        <v/>
      </c>
      <c r="H468" s="84">
        <f>IFERROR(VLOOKUP(B468,Заказ!B:Q,5,0),0)</f>
        <v>0</v>
      </c>
      <c r="I468" s="84">
        <f>IFERROR(VLOOKUP(B468,Заказ!B:Q,16,0),0)</f>
        <v>0</v>
      </c>
    </row>
    <row r="469" spans="2:9" x14ac:dyDescent="0.25">
      <c r="B469" s="84">
        <v>17790</v>
      </c>
      <c r="D469" s="84" t="str">
        <f t="shared" si="5"/>
        <v/>
      </c>
      <c r="H469" s="84">
        <f>IFERROR(VLOOKUP(B469,Заказ!B:Q,5,0),0)</f>
        <v>0</v>
      </c>
      <c r="I469" s="84">
        <f>IFERROR(VLOOKUP(B469,Заказ!B:Q,16,0),0)</f>
        <v>0</v>
      </c>
    </row>
    <row r="470" spans="2:9" x14ac:dyDescent="0.25">
      <c r="B470" s="84">
        <v>19292</v>
      </c>
      <c r="D470" s="84" t="str">
        <f t="shared" si="5"/>
        <v/>
      </c>
      <c r="H470" s="84">
        <f>IFERROR(VLOOKUP(B470,Заказ!B:Q,5,0),0)</f>
        <v>0</v>
      </c>
      <c r="I470" s="84">
        <f>IFERROR(VLOOKUP(B470,Заказ!B:Q,16,0),0)</f>
        <v>0</v>
      </c>
    </row>
    <row r="471" spans="2:9" x14ac:dyDescent="0.25">
      <c r="B471" s="84">
        <v>19290</v>
      </c>
      <c r="D471" s="84" t="str">
        <f t="shared" si="5"/>
        <v/>
      </c>
      <c r="H471" s="84">
        <f>IFERROR(VLOOKUP(B471,Заказ!B:Q,5,0),0)</f>
        <v>0</v>
      </c>
      <c r="I471" s="84">
        <f>IFERROR(VLOOKUP(B471,Заказ!B:Q,16,0),0)</f>
        <v>0</v>
      </c>
    </row>
    <row r="472" spans="2:9" x14ac:dyDescent="0.25">
      <c r="B472" s="84">
        <v>19291</v>
      </c>
      <c r="D472" s="84" t="str">
        <f t="shared" si="5"/>
        <v/>
      </c>
      <c r="H472" s="84">
        <f>IFERROR(VLOOKUP(B472,Заказ!B:Q,5,0),0)</f>
        <v>0</v>
      </c>
      <c r="I472" s="84">
        <f>IFERROR(VLOOKUP(B472,Заказ!B:Q,16,0),0)</f>
        <v>0</v>
      </c>
    </row>
    <row r="473" spans="2:9" x14ac:dyDescent="0.25">
      <c r="B473" s="84">
        <v>19289</v>
      </c>
      <c r="D473" s="84" t="str">
        <f t="shared" si="5"/>
        <v/>
      </c>
      <c r="H473" s="84">
        <f>IFERROR(VLOOKUP(B473,Заказ!B:Q,5,0),0)</f>
        <v>0</v>
      </c>
      <c r="I473" s="84">
        <f>IFERROR(VLOOKUP(B473,Заказ!B:Q,16,0),0)</f>
        <v>0</v>
      </c>
    </row>
    <row r="474" spans="2:9" x14ac:dyDescent="0.25">
      <c r="B474" s="84">
        <v>21077</v>
      </c>
      <c r="D474" s="84" t="str">
        <f t="shared" si="5"/>
        <v/>
      </c>
      <c r="H474" s="84">
        <f>IFERROR(VLOOKUP(B474,Заказ!B:Q,5,0),0)</f>
        <v>0</v>
      </c>
      <c r="I474" s="84">
        <f>IFERROR(VLOOKUP(B474,Заказ!B:Q,16,0),0)</f>
        <v>0</v>
      </c>
    </row>
    <row r="475" spans="2:9" x14ac:dyDescent="0.25">
      <c r="B475" s="84">
        <v>21080</v>
      </c>
      <c r="D475" s="84" t="str">
        <f t="shared" si="5"/>
        <v/>
      </c>
      <c r="H475" s="84">
        <f>IFERROR(VLOOKUP(B475,Заказ!B:Q,5,0),0)</f>
        <v>0</v>
      </c>
      <c r="I475" s="84">
        <f>IFERROR(VLOOKUP(B475,Заказ!B:Q,16,0),0)</f>
        <v>0</v>
      </c>
    </row>
    <row r="476" spans="2:9" x14ac:dyDescent="0.25">
      <c r="B476" s="84">
        <v>21078</v>
      </c>
      <c r="D476" s="84" t="str">
        <f t="shared" si="5"/>
        <v/>
      </c>
      <c r="H476" s="84">
        <f>IFERROR(VLOOKUP(B476,Заказ!B:Q,5,0),0)</f>
        <v>0</v>
      </c>
      <c r="I476" s="84">
        <f>IFERROR(VLOOKUP(B476,Заказ!B:Q,16,0),0)</f>
        <v>0</v>
      </c>
    </row>
    <row r="477" spans="2:9" x14ac:dyDescent="0.25">
      <c r="B477" s="84">
        <v>21079</v>
      </c>
      <c r="D477" s="84" t="str">
        <f t="shared" si="5"/>
        <v/>
      </c>
      <c r="H477" s="84">
        <f>IFERROR(VLOOKUP(B477,Заказ!B:Q,5,0),0)</f>
        <v>0</v>
      </c>
      <c r="I477" s="84">
        <f>IFERROR(VLOOKUP(B477,Заказ!B:Q,16,0),0)</f>
        <v>0</v>
      </c>
    </row>
    <row r="478" spans="2:9" x14ac:dyDescent="0.25">
      <c r="B478" s="84">
        <v>21076</v>
      </c>
      <c r="D478" s="84" t="str">
        <f t="shared" si="5"/>
        <v/>
      </c>
      <c r="H478" s="84">
        <f>IFERROR(VLOOKUP(B478,Заказ!B:Q,5,0),0)</f>
        <v>0</v>
      </c>
      <c r="I478" s="84">
        <f>IFERROR(VLOOKUP(B478,Заказ!B:Q,16,0),0)</f>
        <v>0</v>
      </c>
    </row>
    <row r="479" spans="2:9" x14ac:dyDescent="0.25">
      <c r="B479" s="84">
        <v>17804</v>
      </c>
      <c r="D479" s="84" t="str">
        <f t="shared" si="5"/>
        <v/>
      </c>
      <c r="H479" s="84">
        <f>IFERROR(VLOOKUP(B479,Заказ!B:Q,5,0),0)</f>
        <v>0</v>
      </c>
      <c r="I479" s="84">
        <f>IFERROR(VLOOKUP(B479,Заказ!B:Q,16,0),0)</f>
        <v>0</v>
      </c>
    </row>
    <row r="480" spans="2:9" x14ac:dyDescent="0.25">
      <c r="B480" s="84">
        <v>17802</v>
      </c>
      <c r="D480" s="84" t="str">
        <f t="shared" si="5"/>
        <v/>
      </c>
      <c r="H480" s="84">
        <f>IFERROR(VLOOKUP(B480,Заказ!B:Q,5,0),0)</f>
        <v>0</v>
      </c>
      <c r="I480" s="84">
        <f>IFERROR(VLOOKUP(B480,Заказ!B:Q,16,0),0)</f>
        <v>0</v>
      </c>
    </row>
    <row r="481" spans="2:9" x14ac:dyDescent="0.25">
      <c r="B481" s="84">
        <v>17806</v>
      </c>
      <c r="D481" s="84" t="str">
        <f t="shared" si="5"/>
        <v/>
      </c>
      <c r="H481" s="84">
        <f>IFERROR(VLOOKUP(B481,Заказ!B:Q,5,0),0)</f>
        <v>0</v>
      </c>
      <c r="I481" s="84">
        <f>IFERROR(VLOOKUP(B481,Заказ!B:Q,16,0),0)</f>
        <v>0</v>
      </c>
    </row>
    <row r="482" spans="2:9" x14ac:dyDescent="0.25">
      <c r="B482" s="84">
        <v>17805</v>
      </c>
      <c r="D482" s="84" t="str">
        <f t="shared" si="5"/>
        <v/>
      </c>
      <c r="H482" s="84">
        <f>IFERROR(VLOOKUP(B482,Заказ!B:Q,5,0),0)</f>
        <v>0</v>
      </c>
      <c r="I482" s="84">
        <f>IFERROR(VLOOKUP(B482,Заказ!B:Q,16,0),0)</f>
        <v>0</v>
      </c>
    </row>
    <row r="483" spans="2:9" x14ac:dyDescent="0.25">
      <c r="B483" s="84">
        <v>17808</v>
      </c>
      <c r="D483" s="84" t="str">
        <f t="shared" si="5"/>
        <v/>
      </c>
      <c r="H483" s="84">
        <f>IFERROR(VLOOKUP(B483,Заказ!B:Q,5,0),0)</f>
        <v>0</v>
      </c>
      <c r="I483" s="84">
        <f>IFERROR(VLOOKUP(B483,Заказ!B:Q,16,0),0)</f>
        <v>0</v>
      </c>
    </row>
    <row r="484" spans="2:9" x14ac:dyDescent="0.25">
      <c r="B484" s="84">
        <v>21050</v>
      </c>
      <c r="D484" s="84" t="str">
        <f t="shared" si="5"/>
        <v/>
      </c>
      <c r="H484" s="84">
        <f>IFERROR(VLOOKUP(B484,Заказ!B:Q,5,0),0)</f>
        <v>0</v>
      </c>
      <c r="I484" s="84">
        <f>IFERROR(VLOOKUP(B484,Заказ!B:Q,16,0),0)</f>
        <v>0</v>
      </c>
    </row>
    <row r="485" spans="2:9" x14ac:dyDescent="0.25">
      <c r="B485" s="84">
        <v>21051</v>
      </c>
      <c r="D485" s="84" t="str">
        <f t="shared" si="5"/>
        <v/>
      </c>
      <c r="H485" s="84">
        <f>IFERROR(VLOOKUP(B485,Заказ!B:Q,5,0),0)</f>
        <v>0</v>
      </c>
      <c r="I485" s="84">
        <f>IFERROR(VLOOKUP(B485,Заказ!B:Q,16,0),0)</f>
        <v>0</v>
      </c>
    </row>
    <row r="486" spans="2:9" x14ac:dyDescent="0.25">
      <c r="B486" s="84">
        <v>21049</v>
      </c>
      <c r="D486" s="84" t="str">
        <f t="shared" si="5"/>
        <v/>
      </c>
      <c r="H486" s="84">
        <f>IFERROR(VLOOKUP(B486,Заказ!B:Q,5,0),0)</f>
        <v>0</v>
      </c>
      <c r="I486" s="84">
        <f>IFERROR(VLOOKUP(B486,Заказ!B:Q,16,0),0)</f>
        <v>0</v>
      </c>
    </row>
    <row r="487" spans="2:9" x14ac:dyDescent="0.25">
      <c r="B487" s="84">
        <v>21047</v>
      </c>
      <c r="D487" s="84" t="str">
        <f t="shared" si="5"/>
        <v/>
      </c>
      <c r="H487" s="84">
        <f>IFERROR(VLOOKUP(B487,Заказ!B:Q,5,0),0)</f>
        <v>0</v>
      </c>
      <c r="I487" s="84">
        <f>IFERROR(VLOOKUP(B487,Заказ!B:Q,16,0),0)</f>
        <v>0</v>
      </c>
    </row>
    <row r="488" spans="2:9" x14ac:dyDescent="0.25">
      <c r="B488" s="84">
        <v>21048</v>
      </c>
      <c r="D488" s="84" t="str">
        <f t="shared" si="5"/>
        <v/>
      </c>
      <c r="H488" s="84">
        <f>IFERROR(VLOOKUP(B488,Заказ!B:Q,5,0),0)</f>
        <v>0</v>
      </c>
      <c r="I488" s="84">
        <f>IFERROR(VLOOKUP(B488,Заказ!B:Q,16,0),0)</f>
        <v>0</v>
      </c>
    </row>
    <row r="489" spans="2:9" x14ac:dyDescent="0.25">
      <c r="B489" s="84">
        <v>17801</v>
      </c>
      <c r="D489" s="84" t="str">
        <f t="shared" si="5"/>
        <v/>
      </c>
      <c r="H489" s="84">
        <f>IFERROR(VLOOKUP(B489,Заказ!B:Q,5,0),0)</f>
        <v>0</v>
      </c>
      <c r="I489" s="84">
        <f>IFERROR(VLOOKUP(B489,Заказ!B:Q,16,0),0)</f>
        <v>0</v>
      </c>
    </row>
    <row r="490" spans="2:9" x14ac:dyDescent="0.25">
      <c r="B490" s="84">
        <v>17807</v>
      </c>
      <c r="D490" s="84" t="str">
        <f t="shared" si="5"/>
        <v/>
      </c>
      <c r="H490" s="84">
        <f>IFERROR(VLOOKUP(B490,Заказ!B:Q,5,0),0)</f>
        <v>0</v>
      </c>
      <c r="I490" s="84">
        <f>IFERROR(VLOOKUP(B490,Заказ!B:Q,16,0),0)</f>
        <v>0</v>
      </c>
    </row>
    <row r="491" spans="2:9" x14ac:dyDescent="0.25">
      <c r="B491" s="84">
        <v>17809</v>
      </c>
      <c r="D491" s="84" t="str">
        <f t="shared" si="5"/>
        <v/>
      </c>
      <c r="H491" s="84">
        <f>IFERROR(VLOOKUP(B491,Заказ!B:Q,5,0),0)</f>
        <v>0</v>
      </c>
      <c r="I491" s="84">
        <f>IFERROR(VLOOKUP(B491,Заказ!B:Q,16,0),0)</f>
        <v>0</v>
      </c>
    </row>
    <row r="492" spans="2:9" x14ac:dyDescent="0.25">
      <c r="B492" s="84">
        <v>19598</v>
      </c>
      <c r="D492" s="84" t="str">
        <f t="shared" si="5"/>
        <v/>
      </c>
      <c r="H492" s="84">
        <f>IFERROR(VLOOKUP(B492,Заказ!B:Q,5,0),0)</f>
        <v>0</v>
      </c>
      <c r="I492" s="84">
        <f>IFERROR(VLOOKUP(B492,Заказ!B:Q,16,0),0)</f>
        <v>0</v>
      </c>
    </row>
    <row r="493" spans="2:9" x14ac:dyDescent="0.25">
      <c r="B493" s="84">
        <v>17778</v>
      </c>
      <c r="D493" s="84" t="str">
        <f t="shared" si="5"/>
        <v/>
      </c>
      <c r="H493" s="84">
        <f>IFERROR(VLOOKUP(B493,Заказ!B:Q,5,0),0)</f>
        <v>0</v>
      </c>
      <c r="I493" s="84">
        <f>IFERROR(VLOOKUP(B493,Заказ!B:Q,16,0),0)</f>
        <v>0</v>
      </c>
    </row>
    <row r="494" spans="2:9" x14ac:dyDescent="0.25">
      <c r="B494" s="84">
        <v>20928</v>
      </c>
      <c r="D494" s="84" t="str">
        <f t="shared" si="5"/>
        <v/>
      </c>
      <c r="H494" s="84">
        <f>IFERROR(VLOOKUP(B494,Заказ!B:Q,5,0),0)</f>
        <v>0</v>
      </c>
      <c r="I494" s="84">
        <f>IFERROR(VLOOKUP(B494,Заказ!B:Q,16,0),0)</f>
        <v>0</v>
      </c>
    </row>
    <row r="495" spans="2:9" x14ac:dyDescent="0.25">
      <c r="B495" s="84">
        <v>18476</v>
      </c>
      <c r="D495" s="84" t="str">
        <f t="shared" si="5"/>
        <v/>
      </c>
      <c r="H495" s="84">
        <f>IFERROR(VLOOKUP(B495,Заказ!B:Q,5,0),0)</f>
        <v>0</v>
      </c>
      <c r="I495" s="84">
        <f>IFERROR(VLOOKUP(B495,Заказ!B:Q,16,0),0)</f>
        <v>0</v>
      </c>
    </row>
    <row r="496" spans="2:9" x14ac:dyDescent="0.25">
      <c r="B496" s="84">
        <v>19294</v>
      </c>
      <c r="D496" s="84" t="str">
        <f t="shared" si="5"/>
        <v/>
      </c>
      <c r="H496" s="84">
        <f>IFERROR(VLOOKUP(B496,Заказ!B:Q,5,0),0)</f>
        <v>0</v>
      </c>
      <c r="I496" s="84">
        <f>IFERROR(VLOOKUP(B496,Заказ!B:Q,16,0),0)</f>
        <v>0</v>
      </c>
    </row>
    <row r="497" spans="2:9" x14ac:dyDescent="0.25">
      <c r="B497" s="84">
        <v>17833</v>
      </c>
      <c r="D497" s="84" t="str">
        <f t="shared" si="5"/>
        <v/>
      </c>
      <c r="H497" s="84">
        <f>IFERROR(VLOOKUP(B497,Заказ!B:Q,5,0),0)</f>
        <v>0</v>
      </c>
      <c r="I497" s="84">
        <f>IFERROR(VLOOKUP(B497,Заказ!B:Q,16,0),0)</f>
        <v>0</v>
      </c>
    </row>
    <row r="498" spans="2:9" x14ac:dyDescent="0.25">
      <c r="B498" s="84">
        <v>18541</v>
      </c>
      <c r="D498" s="84" t="str">
        <f t="shared" si="5"/>
        <v/>
      </c>
      <c r="H498" s="84">
        <f>IFERROR(VLOOKUP(B498,Заказ!B:Q,5,0),0)</f>
        <v>0</v>
      </c>
      <c r="I498" s="84">
        <f>IFERROR(VLOOKUP(B498,Заказ!B:Q,16,0),0)</f>
        <v>0</v>
      </c>
    </row>
    <row r="499" spans="2:9" x14ac:dyDescent="0.25">
      <c r="B499" s="84">
        <v>20244</v>
      </c>
      <c r="D499" s="84" t="str">
        <f t="shared" si="5"/>
        <v/>
      </c>
      <c r="H499" s="84">
        <f>IFERROR(VLOOKUP(B499,Заказ!B:Q,5,0),0)</f>
        <v>0</v>
      </c>
      <c r="I499" s="84">
        <f>IFERROR(VLOOKUP(B499,Заказ!B:Q,16,0),0)</f>
        <v>0</v>
      </c>
    </row>
    <row r="500" spans="2:9" x14ac:dyDescent="0.25">
      <c r="B500" s="84">
        <v>20243</v>
      </c>
      <c r="D500" s="84" t="str">
        <f t="shared" si="5"/>
        <v/>
      </c>
      <c r="H500" s="84">
        <f>IFERROR(VLOOKUP(B500,Заказ!B:Q,5,0),0)</f>
        <v>0</v>
      </c>
      <c r="I500" s="84">
        <f>IFERROR(VLOOKUP(B500,Заказ!B:Q,16,0),0)</f>
        <v>0</v>
      </c>
    </row>
    <row r="501" spans="2:9" x14ac:dyDescent="0.25">
      <c r="B501" s="84">
        <v>20242</v>
      </c>
      <c r="D501" s="84" t="str">
        <f t="shared" si="5"/>
        <v/>
      </c>
      <c r="H501" s="84">
        <f>IFERROR(VLOOKUP(B501,Заказ!B:Q,5,0),0)</f>
        <v>0</v>
      </c>
      <c r="I501" s="84">
        <f>IFERROR(VLOOKUP(B501,Заказ!B:Q,16,0),0)</f>
        <v>0</v>
      </c>
    </row>
    <row r="502" spans="2:9" x14ac:dyDescent="0.25">
      <c r="B502" s="84">
        <v>18498</v>
      </c>
      <c r="D502" s="84" t="str">
        <f t="shared" si="5"/>
        <v/>
      </c>
      <c r="H502" s="84">
        <f>IFERROR(VLOOKUP(B502,Заказ!B:Q,5,0),0)</f>
        <v>0</v>
      </c>
      <c r="I502" s="84">
        <f>IFERROR(VLOOKUP(B502,Заказ!B:Q,16,0),0)</f>
        <v>0</v>
      </c>
    </row>
    <row r="503" spans="2:9" x14ac:dyDescent="0.25">
      <c r="B503" s="84">
        <v>17779</v>
      </c>
      <c r="D503" s="84" t="str">
        <f t="shared" si="5"/>
        <v/>
      </c>
      <c r="H503" s="84">
        <f>IFERROR(VLOOKUP(B503,Заказ!B:Q,5,0),0)</f>
        <v>0</v>
      </c>
      <c r="I503" s="84">
        <f>IFERROR(VLOOKUP(B503,Заказ!B:Q,16,0),0)</f>
        <v>0</v>
      </c>
    </row>
    <row r="504" spans="2:9" x14ac:dyDescent="0.25">
      <c r="B504" s="84">
        <v>19808</v>
      </c>
      <c r="D504" s="84" t="str">
        <f t="shared" si="5"/>
        <v/>
      </c>
      <c r="H504" s="84">
        <f>IFERROR(VLOOKUP(B504,Заказ!B:Q,5,0),0)</f>
        <v>0</v>
      </c>
      <c r="I504" s="84">
        <f>IFERROR(VLOOKUP(B504,Заказ!B:Q,16,0),0)</f>
        <v>0</v>
      </c>
    </row>
    <row r="505" spans="2:9" x14ac:dyDescent="0.25">
      <c r="B505" s="84">
        <v>19980</v>
      </c>
      <c r="D505" s="84" t="str">
        <f t="shared" si="5"/>
        <v/>
      </c>
      <c r="H505" s="84">
        <f>IFERROR(VLOOKUP(B505,Заказ!B:Q,5,0),0)</f>
        <v>0</v>
      </c>
      <c r="I505" s="84">
        <f>IFERROR(VLOOKUP(B505,Заказ!B:Q,16,0),0)</f>
        <v>0</v>
      </c>
    </row>
    <row r="506" spans="2:9" x14ac:dyDescent="0.25">
      <c r="B506" s="84">
        <v>18895</v>
      </c>
      <c r="D506" s="84" t="str">
        <f t="shared" si="5"/>
        <v/>
      </c>
      <c r="H506" s="84">
        <f>IFERROR(VLOOKUP(B506,Заказ!B:Q,5,0),0)</f>
        <v>0</v>
      </c>
      <c r="I506" s="84">
        <f>IFERROR(VLOOKUP(B506,Заказ!B:Q,16,0),0)</f>
        <v>0</v>
      </c>
    </row>
    <row r="507" spans="2:9" x14ac:dyDescent="0.25">
      <c r="B507" s="84">
        <v>18896</v>
      </c>
      <c r="D507" s="84" t="str">
        <f t="shared" si="5"/>
        <v/>
      </c>
      <c r="H507" s="84">
        <f>IFERROR(VLOOKUP(B507,Заказ!B:Q,5,0),0)</f>
        <v>0</v>
      </c>
      <c r="I507" s="84">
        <f>IFERROR(VLOOKUP(B507,Заказ!B:Q,16,0),0)</f>
        <v>0</v>
      </c>
    </row>
    <row r="508" spans="2:9" x14ac:dyDescent="0.25">
      <c r="B508" s="84">
        <v>18897</v>
      </c>
      <c r="D508" s="84" t="str">
        <f t="shared" si="5"/>
        <v/>
      </c>
      <c r="H508" s="84">
        <f>IFERROR(VLOOKUP(B508,Заказ!B:Q,5,0),0)</f>
        <v>0</v>
      </c>
      <c r="I508" s="84">
        <f>IFERROR(VLOOKUP(B508,Заказ!B:Q,16,0),0)</f>
        <v>0</v>
      </c>
    </row>
    <row r="509" spans="2:9" x14ac:dyDescent="0.25">
      <c r="B509" s="84">
        <v>18898</v>
      </c>
      <c r="D509" s="84" t="str">
        <f t="shared" si="5"/>
        <v/>
      </c>
      <c r="H509" s="84">
        <f>IFERROR(VLOOKUP(B509,Заказ!B:Q,5,0),0)</f>
        <v>0</v>
      </c>
      <c r="I509" s="84">
        <f>IFERROR(VLOOKUP(B509,Заказ!B:Q,16,0),0)</f>
        <v>0</v>
      </c>
    </row>
    <row r="510" spans="2:9" x14ac:dyDescent="0.25">
      <c r="B510" s="84">
        <v>18900</v>
      </c>
      <c r="D510" s="84" t="str">
        <f t="shared" si="5"/>
        <v/>
      </c>
      <c r="H510" s="84">
        <f>IFERROR(VLOOKUP(B510,Заказ!B:Q,5,0),0)</f>
        <v>0</v>
      </c>
      <c r="I510" s="84">
        <f>IFERROR(VLOOKUP(B510,Заказ!B:Q,16,0),0)</f>
        <v>0</v>
      </c>
    </row>
    <row r="511" spans="2:9" x14ac:dyDescent="0.25">
      <c r="B511" s="84">
        <v>18899</v>
      </c>
      <c r="D511" s="84" t="str">
        <f t="shared" si="5"/>
        <v/>
      </c>
      <c r="H511" s="84">
        <f>IFERROR(VLOOKUP(B511,Заказ!B:Q,5,0),0)</f>
        <v>0</v>
      </c>
      <c r="I511" s="84">
        <f>IFERROR(VLOOKUP(B511,Заказ!B:Q,16,0),0)</f>
        <v>0</v>
      </c>
    </row>
    <row r="512" spans="2:9" x14ac:dyDescent="0.25">
      <c r="B512" s="84">
        <v>18901</v>
      </c>
      <c r="D512" s="84" t="str">
        <f t="shared" si="5"/>
        <v/>
      </c>
      <c r="H512" s="84">
        <f>IFERROR(VLOOKUP(B512,Заказ!B:Q,5,0),0)</f>
        <v>0</v>
      </c>
      <c r="I512" s="84">
        <f>IFERROR(VLOOKUP(B512,Заказ!B:Q,16,0),0)</f>
        <v>0</v>
      </c>
    </row>
    <row r="513" spans="2:9" x14ac:dyDescent="0.25">
      <c r="B513" s="84">
        <v>14480</v>
      </c>
      <c r="D513" s="84" t="str">
        <f t="shared" si="5"/>
        <v/>
      </c>
      <c r="H513" s="84">
        <f>IFERROR(VLOOKUP(B513,Заказ!B:Q,5,0),0)</f>
        <v>0</v>
      </c>
      <c r="I513" s="84">
        <f>IFERROR(VLOOKUP(B513,Заказ!B:Q,16,0),0)</f>
        <v>0</v>
      </c>
    </row>
    <row r="514" spans="2:9" x14ac:dyDescent="0.25">
      <c r="B514" s="84">
        <v>11471</v>
      </c>
      <c r="D514" s="84" t="str">
        <f t="shared" ref="D514:D539" si="7">IFERROR(ROUND(I514/H514,2),"")</f>
        <v/>
      </c>
      <c r="H514" s="84">
        <f>IFERROR(VLOOKUP(B514,Заказ!B:Q,5,0),0)</f>
        <v>0</v>
      </c>
      <c r="I514" s="84">
        <f>IFERROR(VLOOKUP(B514,Заказ!B:Q,16,0),0)</f>
        <v>0</v>
      </c>
    </row>
    <row r="515" spans="2:9" x14ac:dyDescent="0.25">
      <c r="B515" s="84">
        <v>9433</v>
      </c>
      <c r="D515" s="84" t="str">
        <f t="shared" si="7"/>
        <v/>
      </c>
      <c r="H515" s="84">
        <f>IFERROR(VLOOKUP(B515,Заказ!B:Q,5,0),0)</f>
        <v>0</v>
      </c>
      <c r="I515" s="84">
        <f>IFERROR(VLOOKUP(B515,Заказ!B:Q,16,0),0)</f>
        <v>0</v>
      </c>
    </row>
    <row r="516" spans="2:9" x14ac:dyDescent="0.25">
      <c r="B516" s="84">
        <v>12773</v>
      </c>
      <c r="D516" s="84" t="str">
        <f t="shared" si="7"/>
        <v/>
      </c>
      <c r="H516" s="84">
        <f>IFERROR(VLOOKUP(B516,Заказ!B:Q,5,0),0)</f>
        <v>0</v>
      </c>
      <c r="I516" s="84">
        <f>IFERROR(VLOOKUP(B516,Заказ!B:Q,16,0),0)</f>
        <v>0</v>
      </c>
    </row>
    <row r="517" spans="2:9" x14ac:dyDescent="0.25">
      <c r="B517" s="84">
        <v>17255</v>
      </c>
      <c r="D517" s="84" t="str">
        <f t="shared" si="7"/>
        <v/>
      </c>
      <c r="H517" s="84">
        <f>IFERROR(VLOOKUP(B517,Заказ!B:Q,5,0),0)</f>
        <v>0</v>
      </c>
      <c r="I517" s="84">
        <f>IFERROR(VLOOKUP(B517,Заказ!B:Q,16,0),0)</f>
        <v>0</v>
      </c>
    </row>
    <row r="518" spans="2:9" x14ac:dyDescent="0.25">
      <c r="B518" s="84">
        <v>17968</v>
      </c>
      <c r="D518" s="84" t="str">
        <f t="shared" si="7"/>
        <v/>
      </c>
      <c r="H518" s="84">
        <f>IFERROR(VLOOKUP(B518,Заказ!B:Q,5,0),0)</f>
        <v>0</v>
      </c>
      <c r="I518" s="84">
        <f>IFERROR(VLOOKUP(B518,Заказ!B:Q,16,0),0)</f>
        <v>0</v>
      </c>
    </row>
    <row r="519" spans="2:9" x14ac:dyDescent="0.25">
      <c r="B519" s="84">
        <v>18216</v>
      </c>
      <c r="D519" s="84" t="str">
        <f t="shared" si="7"/>
        <v/>
      </c>
      <c r="H519" s="84">
        <f>IFERROR(VLOOKUP(B519,Заказ!B:Q,5,0),0)</f>
        <v>0</v>
      </c>
      <c r="I519" s="84">
        <f>IFERROR(VLOOKUP(B519,Заказ!B:Q,16,0),0)</f>
        <v>0</v>
      </c>
    </row>
    <row r="520" spans="2:9" x14ac:dyDescent="0.25">
      <c r="B520" s="84">
        <v>15387</v>
      </c>
      <c r="D520" s="84" t="str">
        <f t="shared" si="7"/>
        <v/>
      </c>
      <c r="H520" s="84">
        <f>IFERROR(VLOOKUP(B520,Заказ!B:Q,5,0),0)</f>
        <v>0</v>
      </c>
      <c r="I520" s="84">
        <f>IFERROR(VLOOKUP(B520,Заказ!B:Q,16,0),0)</f>
        <v>0</v>
      </c>
    </row>
    <row r="521" spans="2:9" x14ac:dyDescent="0.25">
      <c r="B521" s="84">
        <v>15388</v>
      </c>
      <c r="D521" s="84" t="str">
        <f t="shared" si="7"/>
        <v/>
      </c>
      <c r="H521" s="84">
        <f>IFERROR(VLOOKUP(B521,Заказ!B:Q,5,0),0)</f>
        <v>0</v>
      </c>
      <c r="I521" s="84">
        <f>IFERROR(VLOOKUP(B521,Заказ!B:Q,16,0),0)</f>
        <v>0</v>
      </c>
    </row>
    <row r="522" spans="2:9" x14ac:dyDescent="0.25">
      <c r="B522" s="84">
        <v>15389</v>
      </c>
      <c r="D522" s="84" t="str">
        <f t="shared" si="7"/>
        <v/>
      </c>
      <c r="H522" s="84">
        <f>IFERROR(VLOOKUP(B522,Заказ!B:Q,5,0),0)</f>
        <v>0</v>
      </c>
      <c r="I522" s="84">
        <f>IFERROR(VLOOKUP(B522,Заказ!B:Q,16,0),0)</f>
        <v>0</v>
      </c>
    </row>
    <row r="523" spans="2:9" x14ac:dyDescent="0.25">
      <c r="B523" s="84">
        <v>18312</v>
      </c>
      <c r="D523" s="84" t="str">
        <f t="shared" si="7"/>
        <v/>
      </c>
      <c r="H523" s="84">
        <f>IFERROR(VLOOKUP(B523,Заказ!B:Q,5,0),0)</f>
        <v>0</v>
      </c>
      <c r="I523" s="84">
        <f>IFERROR(VLOOKUP(B523,Заказ!B:Q,16,0),0)</f>
        <v>0</v>
      </c>
    </row>
    <row r="524" spans="2:9" x14ac:dyDescent="0.25">
      <c r="B524" s="84">
        <v>18315</v>
      </c>
      <c r="D524" s="84" t="str">
        <f t="shared" si="7"/>
        <v/>
      </c>
      <c r="H524" s="84">
        <f>IFERROR(VLOOKUP(B524,Заказ!B:Q,5,0),0)</f>
        <v>0</v>
      </c>
      <c r="I524" s="84">
        <f>IFERROR(VLOOKUP(B524,Заказ!B:Q,16,0),0)</f>
        <v>0</v>
      </c>
    </row>
    <row r="525" spans="2:9" x14ac:dyDescent="0.25">
      <c r="B525" s="84">
        <v>18314</v>
      </c>
      <c r="D525" s="84" t="str">
        <f t="shared" si="7"/>
        <v/>
      </c>
      <c r="H525" s="84">
        <f>IFERROR(VLOOKUP(B525,Заказ!B:Q,5,0),0)</f>
        <v>0</v>
      </c>
      <c r="I525" s="84">
        <f>IFERROR(VLOOKUP(B525,Заказ!B:Q,16,0),0)</f>
        <v>0</v>
      </c>
    </row>
    <row r="526" spans="2:9" x14ac:dyDescent="0.25">
      <c r="B526" s="84">
        <v>18317</v>
      </c>
      <c r="D526" s="84" t="str">
        <f t="shared" si="7"/>
        <v/>
      </c>
      <c r="H526" s="84">
        <f>IFERROR(VLOOKUP(B526,Заказ!B:Q,5,0),0)</f>
        <v>0</v>
      </c>
      <c r="I526" s="84">
        <f>IFERROR(VLOOKUP(B526,Заказ!B:Q,16,0),0)</f>
        <v>0</v>
      </c>
    </row>
    <row r="527" spans="2:9" x14ac:dyDescent="0.25">
      <c r="B527" s="84">
        <v>14187</v>
      </c>
      <c r="D527" s="84" t="str">
        <f t="shared" si="7"/>
        <v/>
      </c>
      <c r="H527" s="84">
        <f>IFERROR(VLOOKUP(B527,Заказ!B:Q,5,0),0)</f>
        <v>0</v>
      </c>
      <c r="I527" s="84">
        <f>IFERROR(VLOOKUP(B527,Заказ!B:Q,16,0),0)</f>
        <v>0</v>
      </c>
    </row>
    <row r="528" spans="2:9" x14ac:dyDescent="0.25">
      <c r="B528" s="84">
        <v>14188</v>
      </c>
      <c r="D528" s="84" t="str">
        <f t="shared" si="7"/>
        <v/>
      </c>
      <c r="H528" s="84">
        <f>IFERROR(VLOOKUP(B528,Заказ!B:Q,5,0),0)</f>
        <v>0</v>
      </c>
      <c r="I528" s="84">
        <f>IFERROR(VLOOKUP(B528,Заказ!B:Q,16,0),0)</f>
        <v>0</v>
      </c>
    </row>
    <row r="529" spans="2:9" x14ac:dyDescent="0.25">
      <c r="B529" s="84">
        <v>14189</v>
      </c>
      <c r="D529" s="84" t="str">
        <f t="shared" si="7"/>
        <v/>
      </c>
      <c r="H529" s="84">
        <f>IFERROR(VLOOKUP(B529,Заказ!B:Q,5,0),0)</f>
        <v>0</v>
      </c>
      <c r="I529" s="84">
        <f>IFERROR(VLOOKUP(B529,Заказ!B:Q,16,0),0)</f>
        <v>0</v>
      </c>
    </row>
    <row r="530" spans="2:9" x14ac:dyDescent="0.25">
      <c r="B530" s="84">
        <v>13502</v>
      </c>
      <c r="D530" s="84" t="str">
        <f t="shared" si="7"/>
        <v/>
      </c>
      <c r="H530" s="84">
        <f>IFERROR(VLOOKUP(B530,Заказ!B:Q,5,0),0)</f>
        <v>0</v>
      </c>
      <c r="I530" s="84">
        <f>IFERROR(VLOOKUP(B530,Заказ!B:Q,16,0),0)</f>
        <v>0</v>
      </c>
    </row>
    <row r="531" spans="2:9" x14ac:dyDescent="0.25">
      <c r="B531" s="84">
        <v>14514</v>
      </c>
      <c r="D531" s="84" t="str">
        <f t="shared" si="7"/>
        <v/>
      </c>
      <c r="H531" s="84">
        <f>IFERROR(VLOOKUP(B531,Заказ!B:Q,5,0),0)</f>
        <v>0</v>
      </c>
      <c r="I531" s="84">
        <f>IFERROR(VLOOKUP(B531,Заказ!B:Q,16,0),0)</f>
        <v>0</v>
      </c>
    </row>
    <row r="532" spans="2:9" x14ac:dyDescent="0.25">
      <c r="B532" s="84">
        <v>14515</v>
      </c>
      <c r="D532" s="84" t="str">
        <f t="shared" si="7"/>
        <v/>
      </c>
      <c r="H532" s="84">
        <f>IFERROR(VLOOKUP(B532,Заказ!B:Q,5,0),0)</f>
        <v>0</v>
      </c>
      <c r="I532" s="84">
        <f>IFERROR(VLOOKUP(B532,Заказ!B:Q,16,0),0)</f>
        <v>0</v>
      </c>
    </row>
    <row r="533" spans="2:9" x14ac:dyDescent="0.25">
      <c r="B533" s="84">
        <v>20560</v>
      </c>
      <c r="D533" s="84" t="str">
        <f t="shared" si="7"/>
        <v/>
      </c>
      <c r="H533" s="84">
        <f>IFERROR(VLOOKUP(B533,Заказ!B:Q,5,0),0)</f>
        <v>0</v>
      </c>
      <c r="I533" s="84">
        <f>IFERROR(VLOOKUP(B533,Заказ!B:Q,16,0),0)</f>
        <v>0</v>
      </c>
    </row>
    <row r="534" spans="2:9" x14ac:dyDescent="0.25">
      <c r="B534" s="84">
        <v>20561</v>
      </c>
      <c r="D534" s="84" t="str">
        <f t="shared" si="7"/>
        <v/>
      </c>
      <c r="H534" s="84">
        <f>IFERROR(VLOOKUP(B534,Заказ!B:Q,5,0),0)</f>
        <v>0</v>
      </c>
      <c r="I534" s="84">
        <f>IFERROR(VLOOKUP(B534,Заказ!B:Q,16,0),0)</f>
        <v>0</v>
      </c>
    </row>
    <row r="535" spans="2:9" x14ac:dyDescent="0.25">
      <c r="B535" s="84">
        <v>14155</v>
      </c>
      <c r="D535" s="84" t="str">
        <f t="shared" si="7"/>
        <v/>
      </c>
      <c r="H535" s="84">
        <f>IFERROR(VLOOKUP(B535,Заказ!B:Q,5,0),0)</f>
        <v>0</v>
      </c>
      <c r="I535" s="84">
        <f>IFERROR(VLOOKUP(B535,Заказ!B:Q,16,0),0)</f>
        <v>0</v>
      </c>
    </row>
    <row r="536" spans="2:9" x14ac:dyDescent="0.25">
      <c r="B536" s="84">
        <v>13931</v>
      </c>
      <c r="D536" s="84" t="str">
        <f t="shared" si="7"/>
        <v/>
      </c>
      <c r="H536" s="84">
        <f>IFERROR(VLOOKUP(B536,Заказ!B:Q,5,0),0)</f>
        <v>0</v>
      </c>
      <c r="I536" s="84">
        <f>IFERROR(VLOOKUP(B536,Заказ!B:Q,16,0),0)</f>
        <v>0</v>
      </c>
    </row>
    <row r="537" spans="2:9" x14ac:dyDescent="0.25">
      <c r="B537" s="84">
        <v>14156</v>
      </c>
      <c r="D537" s="84" t="str">
        <f t="shared" si="7"/>
        <v/>
      </c>
      <c r="H537" s="84">
        <f>IFERROR(VLOOKUP(B537,Заказ!B:Q,5,0),0)</f>
        <v>0</v>
      </c>
      <c r="I537" s="84">
        <f>IFERROR(VLOOKUP(B537,Заказ!B:Q,16,0),0)</f>
        <v>0</v>
      </c>
    </row>
    <row r="538" spans="2:9" x14ac:dyDescent="0.25">
      <c r="B538" s="84">
        <v>16086</v>
      </c>
      <c r="D538" s="84" t="str">
        <f t="shared" si="7"/>
        <v/>
      </c>
      <c r="H538" s="84">
        <f>IFERROR(VLOOKUP(B538,Заказ!B:Q,5,0),0)</f>
        <v>0</v>
      </c>
      <c r="I538" s="84">
        <f>IFERROR(VLOOKUP(B538,Заказ!B:Q,16,0),0)</f>
        <v>0</v>
      </c>
    </row>
    <row r="539" spans="2:9" x14ac:dyDescent="0.25">
      <c r="B539" s="84">
        <v>14186</v>
      </c>
      <c r="D539" s="84" t="str">
        <f t="shared" si="7"/>
        <v/>
      </c>
      <c r="H539" s="84">
        <f>IFERROR(VLOOKUP(B539,Заказ!B:Q,5,0),0)</f>
        <v>0</v>
      </c>
      <c r="I539" s="84">
        <f>IFERROR(VLOOKUP(B539,Заказ!B:Q,16,0),0)</f>
        <v>0</v>
      </c>
    </row>
    <row r="540" spans="2:9" x14ac:dyDescent="0.25">
      <c r="B540" s="84">
        <v>15553</v>
      </c>
      <c r="D540" s="84" t="str">
        <f t="shared" ref="D540:D593" si="8">IFERROR(ROUND(I540/H540,2),"")</f>
        <v/>
      </c>
      <c r="H540" s="84">
        <f>IFERROR(VLOOKUP(B540,Заказ!B:Q,5,0),0)</f>
        <v>0</v>
      </c>
      <c r="I540" s="84">
        <f>IFERROR(VLOOKUP(B540,Заказ!B:Q,16,0),0)</f>
        <v>0</v>
      </c>
    </row>
    <row r="541" spans="2:9" x14ac:dyDescent="0.25">
      <c r="B541" s="84">
        <v>12452</v>
      </c>
      <c r="D541" s="84" t="str">
        <f t="shared" si="8"/>
        <v/>
      </c>
      <c r="H541" s="84">
        <f>IFERROR(VLOOKUP(B541,Заказ!B:Q,5,0),0)</f>
        <v>0</v>
      </c>
      <c r="I541" s="84">
        <f>IFERROR(VLOOKUP(B541,Заказ!B:Q,16,0),0)</f>
        <v>0</v>
      </c>
    </row>
    <row r="542" spans="2:9" x14ac:dyDescent="0.25">
      <c r="B542" s="84">
        <v>18703</v>
      </c>
      <c r="D542" s="84" t="str">
        <f t="shared" si="8"/>
        <v/>
      </c>
      <c r="H542" s="84">
        <f>IFERROR(VLOOKUP(B542,Заказ!B:Q,5,0),0)</f>
        <v>0</v>
      </c>
      <c r="I542" s="84">
        <f>IFERROR(VLOOKUP(B542,Заказ!B:Q,16,0),0)</f>
        <v>0</v>
      </c>
    </row>
    <row r="543" spans="2:9" x14ac:dyDescent="0.25">
      <c r="B543" s="84">
        <v>19887</v>
      </c>
      <c r="D543" s="84" t="str">
        <f t="shared" si="8"/>
        <v/>
      </c>
      <c r="H543" s="84">
        <f>IFERROR(VLOOKUP(B543,Заказ!B:Q,5,0),0)</f>
        <v>0</v>
      </c>
      <c r="I543" s="84">
        <f>IFERROR(VLOOKUP(B543,Заказ!B:Q,16,0),0)</f>
        <v>0</v>
      </c>
    </row>
    <row r="544" spans="2:9" x14ac:dyDescent="0.25">
      <c r="B544" s="84">
        <v>15831</v>
      </c>
      <c r="D544" s="84" t="str">
        <f t="shared" si="8"/>
        <v/>
      </c>
      <c r="H544" s="84">
        <f>IFERROR(VLOOKUP(B544,Заказ!B:Q,5,0),0)</f>
        <v>0</v>
      </c>
      <c r="I544" s="84">
        <f>IFERROR(VLOOKUP(B544,Заказ!B:Q,16,0),0)</f>
        <v>0</v>
      </c>
    </row>
    <row r="545" spans="2:9" x14ac:dyDescent="0.25">
      <c r="B545" s="84">
        <v>19886</v>
      </c>
      <c r="D545" s="84" t="str">
        <f t="shared" si="8"/>
        <v/>
      </c>
      <c r="H545" s="84">
        <f>IFERROR(VLOOKUP(B545,Заказ!B:Q,5,0),0)</f>
        <v>0</v>
      </c>
      <c r="I545" s="84">
        <f>IFERROR(VLOOKUP(B545,Заказ!B:Q,16,0),0)</f>
        <v>0</v>
      </c>
    </row>
    <row r="546" spans="2:9" x14ac:dyDescent="0.25">
      <c r="B546" s="84">
        <v>15829</v>
      </c>
      <c r="D546" s="84" t="str">
        <f t="shared" si="8"/>
        <v/>
      </c>
      <c r="H546" s="84">
        <f>IFERROR(VLOOKUP(B546,Заказ!B:Q,5,0),0)</f>
        <v>0</v>
      </c>
      <c r="I546" s="84">
        <f>IFERROR(VLOOKUP(B546,Заказ!B:Q,16,0),0)</f>
        <v>0</v>
      </c>
    </row>
    <row r="547" spans="2:9" x14ac:dyDescent="0.25">
      <c r="B547" s="84">
        <v>19894</v>
      </c>
      <c r="D547" s="84" t="str">
        <f t="shared" si="8"/>
        <v/>
      </c>
      <c r="H547" s="84">
        <f>IFERROR(VLOOKUP(B547,Заказ!B:Q,5,0),0)</f>
        <v>0</v>
      </c>
      <c r="I547" s="84">
        <f>IFERROR(VLOOKUP(B547,Заказ!B:Q,16,0),0)</f>
        <v>0</v>
      </c>
    </row>
    <row r="548" spans="2:9" x14ac:dyDescent="0.25">
      <c r="B548" s="84">
        <v>15834</v>
      </c>
      <c r="D548" s="84" t="str">
        <f t="shared" si="8"/>
        <v/>
      </c>
      <c r="H548" s="84">
        <f>IFERROR(VLOOKUP(B548,Заказ!B:Q,5,0),0)</f>
        <v>0</v>
      </c>
      <c r="I548" s="84">
        <f>IFERROR(VLOOKUP(B548,Заказ!B:Q,16,0),0)</f>
        <v>0</v>
      </c>
    </row>
    <row r="549" spans="2:9" x14ac:dyDescent="0.25">
      <c r="B549" s="84">
        <v>15835</v>
      </c>
      <c r="D549" s="84" t="str">
        <f t="shared" si="8"/>
        <v/>
      </c>
      <c r="H549" s="84">
        <f>IFERROR(VLOOKUP(B549,Заказ!B:Q,5,0),0)</f>
        <v>0</v>
      </c>
      <c r="I549" s="84">
        <f>IFERROR(VLOOKUP(B549,Заказ!B:Q,16,0),0)</f>
        <v>0</v>
      </c>
    </row>
    <row r="550" spans="2:9" x14ac:dyDescent="0.25">
      <c r="B550" s="84">
        <v>15830</v>
      </c>
      <c r="D550" s="84" t="str">
        <f t="shared" si="8"/>
        <v/>
      </c>
      <c r="H550" s="84">
        <f>IFERROR(VLOOKUP(B550,Заказ!B:Q,5,0),0)</f>
        <v>0</v>
      </c>
      <c r="I550" s="84">
        <f>IFERROR(VLOOKUP(B550,Заказ!B:Q,16,0),0)</f>
        <v>0</v>
      </c>
    </row>
    <row r="551" spans="2:9" x14ac:dyDescent="0.25">
      <c r="B551" s="84">
        <v>18757</v>
      </c>
      <c r="D551" s="84" t="str">
        <f t="shared" si="8"/>
        <v/>
      </c>
      <c r="H551" s="84">
        <f>IFERROR(VLOOKUP(B551,Заказ!B:Q,5,0),0)</f>
        <v>0</v>
      </c>
      <c r="I551" s="84">
        <f>IFERROR(VLOOKUP(B551,Заказ!B:Q,16,0),0)</f>
        <v>0</v>
      </c>
    </row>
    <row r="552" spans="2:9" x14ac:dyDescent="0.25">
      <c r="B552" s="84">
        <v>13030</v>
      </c>
      <c r="D552" s="84" t="str">
        <f t="shared" si="8"/>
        <v/>
      </c>
      <c r="H552" s="84">
        <f>IFERROR(VLOOKUP(B552,Заказ!B:Q,5,0),0)</f>
        <v>0</v>
      </c>
      <c r="I552" s="84">
        <f>IFERROR(VLOOKUP(B552,Заказ!B:Q,16,0),0)</f>
        <v>0</v>
      </c>
    </row>
    <row r="553" spans="2:9" x14ac:dyDescent="0.25">
      <c r="B553" s="84">
        <v>13027</v>
      </c>
      <c r="D553" s="84" t="str">
        <f t="shared" si="8"/>
        <v/>
      </c>
      <c r="H553" s="84">
        <f>IFERROR(VLOOKUP(B553,Заказ!B:Q,5,0),0)</f>
        <v>0</v>
      </c>
      <c r="I553" s="84">
        <f>IFERROR(VLOOKUP(B553,Заказ!B:Q,16,0),0)</f>
        <v>0</v>
      </c>
    </row>
    <row r="554" spans="2:9" x14ac:dyDescent="0.25">
      <c r="B554" s="84">
        <v>13085</v>
      </c>
      <c r="D554" s="84" t="str">
        <f t="shared" si="8"/>
        <v/>
      </c>
      <c r="H554" s="84">
        <f>IFERROR(VLOOKUP(B554,Заказ!B:Q,5,0),0)</f>
        <v>0</v>
      </c>
      <c r="I554" s="84">
        <f>IFERROR(VLOOKUP(B554,Заказ!B:Q,16,0),0)</f>
        <v>0</v>
      </c>
    </row>
    <row r="555" spans="2:9" x14ac:dyDescent="0.25">
      <c r="B555" s="84">
        <v>14599</v>
      </c>
      <c r="D555" s="84" t="str">
        <f t="shared" si="8"/>
        <v/>
      </c>
      <c r="H555" s="84">
        <f>IFERROR(VLOOKUP(B555,Заказ!B:Q,5,0),0)</f>
        <v>0</v>
      </c>
      <c r="I555" s="84">
        <f>IFERROR(VLOOKUP(B555,Заказ!B:Q,16,0),0)</f>
        <v>0</v>
      </c>
    </row>
    <row r="556" spans="2:9" x14ac:dyDescent="0.25">
      <c r="B556" s="84">
        <v>14598</v>
      </c>
      <c r="D556" s="84" t="str">
        <f t="shared" si="8"/>
        <v/>
      </c>
      <c r="H556" s="84">
        <f>IFERROR(VLOOKUP(B556,Заказ!B:Q,5,0),0)</f>
        <v>0</v>
      </c>
      <c r="I556" s="84">
        <f>IFERROR(VLOOKUP(B556,Заказ!B:Q,16,0),0)</f>
        <v>0</v>
      </c>
    </row>
    <row r="557" spans="2:9" x14ac:dyDescent="0.25">
      <c r="B557" s="84">
        <v>14597</v>
      </c>
      <c r="D557" s="84" t="str">
        <f t="shared" si="8"/>
        <v/>
      </c>
      <c r="H557" s="84">
        <f>IFERROR(VLOOKUP(B557,Заказ!B:Q,5,0),0)</f>
        <v>0</v>
      </c>
      <c r="I557" s="84">
        <f>IFERROR(VLOOKUP(B557,Заказ!B:Q,16,0),0)</f>
        <v>0</v>
      </c>
    </row>
    <row r="558" spans="2:9" x14ac:dyDescent="0.25">
      <c r="B558" s="84">
        <v>17036</v>
      </c>
      <c r="D558" s="84" t="str">
        <f t="shared" si="8"/>
        <v/>
      </c>
      <c r="H558" s="84">
        <f>IFERROR(VLOOKUP(B558,Заказ!B:Q,5,0),0)</f>
        <v>0</v>
      </c>
      <c r="I558" s="84">
        <f>IFERROR(VLOOKUP(B558,Заказ!B:Q,16,0),0)</f>
        <v>0</v>
      </c>
    </row>
    <row r="559" spans="2:9" x14ac:dyDescent="0.25">
      <c r="B559" s="84">
        <v>13300</v>
      </c>
      <c r="D559" s="84" t="str">
        <f t="shared" si="8"/>
        <v/>
      </c>
      <c r="H559" s="84">
        <f>IFERROR(VLOOKUP(B559,Заказ!B:Q,5,0),0)</f>
        <v>0</v>
      </c>
      <c r="I559" s="84">
        <f>IFERROR(VLOOKUP(B559,Заказ!B:Q,16,0),0)</f>
        <v>0</v>
      </c>
    </row>
    <row r="560" spans="2:9" x14ac:dyDescent="0.25">
      <c r="B560" s="84">
        <v>13303</v>
      </c>
      <c r="D560" s="84" t="str">
        <f t="shared" si="8"/>
        <v/>
      </c>
      <c r="H560" s="84">
        <f>IFERROR(VLOOKUP(B560,Заказ!B:Q,5,0),0)</f>
        <v>0</v>
      </c>
      <c r="I560" s="84">
        <f>IFERROR(VLOOKUP(B560,Заказ!B:Q,16,0),0)</f>
        <v>0</v>
      </c>
    </row>
    <row r="561" spans="2:9" x14ac:dyDescent="0.25">
      <c r="B561" s="84">
        <v>13299</v>
      </c>
      <c r="D561" s="84" t="str">
        <f t="shared" si="8"/>
        <v/>
      </c>
      <c r="H561" s="84">
        <f>IFERROR(VLOOKUP(B561,Заказ!B:Q,5,0),0)</f>
        <v>0</v>
      </c>
      <c r="I561" s="84">
        <f>IFERROR(VLOOKUP(B561,Заказ!B:Q,16,0),0)</f>
        <v>0</v>
      </c>
    </row>
    <row r="562" spans="2:9" x14ac:dyDescent="0.25">
      <c r="B562" s="84">
        <v>13304</v>
      </c>
      <c r="D562" s="84" t="str">
        <f t="shared" si="8"/>
        <v/>
      </c>
      <c r="H562" s="84">
        <f>IFERROR(VLOOKUP(B562,Заказ!B:Q,5,0),0)</f>
        <v>0</v>
      </c>
      <c r="I562" s="84">
        <f>IFERROR(VLOOKUP(B562,Заказ!B:Q,16,0),0)</f>
        <v>0</v>
      </c>
    </row>
    <row r="563" spans="2:9" x14ac:dyDescent="0.25">
      <c r="B563" s="84">
        <v>13302</v>
      </c>
      <c r="D563" s="84" t="str">
        <f t="shared" si="8"/>
        <v/>
      </c>
      <c r="H563" s="84">
        <f>IFERROR(VLOOKUP(B563,Заказ!B:Q,5,0),0)</f>
        <v>0</v>
      </c>
      <c r="I563" s="84">
        <f>IFERROR(VLOOKUP(B563,Заказ!B:Q,16,0),0)</f>
        <v>0</v>
      </c>
    </row>
    <row r="564" spans="2:9" x14ac:dyDescent="0.25">
      <c r="B564" s="84">
        <v>13301</v>
      </c>
      <c r="D564" s="84" t="str">
        <f t="shared" si="8"/>
        <v/>
      </c>
      <c r="H564" s="84">
        <f>IFERROR(VLOOKUP(B564,Заказ!B:Q,5,0),0)</f>
        <v>0</v>
      </c>
      <c r="I564" s="84">
        <f>IFERROR(VLOOKUP(B564,Заказ!B:Q,16,0),0)</f>
        <v>0</v>
      </c>
    </row>
    <row r="565" spans="2:9" x14ac:dyDescent="0.25">
      <c r="B565" s="84">
        <v>13049</v>
      </c>
      <c r="D565" s="84" t="str">
        <f t="shared" si="8"/>
        <v/>
      </c>
      <c r="H565" s="84">
        <f>IFERROR(VLOOKUP(B565,Заказ!B:Q,5,0),0)</f>
        <v>0</v>
      </c>
      <c r="I565" s="84">
        <f>IFERROR(VLOOKUP(B565,Заказ!B:Q,16,0),0)</f>
        <v>0</v>
      </c>
    </row>
    <row r="566" spans="2:9" x14ac:dyDescent="0.25">
      <c r="B566" s="84">
        <v>13050</v>
      </c>
      <c r="D566" s="84" t="str">
        <f t="shared" si="8"/>
        <v/>
      </c>
      <c r="H566" s="84">
        <f>IFERROR(VLOOKUP(B566,Заказ!B:Q,5,0),0)</f>
        <v>0</v>
      </c>
      <c r="I566" s="84">
        <f>IFERROR(VLOOKUP(B566,Заказ!B:Q,16,0),0)</f>
        <v>0</v>
      </c>
    </row>
    <row r="567" spans="2:9" x14ac:dyDescent="0.25">
      <c r="B567" s="84">
        <v>19446</v>
      </c>
      <c r="D567" s="84" t="str">
        <f t="shared" si="8"/>
        <v/>
      </c>
      <c r="H567" s="84">
        <f>IFERROR(VLOOKUP(B567,Заказ!B:Q,5,0),0)</f>
        <v>0</v>
      </c>
      <c r="I567" s="84">
        <f>IFERROR(VLOOKUP(B567,Заказ!B:Q,16,0),0)</f>
        <v>0</v>
      </c>
    </row>
    <row r="568" spans="2:9" x14ac:dyDescent="0.25">
      <c r="B568" s="84">
        <v>20499</v>
      </c>
      <c r="D568" s="84" t="str">
        <f t="shared" si="8"/>
        <v/>
      </c>
      <c r="H568" s="84">
        <f>IFERROR(VLOOKUP(B568,Заказ!B:Q,5,0),0)</f>
        <v>0</v>
      </c>
      <c r="I568" s="84">
        <f>IFERROR(VLOOKUP(B568,Заказ!B:Q,16,0),0)</f>
        <v>0</v>
      </c>
    </row>
    <row r="569" spans="2:9" x14ac:dyDescent="0.25">
      <c r="B569" s="84">
        <v>20498</v>
      </c>
      <c r="D569" s="84" t="str">
        <f t="shared" si="8"/>
        <v/>
      </c>
      <c r="H569" s="84">
        <f>IFERROR(VLOOKUP(B569,Заказ!B:Q,5,0),0)</f>
        <v>0</v>
      </c>
      <c r="I569" s="84">
        <f>IFERROR(VLOOKUP(B569,Заказ!B:Q,16,0),0)</f>
        <v>0</v>
      </c>
    </row>
    <row r="570" spans="2:9" x14ac:dyDescent="0.25">
      <c r="B570" s="84">
        <v>20497</v>
      </c>
      <c r="D570" s="84" t="str">
        <f t="shared" si="8"/>
        <v/>
      </c>
      <c r="H570" s="84">
        <f>IFERROR(VLOOKUP(B570,Заказ!B:Q,5,0),0)</f>
        <v>0</v>
      </c>
      <c r="I570" s="84">
        <f>IFERROR(VLOOKUP(B570,Заказ!B:Q,16,0),0)</f>
        <v>0</v>
      </c>
    </row>
    <row r="571" spans="2:9" x14ac:dyDescent="0.25">
      <c r="B571" s="84">
        <v>14667</v>
      </c>
      <c r="D571" s="84" t="str">
        <f t="shared" si="8"/>
        <v/>
      </c>
      <c r="H571" s="84">
        <f>IFERROR(VLOOKUP(B571,Заказ!B:Q,5,0),0)</f>
        <v>0</v>
      </c>
      <c r="I571" s="84">
        <f>IFERROR(VLOOKUP(B571,Заказ!B:Q,16,0),0)</f>
        <v>0</v>
      </c>
    </row>
    <row r="572" spans="2:9" x14ac:dyDescent="0.25">
      <c r="B572" s="84">
        <v>14666</v>
      </c>
      <c r="D572" s="84" t="str">
        <f t="shared" si="8"/>
        <v/>
      </c>
      <c r="H572" s="84">
        <f>IFERROR(VLOOKUP(B572,Заказ!B:Q,5,0),0)</f>
        <v>0</v>
      </c>
      <c r="I572" s="84">
        <f>IFERROR(VLOOKUP(B572,Заказ!B:Q,16,0),0)</f>
        <v>0</v>
      </c>
    </row>
    <row r="573" spans="2:9" x14ac:dyDescent="0.25">
      <c r="B573" s="84">
        <v>20708</v>
      </c>
      <c r="D573" s="84" t="str">
        <f t="shared" si="8"/>
        <v/>
      </c>
      <c r="H573" s="84">
        <f>IFERROR(VLOOKUP(B573,Заказ!B:Q,5,0),0)</f>
        <v>0</v>
      </c>
      <c r="I573" s="84">
        <f>IFERROR(VLOOKUP(B573,Заказ!B:Q,16,0),0)</f>
        <v>0</v>
      </c>
    </row>
    <row r="574" spans="2:9" x14ac:dyDescent="0.25">
      <c r="B574" s="84">
        <v>13927</v>
      </c>
      <c r="D574" s="84" t="str">
        <f t="shared" si="8"/>
        <v/>
      </c>
      <c r="H574" s="84">
        <f>IFERROR(VLOOKUP(B574,Заказ!B:Q,5,0),0)</f>
        <v>0</v>
      </c>
      <c r="I574" s="84">
        <f>IFERROR(VLOOKUP(B574,Заказ!B:Q,16,0),0)</f>
        <v>0</v>
      </c>
    </row>
    <row r="575" spans="2:9" x14ac:dyDescent="0.25">
      <c r="B575" s="84">
        <v>13928</v>
      </c>
      <c r="D575" s="84" t="str">
        <f t="shared" si="8"/>
        <v/>
      </c>
      <c r="H575" s="84">
        <f>IFERROR(VLOOKUP(B575,Заказ!B:Q,5,0),0)</f>
        <v>0</v>
      </c>
      <c r="I575" s="84">
        <f>IFERROR(VLOOKUP(B575,Заказ!B:Q,16,0),0)</f>
        <v>0</v>
      </c>
    </row>
    <row r="576" spans="2:9" x14ac:dyDescent="0.25">
      <c r="B576" s="84">
        <v>14665</v>
      </c>
      <c r="D576" s="84" t="str">
        <f t="shared" si="8"/>
        <v/>
      </c>
      <c r="H576" s="84">
        <f>IFERROR(VLOOKUP(B576,Заказ!B:Q,5,0),0)</f>
        <v>0</v>
      </c>
      <c r="I576" s="84">
        <f>IFERROR(VLOOKUP(B576,Заказ!B:Q,16,0),0)</f>
        <v>0</v>
      </c>
    </row>
    <row r="577" spans="2:9" x14ac:dyDescent="0.25">
      <c r="B577" s="84">
        <v>21114</v>
      </c>
      <c r="D577" s="84" t="str">
        <f t="shared" si="8"/>
        <v/>
      </c>
      <c r="H577" s="84">
        <f>IFERROR(VLOOKUP(B577,Заказ!B:Q,5,0),0)</f>
        <v>0</v>
      </c>
      <c r="I577" s="84">
        <f>IFERROR(VLOOKUP(B577,Заказ!B:Q,16,0),0)</f>
        <v>0</v>
      </c>
    </row>
    <row r="578" spans="2:9" x14ac:dyDescent="0.25">
      <c r="B578" s="84">
        <v>13925</v>
      </c>
      <c r="D578" s="84" t="str">
        <f t="shared" si="8"/>
        <v/>
      </c>
      <c r="H578" s="84">
        <f>IFERROR(VLOOKUP(B578,Заказ!B:Q,5,0),0)</f>
        <v>0</v>
      </c>
      <c r="I578" s="84">
        <f>IFERROR(VLOOKUP(B578,Заказ!B:Q,16,0),0)</f>
        <v>0</v>
      </c>
    </row>
    <row r="579" spans="2:9" x14ac:dyDescent="0.25">
      <c r="B579" s="84">
        <v>13926</v>
      </c>
      <c r="D579" s="84" t="str">
        <f t="shared" si="8"/>
        <v/>
      </c>
      <c r="H579" s="84">
        <f>IFERROR(VLOOKUP(B579,Заказ!B:Q,5,0),0)</f>
        <v>0</v>
      </c>
      <c r="I579" s="84">
        <f>IFERROR(VLOOKUP(B579,Заказ!B:Q,16,0),0)</f>
        <v>0</v>
      </c>
    </row>
    <row r="580" spans="2:9" x14ac:dyDescent="0.25">
      <c r="B580" s="84">
        <v>13849</v>
      </c>
      <c r="D580" s="84" t="str">
        <f t="shared" si="8"/>
        <v/>
      </c>
      <c r="H580" s="84">
        <f>IFERROR(VLOOKUP(B580,Заказ!B:Q,5,0),0)</f>
        <v>0</v>
      </c>
      <c r="I580" s="84">
        <f>IFERROR(VLOOKUP(B580,Заказ!B:Q,16,0),0)</f>
        <v>0</v>
      </c>
    </row>
    <row r="581" spans="2:9" x14ac:dyDescent="0.25">
      <c r="B581" s="84">
        <v>13434</v>
      </c>
      <c r="D581" s="84" t="str">
        <f t="shared" si="8"/>
        <v/>
      </c>
      <c r="H581" s="84">
        <f>IFERROR(VLOOKUP(B581,Заказ!B:Q,5,0),0)</f>
        <v>0</v>
      </c>
      <c r="I581" s="84">
        <f>IFERROR(VLOOKUP(B581,Заказ!B:Q,16,0),0)</f>
        <v>0</v>
      </c>
    </row>
    <row r="582" spans="2:9" x14ac:dyDescent="0.25">
      <c r="B582" s="84">
        <v>13407</v>
      </c>
      <c r="D582" s="84" t="str">
        <f t="shared" si="8"/>
        <v/>
      </c>
      <c r="H582" s="84">
        <f>IFERROR(VLOOKUP(B582,Заказ!B:Q,5,0),0)</f>
        <v>0</v>
      </c>
      <c r="I582" s="84">
        <f>IFERROR(VLOOKUP(B582,Заказ!B:Q,16,0),0)</f>
        <v>0</v>
      </c>
    </row>
    <row r="583" spans="2:9" x14ac:dyDescent="0.25">
      <c r="B583" s="84">
        <v>17165</v>
      </c>
      <c r="D583" s="84" t="str">
        <f t="shared" si="8"/>
        <v/>
      </c>
      <c r="H583" s="84">
        <f>IFERROR(VLOOKUP(B583,Заказ!B:Q,5,0),0)</f>
        <v>0</v>
      </c>
      <c r="I583" s="84">
        <f>IFERROR(VLOOKUP(B583,Заказ!B:Q,16,0),0)</f>
        <v>0</v>
      </c>
    </row>
    <row r="584" spans="2:9" x14ac:dyDescent="0.25">
      <c r="B584" s="84">
        <v>17167</v>
      </c>
      <c r="D584" s="84" t="str">
        <f t="shared" si="8"/>
        <v/>
      </c>
      <c r="H584" s="84">
        <f>IFERROR(VLOOKUP(B584,Заказ!B:Q,5,0),0)</f>
        <v>0</v>
      </c>
      <c r="I584" s="84">
        <f>IFERROR(VLOOKUP(B584,Заказ!B:Q,16,0),0)</f>
        <v>0</v>
      </c>
    </row>
    <row r="585" spans="2:9" x14ac:dyDescent="0.25">
      <c r="B585" s="84">
        <v>18260</v>
      </c>
      <c r="D585" s="84" t="str">
        <f t="shared" si="8"/>
        <v/>
      </c>
      <c r="H585" s="84">
        <f>IFERROR(VLOOKUP(B585,Заказ!B:Q,5,0),0)</f>
        <v>0</v>
      </c>
      <c r="I585" s="84">
        <f>IFERROR(VLOOKUP(B585,Заказ!B:Q,16,0),0)</f>
        <v>0</v>
      </c>
    </row>
    <row r="586" spans="2:9" x14ac:dyDescent="0.25">
      <c r="B586" s="84">
        <v>17163</v>
      </c>
      <c r="D586" s="84" t="str">
        <f t="shared" si="8"/>
        <v/>
      </c>
      <c r="H586" s="84">
        <f>IFERROR(VLOOKUP(B586,Заказ!B:Q,5,0),0)</f>
        <v>0</v>
      </c>
      <c r="I586" s="84">
        <f>IFERROR(VLOOKUP(B586,Заказ!B:Q,16,0),0)</f>
        <v>0</v>
      </c>
    </row>
    <row r="587" spans="2:9" x14ac:dyDescent="0.25">
      <c r="B587" s="84">
        <v>19549</v>
      </c>
      <c r="D587" s="84" t="str">
        <f t="shared" si="8"/>
        <v/>
      </c>
      <c r="H587" s="84">
        <f>IFERROR(VLOOKUP(B587,Заказ!B:Q,5,0),0)</f>
        <v>0</v>
      </c>
      <c r="I587" s="84">
        <f>IFERROR(VLOOKUP(B587,Заказ!B:Q,16,0),0)</f>
        <v>0</v>
      </c>
    </row>
    <row r="588" spans="2:9" x14ac:dyDescent="0.25">
      <c r="B588" s="84">
        <v>17160</v>
      </c>
      <c r="D588" s="84" t="str">
        <f t="shared" si="8"/>
        <v/>
      </c>
      <c r="H588" s="84">
        <f>IFERROR(VLOOKUP(B588,Заказ!B:Q,5,0),0)</f>
        <v>0</v>
      </c>
      <c r="I588" s="84">
        <f>IFERROR(VLOOKUP(B588,Заказ!B:Q,16,0),0)</f>
        <v>0</v>
      </c>
    </row>
    <row r="589" spans="2:9" x14ac:dyDescent="0.25">
      <c r="B589" s="84">
        <v>17166</v>
      </c>
      <c r="D589" s="84" t="str">
        <f t="shared" si="8"/>
        <v/>
      </c>
      <c r="H589" s="84">
        <f>IFERROR(VLOOKUP(B589,Заказ!B:Q,5,0),0)</f>
        <v>0</v>
      </c>
      <c r="I589" s="84">
        <f>IFERROR(VLOOKUP(B589,Заказ!B:Q,16,0),0)</f>
        <v>0</v>
      </c>
    </row>
    <row r="590" spans="2:9" x14ac:dyDescent="0.25">
      <c r="B590" s="84">
        <v>17330</v>
      </c>
      <c r="D590" s="84" t="str">
        <f t="shared" si="8"/>
        <v/>
      </c>
      <c r="H590" s="84">
        <f>IFERROR(VLOOKUP(B590,Заказ!B:Q,5,0),0)</f>
        <v>0</v>
      </c>
      <c r="I590" s="84">
        <f>IFERROR(VLOOKUP(B590,Заказ!B:Q,16,0),0)</f>
        <v>0</v>
      </c>
    </row>
    <row r="591" spans="2:9" x14ac:dyDescent="0.25">
      <c r="B591" s="84">
        <v>17164</v>
      </c>
      <c r="D591" s="84" t="str">
        <f t="shared" si="8"/>
        <v/>
      </c>
      <c r="H591" s="84">
        <f>IFERROR(VLOOKUP(B591,Заказ!B:Q,5,0),0)</f>
        <v>0</v>
      </c>
      <c r="I591" s="84">
        <f>IFERROR(VLOOKUP(B591,Заказ!B:Q,16,0),0)</f>
        <v>0</v>
      </c>
    </row>
    <row r="592" spans="2:9" x14ac:dyDescent="0.25">
      <c r="B592" s="84">
        <v>17329</v>
      </c>
      <c r="D592" s="84" t="str">
        <f t="shared" si="8"/>
        <v/>
      </c>
      <c r="H592" s="84">
        <f>IFERROR(VLOOKUP(B592,Заказ!B:Q,5,0),0)</f>
        <v>0</v>
      </c>
      <c r="I592" s="84">
        <f>IFERROR(VLOOKUP(B592,Заказ!B:Q,16,0),0)</f>
        <v>0</v>
      </c>
    </row>
    <row r="593" spans="2:9" x14ac:dyDescent="0.25">
      <c r="B593" s="84">
        <v>17159</v>
      </c>
      <c r="D593" s="84" t="str">
        <f t="shared" si="8"/>
        <v/>
      </c>
      <c r="H593" s="84">
        <f>IFERROR(VLOOKUP(B593,Заказ!B:Q,5,0),0)</f>
        <v>0</v>
      </c>
      <c r="I593" s="84">
        <f>IFERROR(VLOOKUP(B593,Заказ!B:Q,16,0),0)</f>
        <v>0</v>
      </c>
    </row>
    <row r="594" spans="2:9" x14ac:dyDescent="0.25">
      <c r="B594" s="84">
        <v>19550</v>
      </c>
      <c r="D594" s="84" t="str">
        <f t="shared" ref="D594:D651" si="9">IFERROR(ROUND(I594/H594,2),"")</f>
        <v/>
      </c>
      <c r="H594" s="84">
        <f>IFERROR(VLOOKUP(B594,Заказ!B:Q,5,0),0)</f>
        <v>0</v>
      </c>
      <c r="I594" s="84">
        <f>IFERROR(VLOOKUP(B594,Заказ!B:Q,16,0),0)</f>
        <v>0</v>
      </c>
    </row>
    <row r="595" spans="2:9" x14ac:dyDescent="0.25">
      <c r="B595" s="84">
        <v>17168</v>
      </c>
      <c r="D595" s="84" t="str">
        <f t="shared" si="9"/>
        <v/>
      </c>
      <c r="H595" s="84">
        <f>IFERROR(VLOOKUP(B595,Заказ!B:Q,5,0),0)</f>
        <v>0</v>
      </c>
      <c r="I595" s="84">
        <f>IFERROR(VLOOKUP(B595,Заказ!B:Q,16,0),0)</f>
        <v>0</v>
      </c>
    </row>
    <row r="596" spans="2:9" x14ac:dyDescent="0.25">
      <c r="B596" s="84">
        <v>17162</v>
      </c>
      <c r="D596" s="84" t="str">
        <f t="shared" si="9"/>
        <v/>
      </c>
      <c r="H596" s="84">
        <f>IFERROR(VLOOKUP(B596,Заказ!B:Q,5,0),0)</f>
        <v>0</v>
      </c>
      <c r="I596" s="84">
        <f>IFERROR(VLOOKUP(B596,Заказ!B:Q,16,0),0)</f>
        <v>0</v>
      </c>
    </row>
    <row r="597" spans="2:9" x14ac:dyDescent="0.25">
      <c r="B597" s="84">
        <v>17161</v>
      </c>
      <c r="D597" s="84" t="str">
        <f t="shared" si="9"/>
        <v/>
      </c>
      <c r="H597" s="84">
        <f>IFERROR(VLOOKUP(B597,Заказ!B:Q,5,0),0)</f>
        <v>0</v>
      </c>
      <c r="I597" s="84">
        <f>IFERROR(VLOOKUP(B597,Заказ!B:Q,16,0),0)</f>
        <v>0</v>
      </c>
    </row>
    <row r="598" spans="2:9" x14ac:dyDescent="0.25">
      <c r="B598" s="84">
        <v>18089</v>
      </c>
      <c r="D598" s="84" t="str">
        <f t="shared" si="9"/>
        <v/>
      </c>
      <c r="H598" s="84">
        <f>IFERROR(VLOOKUP(B598,Заказ!B:Q,5,0),0)</f>
        <v>0</v>
      </c>
      <c r="I598" s="84">
        <f>IFERROR(VLOOKUP(B598,Заказ!B:Q,16,0),0)</f>
        <v>0</v>
      </c>
    </row>
    <row r="599" spans="2:9" x14ac:dyDescent="0.25">
      <c r="B599" s="84">
        <v>19683</v>
      </c>
      <c r="D599" s="84" t="str">
        <f t="shared" si="9"/>
        <v/>
      </c>
      <c r="H599" s="84">
        <f>IFERROR(VLOOKUP(B599,Заказ!B:Q,5,0),0)</f>
        <v>0</v>
      </c>
      <c r="I599" s="84">
        <f>IFERROR(VLOOKUP(B599,Заказ!B:Q,16,0),0)</f>
        <v>0</v>
      </c>
    </row>
    <row r="600" spans="2:9" x14ac:dyDescent="0.25">
      <c r="B600" s="84">
        <v>19682</v>
      </c>
      <c r="D600" s="84" t="str">
        <f t="shared" si="9"/>
        <v/>
      </c>
      <c r="H600" s="84">
        <f>IFERROR(VLOOKUP(B600,Заказ!B:Q,5,0),0)</f>
        <v>0</v>
      </c>
      <c r="I600" s="84">
        <f>IFERROR(VLOOKUP(B600,Заказ!B:Q,16,0),0)</f>
        <v>0</v>
      </c>
    </row>
    <row r="601" spans="2:9" x14ac:dyDescent="0.25">
      <c r="B601" s="84">
        <v>13490</v>
      </c>
      <c r="D601" s="84" t="str">
        <f t="shared" si="9"/>
        <v/>
      </c>
      <c r="H601" s="84">
        <f>IFERROR(VLOOKUP(B601,Заказ!B:Q,5,0),0)</f>
        <v>0</v>
      </c>
      <c r="I601" s="84">
        <f>IFERROR(VLOOKUP(B601,Заказ!B:Q,16,0),0)</f>
        <v>0</v>
      </c>
    </row>
    <row r="602" spans="2:9" x14ac:dyDescent="0.25">
      <c r="B602" s="84">
        <v>13487</v>
      </c>
      <c r="D602" s="84" t="str">
        <f t="shared" si="9"/>
        <v/>
      </c>
      <c r="H602" s="84">
        <f>IFERROR(VLOOKUP(B602,Заказ!B:Q,5,0),0)</f>
        <v>0</v>
      </c>
      <c r="I602" s="84">
        <f>IFERROR(VLOOKUP(B602,Заказ!B:Q,16,0),0)</f>
        <v>0</v>
      </c>
    </row>
    <row r="603" spans="2:9" x14ac:dyDescent="0.25">
      <c r="B603" s="84">
        <v>13489</v>
      </c>
      <c r="D603" s="84" t="str">
        <f t="shared" si="9"/>
        <v/>
      </c>
      <c r="H603" s="84">
        <f>IFERROR(VLOOKUP(B603,Заказ!B:Q,5,0),0)</f>
        <v>0</v>
      </c>
      <c r="I603" s="84">
        <f>IFERROR(VLOOKUP(B603,Заказ!B:Q,16,0),0)</f>
        <v>0</v>
      </c>
    </row>
    <row r="604" spans="2:9" x14ac:dyDescent="0.25">
      <c r="B604" s="84">
        <v>18827</v>
      </c>
      <c r="D604" s="84" t="str">
        <f t="shared" si="9"/>
        <v/>
      </c>
      <c r="H604" s="84">
        <f>IFERROR(VLOOKUP(B604,Заказ!B:Q,5,0),0)</f>
        <v>0</v>
      </c>
      <c r="I604" s="84">
        <f>IFERROR(VLOOKUP(B604,Заказ!B:Q,16,0),0)</f>
        <v>0</v>
      </c>
    </row>
    <row r="605" spans="2:9" x14ac:dyDescent="0.25">
      <c r="B605" s="84">
        <v>14969</v>
      </c>
      <c r="D605" s="84" t="str">
        <f t="shared" si="9"/>
        <v/>
      </c>
      <c r="H605" s="84">
        <f>IFERROR(VLOOKUP(B605,Заказ!B:Q,5,0),0)</f>
        <v>0</v>
      </c>
      <c r="I605" s="84">
        <f>IFERROR(VLOOKUP(B605,Заказ!B:Q,16,0),0)</f>
        <v>0</v>
      </c>
    </row>
    <row r="606" spans="2:9" x14ac:dyDescent="0.25">
      <c r="B606" s="84">
        <v>13601</v>
      </c>
      <c r="D606" s="84" t="str">
        <f t="shared" si="9"/>
        <v/>
      </c>
      <c r="H606" s="84">
        <f>IFERROR(VLOOKUP(B606,Заказ!B:Q,5,0),0)</f>
        <v>0</v>
      </c>
      <c r="I606" s="84">
        <f>IFERROR(VLOOKUP(B606,Заказ!B:Q,16,0),0)</f>
        <v>0</v>
      </c>
    </row>
    <row r="607" spans="2:9" x14ac:dyDescent="0.25">
      <c r="B607" s="84">
        <v>13602</v>
      </c>
      <c r="D607" s="84" t="str">
        <f t="shared" si="9"/>
        <v/>
      </c>
      <c r="H607" s="84">
        <f>IFERROR(VLOOKUP(B607,Заказ!B:Q,5,0),0)</f>
        <v>0</v>
      </c>
      <c r="I607" s="84">
        <f>IFERROR(VLOOKUP(B607,Заказ!B:Q,16,0),0)</f>
        <v>0</v>
      </c>
    </row>
    <row r="608" spans="2:9" x14ac:dyDescent="0.25">
      <c r="B608" s="84">
        <v>13600</v>
      </c>
      <c r="D608" s="84" t="str">
        <f t="shared" si="9"/>
        <v/>
      </c>
      <c r="H608" s="84">
        <f>IFERROR(VLOOKUP(B608,Заказ!B:Q,5,0),0)</f>
        <v>0</v>
      </c>
      <c r="I608" s="84">
        <f>IFERROR(VLOOKUP(B608,Заказ!B:Q,16,0),0)</f>
        <v>0</v>
      </c>
    </row>
    <row r="609" spans="2:9" x14ac:dyDescent="0.25">
      <c r="B609" s="84">
        <v>13486</v>
      </c>
      <c r="D609" s="84" t="str">
        <f t="shared" si="9"/>
        <v/>
      </c>
      <c r="H609" s="84">
        <f>IFERROR(VLOOKUP(B609,Заказ!B:Q,5,0),0)</f>
        <v>0</v>
      </c>
      <c r="I609" s="84">
        <f>IFERROR(VLOOKUP(B609,Заказ!B:Q,16,0),0)</f>
        <v>0</v>
      </c>
    </row>
    <row r="610" spans="2:9" x14ac:dyDescent="0.25">
      <c r="B610" s="84">
        <v>14557</v>
      </c>
      <c r="D610" s="84" t="str">
        <f t="shared" si="9"/>
        <v/>
      </c>
      <c r="H610" s="84">
        <f>IFERROR(VLOOKUP(B610,Заказ!B:Q,5,0),0)</f>
        <v>0</v>
      </c>
      <c r="I610" s="84">
        <f>IFERROR(VLOOKUP(B610,Заказ!B:Q,16,0),0)</f>
        <v>0</v>
      </c>
    </row>
    <row r="611" spans="2:9" x14ac:dyDescent="0.25">
      <c r="B611" s="84">
        <v>20283</v>
      </c>
      <c r="D611" s="84" t="str">
        <f t="shared" si="9"/>
        <v/>
      </c>
      <c r="H611" s="84">
        <f>IFERROR(VLOOKUP(B611,Заказ!B:Q,5,0),0)</f>
        <v>0</v>
      </c>
      <c r="I611" s="84">
        <f>IFERROR(VLOOKUP(B611,Заказ!B:Q,16,0),0)</f>
        <v>0</v>
      </c>
    </row>
    <row r="612" spans="2:9" x14ac:dyDescent="0.25">
      <c r="B612" s="84">
        <v>19195</v>
      </c>
      <c r="D612" s="84" t="str">
        <f t="shared" si="9"/>
        <v/>
      </c>
      <c r="H612" s="84">
        <f>IFERROR(VLOOKUP(B612,Заказ!B:Q,5,0),0)</f>
        <v>0</v>
      </c>
      <c r="I612" s="84">
        <f>IFERROR(VLOOKUP(B612,Заказ!B:Q,16,0),0)</f>
        <v>0</v>
      </c>
    </row>
    <row r="613" spans="2:9" x14ac:dyDescent="0.25">
      <c r="B613" s="84">
        <v>19194</v>
      </c>
      <c r="D613" s="84" t="str">
        <f t="shared" si="9"/>
        <v/>
      </c>
      <c r="H613" s="84">
        <f>IFERROR(VLOOKUP(B613,Заказ!B:Q,5,0),0)</f>
        <v>0</v>
      </c>
      <c r="I613" s="84">
        <f>IFERROR(VLOOKUP(B613,Заказ!B:Q,16,0),0)</f>
        <v>0</v>
      </c>
    </row>
    <row r="614" spans="2:9" x14ac:dyDescent="0.25">
      <c r="B614" s="84">
        <v>19193</v>
      </c>
      <c r="D614" s="84" t="str">
        <f t="shared" si="9"/>
        <v/>
      </c>
      <c r="H614" s="84">
        <f>IFERROR(VLOOKUP(B614,Заказ!B:Q,5,0),0)</f>
        <v>0</v>
      </c>
      <c r="I614" s="84">
        <f>IFERROR(VLOOKUP(B614,Заказ!B:Q,16,0),0)</f>
        <v>0</v>
      </c>
    </row>
    <row r="615" spans="2:9" x14ac:dyDescent="0.25">
      <c r="B615" s="84">
        <v>19196</v>
      </c>
      <c r="D615" s="84" t="str">
        <f t="shared" si="9"/>
        <v/>
      </c>
      <c r="H615" s="84">
        <f>IFERROR(VLOOKUP(B615,Заказ!B:Q,5,0),0)</f>
        <v>0</v>
      </c>
      <c r="I615" s="84">
        <f>IFERROR(VLOOKUP(B615,Заказ!B:Q,16,0),0)</f>
        <v>0</v>
      </c>
    </row>
    <row r="616" spans="2:9" x14ac:dyDescent="0.25">
      <c r="B616" s="84">
        <v>20172</v>
      </c>
      <c r="D616" s="84" t="str">
        <f t="shared" si="9"/>
        <v/>
      </c>
      <c r="H616" s="84">
        <f>IFERROR(VLOOKUP(B616,Заказ!B:Q,5,0),0)</f>
        <v>0</v>
      </c>
      <c r="I616" s="84">
        <f>IFERROR(VLOOKUP(B616,Заказ!B:Q,16,0),0)</f>
        <v>0</v>
      </c>
    </row>
    <row r="617" spans="2:9" x14ac:dyDescent="0.25">
      <c r="B617" s="84">
        <v>19132</v>
      </c>
      <c r="D617" s="84" t="str">
        <f t="shared" si="9"/>
        <v/>
      </c>
      <c r="H617" s="84">
        <f>IFERROR(VLOOKUP(B617,Заказ!B:Q,5,0),0)</f>
        <v>0</v>
      </c>
      <c r="I617" s="84">
        <f>IFERROR(VLOOKUP(B617,Заказ!B:Q,16,0),0)</f>
        <v>0</v>
      </c>
    </row>
    <row r="618" spans="2:9" x14ac:dyDescent="0.25">
      <c r="B618" s="84">
        <v>19133</v>
      </c>
      <c r="D618" s="84" t="str">
        <f t="shared" si="9"/>
        <v/>
      </c>
      <c r="H618" s="84">
        <f>IFERROR(VLOOKUP(B618,Заказ!B:Q,5,0),0)</f>
        <v>0</v>
      </c>
      <c r="I618" s="84">
        <f>IFERROR(VLOOKUP(B618,Заказ!B:Q,16,0),0)</f>
        <v>0</v>
      </c>
    </row>
    <row r="619" spans="2:9" x14ac:dyDescent="0.25">
      <c r="B619" s="84">
        <v>19134</v>
      </c>
      <c r="D619" s="84" t="str">
        <f t="shared" si="9"/>
        <v/>
      </c>
      <c r="H619" s="84">
        <f>IFERROR(VLOOKUP(B619,Заказ!B:Q,5,0),0)</f>
        <v>0</v>
      </c>
      <c r="I619" s="84">
        <f>IFERROR(VLOOKUP(B619,Заказ!B:Q,16,0),0)</f>
        <v>0</v>
      </c>
    </row>
    <row r="620" spans="2:9" x14ac:dyDescent="0.25">
      <c r="B620" s="84">
        <v>19135</v>
      </c>
      <c r="D620" s="84" t="str">
        <f t="shared" si="9"/>
        <v/>
      </c>
      <c r="H620" s="84">
        <f>IFERROR(VLOOKUP(B620,Заказ!B:Q,5,0),0)</f>
        <v>0</v>
      </c>
      <c r="I620" s="84">
        <f>IFERROR(VLOOKUP(B620,Заказ!B:Q,16,0),0)</f>
        <v>0</v>
      </c>
    </row>
    <row r="621" spans="2:9" x14ac:dyDescent="0.25">
      <c r="B621" s="84">
        <v>15542</v>
      </c>
      <c r="D621" s="84" t="str">
        <f t="shared" si="9"/>
        <v/>
      </c>
      <c r="H621" s="84">
        <f>IFERROR(VLOOKUP(B621,Заказ!B:Q,5,0),0)</f>
        <v>0</v>
      </c>
      <c r="I621" s="84">
        <f>IFERROR(VLOOKUP(B621,Заказ!B:Q,16,0),0)</f>
        <v>0</v>
      </c>
    </row>
    <row r="622" spans="2:9" x14ac:dyDescent="0.25">
      <c r="B622" s="84">
        <v>14442</v>
      </c>
      <c r="D622" s="84" t="str">
        <f t="shared" si="9"/>
        <v/>
      </c>
      <c r="H622" s="84">
        <f>IFERROR(VLOOKUP(B622,Заказ!B:Q,5,0),0)</f>
        <v>0</v>
      </c>
      <c r="I622" s="84">
        <f>IFERROR(VLOOKUP(B622,Заказ!B:Q,16,0),0)</f>
        <v>0</v>
      </c>
    </row>
    <row r="623" spans="2:9" x14ac:dyDescent="0.25">
      <c r="B623" s="84">
        <v>14441</v>
      </c>
      <c r="D623" s="84" t="str">
        <f t="shared" si="9"/>
        <v/>
      </c>
      <c r="H623" s="84">
        <f>IFERROR(VLOOKUP(B623,Заказ!B:Q,5,0),0)</f>
        <v>0</v>
      </c>
      <c r="I623" s="84">
        <f>IFERROR(VLOOKUP(B623,Заказ!B:Q,16,0),0)</f>
        <v>0</v>
      </c>
    </row>
    <row r="624" spans="2:9" x14ac:dyDescent="0.25">
      <c r="B624" s="84">
        <v>16554</v>
      </c>
      <c r="D624" s="84" t="str">
        <f t="shared" si="9"/>
        <v/>
      </c>
      <c r="H624" s="84">
        <f>IFERROR(VLOOKUP(B624,Заказ!B:Q,5,0),0)</f>
        <v>0</v>
      </c>
      <c r="I624" s="84">
        <f>IFERROR(VLOOKUP(B624,Заказ!B:Q,16,0),0)</f>
        <v>0</v>
      </c>
    </row>
    <row r="625" spans="2:9" x14ac:dyDescent="0.25">
      <c r="B625" s="84">
        <v>16555</v>
      </c>
      <c r="D625" s="84" t="str">
        <f t="shared" si="9"/>
        <v/>
      </c>
      <c r="H625" s="84">
        <f>IFERROR(VLOOKUP(B625,Заказ!B:Q,5,0),0)</f>
        <v>0</v>
      </c>
      <c r="I625" s="84">
        <f>IFERROR(VLOOKUP(B625,Заказ!B:Q,16,0),0)</f>
        <v>0</v>
      </c>
    </row>
    <row r="626" spans="2:9" x14ac:dyDescent="0.25">
      <c r="B626" s="84">
        <v>16577</v>
      </c>
      <c r="D626" s="84" t="str">
        <f t="shared" si="9"/>
        <v/>
      </c>
      <c r="H626" s="84">
        <f>IFERROR(VLOOKUP(B626,Заказ!B:Q,5,0),0)</f>
        <v>0</v>
      </c>
      <c r="I626" s="84">
        <f>IFERROR(VLOOKUP(B626,Заказ!B:Q,16,0),0)</f>
        <v>0</v>
      </c>
    </row>
    <row r="627" spans="2:9" x14ac:dyDescent="0.25">
      <c r="B627" s="84">
        <v>16578</v>
      </c>
      <c r="D627" s="84" t="str">
        <f t="shared" si="9"/>
        <v/>
      </c>
      <c r="H627" s="84">
        <f>IFERROR(VLOOKUP(B627,Заказ!B:Q,5,0),0)</f>
        <v>0</v>
      </c>
      <c r="I627" s="84">
        <f>IFERROR(VLOOKUP(B627,Заказ!B:Q,16,0),0)</f>
        <v>0</v>
      </c>
    </row>
    <row r="628" spans="2:9" x14ac:dyDescent="0.25">
      <c r="B628" s="84">
        <v>16580</v>
      </c>
      <c r="D628" s="84" t="str">
        <f t="shared" si="9"/>
        <v/>
      </c>
      <c r="H628" s="84">
        <f>IFERROR(VLOOKUP(B628,Заказ!B:Q,5,0),0)</f>
        <v>0</v>
      </c>
      <c r="I628" s="84">
        <f>IFERROR(VLOOKUP(B628,Заказ!B:Q,16,0),0)</f>
        <v>0</v>
      </c>
    </row>
    <row r="629" spans="2:9" x14ac:dyDescent="0.25">
      <c r="B629" s="84">
        <v>20284</v>
      </c>
      <c r="D629" s="84" t="str">
        <f t="shared" si="9"/>
        <v/>
      </c>
      <c r="H629" s="84">
        <f>IFERROR(VLOOKUP(B629,Заказ!B:Q,5,0),0)</f>
        <v>0</v>
      </c>
      <c r="I629" s="84">
        <f>IFERROR(VLOOKUP(B629,Заказ!B:Q,16,0),0)</f>
        <v>0</v>
      </c>
    </row>
    <row r="630" spans="2:9" x14ac:dyDescent="0.25">
      <c r="B630" s="84">
        <v>20285</v>
      </c>
      <c r="D630" s="84" t="str">
        <f t="shared" si="9"/>
        <v/>
      </c>
      <c r="H630" s="84">
        <f>IFERROR(VLOOKUP(B630,Заказ!B:Q,5,0),0)</f>
        <v>0</v>
      </c>
      <c r="I630" s="84">
        <f>IFERROR(VLOOKUP(B630,Заказ!B:Q,16,0),0)</f>
        <v>0</v>
      </c>
    </row>
    <row r="631" spans="2:9" x14ac:dyDescent="0.25">
      <c r="B631" s="84">
        <v>20286</v>
      </c>
      <c r="D631" s="84" t="str">
        <f t="shared" si="9"/>
        <v/>
      </c>
      <c r="H631" s="84">
        <f>IFERROR(VLOOKUP(B631,Заказ!B:Q,5,0),0)</f>
        <v>0</v>
      </c>
      <c r="I631" s="84">
        <f>IFERROR(VLOOKUP(B631,Заказ!B:Q,16,0),0)</f>
        <v>0</v>
      </c>
    </row>
    <row r="632" spans="2:9" x14ac:dyDescent="0.25">
      <c r="B632" s="84">
        <v>20287</v>
      </c>
      <c r="D632" s="84" t="str">
        <f t="shared" si="9"/>
        <v/>
      </c>
      <c r="H632" s="84">
        <f>IFERROR(VLOOKUP(B632,Заказ!B:Q,5,0),0)</f>
        <v>0</v>
      </c>
      <c r="I632" s="84">
        <f>IFERROR(VLOOKUP(B632,Заказ!B:Q,16,0),0)</f>
        <v>0</v>
      </c>
    </row>
    <row r="633" spans="2:9" x14ac:dyDescent="0.25">
      <c r="B633" s="84">
        <v>20826</v>
      </c>
      <c r="D633" s="84" t="str">
        <f t="shared" si="9"/>
        <v/>
      </c>
      <c r="H633" s="84">
        <f>IFERROR(VLOOKUP(B633,Заказ!B:Q,5,0),0)</f>
        <v>0</v>
      </c>
      <c r="I633" s="84">
        <f>IFERROR(VLOOKUP(B633,Заказ!B:Q,16,0),0)</f>
        <v>0</v>
      </c>
    </row>
    <row r="634" spans="2:9" x14ac:dyDescent="0.25">
      <c r="B634" s="84">
        <v>20827</v>
      </c>
      <c r="D634" s="84" t="str">
        <f t="shared" si="9"/>
        <v/>
      </c>
      <c r="H634" s="84">
        <f>IFERROR(VLOOKUP(B634,Заказ!B:Q,5,0),0)</f>
        <v>0</v>
      </c>
      <c r="I634" s="84">
        <f>IFERROR(VLOOKUP(B634,Заказ!B:Q,16,0),0)</f>
        <v>0</v>
      </c>
    </row>
    <row r="635" spans="2:9" x14ac:dyDescent="0.25">
      <c r="B635" s="84">
        <v>20828</v>
      </c>
      <c r="D635" s="84" t="str">
        <f t="shared" si="9"/>
        <v/>
      </c>
      <c r="H635" s="84">
        <f>IFERROR(VLOOKUP(B635,Заказ!B:Q,5,0),0)</f>
        <v>0</v>
      </c>
      <c r="I635" s="84">
        <f>IFERROR(VLOOKUP(B635,Заказ!B:Q,16,0),0)</f>
        <v>0</v>
      </c>
    </row>
    <row r="636" spans="2:9" x14ac:dyDescent="0.25">
      <c r="B636" s="84">
        <v>20836</v>
      </c>
      <c r="D636" s="84" t="str">
        <f t="shared" si="9"/>
        <v/>
      </c>
      <c r="H636" s="84">
        <f>IFERROR(VLOOKUP(B636,Заказ!B:Q,5,0),0)</f>
        <v>0</v>
      </c>
      <c r="I636" s="84">
        <f>IFERROR(VLOOKUP(B636,Заказ!B:Q,16,0),0)</f>
        <v>0</v>
      </c>
    </row>
    <row r="637" spans="2:9" x14ac:dyDescent="0.25">
      <c r="B637" s="84">
        <v>20851</v>
      </c>
      <c r="D637" s="84" t="str">
        <f t="shared" si="9"/>
        <v/>
      </c>
      <c r="H637" s="84">
        <f>IFERROR(VLOOKUP(B637,Заказ!B:Q,5,0),0)</f>
        <v>0</v>
      </c>
      <c r="I637" s="84">
        <f>IFERROR(VLOOKUP(B637,Заказ!B:Q,16,0),0)</f>
        <v>0</v>
      </c>
    </row>
    <row r="638" spans="2:9" x14ac:dyDescent="0.25">
      <c r="B638" s="84">
        <v>20837</v>
      </c>
      <c r="D638" s="84" t="str">
        <f t="shared" si="9"/>
        <v/>
      </c>
      <c r="H638" s="84">
        <f>IFERROR(VLOOKUP(B638,Заказ!B:Q,5,0),0)</f>
        <v>0</v>
      </c>
      <c r="I638" s="84">
        <f>IFERROR(VLOOKUP(B638,Заказ!B:Q,16,0),0)</f>
        <v>0</v>
      </c>
    </row>
    <row r="639" spans="2:9" x14ac:dyDescent="0.25">
      <c r="B639" s="84">
        <v>20838</v>
      </c>
      <c r="D639" s="84" t="str">
        <f t="shared" si="9"/>
        <v/>
      </c>
      <c r="H639" s="84">
        <f>IFERROR(VLOOKUP(B639,Заказ!B:Q,5,0),0)</f>
        <v>0</v>
      </c>
      <c r="I639" s="84">
        <f>IFERROR(VLOOKUP(B639,Заказ!B:Q,16,0),0)</f>
        <v>0</v>
      </c>
    </row>
    <row r="640" spans="2:9" x14ac:dyDescent="0.25">
      <c r="B640" s="84">
        <v>19658</v>
      </c>
      <c r="D640" s="84" t="str">
        <f t="shared" si="9"/>
        <v/>
      </c>
      <c r="H640" s="84">
        <f>IFERROR(VLOOKUP(B640,Заказ!B:Q,5,0),0)</f>
        <v>0</v>
      </c>
      <c r="I640" s="84">
        <f>IFERROR(VLOOKUP(B640,Заказ!B:Q,16,0),0)</f>
        <v>0</v>
      </c>
    </row>
    <row r="641" spans="2:9" x14ac:dyDescent="0.25">
      <c r="B641" s="84">
        <v>19659</v>
      </c>
      <c r="D641" s="84" t="str">
        <f t="shared" si="9"/>
        <v/>
      </c>
      <c r="H641" s="84">
        <f>IFERROR(VLOOKUP(B641,Заказ!B:Q,5,0),0)</f>
        <v>0</v>
      </c>
      <c r="I641" s="84">
        <f>IFERROR(VLOOKUP(B641,Заказ!B:Q,16,0),0)</f>
        <v>0</v>
      </c>
    </row>
    <row r="642" spans="2:9" x14ac:dyDescent="0.25">
      <c r="B642" s="84">
        <v>20084</v>
      </c>
      <c r="D642" s="84" t="str">
        <f t="shared" si="9"/>
        <v/>
      </c>
      <c r="H642" s="84">
        <f>IFERROR(VLOOKUP(B642,Заказ!B:Q,5,0),0)</f>
        <v>0</v>
      </c>
      <c r="I642" s="84">
        <f>IFERROR(VLOOKUP(B642,Заказ!B:Q,16,0),0)</f>
        <v>0</v>
      </c>
    </row>
    <row r="643" spans="2:9" x14ac:dyDescent="0.25">
      <c r="B643" s="84">
        <v>19892</v>
      </c>
      <c r="D643" s="84" t="str">
        <f t="shared" si="9"/>
        <v/>
      </c>
      <c r="H643" s="84">
        <f>IFERROR(VLOOKUP(B643,Заказ!B:Q,5,0),0)</f>
        <v>0</v>
      </c>
      <c r="I643" s="84">
        <f>IFERROR(VLOOKUP(B643,Заказ!B:Q,16,0),0)</f>
        <v>0</v>
      </c>
    </row>
    <row r="644" spans="2:9" x14ac:dyDescent="0.25">
      <c r="B644" s="84">
        <v>19893</v>
      </c>
      <c r="D644" s="84" t="str">
        <f t="shared" si="9"/>
        <v/>
      </c>
      <c r="H644" s="84">
        <f>IFERROR(VLOOKUP(B644,Заказ!B:Q,5,0),0)</f>
        <v>0</v>
      </c>
      <c r="I644" s="84">
        <f>IFERROR(VLOOKUP(B644,Заказ!B:Q,16,0),0)</f>
        <v>0</v>
      </c>
    </row>
    <row r="645" spans="2:9" x14ac:dyDescent="0.25">
      <c r="B645" s="84">
        <v>20563</v>
      </c>
      <c r="D645" s="84" t="str">
        <f t="shared" si="9"/>
        <v/>
      </c>
      <c r="H645" s="84">
        <f>IFERROR(VLOOKUP(B645,Заказ!B:Q,5,0),0)</f>
        <v>0</v>
      </c>
      <c r="I645" s="84">
        <f>IFERROR(VLOOKUP(B645,Заказ!B:Q,16,0),0)</f>
        <v>0</v>
      </c>
    </row>
    <row r="646" spans="2:9" x14ac:dyDescent="0.25">
      <c r="B646" s="84">
        <v>19891</v>
      </c>
      <c r="D646" s="84" t="str">
        <f t="shared" si="9"/>
        <v/>
      </c>
      <c r="H646" s="84">
        <f>IFERROR(VLOOKUP(B646,Заказ!B:Q,5,0),0)</f>
        <v>0</v>
      </c>
      <c r="I646" s="84">
        <f>IFERROR(VLOOKUP(B646,Заказ!B:Q,16,0),0)</f>
        <v>0</v>
      </c>
    </row>
    <row r="647" spans="2:9" x14ac:dyDescent="0.25">
      <c r="B647" s="84">
        <v>19657</v>
      </c>
      <c r="D647" s="84" t="str">
        <f t="shared" si="9"/>
        <v/>
      </c>
      <c r="H647" s="84">
        <f>IFERROR(VLOOKUP(B647,Заказ!B:Q,5,0),0)</f>
        <v>0</v>
      </c>
      <c r="I647" s="84">
        <f>IFERROR(VLOOKUP(B647,Заказ!B:Q,16,0),0)</f>
        <v>0</v>
      </c>
    </row>
    <row r="648" spans="2:9" x14ac:dyDescent="0.25">
      <c r="B648" s="84">
        <v>20267</v>
      </c>
      <c r="D648" s="84" t="str">
        <f t="shared" si="9"/>
        <v/>
      </c>
      <c r="H648" s="84">
        <f>IFERROR(VLOOKUP(B648,Заказ!B:Q,5,0),0)</f>
        <v>0</v>
      </c>
      <c r="I648" s="84">
        <f>IFERROR(VLOOKUP(B648,Заказ!B:Q,16,0),0)</f>
        <v>0</v>
      </c>
    </row>
    <row r="649" spans="2:9" x14ac:dyDescent="0.25">
      <c r="B649" s="84">
        <v>20268</v>
      </c>
      <c r="D649" s="84" t="str">
        <f t="shared" si="9"/>
        <v/>
      </c>
      <c r="H649" s="84">
        <f>IFERROR(VLOOKUP(B649,Заказ!B:Q,5,0),0)</f>
        <v>0</v>
      </c>
      <c r="I649" s="84">
        <f>IFERROR(VLOOKUP(B649,Заказ!B:Q,16,0),0)</f>
        <v>0</v>
      </c>
    </row>
    <row r="650" spans="2:9" x14ac:dyDescent="0.25">
      <c r="B650" s="84">
        <v>15666</v>
      </c>
      <c r="D650" s="84" t="str">
        <f t="shared" si="9"/>
        <v/>
      </c>
      <c r="H650" s="84">
        <f>IFERROR(VLOOKUP(B650,Заказ!B:Q,5,0),0)</f>
        <v>0</v>
      </c>
      <c r="I650" s="84">
        <f>IFERROR(VLOOKUP(B650,Заказ!B:Q,16,0),0)</f>
        <v>0</v>
      </c>
    </row>
    <row r="651" spans="2:9" x14ac:dyDescent="0.25">
      <c r="B651" s="84">
        <v>15667</v>
      </c>
      <c r="D651" s="84" t="str">
        <f t="shared" si="9"/>
        <v/>
      </c>
      <c r="H651" s="84">
        <f>IFERROR(VLOOKUP(B651,Заказ!B:Q,5,0),0)</f>
        <v>0</v>
      </c>
      <c r="I651" s="84">
        <f>IFERROR(VLOOKUP(B651,Заказ!B:Q,16,0),0)</f>
        <v>0</v>
      </c>
    </row>
    <row r="652" spans="2:9" x14ac:dyDescent="0.25">
      <c r="B652" s="84">
        <v>15668</v>
      </c>
      <c r="D652" s="84" t="str">
        <f t="shared" ref="D652:D715" si="10">IFERROR(ROUND(I652/H652,2),"")</f>
        <v/>
      </c>
      <c r="H652" s="84">
        <f>IFERROR(VLOOKUP(B652,Заказ!B:Q,5,0),0)</f>
        <v>0</v>
      </c>
      <c r="I652" s="84">
        <f>IFERROR(VLOOKUP(B652,Заказ!B:Q,16,0),0)</f>
        <v>0</v>
      </c>
    </row>
    <row r="653" spans="2:9" x14ac:dyDescent="0.25">
      <c r="B653" s="84">
        <v>17071</v>
      </c>
      <c r="D653" s="84" t="str">
        <f t="shared" si="10"/>
        <v/>
      </c>
      <c r="H653" s="84">
        <f>IFERROR(VLOOKUP(B653,Заказ!B:Q,5,0),0)</f>
        <v>0</v>
      </c>
      <c r="I653" s="84">
        <f>IFERROR(VLOOKUP(B653,Заказ!B:Q,16,0),0)</f>
        <v>0</v>
      </c>
    </row>
    <row r="654" spans="2:9" x14ac:dyDescent="0.25">
      <c r="B654" s="84">
        <v>17072</v>
      </c>
      <c r="D654" s="84" t="str">
        <f t="shared" si="10"/>
        <v/>
      </c>
      <c r="H654" s="84">
        <f>IFERROR(VLOOKUP(B654,Заказ!B:Q,5,0),0)</f>
        <v>0</v>
      </c>
      <c r="I654" s="84">
        <f>IFERROR(VLOOKUP(B654,Заказ!B:Q,16,0),0)</f>
        <v>0</v>
      </c>
    </row>
    <row r="655" spans="2:9" x14ac:dyDescent="0.25">
      <c r="B655" s="84">
        <v>17073</v>
      </c>
      <c r="D655" s="84" t="str">
        <f t="shared" si="10"/>
        <v/>
      </c>
      <c r="H655" s="84">
        <f>IFERROR(VLOOKUP(B655,Заказ!B:Q,5,0),0)</f>
        <v>0</v>
      </c>
      <c r="I655" s="84">
        <f>IFERROR(VLOOKUP(B655,Заказ!B:Q,16,0),0)</f>
        <v>0</v>
      </c>
    </row>
    <row r="656" spans="2:9" x14ac:dyDescent="0.25">
      <c r="B656" s="84">
        <v>17074</v>
      </c>
      <c r="D656" s="84" t="str">
        <f t="shared" si="10"/>
        <v/>
      </c>
      <c r="H656" s="84">
        <f>IFERROR(VLOOKUP(B656,Заказ!B:Q,5,0),0)</f>
        <v>0</v>
      </c>
      <c r="I656" s="84">
        <f>IFERROR(VLOOKUP(B656,Заказ!B:Q,16,0),0)</f>
        <v>0</v>
      </c>
    </row>
    <row r="657" spans="2:9" x14ac:dyDescent="0.25">
      <c r="B657" s="84">
        <v>20250</v>
      </c>
      <c r="D657" s="84" t="str">
        <f t="shared" si="10"/>
        <v/>
      </c>
      <c r="H657" s="84">
        <f>IFERROR(VLOOKUP(B657,Заказ!B:Q,5,0),0)</f>
        <v>0</v>
      </c>
      <c r="I657" s="84">
        <f>IFERROR(VLOOKUP(B657,Заказ!B:Q,16,0),0)</f>
        <v>0</v>
      </c>
    </row>
    <row r="658" spans="2:9" x14ac:dyDescent="0.25">
      <c r="B658" s="84">
        <v>18192</v>
      </c>
      <c r="D658" s="84" t="str">
        <f t="shared" si="10"/>
        <v/>
      </c>
      <c r="H658" s="84">
        <f>IFERROR(VLOOKUP(B658,Заказ!B:Q,5,0),0)</f>
        <v>0</v>
      </c>
      <c r="I658" s="84">
        <f>IFERROR(VLOOKUP(B658,Заказ!B:Q,16,0),0)</f>
        <v>0</v>
      </c>
    </row>
    <row r="659" spans="2:9" x14ac:dyDescent="0.25">
      <c r="B659" s="84">
        <v>18193</v>
      </c>
      <c r="D659" s="84" t="str">
        <f t="shared" si="10"/>
        <v/>
      </c>
      <c r="H659" s="84">
        <f>IFERROR(VLOOKUP(B659,Заказ!B:Q,5,0),0)</f>
        <v>0</v>
      </c>
      <c r="I659" s="84">
        <f>IFERROR(VLOOKUP(B659,Заказ!B:Q,16,0),0)</f>
        <v>0</v>
      </c>
    </row>
    <row r="660" spans="2:9" x14ac:dyDescent="0.25">
      <c r="B660" s="84">
        <v>18194</v>
      </c>
      <c r="D660" s="84" t="str">
        <f t="shared" si="10"/>
        <v/>
      </c>
      <c r="H660" s="84">
        <f>IFERROR(VLOOKUP(B660,Заказ!B:Q,5,0),0)</f>
        <v>0</v>
      </c>
      <c r="I660" s="84">
        <f>IFERROR(VLOOKUP(B660,Заказ!B:Q,16,0),0)</f>
        <v>0</v>
      </c>
    </row>
    <row r="661" spans="2:9" x14ac:dyDescent="0.25">
      <c r="B661" s="84">
        <v>18195</v>
      </c>
      <c r="D661" s="84" t="str">
        <f t="shared" si="10"/>
        <v/>
      </c>
      <c r="H661" s="84">
        <f>IFERROR(VLOOKUP(B661,Заказ!B:Q,5,0),0)</f>
        <v>0</v>
      </c>
      <c r="I661" s="84">
        <f>IFERROR(VLOOKUP(B661,Заказ!B:Q,16,0),0)</f>
        <v>0</v>
      </c>
    </row>
    <row r="662" spans="2:9" x14ac:dyDescent="0.25">
      <c r="B662" s="84">
        <v>19551</v>
      </c>
      <c r="D662" s="84" t="str">
        <f t="shared" si="10"/>
        <v/>
      </c>
      <c r="H662" s="84">
        <f>IFERROR(VLOOKUP(B662,Заказ!B:Q,5,0),0)</f>
        <v>0</v>
      </c>
      <c r="I662" s="84">
        <f>IFERROR(VLOOKUP(B662,Заказ!B:Q,16,0),0)</f>
        <v>0</v>
      </c>
    </row>
    <row r="663" spans="2:9" x14ac:dyDescent="0.25">
      <c r="B663" s="84">
        <v>20452</v>
      </c>
      <c r="D663" s="84" t="str">
        <f t="shared" si="10"/>
        <v/>
      </c>
      <c r="H663" s="84">
        <f>IFERROR(VLOOKUP(B663,Заказ!B:Q,5,0),0)</f>
        <v>0</v>
      </c>
      <c r="I663" s="84">
        <f>IFERROR(VLOOKUP(B663,Заказ!B:Q,16,0),0)</f>
        <v>0</v>
      </c>
    </row>
    <row r="664" spans="2:9" x14ac:dyDescent="0.25">
      <c r="B664" s="84">
        <v>20251</v>
      </c>
      <c r="D664" s="84" t="str">
        <f t="shared" si="10"/>
        <v/>
      </c>
      <c r="H664" s="84">
        <f>IFERROR(VLOOKUP(B664,Заказ!B:Q,5,0),0)</f>
        <v>0</v>
      </c>
      <c r="I664" s="84">
        <f>IFERROR(VLOOKUP(B664,Заказ!B:Q,16,0),0)</f>
        <v>0</v>
      </c>
    </row>
    <row r="665" spans="2:9" x14ac:dyDescent="0.25">
      <c r="B665" s="84">
        <v>20434</v>
      </c>
      <c r="D665" s="84" t="str">
        <f t="shared" si="10"/>
        <v/>
      </c>
      <c r="H665" s="84">
        <f>IFERROR(VLOOKUP(B665,Заказ!B:Q,5,0),0)</f>
        <v>0</v>
      </c>
      <c r="I665" s="84">
        <f>IFERROR(VLOOKUP(B665,Заказ!B:Q,16,0),0)</f>
        <v>0</v>
      </c>
    </row>
    <row r="666" spans="2:9" x14ac:dyDescent="0.25">
      <c r="B666" s="84">
        <v>20394</v>
      </c>
      <c r="D666" s="84" t="str">
        <f t="shared" si="10"/>
        <v/>
      </c>
      <c r="H666" s="84">
        <f>IFERROR(VLOOKUP(B666,Заказ!B:Q,5,0),0)</f>
        <v>0</v>
      </c>
      <c r="I666" s="84">
        <f>IFERROR(VLOOKUP(B666,Заказ!B:Q,16,0),0)</f>
        <v>0</v>
      </c>
    </row>
    <row r="667" spans="2:9" x14ac:dyDescent="0.25">
      <c r="B667" s="84">
        <v>21120</v>
      </c>
      <c r="D667" s="84" t="str">
        <f t="shared" si="10"/>
        <v/>
      </c>
      <c r="H667" s="84">
        <f>IFERROR(VLOOKUP(B667,Заказ!B:Q,5,0),0)</f>
        <v>0</v>
      </c>
      <c r="I667" s="84">
        <f>IFERROR(VLOOKUP(B667,Заказ!B:Q,16,0),0)</f>
        <v>0</v>
      </c>
    </row>
    <row r="668" spans="2:9" x14ac:dyDescent="0.25">
      <c r="B668" s="84">
        <v>21119</v>
      </c>
      <c r="D668" s="84" t="str">
        <f t="shared" si="10"/>
        <v/>
      </c>
      <c r="H668" s="84">
        <f>IFERROR(VLOOKUP(B668,Заказ!B:Q,5,0),0)</f>
        <v>0</v>
      </c>
      <c r="I668" s="84">
        <f>IFERROR(VLOOKUP(B668,Заказ!B:Q,16,0),0)</f>
        <v>0</v>
      </c>
    </row>
    <row r="669" spans="2:9" x14ac:dyDescent="0.25">
      <c r="B669" s="84">
        <v>21118</v>
      </c>
      <c r="D669" s="84" t="str">
        <f t="shared" si="10"/>
        <v/>
      </c>
      <c r="H669" s="84">
        <f>IFERROR(VLOOKUP(B669,Заказ!B:Q,5,0),0)</f>
        <v>0</v>
      </c>
      <c r="I669" s="84">
        <f>IFERROR(VLOOKUP(B669,Заказ!B:Q,16,0),0)</f>
        <v>0</v>
      </c>
    </row>
    <row r="670" spans="2:9" x14ac:dyDescent="0.25">
      <c r="B670" s="84">
        <v>20829</v>
      </c>
      <c r="D670" s="84" t="str">
        <f t="shared" si="10"/>
        <v/>
      </c>
      <c r="H670" s="84">
        <f>IFERROR(VLOOKUP(B670,Заказ!B:Q,5,0),0)</f>
        <v>0</v>
      </c>
      <c r="I670" s="84">
        <f>IFERROR(VLOOKUP(B670,Заказ!B:Q,16,0),0)</f>
        <v>0</v>
      </c>
    </row>
    <row r="671" spans="2:9" x14ac:dyDescent="0.25">
      <c r="B671" s="84">
        <v>20830</v>
      </c>
      <c r="D671" s="84" t="str">
        <f t="shared" si="10"/>
        <v/>
      </c>
      <c r="H671" s="84">
        <f>IFERROR(VLOOKUP(B671,Заказ!B:Q,5,0),0)</f>
        <v>0</v>
      </c>
      <c r="I671" s="84">
        <f>IFERROR(VLOOKUP(B671,Заказ!B:Q,16,0),0)</f>
        <v>0</v>
      </c>
    </row>
    <row r="672" spans="2:9" x14ac:dyDescent="0.25">
      <c r="B672" s="84">
        <v>20457</v>
      </c>
      <c r="D672" s="84" t="str">
        <f t="shared" si="10"/>
        <v/>
      </c>
      <c r="H672" s="84">
        <f>IFERROR(VLOOKUP(B672,Заказ!B:Q,5,0),0)</f>
        <v>0</v>
      </c>
      <c r="I672" s="84">
        <f>IFERROR(VLOOKUP(B672,Заказ!B:Q,16,0),0)</f>
        <v>0</v>
      </c>
    </row>
    <row r="673" spans="2:9" x14ac:dyDescent="0.25">
      <c r="B673" s="84">
        <v>20458</v>
      </c>
      <c r="D673" s="84" t="str">
        <f t="shared" si="10"/>
        <v/>
      </c>
      <c r="H673" s="84">
        <f>IFERROR(VLOOKUP(B673,Заказ!B:Q,5,0),0)</f>
        <v>0</v>
      </c>
      <c r="I673" s="84">
        <f>IFERROR(VLOOKUP(B673,Заказ!B:Q,16,0),0)</f>
        <v>0</v>
      </c>
    </row>
    <row r="674" spans="2:9" x14ac:dyDescent="0.25">
      <c r="B674" s="84">
        <v>20461</v>
      </c>
      <c r="D674" s="84" t="str">
        <f t="shared" si="10"/>
        <v/>
      </c>
      <c r="H674" s="84">
        <f>IFERROR(VLOOKUP(B674,Заказ!B:Q,5,0),0)</f>
        <v>0</v>
      </c>
      <c r="I674" s="84">
        <f>IFERROR(VLOOKUP(B674,Заказ!B:Q,16,0),0)</f>
        <v>0</v>
      </c>
    </row>
    <row r="675" spans="2:9" x14ac:dyDescent="0.25">
      <c r="B675" s="84">
        <v>21235</v>
      </c>
      <c r="D675" s="84" t="str">
        <f t="shared" si="10"/>
        <v/>
      </c>
      <c r="H675" s="84">
        <f>IFERROR(VLOOKUP(B675,Заказ!B:Q,5,0),0)</f>
        <v>0</v>
      </c>
      <c r="I675" s="84">
        <f>IFERROR(VLOOKUP(B675,Заказ!B:Q,16,0),0)</f>
        <v>0</v>
      </c>
    </row>
    <row r="676" spans="2:9" x14ac:dyDescent="0.25">
      <c r="B676" s="84">
        <v>21236</v>
      </c>
      <c r="D676" s="84" t="str">
        <f t="shared" si="10"/>
        <v/>
      </c>
      <c r="H676" s="84">
        <f>IFERROR(VLOOKUP(B676,Заказ!B:Q,5,0),0)</f>
        <v>0</v>
      </c>
      <c r="I676" s="84">
        <f>IFERROR(VLOOKUP(B676,Заказ!B:Q,16,0),0)</f>
        <v>0</v>
      </c>
    </row>
    <row r="677" spans="2:9" x14ac:dyDescent="0.25">
      <c r="B677" s="84">
        <v>18482</v>
      </c>
      <c r="D677" s="84" t="str">
        <f t="shared" si="10"/>
        <v/>
      </c>
      <c r="H677" s="84">
        <f>IFERROR(VLOOKUP(B677,Заказ!B:Q,5,0),0)</f>
        <v>0</v>
      </c>
      <c r="I677" s="84">
        <f>IFERROR(VLOOKUP(B677,Заказ!B:Q,16,0),0)</f>
        <v>0</v>
      </c>
    </row>
    <row r="678" spans="2:9" x14ac:dyDescent="0.25">
      <c r="B678" s="84">
        <v>19712</v>
      </c>
      <c r="D678" s="84" t="str">
        <f t="shared" si="10"/>
        <v/>
      </c>
      <c r="H678" s="84">
        <f>IFERROR(VLOOKUP(B678,Заказ!B:Q,5,0),0)</f>
        <v>0</v>
      </c>
      <c r="I678" s="84">
        <f>IFERROR(VLOOKUP(B678,Заказ!B:Q,16,0),0)</f>
        <v>0</v>
      </c>
    </row>
    <row r="679" spans="2:9" x14ac:dyDescent="0.25">
      <c r="B679" s="84">
        <v>19605</v>
      </c>
      <c r="D679" s="84" t="str">
        <f t="shared" si="10"/>
        <v/>
      </c>
      <c r="H679" s="84">
        <f>IFERROR(VLOOKUP(B679,Заказ!B:Q,5,0),0)</f>
        <v>0</v>
      </c>
      <c r="I679" s="84">
        <f>IFERROR(VLOOKUP(B679,Заказ!B:Q,16,0),0)</f>
        <v>0</v>
      </c>
    </row>
    <row r="680" spans="2:9" x14ac:dyDescent="0.25">
      <c r="B680" s="84">
        <v>20589</v>
      </c>
      <c r="D680" s="84" t="str">
        <f t="shared" si="10"/>
        <v/>
      </c>
      <c r="H680" s="84">
        <f>IFERROR(VLOOKUP(B680,Заказ!B:Q,5,0),0)</f>
        <v>0</v>
      </c>
      <c r="I680" s="84">
        <f>IFERROR(VLOOKUP(B680,Заказ!B:Q,16,0),0)</f>
        <v>0</v>
      </c>
    </row>
    <row r="681" spans="2:9" x14ac:dyDescent="0.25">
      <c r="B681" s="84">
        <v>20591</v>
      </c>
      <c r="D681" s="84" t="str">
        <f t="shared" si="10"/>
        <v/>
      </c>
      <c r="H681" s="84">
        <f>IFERROR(VLOOKUP(B681,Заказ!B:Q,5,0),0)</f>
        <v>0</v>
      </c>
      <c r="I681" s="84">
        <f>IFERROR(VLOOKUP(B681,Заказ!B:Q,16,0),0)</f>
        <v>0</v>
      </c>
    </row>
    <row r="682" spans="2:9" x14ac:dyDescent="0.25">
      <c r="B682" s="84">
        <v>18483</v>
      </c>
      <c r="D682" s="84" t="str">
        <f t="shared" si="10"/>
        <v/>
      </c>
      <c r="H682" s="84">
        <f>IFERROR(VLOOKUP(B682,Заказ!B:Q,5,0),0)</f>
        <v>0</v>
      </c>
      <c r="I682" s="84">
        <f>IFERROR(VLOOKUP(B682,Заказ!B:Q,16,0),0)</f>
        <v>0</v>
      </c>
    </row>
    <row r="683" spans="2:9" x14ac:dyDescent="0.25">
      <c r="B683" s="84">
        <v>19019</v>
      </c>
      <c r="D683" s="84" t="str">
        <f t="shared" si="10"/>
        <v/>
      </c>
      <c r="H683" s="84">
        <f>IFERROR(VLOOKUP(B683,Заказ!B:Q,5,0),0)</f>
        <v>0</v>
      </c>
      <c r="I683" s="84">
        <f>IFERROR(VLOOKUP(B683,Заказ!B:Q,16,0),0)</f>
        <v>0</v>
      </c>
    </row>
    <row r="684" spans="2:9" x14ac:dyDescent="0.25">
      <c r="B684" s="84">
        <v>19020</v>
      </c>
      <c r="D684" s="84" t="str">
        <f t="shared" si="10"/>
        <v/>
      </c>
      <c r="H684" s="84">
        <f>IFERROR(VLOOKUP(B684,Заказ!B:Q,5,0),0)</f>
        <v>0</v>
      </c>
      <c r="I684" s="84">
        <f>IFERROR(VLOOKUP(B684,Заказ!B:Q,16,0),0)</f>
        <v>0</v>
      </c>
    </row>
    <row r="685" spans="2:9" x14ac:dyDescent="0.25">
      <c r="B685" s="84">
        <v>16806</v>
      </c>
      <c r="D685" s="84" t="str">
        <f t="shared" si="10"/>
        <v/>
      </c>
      <c r="H685" s="84">
        <f>IFERROR(VLOOKUP(B685,Заказ!B:Q,5,0),0)</f>
        <v>0</v>
      </c>
      <c r="I685" s="84">
        <f>IFERROR(VLOOKUP(B685,Заказ!B:Q,16,0),0)</f>
        <v>0</v>
      </c>
    </row>
    <row r="686" spans="2:9" x14ac:dyDescent="0.25">
      <c r="B686" s="84">
        <v>16807</v>
      </c>
      <c r="D686" s="84" t="str">
        <f t="shared" si="10"/>
        <v/>
      </c>
      <c r="H686" s="84">
        <f>IFERROR(VLOOKUP(B686,Заказ!B:Q,5,0),0)</f>
        <v>0</v>
      </c>
      <c r="I686" s="84">
        <f>IFERROR(VLOOKUP(B686,Заказ!B:Q,16,0),0)</f>
        <v>0</v>
      </c>
    </row>
    <row r="687" spans="2:9" x14ac:dyDescent="0.25">
      <c r="B687" s="84">
        <v>16808</v>
      </c>
      <c r="D687" s="84" t="str">
        <f t="shared" si="10"/>
        <v/>
      </c>
      <c r="H687" s="84">
        <f>IFERROR(VLOOKUP(B687,Заказ!B:Q,5,0),0)</f>
        <v>0</v>
      </c>
      <c r="I687" s="84">
        <f>IFERROR(VLOOKUP(B687,Заказ!B:Q,16,0),0)</f>
        <v>0</v>
      </c>
    </row>
    <row r="688" spans="2:9" x14ac:dyDescent="0.25">
      <c r="B688" s="84">
        <v>21428</v>
      </c>
      <c r="D688" s="84" t="str">
        <f t="shared" si="10"/>
        <v/>
      </c>
      <c r="H688" s="84">
        <f>IFERROR(VLOOKUP(B688,Заказ!B:Q,5,0),0)</f>
        <v>0</v>
      </c>
      <c r="I688" s="84">
        <f>IFERROR(VLOOKUP(B688,Заказ!B:Q,16,0),0)</f>
        <v>0</v>
      </c>
    </row>
    <row r="689" spans="2:9" x14ac:dyDescent="0.25">
      <c r="B689" s="84">
        <v>21458</v>
      </c>
      <c r="D689" s="84" t="str">
        <f t="shared" si="10"/>
        <v/>
      </c>
      <c r="H689" s="84">
        <f>IFERROR(VLOOKUP(B689,Заказ!B:Q,5,0),0)</f>
        <v>0</v>
      </c>
      <c r="I689" s="84">
        <f>IFERROR(VLOOKUP(B689,Заказ!B:Q,16,0),0)</f>
        <v>0</v>
      </c>
    </row>
    <row r="690" spans="2:9" x14ac:dyDescent="0.25">
      <c r="B690" s="84">
        <v>21429</v>
      </c>
      <c r="D690" s="84" t="str">
        <f t="shared" si="10"/>
        <v/>
      </c>
      <c r="H690" s="84">
        <f>IFERROR(VLOOKUP(B690,Заказ!B:Q,5,0),0)</f>
        <v>0</v>
      </c>
      <c r="I690" s="84">
        <f>IFERROR(VLOOKUP(B690,Заказ!B:Q,16,0),0)</f>
        <v>0</v>
      </c>
    </row>
    <row r="691" spans="2:9" x14ac:dyDescent="0.25">
      <c r="B691" s="84">
        <v>21430</v>
      </c>
      <c r="D691" s="84" t="str">
        <f t="shared" si="10"/>
        <v/>
      </c>
      <c r="H691" s="84">
        <f>IFERROR(VLOOKUP(B691,Заказ!B:Q,5,0),0)</f>
        <v>0</v>
      </c>
      <c r="I691" s="84">
        <f>IFERROR(VLOOKUP(B691,Заказ!B:Q,16,0),0)</f>
        <v>0</v>
      </c>
    </row>
    <row r="692" spans="2:9" x14ac:dyDescent="0.25">
      <c r="B692" s="84">
        <v>21431</v>
      </c>
      <c r="D692" s="84" t="str">
        <f t="shared" si="10"/>
        <v/>
      </c>
      <c r="H692" s="84">
        <f>IFERROR(VLOOKUP(B692,Заказ!B:Q,5,0),0)</f>
        <v>0</v>
      </c>
      <c r="I692" s="84">
        <f>IFERROR(VLOOKUP(B692,Заказ!B:Q,16,0),0)</f>
        <v>0</v>
      </c>
    </row>
    <row r="693" spans="2:9" x14ac:dyDescent="0.25">
      <c r="B693" s="84">
        <v>16809</v>
      </c>
      <c r="D693" s="84" t="str">
        <f t="shared" si="10"/>
        <v/>
      </c>
      <c r="H693" s="84">
        <f>IFERROR(VLOOKUP(B693,Заказ!B:Q,5,0),0)</f>
        <v>0</v>
      </c>
      <c r="I693" s="84">
        <f>IFERROR(VLOOKUP(B693,Заказ!B:Q,16,0),0)</f>
        <v>0</v>
      </c>
    </row>
    <row r="694" spans="2:9" x14ac:dyDescent="0.25">
      <c r="B694" s="84">
        <v>16810</v>
      </c>
      <c r="D694" s="84" t="str">
        <f t="shared" si="10"/>
        <v/>
      </c>
      <c r="H694" s="84">
        <f>IFERROR(VLOOKUP(B694,Заказ!B:Q,5,0),0)</f>
        <v>0</v>
      </c>
      <c r="I694" s="84">
        <f>IFERROR(VLOOKUP(B694,Заказ!B:Q,16,0),0)</f>
        <v>0</v>
      </c>
    </row>
    <row r="695" spans="2:9" x14ac:dyDescent="0.25">
      <c r="B695" s="84">
        <v>19713</v>
      </c>
      <c r="D695" s="84" t="str">
        <f t="shared" si="10"/>
        <v/>
      </c>
      <c r="H695" s="84">
        <f>IFERROR(VLOOKUP(B695,Заказ!B:Q,5,0),0)</f>
        <v>0</v>
      </c>
      <c r="I695" s="84">
        <f>IFERROR(VLOOKUP(B695,Заказ!B:Q,16,0),0)</f>
        <v>0</v>
      </c>
    </row>
    <row r="696" spans="2:9" x14ac:dyDescent="0.25">
      <c r="B696" s="84">
        <v>19714</v>
      </c>
      <c r="D696" s="84" t="str">
        <f t="shared" si="10"/>
        <v/>
      </c>
      <c r="H696" s="84">
        <f>IFERROR(VLOOKUP(B696,Заказ!B:Q,5,0),0)</f>
        <v>0</v>
      </c>
      <c r="I696" s="84">
        <f>IFERROR(VLOOKUP(B696,Заказ!B:Q,16,0),0)</f>
        <v>0</v>
      </c>
    </row>
    <row r="697" spans="2:9" x14ac:dyDescent="0.25">
      <c r="B697" s="84">
        <v>19715</v>
      </c>
      <c r="D697" s="84" t="str">
        <f t="shared" si="10"/>
        <v/>
      </c>
      <c r="H697" s="84">
        <f>IFERROR(VLOOKUP(B697,Заказ!B:Q,5,0),0)</f>
        <v>0</v>
      </c>
      <c r="I697" s="84">
        <f>IFERROR(VLOOKUP(B697,Заказ!B:Q,16,0),0)</f>
        <v>0</v>
      </c>
    </row>
    <row r="698" spans="2:9" x14ac:dyDescent="0.25">
      <c r="B698" s="84">
        <v>20592</v>
      </c>
      <c r="D698" s="84" t="str">
        <f t="shared" si="10"/>
        <v/>
      </c>
      <c r="H698" s="84">
        <f>IFERROR(VLOOKUP(B698,Заказ!B:Q,5,0),0)</f>
        <v>0</v>
      </c>
      <c r="I698" s="84">
        <f>IFERROR(VLOOKUP(B698,Заказ!B:Q,16,0),0)</f>
        <v>0</v>
      </c>
    </row>
    <row r="699" spans="2:9" x14ac:dyDescent="0.25">
      <c r="B699" s="84">
        <v>20593</v>
      </c>
      <c r="D699" s="84" t="str">
        <f t="shared" si="10"/>
        <v/>
      </c>
      <c r="H699" s="84">
        <f>IFERROR(VLOOKUP(B699,Заказ!B:Q,5,0),0)</f>
        <v>0</v>
      </c>
      <c r="I699" s="84">
        <f>IFERROR(VLOOKUP(B699,Заказ!B:Q,16,0),0)</f>
        <v>0</v>
      </c>
    </row>
    <row r="700" spans="2:9" x14ac:dyDescent="0.25">
      <c r="B700" s="84">
        <v>20564</v>
      </c>
      <c r="D700" s="84" t="str">
        <f t="shared" si="10"/>
        <v/>
      </c>
      <c r="H700" s="84">
        <f>IFERROR(VLOOKUP(B700,Заказ!B:Q,5,0),0)</f>
        <v>0</v>
      </c>
      <c r="I700" s="84">
        <f>IFERROR(VLOOKUP(B700,Заказ!B:Q,16,0),0)</f>
        <v>0</v>
      </c>
    </row>
    <row r="701" spans="2:9" x14ac:dyDescent="0.25">
      <c r="B701" s="84">
        <v>19528</v>
      </c>
      <c r="D701" s="84" t="str">
        <f t="shared" si="10"/>
        <v/>
      </c>
      <c r="H701" s="84">
        <f>IFERROR(VLOOKUP(B701,Заказ!B:Q,5,0),0)</f>
        <v>0</v>
      </c>
      <c r="I701" s="84">
        <f>IFERROR(VLOOKUP(B701,Заказ!B:Q,16,0),0)</f>
        <v>0</v>
      </c>
    </row>
    <row r="702" spans="2:9" x14ac:dyDescent="0.25">
      <c r="B702" s="84">
        <v>19529</v>
      </c>
      <c r="D702" s="84" t="str">
        <f t="shared" si="10"/>
        <v/>
      </c>
      <c r="H702" s="84">
        <f>IFERROR(VLOOKUP(B702,Заказ!B:Q,5,0),0)</f>
        <v>0</v>
      </c>
      <c r="I702" s="84">
        <f>IFERROR(VLOOKUP(B702,Заказ!B:Q,16,0),0)</f>
        <v>0</v>
      </c>
    </row>
    <row r="703" spans="2:9" x14ac:dyDescent="0.25">
      <c r="B703" s="84">
        <v>19530</v>
      </c>
      <c r="D703" s="84" t="str">
        <f t="shared" si="10"/>
        <v/>
      </c>
      <c r="H703" s="84">
        <f>IFERROR(VLOOKUP(B703,Заказ!B:Q,5,0),0)</f>
        <v>0</v>
      </c>
      <c r="I703" s="84">
        <f>IFERROR(VLOOKUP(B703,Заказ!B:Q,16,0),0)</f>
        <v>0</v>
      </c>
    </row>
    <row r="704" spans="2:9" x14ac:dyDescent="0.25">
      <c r="B704" s="84">
        <v>21117</v>
      </c>
      <c r="D704" s="84" t="str">
        <f t="shared" si="10"/>
        <v/>
      </c>
      <c r="H704" s="84">
        <f>IFERROR(VLOOKUP(B704,Заказ!B:Q,5,0),0)</f>
        <v>0</v>
      </c>
      <c r="I704" s="84">
        <f>IFERROR(VLOOKUP(B704,Заказ!B:Q,16,0),0)</f>
        <v>0</v>
      </c>
    </row>
    <row r="705" spans="2:9" x14ac:dyDescent="0.25">
      <c r="B705" s="84">
        <v>21121</v>
      </c>
      <c r="D705" s="84" t="str">
        <f t="shared" si="10"/>
        <v/>
      </c>
      <c r="H705" s="84">
        <f>IFERROR(VLOOKUP(B705,Заказ!B:Q,5,0),0)</f>
        <v>0</v>
      </c>
      <c r="I705" s="84">
        <f>IFERROR(VLOOKUP(B705,Заказ!B:Q,16,0),0)</f>
        <v>0</v>
      </c>
    </row>
    <row r="706" spans="2:9" x14ac:dyDescent="0.25">
      <c r="B706" s="84">
        <v>21122</v>
      </c>
      <c r="D706" s="84" t="str">
        <f t="shared" si="10"/>
        <v/>
      </c>
      <c r="H706" s="84">
        <f>IFERROR(VLOOKUP(B706,Заказ!B:Q,5,0),0)</f>
        <v>0</v>
      </c>
      <c r="I706" s="84">
        <f>IFERROR(VLOOKUP(B706,Заказ!B:Q,16,0),0)</f>
        <v>0</v>
      </c>
    </row>
    <row r="707" spans="2:9" x14ac:dyDescent="0.25">
      <c r="B707" s="84">
        <v>21123</v>
      </c>
      <c r="D707" s="84" t="str">
        <f t="shared" si="10"/>
        <v/>
      </c>
      <c r="H707" s="84">
        <f>IFERROR(VLOOKUP(B707,Заказ!B:Q,5,0),0)</f>
        <v>0</v>
      </c>
      <c r="I707" s="84">
        <f>IFERROR(VLOOKUP(B707,Заказ!B:Q,16,0),0)</f>
        <v>0</v>
      </c>
    </row>
    <row r="708" spans="2:9" x14ac:dyDescent="0.25">
      <c r="B708" s="84">
        <v>19888</v>
      </c>
      <c r="D708" s="84" t="str">
        <f t="shared" si="10"/>
        <v/>
      </c>
      <c r="H708" s="84">
        <f>IFERROR(VLOOKUP(B708,Заказ!B:Q,5,0),0)</f>
        <v>0</v>
      </c>
      <c r="I708" s="84">
        <f>IFERROR(VLOOKUP(B708,Заказ!B:Q,16,0),0)</f>
        <v>0</v>
      </c>
    </row>
    <row r="709" spans="2:9" x14ac:dyDescent="0.25">
      <c r="B709" s="84">
        <v>20053</v>
      </c>
      <c r="D709" s="84" t="str">
        <f t="shared" si="10"/>
        <v/>
      </c>
      <c r="H709" s="84">
        <f>IFERROR(VLOOKUP(B709,Заказ!B:Q,5,0),0)</f>
        <v>0</v>
      </c>
      <c r="I709" s="84">
        <f>IFERROR(VLOOKUP(B709,Заказ!B:Q,16,0),0)</f>
        <v>0</v>
      </c>
    </row>
    <row r="710" spans="2:9" x14ac:dyDescent="0.25">
      <c r="B710" s="84">
        <v>20121</v>
      </c>
      <c r="D710" s="84" t="str">
        <f t="shared" si="10"/>
        <v/>
      </c>
      <c r="H710" s="84">
        <f>IFERROR(VLOOKUP(B710,Заказ!B:Q,5,0),0)</f>
        <v>0</v>
      </c>
      <c r="I710" s="84">
        <f>IFERROR(VLOOKUP(B710,Заказ!B:Q,16,0),0)</f>
        <v>0</v>
      </c>
    </row>
    <row r="711" spans="2:9" x14ac:dyDescent="0.25">
      <c r="B711" s="84">
        <v>20120</v>
      </c>
      <c r="D711" s="84" t="str">
        <f t="shared" si="10"/>
        <v/>
      </c>
      <c r="H711" s="84">
        <f>IFERROR(VLOOKUP(B711,Заказ!B:Q,5,0),0)</f>
        <v>0</v>
      </c>
      <c r="I711" s="84">
        <f>IFERROR(VLOOKUP(B711,Заказ!B:Q,16,0),0)</f>
        <v>0</v>
      </c>
    </row>
    <row r="712" spans="2:9" x14ac:dyDescent="0.25">
      <c r="B712" s="84">
        <v>20119</v>
      </c>
      <c r="D712" s="84" t="str">
        <f t="shared" si="10"/>
        <v/>
      </c>
      <c r="H712" s="84">
        <f>IFERROR(VLOOKUP(B712,Заказ!B:Q,5,0),0)</f>
        <v>0</v>
      </c>
      <c r="I712" s="84">
        <f>IFERROR(VLOOKUP(B712,Заказ!B:Q,16,0),0)</f>
        <v>0</v>
      </c>
    </row>
    <row r="713" spans="2:9" x14ac:dyDescent="0.25">
      <c r="B713" s="84">
        <v>20031</v>
      </c>
      <c r="D713" s="84" t="str">
        <f t="shared" si="10"/>
        <v/>
      </c>
      <c r="H713" s="84">
        <f>IFERROR(VLOOKUP(B713,Заказ!B:Q,5,0),0)</f>
        <v>0</v>
      </c>
      <c r="I713" s="84">
        <f>IFERROR(VLOOKUP(B713,Заказ!B:Q,16,0),0)</f>
        <v>0</v>
      </c>
    </row>
    <row r="714" spans="2:9" x14ac:dyDescent="0.25">
      <c r="B714" s="84">
        <v>20501</v>
      </c>
      <c r="D714" s="84" t="str">
        <f t="shared" si="10"/>
        <v/>
      </c>
      <c r="H714" s="84">
        <f>IFERROR(VLOOKUP(B714,Заказ!B:Q,5,0),0)</f>
        <v>0</v>
      </c>
      <c r="I714" s="84">
        <f>IFERROR(VLOOKUP(B714,Заказ!B:Q,16,0),0)</f>
        <v>0</v>
      </c>
    </row>
    <row r="715" spans="2:9" x14ac:dyDescent="0.25">
      <c r="B715" s="84">
        <v>19924</v>
      </c>
      <c r="D715" s="84" t="str">
        <f t="shared" si="10"/>
        <v/>
      </c>
      <c r="H715" s="84">
        <f>IFERROR(VLOOKUP(B715,Заказ!B:Q,5,0),0)</f>
        <v>0</v>
      </c>
      <c r="I715" s="84">
        <f>IFERROR(VLOOKUP(B715,Заказ!B:Q,16,0),0)</f>
        <v>0</v>
      </c>
    </row>
    <row r="716" spans="2:9" x14ac:dyDescent="0.25">
      <c r="B716" s="84">
        <v>19496</v>
      </c>
      <c r="D716" s="84" t="str">
        <f t="shared" ref="D716:D781" si="11">IFERROR(ROUND(I716/H716,2),"")</f>
        <v/>
      </c>
      <c r="H716" s="84">
        <f>IFERROR(VLOOKUP(B716,Заказ!B:Q,5,0),0)</f>
        <v>0</v>
      </c>
      <c r="I716" s="84">
        <f>IFERROR(VLOOKUP(B716,Заказ!B:Q,16,0),0)</f>
        <v>0</v>
      </c>
    </row>
    <row r="717" spans="2:9" x14ac:dyDescent="0.25">
      <c r="B717" s="84">
        <v>20032</v>
      </c>
      <c r="D717" s="84" t="str">
        <f t="shared" si="11"/>
        <v/>
      </c>
      <c r="H717" s="84">
        <f>IFERROR(VLOOKUP(B717,Заказ!B:Q,5,0),0)</f>
        <v>0</v>
      </c>
      <c r="I717" s="84">
        <f>IFERROR(VLOOKUP(B717,Заказ!B:Q,16,0),0)</f>
        <v>0</v>
      </c>
    </row>
    <row r="718" spans="2:9" x14ac:dyDescent="0.25">
      <c r="B718" s="84">
        <v>9422</v>
      </c>
      <c r="D718" s="84" t="str">
        <f t="shared" si="11"/>
        <v/>
      </c>
      <c r="H718" s="84">
        <f>IFERROR(VLOOKUP(B718,Заказ!B:Q,5,0),0)</f>
        <v>0</v>
      </c>
      <c r="I718" s="84">
        <f>IFERROR(VLOOKUP(B718,Заказ!B:Q,16,0),0)</f>
        <v>0</v>
      </c>
    </row>
    <row r="719" spans="2:9" x14ac:dyDescent="0.25">
      <c r="B719" s="84">
        <v>19467</v>
      </c>
      <c r="D719" s="84" t="str">
        <f t="shared" si="11"/>
        <v/>
      </c>
      <c r="H719" s="84">
        <f>IFERROR(VLOOKUP(B719,Заказ!B:Q,5,0),0)</f>
        <v>0</v>
      </c>
      <c r="I719" s="84">
        <f>IFERROR(VLOOKUP(B719,Заказ!B:Q,16,0),0)</f>
        <v>0</v>
      </c>
    </row>
    <row r="720" spans="2:9" x14ac:dyDescent="0.25">
      <c r="B720" s="84">
        <v>14509</v>
      </c>
      <c r="D720" s="84" t="str">
        <f t="shared" si="11"/>
        <v/>
      </c>
      <c r="H720" s="84">
        <f>IFERROR(VLOOKUP(B720,Заказ!B:Q,5,0),0)</f>
        <v>0</v>
      </c>
      <c r="I720" s="84">
        <f>IFERROR(VLOOKUP(B720,Заказ!B:Q,16,0),0)</f>
        <v>0</v>
      </c>
    </row>
    <row r="721" spans="2:9" x14ac:dyDescent="0.25">
      <c r="B721" s="84">
        <v>19468</v>
      </c>
      <c r="D721" s="84" t="str">
        <f t="shared" si="11"/>
        <v/>
      </c>
      <c r="H721" s="84">
        <f>IFERROR(VLOOKUP(B721,Заказ!B:Q,5,0),0)</f>
        <v>0</v>
      </c>
      <c r="I721" s="84">
        <f>IFERROR(VLOOKUP(B721,Заказ!B:Q,16,0),0)</f>
        <v>0</v>
      </c>
    </row>
    <row r="722" spans="2:9" x14ac:dyDescent="0.25">
      <c r="B722" s="84">
        <v>16326</v>
      </c>
      <c r="D722" s="84" t="str">
        <f t="shared" si="11"/>
        <v/>
      </c>
      <c r="H722" s="84">
        <f>IFERROR(VLOOKUP(B722,Заказ!B:Q,5,0),0)</f>
        <v>0</v>
      </c>
      <c r="I722" s="84">
        <f>IFERROR(VLOOKUP(B722,Заказ!B:Q,16,0),0)</f>
        <v>0</v>
      </c>
    </row>
    <row r="723" spans="2:9" x14ac:dyDescent="0.25">
      <c r="B723" s="84">
        <v>9421</v>
      </c>
      <c r="D723" s="84" t="str">
        <f t="shared" si="11"/>
        <v/>
      </c>
      <c r="H723" s="84">
        <f>IFERROR(VLOOKUP(B723,Заказ!B:Q,5,0),0)</f>
        <v>0</v>
      </c>
      <c r="I723" s="84">
        <f>IFERROR(VLOOKUP(B723,Заказ!B:Q,16,0),0)</f>
        <v>0</v>
      </c>
    </row>
    <row r="724" spans="2:9" x14ac:dyDescent="0.25">
      <c r="B724" s="84">
        <v>16088</v>
      </c>
      <c r="D724" s="84" t="str">
        <f t="shared" si="11"/>
        <v/>
      </c>
      <c r="H724" s="84">
        <f>IFERROR(VLOOKUP(B724,Заказ!B:Q,5,0),0)</f>
        <v>0</v>
      </c>
      <c r="I724" s="84">
        <f>IFERROR(VLOOKUP(B724,Заказ!B:Q,16,0),0)</f>
        <v>0</v>
      </c>
    </row>
    <row r="725" spans="2:9" x14ac:dyDescent="0.25">
      <c r="B725" s="84">
        <v>12441</v>
      </c>
      <c r="D725" s="84" t="str">
        <f t="shared" si="11"/>
        <v/>
      </c>
      <c r="H725" s="84">
        <f>IFERROR(VLOOKUP(B725,Заказ!B:Q,5,0),0)</f>
        <v>0</v>
      </c>
      <c r="I725" s="84">
        <f>IFERROR(VLOOKUP(B725,Заказ!B:Q,16,0),0)</f>
        <v>0</v>
      </c>
    </row>
    <row r="726" spans="2:9" x14ac:dyDescent="0.25">
      <c r="B726" s="84">
        <v>10908</v>
      </c>
      <c r="D726" s="84" t="str">
        <f t="shared" si="11"/>
        <v/>
      </c>
      <c r="H726" s="84">
        <f>IFERROR(VLOOKUP(B726,Заказ!B:Q,5,0),0)</f>
        <v>0</v>
      </c>
      <c r="I726" s="84">
        <f>IFERROR(VLOOKUP(B726,Заказ!B:Q,16,0),0)</f>
        <v>0</v>
      </c>
    </row>
    <row r="727" spans="2:9" x14ac:dyDescent="0.25">
      <c r="B727" s="84">
        <v>10913</v>
      </c>
      <c r="D727" s="84" t="str">
        <f t="shared" si="11"/>
        <v/>
      </c>
      <c r="H727" s="84">
        <f>IFERROR(VLOOKUP(B727,Заказ!B:Q,5,0),0)</f>
        <v>0</v>
      </c>
      <c r="I727" s="84">
        <f>IFERROR(VLOOKUP(B727,Заказ!B:Q,16,0),0)</f>
        <v>0</v>
      </c>
    </row>
    <row r="728" spans="2:9" x14ac:dyDescent="0.25">
      <c r="B728" s="84">
        <v>17771</v>
      </c>
      <c r="D728" s="84" t="str">
        <f t="shared" si="11"/>
        <v/>
      </c>
      <c r="H728" s="84">
        <f>IFERROR(VLOOKUP(B728,Заказ!B:Q,5,0),0)</f>
        <v>0</v>
      </c>
      <c r="I728" s="84">
        <f>IFERROR(VLOOKUP(B728,Заказ!B:Q,16,0),0)</f>
        <v>0</v>
      </c>
    </row>
    <row r="729" spans="2:9" x14ac:dyDescent="0.25">
      <c r="B729" s="84">
        <v>17774</v>
      </c>
      <c r="D729" s="84" t="str">
        <f t="shared" si="11"/>
        <v/>
      </c>
      <c r="H729" s="84">
        <f>IFERROR(VLOOKUP(B729,Заказ!B:Q,5,0),0)</f>
        <v>0</v>
      </c>
      <c r="I729" s="84">
        <f>IFERROR(VLOOKUP(B729,Заказ!B:Q,16,0),0)</f>
        <v>0</v>
      </c>
    </row>
    <row r="730" spans="2:9" x14ac:dyDescent="0.25">
      <c r="B730" s="84">
        <v>20898</v>
      </c>
      <c r="D730" s="84" t="str">
        <f t="shared" si="11"/>
        <v/>
      </c>
      <c r="H730" s="84">
        <f>IFERROR(VLOOKUP(B730,Заказ!B:Q,5,0),0)</f>
        <v>0</v>
      </c>
      <c r="I730" s="84">
        <f>IFERROR(VLOOKUP(B730,Заказ!B:Q,16,0),0)</f>
        <v>0</v>
      </c>
    </row>
    <row r="731" spans="2:9" x14ac:dyDescent="0.25">
      <c r="B731" s="84">
        <v>20899</v>
      </c>
      <c r="D731" s="84" t="str">
        <f t="shared" si="11"/>
        <v/>
      </c>
      <c r="H731" s="84">
        <f>IFERROR(VLOOKUP(B731,Заказ!B:Q,5,0),0)</f>
        <v>0</v>
      </c>
      <c r="I731" s="84">
        <f>IFERROR(VLOOKUP(B731,Заказ!B:Q,16,0),0)</f>
        <v>0</v>
      </c>
    </row>
    <row r="732" spans="2:9" x14ac:dyDescent="0.25">
      <c r="B732" s="84">
        <v>20900</v>
      </c>
      <c r="D732" s="84" t="str">
        <f t="shared" si="11"/>
        <v/>
      </c>
      <c r="H732" s="84">
        <f>IFERROR(VLOOKUP(B732,Заказ!B:Q,5,0),0)</f>
        <v>0</v>
      </c>
      <c r="I732" s="84">
        <f>IFERROR(VLOOKUP(B732,Заказ!B:Q,16,0),0)</f>
        <v>0</v>
      </c>
    </row>
    <row r="733" spans="2:9" x14ac:dyDescent="0.25">
      <c r="B733" s="84">
        <v>19464</v>
      </c>
      <c r="D733" s="84" t="str">
        <f t="shared" si="11"/>
        <v/>
      </c>
      <c r="H733" s="84">
        <f>IFERROR(VLOOKUP(B733,Заказ!B:Q,5,0),0)</f>
        <v>0</v>
      </c>
      <c r="I733" s="84">
        <f>IFERROR(VLOOKUP(B733,Заказ!B:Q,16,0),0)</f>
        <v>0</v>
      </c>
    </row>
    <row r="734" spans="2:9" x14ac:dyDescent="0.25">
      <c r="B734" s="84">
        <v>19463</v>
      </c>
      <c r="D734" s="84" t="str">
        <f t="shared" si="11"/>
        <v/>
      </c>
      <c r="H734" s="84">
        <f>IFERROR(VLOOKUP(B734,Заказ!B:Q,5,0),0)</f>
        <v>0</v>
      </c>
      <c r="I734" s="84">
        <f>IFERROR(VLOOKUP(B734,Заказ!B:Q,16,0),0)</f>
        <v>0</v>
      </c>
    </row>
    <row r="735" spans="2:9" x14ac:dyDescent="0.25">
      <c r="B735" s="84">
        <v>19465</v>
      </c>
      <c r="D735" s="84" t="str">
        <f t="shared" si="11"/>
        <v/>
      </c>
      <c r="H735" s="84">
        <f>IFERROR(VLOOKUP(B735,Заказ!B:Q,5,0),0)</f>
        <v>0</v>
      </c>
      <c r="I735" s="84">
        <f>IFERROR(VLOOKUP(B735,Заказ!B:Q,16,0),0)</f>
        <v>0</v>
      </c>
    </row>
    <row r="736" spans="2:9" x14ac:dyDescent="0.25">
      <c r="B736" s="84">
        <v>20901</v>
      </c>
      <c r="D736" s="84" t="str">
        <f t="shared" si="11"/>
        <v/>
      </c>
      <c r="H736" s="84">
        <f>IFERROR(VLOOKUP(B736,Заказ!B:Q,5,0),0)</f>
        <v>0</v>
      </c>
      <c r="I736" s="84">
        <f>IFERROR(VLOOKUP(B736,Заказ!B:Q,16,0),0)</f>
        <v>0</v>
      </c>
    </row>
    <row r="737" spans="2:9" x14ac:dyDescent="0.25">
      <c r="B737" s="84">
        <v>17772</v>
      </c>
      <c r="D737" s="84" t="str">
        <f t="shared" si="11"/>
        <v/>
      </c>
      <c r="H737" s="84">
        <f>IFERROR(VLOOKUP(B737,Заказ!B:Q,5,0),0)</f>
        <v>0</v>
      </c>
      <c r="I737" s="84">
        <f>IFERROR(VLOOKUP(B737,Заказ!B:Q,16,0),0)</f>
        <v>0</v>
      </c>
    </row>
    <row r="738" spans="2:9" x14ac:dyDescent="0.25">
      <c r="B738" s="84">
        <v>20902</v>
      </c>
      <c r="D738" s="84" t="str">
        <f t="shared" si="11"/>
        <v/>
      </c>
      <c r="H738" s="84">
        <f>IFERROR(VLOOKUP(B738,Заказ!B:Q,5,0),0)</f>
        <v>0</v>
      </c>
      <c r="I738" s="84">
        <f>IFERROR(VLOOKUP(B738,Заказ!B:Q,16,0),0)</f>
        <v>0</v>
      </c>
    </row>
    <row r="739" spans="2:9" x14ac:dyDescent="0.25">
      <c r="B739" s="84">
        <v>17773</v>
      </c>
      <c r="D739" s="84" t="str">
        <f t="shared" si="11"/>
        <v/>
      </c>
      <c r="H739" s="84">
        <f>IFERROR(VLOOKUP(B739,Заказ!B:Q,5,0),0)</f>
        <v>0</v>
      </c>
      <c r="I739" s="84">
        <f>IFERROR(VLOOKUP(B739,Заказ!B:Q,16,0),0)</f>
        <v>0</v>
      </c>
    </row>
    <row r="740" spans="2:9" x14ac:dyDescent="0.25">
      <c r="B740" s="84">
        <v>11910</v>
      </c>
      <c r="D740" s="84" t="str">
        <f t="shared" si="11"/>
        <v/>
      </c>
      <c r="H740" s="84">
        <f>IFERROR(VLOOKUP(B740,Заказ!B:Q,5,0),0)</f>
        <v>0</v>
      </c>
      <c r="I740" s="84">
        <f>IFERROR(VLOOKUP(B740,Заказ!B:Q,16,0),0)</f>
        <v>0</v>
      </c>
    </row>
    <row r="741" spans="2:9" x14ac:dyDescent="0.25">
      <c r="B741" s="84">
        <v>11909</v>
      </c>
      <c r="D741" s="84" t="str">
        <f t="shared" si="11"/>
        <v/>
      </c>
      <c r="H741" s="84">
        <f>IFERROR(VLOOKUP(B741,Заказ!B:Q,5,0),0)</f>
        <v>0</v>
      </c>
      <c r="I741" s="84">
        <f>IFERROR(VLOOKUP(B741,Заказ!B:Q,16,0),0)</f>
        <v>0</v>
      </c>
    </row>
    <row r="742" spans="2:9" x14ac:dyDescent="0.25">
      <c r="B742" s="84">
        <v>15358</v>
      </c>
      <c r="D742" s="84" t="str">
        <f t="shared" si="11"/>
        <v/>
      </c>
      <c r="H742" s="84">
        <f>IFERROR(VLOOKUP(B742,Заказ!B:Q,5,0),0)</f>
        <v>0</v>
      </c>
      <c r="I742" s="84">
        <f>IFERROR(VLOOKUP(B742,Заказ!B:Q,16,0),0)</f>
        <v>0</v>
      </c>
    </row>
    <row r="743" spans="2:9" x14ac:dyDescent="0.25">
      <c r="B743" s="84">
        <v>12954</v>
      </c>
      <c r="D743" s="84" t="str">
        <f t="shared" si="11"/>
        <v/>
      </c>
      <c r="H743" s="84">
        <f>IFERROR(VLOOKUP(B743,Заказ!B:Q,5,0),0)</f>
        <v>0</v>
      </c>
      <c r="I743" s="84">
        <f>IFERROR(VLOOKUP(B743,Заказ!B:Q,16,0),0)</f>
        <v>0</v>
      </c>
    </row>
    <row r="744" spans="2:9" x14ac:dyDescent="0.25">
      <c r="B744" s="84">
        <v>9408</v>
      </c>
      <c r="D744" s="84" t="str">
        <f t="shared" si="11"/>
        <v/>
      </c>
      <c r="H744" s="84">
        <f>IFERROR(VLOOKUP(B744,Заказ!B:Q,5,0),0)</f>
        <v>0</v>
      </c>
      <c r="I744" s="84">
        <f>IFERROR(VLOOKUP(B744,Заказ!B:Q,16,0),0)</f>
        <v>0</v>
      </c>
    </row>
    <row r="745" spans="2:9" x14ac:dyDescent="0.25">
      <c r="B745" s="84">
        <v>16325</v>
      </c>
      <c r="D745" s="84" t="str">
        <f t="shared" si="11"/>
        <v/>
      </c>
      <c r="H745" s="84">
        <f>IFERROR(VLOOKUP(B745,Заказ!B:Q,5,0),0)</f>
        <v>0</v>
      </c>
      <c r="I745" s="84">
        <f>IFERROR(VLOOKUP(B745,Заказ!B:Q,16,0),0)</f>
        <v>0</v>
      </c>
    </row>
    <row r="746" spans="2:9" x14ac:dyDescent="0.25">
      <c r="B746" s="84">
        <v>16265</v>
      </c>
      <c r="D746" s="84" t="str">
        <f t="shared" si="11"/>
        <v/>
      </c>
      <c r="H746" s="84">
        <f>IFERROR(VLOOKUP(B746,Заказ!B:Q,5,0),0)</f>
        <v>0</v>
      </c>
      <c r="I746" s="84">
        <f>IFERROR(VLOOKUP(B746,Заказ!B:Q,16,0),0)</f>
        <v>0</v>
      </c>
    </row>
    <row r="747" spans="2:9" x14ac:dyDescent="0.25">
      <c r="B747" s="84">
        <v>20702</v>
      </c>
      <c r="D747" s="84" t="str">
        <f t="shared" si="11"/>
        <v/>
      </c>
      <c r="H747" s="84">
        <f>IFERROR(VLOOKUP(B747,Заказ!B:Q,5,0),0)</f>
        <v>0</v>
      </c>
      <c r="I747" s="84">
        <f>IFERROR(VLOOKUP(B747,Заказ!B:Q,16,0),0)</f>
        <v>0</v>
      </c>
    </row>
    <row r="748" spans="2:9" x14ac:dyDescent="0.25">
      <c r="B748" s="84">
        <v>21517</v>
      </c>
      <c r="D748" s="84" t="str">
        <f t="shared" si="11"/>
        <v/>
      </c>
      <c r="H748" s="84">
        <f>IFERROR(VLOOKUP(B748,Заказ!B:Q,5,0),0)</f>
        <v>0</v>
      </c>
      <c r="I748" s="84">
        <f>IFERROR(VLOOKUP(B748,Заказ!B:Q,16,0),0)</f>
        <v>0</v>
      </c>
    </row>
    <row r="749" spans="2:9" x14ac:dyDescent="0.25">
      <c r="B749" s="84">
        <v>20704</v>
      </c>
      <c r="D749" s="84" t="str">
        <f t="shared" si="11"/>
        <v/>
      </c>
      <c r="H749" s="84">
        <f>IFERROR(VLOOKUP(B749,Заказ!B:Q,5,0),0)</f>
        <v>0</v>
      </c>
      <c r="I749" s="84">
        <f>IFERROR(VLOOKUP(B749,Заказ!B:Q,16,0),0)</f>
        <v>0</v>
      </c>
    </row>
    <row r="750" spans="2:9" x14ac:dyDescent="0.25">
      <c r="B750" s="84">
        <v>17765</v>
      </c>
      <c r="D750" s="84" t="str">
        <f t="shared" si="11"/>
        <v/>
      </c>
      <c r="H750" s="84">
        <f>IFERROR(VLOOKUP(B750,Заказ!B:Q,5,0),0)</f>
        <v>0</v>
      </c>
      <c r="I750" s="84">
        <f>IFERROR(VLOOKUP(B750,Заказ!B:Q,16,0),0)</f>
        <v>0</v>
      </c>
    </row>
    <row r="751" spans="2:9" x14ac:dyDescent="0.25">
      <c r="B751" s="84">
        <v>17762</v>
      </c>
      <c r="D751" s="84" t="str">
        <f t="shared" si="11"/>
        <v/>
      </c>
      <c r="H751" s="84">
        <f>IFERROR(VLOOKUP(B751,Заказ!B:Q,5,0),0)</f>
        <v>0</v>
      </c>
      <c r="I751" s="84">
        <f>IFERROR(VLOOKUP(B751,Заказ!B:Q,16,0),0)</f>
        <v>0</v>
      </c>
    </row>
    <row r="752" spans="2:9" x14ac:dyDescent="0.25">
      <c r="B752" s="84">
        <v>17766</v>
      </c>
      <c r="D752" s="84" t="str">
        <f t="shared" si="11"/>
        <v/>
      </c>
      <c r="H752" s="84">
        <f>IFERROR(VLOOKUP(B752,Заказ!B:Q,5,0),0)</f>
        <v>0</v>
      </c>
      <c r="I752" s="84">
        <f>IFERROR(VLOOKUP(B752,Заказ!B:Q,16,0),0)</f>
        <v>0</v>
      </c>
    </row>
    <row r="753" spans="2:9" x14ac:dyDescent="0.25">
      <c r="B753" s="84">
        <v>21002</v>
      </c>
      <c r="D753" s="84" t="str">
        <f t="shared" ref="D753:D755" si="12">IFERROR(ROUND(I753/H753,2),"")</f>
        <v/>
      </c>
      <c r="H753" s="84">
        <f>IFERROR(VLOOKUP(B753,Заказ!B:Q,5,0),0)</f>
        <v>0</v>
      </c>
      <c r="I753" s="84">
        <f>IFERROR(VLOOKUP(B753,Заказ!B:Q,16,0),0)</f>
        <v>0</v>
      </c>
    </row>
    <row r="754" spans="2:9" x14ac:dyDescent="0.25">
      <c r="B754" s="84">
        <v>21540</v>
      </c>
      <c r="D754" s="84" t="str">
        <f t="shared" si="12"/>
        <v/>
      </c>
      <c r="H754" s="84">
        <f>IFERROR(VLOOKUP(B754,Заказ!B:Q,5,0),0)</f>
        <v>0</v>
      </c>
      <c r="I754" s="84">
        <f>IFERROR(VLOOKUP(B754,Заказ!B:Q,16,0),0)</f>
        <v>0</v>
      </c>
    </row>
    <row r="755" spans="2:9" x14ac:dyDescent="0.25">
      <c r="B755" s="84">
        <v>21056</v>
      </c>
      <c r="D755" s="84" t="str">
        <f t="shared" si="12"/>
        <v/>
      </c>
      <c r="H755" s="84">
        <f>IFERROR(VLOOKUP(B755,Заказ!B:Q,5,0),0)</f>
        <v>0</v>
      </c>
      <c r="I755" s="84">
        <f>IFERROR(VLOOKUP(B755,Заказ!B:Q,16,0),0)</f>
        <v>0</v>
      </c>
    </row>
    <row r="756" spans="2:9" x14ac:dyDescent="0.25">
      <c r="B756" s="84">
        <v>21053</v>
      </c>
      <c r="D756" s="84" t="str">
        <f t="shared" si="11"/>
        <v/>
      </c>
      <c r="H756" s="84">
        <f>IFERROR(VLOOKUP(B756,Заказ!B:Q,5,0),0)</f>
        <v>0</v>
      </c>
      <c r="I756" s="84">
        <f>IFERROR(VLOOKUP(B756,Заказ!B:Q,16,0),0)</f>
        <v>0</v>
      </c>
    </row>
    <row r="757" spans="2:9" x14ac:dyDescent="0.25">
      <c r="B757" s="84">
        <v>20717</v>
      </c>
      <c r="D757" s="84" t="str">
        <f t="shared" si="11"/>
        <v/>
      </c>
      <c r="H757" s="84">
        <f>IFERROR(VLOOKUP(B757,Заказ!B:Q,5,0),0)</f>
        <v>0</v>
      </c>
      <c r="I757" s="84">
        <f>IFERROR(VLOOKUP(B757,Заказ!B:Q,16,0),0)</f>
        <v>0</v>
      </c>
    </row>
    <row r="758" spans="2:9" x14ac:dyDescent="0.25">
      <c r="B758" s="84">
        <v>17764</v>
      </c>
      <c r="D758" s="84" t="str">
        <f t="shared" si="11"/>
        <v/>
      </c>
      <c r="H758" s="84">
        <f>IFERROR(VLOOKUP(B758,Заказ!B:Q,5,0),0)</f>
        <v>0</v>
      </c>
      <c r="I758" s="84">
        <f>IFERROR(VLOOKUP(B758,Заказ!B:Q,16,0),0)</f>
        <v>0</v>
      </c>
    </row>
    <row r="759" spans="2:9" x14ac:dyDescent="0.25">
      <c r="B759" s="84">
        <v>21042</v>
      </c>
      <c r="D759" s="84" t="str">
        <f t="shared" si="11"/>
        <v/>
      </c>
      <c r="H759" s="84">
        <f>IFERROR(VLOOKUP(B759,Заказ!B:Q,5,0),0)</f>
        <v>0</v>
      </c>
      <c r="I759" s="84">
        <f>IFERROR(VLOOKUP(B759,Заказ!B:Q,16,0),0)</f>
        <v>0</v>
      </c>
    </row>
    <row r="760" spans="2:9" x14ac:dyDescent="0.25">
      <c r="B760" s="84">
        <v>18163</v>
      </c>
      <c r="D760" s="84" t="str">
        <f t="shared" si="11"/>
        <v/>
      </c>
      <c r="H760" s="84">
        <f>IFERROR(VLOOKUP(B760,Заказ!B:Q,5,0),0)</f>
        <v>0</v>
      </c>
      <c r="I760" s="84">
        <f>IFERROR(VLOOKUP(B760,Заказ!B:Q,16,0),0)</f>
        <v>0</v>
      </c>
    </row>
    <row r="761" spans="2:9" x14ac:dyDescent="0.25">
      <c r="B761" s="84">
        <v>19621</v>
      </c>
      <c r="D761" s="84" t="str">
        <f t="shared" si="11"/>
        <v/>
      </c>
      <c r="H761" s="84">
        <f>IFERROR(VLOOKUP(B761,Заказ!B:Q,5,0),0)</f>
        <v>0</v>
      </c>
      <c r="I761" s="84">
        <f>IFERROR(VLOOKUP(B761,Заказ!B:Q,16,0),0)</f>
        <v>0</v>
      </c>
    </row>
    <row r="762" spans="2:9" x14ac:dyDescent="0.25">
      <c r="B762" s="84">
        <v>21529</v>
      </c>
      <c r="D762" s="84" t="str">
        <f t="shared" si="11"/>
        <v/>
      </c>
      <c r="H762" s="84">
        <f>IFERROR(VLOOKUP(B762,Заказ!B:Q,5,0),0)</f>
        <v>0</v>
      </c>
      <c r="I762" s="84">
        <f>IFERROR(VLOOKUP(B762,Заказ!B:Q,16,0),0)</f>
        <v>0</v>
      </c>
    </row>
    <row r="763" spans="2:9" x14ac:dyDescent="0.25">
      <c r="B763" s="84">
        <v>21530</v>
      </c>
      <c r="D763" s="84" t="str">
        <f t="shared" si="11"/>
        <v/>
      </c>
      <c r="H763" s="84">
        <f>IFERROR(VLOOKUP(B763,Заказ!B:Q,5,0),0)</f>
        <v>0</v>
      </c>
      <c r="I763" s="84">
        <f>IFERROR(VLOOKUP(B763,Заказ!B:Q,16,0),0)</f>
        <v>0</v>
      </c>
    </row>
    <row r="764" spans="2:9" x14ac:dyDescent="0.25">
      <c r="B764" s="84">
        <v>20418</v>
      </c>
      <c r="D764" s="84" t="str">
        <f t="shared" si="11"/>
        <v/>
      </c>
      <c r="H764" s="84">
        <f>IFERROR(VLOOKUP(B764,Заказ!B:Q,5,0),0)</f>
        <v>0</v>
      </c>
      <c r="I764" s="84">
        <f>IFERROR(VLOOKUP(B764,Заказ!B:Q,16,0),0)</f>
        <v>0</v>
      </c>
    </row>
    <row r="765" spans="2:9" x14ac:dyDescent="0.25">
      <c r="B765" s="84">
        <v>20419</v>
      </c>
      <c r="D765" s="84" t="str">
        <f t="shared" si="11"/>
        <v/>
      </c>
      <c r="H765" s="84">
        <f>IFERROR(VLOOKUP(B765,Заказ!B:Q,5,0),0)</f>
        <v>0</v>
      </c>
      <c r="I765" s="84">
        <f>IFERROR(VLOOKUP(B765,Заказ!B:Q,16,0),0)</f>
        <v>0</v>
      </c>
    </row>
    <row r="766" spans="2:9" x14ac:dyDescent="0.25">
      <c r="B766" s="84">
        <v>19620</v>
      </c>
      <c r="D766" s="84" t="str">
        <f t="shared" si="11"/>
        <v/>
      </c>
      <c r="H766" s="84">
        <f>IFERROR(VLOOKUP(B766,Заказ!B:Q,5,0),0)</f>
        <v>0</v>
      </c>
      <c r="I766" s="84">
        <f>IFERROR(VLOOKUP(B766,Заказ!B:Q,16,0),0)</f>
        <v>0</v>
      </c>
    </row>
    <row r="767" spans="2:9" x14ac:dyDescent="0.25">
      <c r="B767" s="84">
        <v>17763</v>
      </c>
      <c r="D767" s="84" t="str">
        <f t="shared" si="11"/>
        <v/>
      </c>
      <c r="H767" s="84">
        <f>IFERROR(VLOOKUP(B767,Заказ!B:Q,5,0),0)</f>
        <v>0</v>
      </c>
      <c r="I767" s="84">
        <f>IFERROR(VLOOKUP(B767,Заказ!B:Q,16,0),0)</f>
        <v>0</v>
      </c>
    </row>
    <row r="768" spans="2:9" x14ac:dyDescent="0.25">
      <c r="B768" s="84">
        <v>18756</v>
      </c>
      <c r="D768" s="84" t="str">
        <f t="shared" si="11"/>
        <v/>
      </c>
      <c r="H768" s="84">
        <f>IFERROR(VLOOKUP(B768,Заказ!B:Q,5,0),0)</f>
        <v>0</v>
      </c>
      <c r="I768" s="84">
        <f>IFERROR(VLOOKUP(B768,Заказ!B:Q,16,0),0)</f>
        <v>0</v>
      </c>
    </row>
    <row r="769" spans="2:9" x14ac:dyDescent="0.25">
      <c r="B769" s="84">
        <v>19062</v>
      </c>
      <c r="D769" s="84" t="str">
        <f t="shared" si="11"/>
        <v/>
      </c>
      <c r="H769" s="84">
        <f>IFERROR(VLOOKUP(B769,Заказ!B:Q,5,0),0)</f>
        <v>0</v>
      </c>
      <c r="I769" s="84">
        <f>IFERROR(VLOOKUP(B769,Заказ!B:Q,16,0),0)</f>
        <v>0</v>
      </c>
    </row>
    <row r="770" spans="2:9" x14ac:dyDescent="0.25">
      <c r="B770" s="84">
        <v>18755</v>
      </c>
      <c r="D770" s="84" t="str">
        <f t="shared" si="11"/>
        <v/>
      </c>
      <c r="H770" s="84">
        <f>IFERROR(VLOOKUP(B770,Заказ!B:Q,5,0),0)</f>
        <v>0</v>
      </c>
      <c r="I770" s="84">
        <f>IFERROR(VLOOKUP(B770,Заказ!B:Q,16,0),0)</f>
        <v>0</v>
      </c>
    </row>
    <row r="771" spans="2:9" x14ac:dyDescent="0.25">
      <c r="B771" s="84">
        <v>19063</v>
      </c>
      <c r="D771" s="84" t="str">
        <f t="shared" si="11"/>
        <v/>
      </c>
      <c r="H771" s="84">
        <f>IFERROR(VLOOKUP(B771,Заказ!B:Q,5,0),0)</f>
        <v>0</v>
      </c>
      <c r="I771" s="84">
        <f>IFERROR(VLOOKUP(B771,Заказ!B:Q,16,0),0)</f>
        <v>0</v>
      </c>
    </row>
    <row r="772" spans="2:9" x14ac:dyDescent="0.25">
      <c r="B772" s="84">
        <v>21115</v>
      </c>
      <c r="D772" s="84" t="str">
        <f t="shared" si="11"/>
        <v/>
      </c>
      <c r="H772" s="84">
        <f>IFERROR(VLOOKUP(B772,Заказ!B:Q,5,0),0)</f>
        <v>0</v>
      </c>
      <c r="I772" s="84">
        <f>IFERROR(VLOOKUP(B772,Заказ!B:Q,16,0),0)</f>
        <v>0</v>
      </c>
    </row>
    <row r="773" spans="2:9" x14ac:dyDescent="0.25">
      <c r="B773" s="84">
        <v>19439</v>
      </c>
      <c r="D773" s="84" t="str">
        <f t="shared" si="11"/>
        <v/>
      </c>
      <c r="H773" s="84">
        <f>IFERROR(VLOOKUP(B773,Заказ!B:Q,5,0),0)</f>
        <v>0</v>
      </c>
      <c r="I773" s="84">
        <f>IFERROR(VLOOKUP(B773,Заказ!B:Q,16,0),0)</f>
        <v>0</v>
      </c>
    </row>
    <row r="774" spans="2:9" x14ac:dyDescent="0.25">
      <c r="B774" s="84">
        <v>21499</v>
      </c>
      <c r="D774" s="84" t="str">
        <f t="shared" si="11"/>
        <v/>
      </c>
      <c r="H774" s="84">
        <f>IFERROR(VLOOKUP(B774,Заказ!B:Q,5,0),0)</f>
        <v>0</v>
      </c>
      <c r="I774" s="84">
        <f>IFERROR(VLOOKUP(B774,Заказ!B:Q,16,0),0)</f>
        <v>0</v>
      </c>
    </row>
    <row r="775" spans="2:9" x14ac:dyDescent="0.25">
      <c r="B775" s="84">
        <v>21508</v>
      </c>
      <c r="D775" s="84" t="str">
        <f t="shared" si="11"/>
        <v/>
      </c>
      <c r="H775" s="84">
        <f>IFERROR(VLOOKUP(B775,Заказ!B:Q,5,0),0)</f>
        <v>0</v>
      </c>
      <c r="I775" s="84">
        <f>IFERROR(VLOOKUP(B775,Заказ!B:Q,16,0),0)</f>
        <v>0</v>
      </c>
    </row>
    <row r="776" spans="2:9" x14ac:dyDescent="0.25">
      <c r="B776" s="84">
        <v>21532</v>
      </c>
      <c r="D776" s="84" t="str">
        <f t="shared" ref="D776:D777" si="13">IFERROR(ROUND(I776/H776,2),"")</f>
        <v/>
      </c>
      <c r="H776" s="84">
        <f>IFERROR(VLOOKUP(B776,Заказ!B:Q,5,0),0)</f>
        <v>0</v>
      </c>
      <c r="I776" s="84">
        <f>IFERROR(VLOOKUP(B776,Заказ!B:Q,16,0),0)</f>
        <v>0</v>
      </c>
    </row>
    <row r="777" spans="2:9" x14ac:dyDescent="0.25">
      <c r="B777" s="84">
        <v>21531</v>
      </c>
      <c r="D777" s="84" t="str">
        <f t="shared" si="13"/>
        <v/>
      </c>
      <c r="H777" s="84">
        <f>IFERROR(VLOOKUP(B777,Заказ!B:Q,5,0),0)</f>
        <v>0</v>
      </c>
      <c r="I777" s="84">
        <f>IFERROR(VLOOKUP(B777,Заказ!B:Q,16,0),0)</f>
        <v>0</v>
      </c>
    </row>
    <row r="778" spans="2:9" x14ac:dyDescent="0.25">
      <c r="B778" s="84">
        <v>20906</v>
      </c>
      <c r="D778" s="84" t="str">
        <f t="shared" si="11"/>
        <v/>
      </c>
      <c r="H778" s="84">
        <f>IFERROR(VLOOKUP(B778,Заказ!B:Q,5,0),0)</f>
        <v>0</v>
      </c>
      <c r="I778" s="84">
        <f>IFERROR(VLOOKUP(B778,Заказ!B:Q,16,0),0)</f>
        <v>0</v>
      </c>
    </row>
    <row r="779" spans="2:9" x14ac:dyDescent="0.25">
      <c r="B779" s="84">
        <v>20907</v>
      </c>
      <c r="D779" s="84" t="str">
        <f t="shared" si="11"/>
        <v/>
      </c>
      <c r="H779" s="84">
        <f>IFERROR(VLOOKUP(B779,Заказ!B:Q,5,0),0)</f>
        <v>0</v>
      </c>
      <c r="I779" s="84">
        <f>IFERROR(VLOOKUP(B779,Заказ!B:Q,16,0),0)</f>
        <v>0</v>
      </c>
    </row>
    <row r="780" spans="2:9" x14ac:dyDescent="0.25">
      <c r="B780" s="84">
        <v>19857</v>
      </c>
      <c r="D780" s="84" t="str">
        <f t="shared" si="11"/>
        <v/>
      </c>
      <c r="H780" s="84">
        <f>IFERROR(VLOOKUP(B780,Заказ!B:Q,5,0),0)</f>
        <v>0</v>
      </c>
      <c r="I780" s="84">
        <f>IFERROR(VLOOKUP(B780,Заказ!B:Q,16,0),0)</f>
        <v>0</v>
      </c>
    </row>
    <row r="781" spans="2:9" x14ac:dyDescent="0.25">
      <c r="B781" s="84">
        <v>15693</v>
      </c>
      <c r="D781" s="84" t="str">
        <f t="shared" si="11"/>
        <v/>
      </c>
      <c r="H781" s="84">
        <f>IFERROR(VLOOKUP(B781,Заказ!B:Q,5,0),0)</f>
        <v>0</v>
      </c>
      <c r="I781" s="84">
        <f>IFERROR(VLOOKUP(B781,Заказ!B:Q,16,0),0)</f>
        <v>0</v>
      </c>
    </row>
    <row r="782" spans="2:9" x14ac:dyDescent="0.25">
      <c r="B782" s="84">
        <v>15706</v>
      </c>
      <c r="D782" s="84" t="str">
        <f t="shared" ref="D782:D847" si="14">IFERROR(ROUND(I782/H782,2),"")</f>
        <v/>
      </c>
      <c r="H782" s="84">
        <f>IFERROR(VLOOKUP(B782,Заказ!B:Q,5,0),0)</f>
        <v>0</v>
      </c>
      <c r="I782" s="84">
        <f>IFERROR(VLOOKUP(B782,Заказ!B:Q,16,0),0)</f>
        <v>0</v>
      </c>
    </row>
    <row r="783" spans="2:9" x14ac:dyDescent="0.25">
      <c r="B783" s="84">
        <v>15711</v>
      </c>
      <c r="D783" s="84" t="str">
        <f t="shared" si="14"/>
        <v/>
      </c>
      <c r="H783" s="84">
        <f>IFERROR(VLOOKUP(B783,Заказ!B:Q,5,0),0)</f>
        <v>0</v>
      </c>
      <c r="I783" s="84">
        <f>IFERROR(VLOOKUP(B783,Заказ!B:Q,16,0),0)</f>
        <v>0</v>
      </c>
    </row>
    <row r="784" spans="2:9" x14ac:dyDescent="0.25">
      <c r="B784" s="84">
        <v>15710</v>
      </c>
      <c r="D784" s="84" t="str">
        <f t="shared" si="14"/>
        <v/>
      </c>
      <c r="H784" s="84">
        <f>IFERROR(VLOOKUP(B784,Заказ!B:Q,5,0),0)</f>
        <v>0</v>
      </c>
      <c r="I784" s="84">
        <f>IFERROR(VLOOKUP(B784,Заказ!B:Q,16,0),0)</f>
        <v>0</v>
      </c>
    </row>
    <row r="785" spans="2:9" x14ac:dyDescent="0.25">
      <c r="B785" s="84">
        <v>15702</v>
      </c>
      <c r="D785" s="84" t="str">
        <f t="shared" si="14"/>
        <v/>
      </c>
      <c r="H785" s="84">
        <f>IFERROR(VLOOKUP(B785,Заказ!B:Q,5,0),0)</f>
        <v>0</v>
      </c>
      <c r="I785" s="84">
        <f>IFERROR(VLOOKUP(B785,Заказ!B:Q,16,0),0)</f>
        <v>0</v>
      </c>
    </row>
    <row r="786" spans="2:9" x14ac:dyDescent="0.25">
      <c r="B786" s="84">
        <v>15697</v>
      </c>
      <c r="D786" s="84" t="str">
        <f t="shared" si="14"/>
        <v/>
      </c>
      <c r="H786" s="84">
        <f>IFERROR(VLOOKUP(B786,Заказ!B:Q,5,0),0)</f>
        <v>0</v>
      </c>
      <c r="I786" s="84">
        <f>IFERROR(VLOOKUP(B786,Заказ!B:Q,16,0),0)</f>
        <v>0</v>
      </c>
    </row>
    <row r="787" spans="2:9" x14ac:dyDescent="0.25">
      <c r="B787" s="84">
        <v>15713</v>
      </c>
      <c r="D787" s="84" t="str">
        <f t="shared" si="14"/>
        <v/>
      </c>
      <c r="H787" s="84">
        <f>IFERROR(VLOOKUP(B787,Заказ!B:Q,5,0),0)</f>
        <v>0</v>
      </c>
      <c r="I787" s="84">
        <f>IFERROR(VLOOKUP(B787,Заказ!B:Q,16,0),0)</f>
        <v>0</v>
      </c>
    </row>
    <row r="788" spans="2:9" x14ac:dyDescent="0.25">
      <c r="B788" s="84">
        <v>15695</v>
      </c>
      <c r="D788" s="84" t="str">
        <f t="shared" si="14"/>
        <v/>
      </c>
      <c r="H788" s="84">
        <f>IFERROR(VLOOKUP(B788,Заказ!B:Q,5,0),0)</f>
        <v>0</v>
      </c>
      <c r="I788" s="84">
        <f>IFERROR(VLOOKUP(B788,Заказ!B:Q,16,0),0)</f>
        <v>0</v>
      </c>
    </row>
    <row r="789" spans="2:9" x14ac:dyDescent="0.25">
      <c r="B789" s="84">
        <v>15704</v>
      </c>
      <c r="D789" s="84" t="str">
        <f t="shared" si="14"/>
        <v/>
      </c>
      <c r="H789" s="84">
        <f>IFERROR(VLOOKUP(B789,Заказ!B:Q,5,0),0)</f>
        <v>0</v>
      </c>
      <c r="I789" s="84">
        <f>IFERROR(VLOOKUP(B789,Заказ!B:Q,16,0),0)</f>
        <v>0</v>
      </c>
    </row>
    <row r="790" spans="2:9" x14ac:dyDescent="0.25">
      <c r="B790" s="84">
        <v>15708</v>
      </c>
      <c r="D790" s="84" t="str">
        <f t="shared" si="14"/>
        <v/>
      </c>
      <c r="H790" s="84">
        <f>IFERROR(VLOOKUP(B790,Заказ!B:Q,5,0),0)</f>
        <v>0</v>
      </c>
      <c r="I790" s="84">
        <f>IFERROR(VLOOKUP(B790,Заказ!B:Q,16,0),0)</f>
        <v>0</v>
      </c>
    </row>
    <row r="791" spans="2:9" x14ac:dyDescent="0.25">
      <c r="B791" s="84">
        <v>15709</v>
      </c>
      <c r="D791" s="84" t="str">
        <f t="shared" si="14"/>
        <v/>
      </c>
      <c r="H791" s="84">
        <f>IFERROR(VLOOKUP(B791,Заказ!B:Q,5,0),0)</f>
        <v>0</v>
      </c>
      <c r="I791" s="84">
        <f>IFERROR(VLOOKUP(B791,Заказ!B:Q,16,0),0)</f>
        <v>0</v>
      </c>
    </row>
    <row r="792" spans="2:9" x14ac:dyDescent="0.25">
      <c r="B792" s="84">
        <v>15707</v>
      </c>
      <c r="D792" s="84" t="str">
        <f t="shared" si="14"/>
        <v/>
      </c>
      <c r="H792" s="84">
        <f>IFERROR(VLOOKUP(B792,Заказ!B:Q,5,0),0)</f>
        <v>0</v>
      </c>
      <c r="I792" s="84">
        <f>IFERROR(VLOOKUP(B792,Заказ!B:Q,16,0),0)</f>
        <v>0</v>
      </c>
    </row>
    <row r="793" spans="2:9" x14ac:dyDescent="0.25">
      <c r="B793" s="84">
        <v>15714</v>
      </c>
      <c r="D793" s="84" t="str">
        <f t="shared" si="14"/>
        <v/>
      </c>
      <c r="H793" s="84">
        <f>IFERROR(VLOOKUP(B793,Заказ!B:Q,5,0),0)</f>
        <v>0</v>
      </c>
      <c r="I793" s="84">
        <f>IFERROR(VLOOKUP(B793,Заказ!B:Q,16,0),0)</f>
        <v>0</v>
      </c>
    </row>
    <row r="794" spans="2:9" x14ac:dyDescent="0.25">
      <c r="B794" s="84">
        <v>15696</v>
      </c>
      <c r="D794" s="84" t="str">
        <f t="shared" si="14"/>
        <v/>
      </c>
      <c r="H794" s="84">
        <f>IFERROR(VLOOKUP(B794,Заказ!B:Q,5,0),0)</f>
        <v>0</v>
      </c>
      <c r="I794" s="84">
        <f>IFERROR(VLOOKUP(B794,Заказ!B:Q,16,0),0)</f>
        <v>0</v>
      </c>
    </row>
    <row r="795" spans="2:9" x14ac:dyDescent="0.25">
      <c r="B795" s="84">
        <v>15712</v>
      </c>
      <c r="D795" s="84" t="str">
        <f t="shared" si="14"/>
        <v/>
      </c>
      <c r="H795" s="84">
        <f>IFERROR(VLOOKUP(B795,Заказ!B:Q,5,0),0)</f>
        <v>0</v>
      </c>
      <c r="I795" s="84">
        <f>IFERROR(VLOOKUP(B795,Заказ!B:Q,16,0),0)</f>
        <v>0</v>
      </c>
    </row>
    <row r="796" spans="2:9" x14ac:dyDescent="0.25">
      <c r="B796" s="84">
        <v>16592</v>
      </c>
      <c r="D796" s="84" t="str">
        <f t="shared" si="14"/>
        <v/>
      </c>
      <c r="H796" s="84">
        <f>IFERROR(VLOOKUP(B796,Заказ!B:Q,5,0),0)</f>
        <v>0</v>
      </c>
      <c r="I796" s="84">
        <f>IFERROR(VLOOKUP(B796,Заказ!B:Q,16,0),0)</f>
        <v>0</v>
      </c>
    </row>
    <row r="797" spans="2:9" x14ac:dyDescent="0.25">
      <c r="B797" s="84">
        <v>16590</v>
      </c>
      <c r="D797" s="84" t="str">
        <f t="shared" si="14"/>
        <v/>
      </c>
      <c r="H797" s="84">
        <f>IFERROR(VLOOKUP(B797,Заказ!B:Q,5,0),0)</f>
        <v>0</v>
      </c>
      <c r="I797" s="84">
        <f>IFERROR(VLOOKUP(B797,Заказ!B:Q,16,0),0)</f>
        <v>0</v>
      </c>
    </row>
    <row r="798" spans="2:9" x14ac:dyDescent="0.25">
      <c r="B798" s="84">
        <v>16593</v>
      </c>
      <c r="D798" s="84" t="str">
        <f t="shared" si="14"/>
        <v/>
      </c>
      <c r="H798" s="84">
        <f>IFERROR(VLOOKUP(B798,Заказ!B:Q,5,0),0)</f>
        <v>0</v>
      </c>
      <c r="I798" s="84">
        <f>IFERROR(VLOOKUP(B798,Заказ!B:Q,16,0),0)</f>
        <v>0</v>
      </c>
    </row>
    <row r="799" spans="2:9" x14ac:dyDescent="0.25">
      <c r="B799" s="84">
        <v>16596</v>
      </c>
      <c r="D799" s="84" t="str">
        <f t="shared" si="14"/>
        <v/>
      </c>
      <c r="H799" s="84">
        <f>IFERROR(VLOOKUP(B799,Заказ!B:Q,5,0),0)</f>
        <v>0</v>
      </c>
      <c r="I799" s="84">
        <f>IFERROR(VLOOKUP(B799,Заказ!B:Q,16,0),0)</f>
        <v>0</v>
      </c>
    </row>
    <row r="800" spans="2:9" x14ac:dyDescent="0.25">
      <c r="B800" s="84">
        <v>20660</v>
      </c>
      <c r="D800" s="84" t="str">
        <f t="shared" si="14"/>
        <v/>
      </c>
      <c r="H800" s="84">
        <f>IFERROR(VLOOKUP(B800,Заказ!B:Q,5,0),0)</f>
        <v>0</v>
      </c>
      <c r="I800" s="84">
        <f>IFERROR(VLOOKUP(B800,Заказ!B:Q,16,0),0)</f>
        <v>0</v>
      </c>
    </row>
    <row r="801" spans="2:9" x14ac:dyDescent="0.25">
      <c r="B801" s="84">
        <v>20669</v>
      </c>
      <c r="D801" s="84" t="str">
        <f t="shared" si="14"/>
        <v/>
      </c>
      <c r="H801" s="84">
        <f>IFERROR(VLOOKUP(B801,Заказ!B:Q,5,0),0)</f>
        <v>0</v>
      </c>
      <c r="I801" s="84">
        <f>IFERROR(VLOOKUP(B801,Заказ!B:Q,16,0),0)</f>
        <v>0</v>
      </c>
    </row>
    <row r="802" spans="2:9" x14ac:dyDescent="0.25">
      <c r="B802" s="84">
        <v>20663</v>
      </c>
      <c r="D802" s="84" t="str">
        <f t="shared" si="14"/>
        <v/>
      </c>
      <c r="H802" s="84">
        <f>IFERROR(VLOOKUP(B802,Заказ!B:Q,5,0),0)</f>
        <v>0</v>
      </c>
      <c r="I802" s="84">
        <f>IFERROR(VLOOKUP(B802,Заказ!B:Q,16,0),0)</f>
        <v>0</v>
      </c>
    </row>
    <row r="803" spans="2:9" x14ac:dyDescent="0.25">
      <c r="B803" s="84">
        <v>20667</v>
      </c>
      <c r="D803" s="84" t="str">
        <f t="shared" si="14"/>
        <v/>
      </c>
      <c r="H803" s="84">
        <f>IFERROR(VLOOKUP(B803,Заказ!B:Q,5,0),0)</f>
        <v>0</v>
      </c>
      <c r="I803" s="84">
        <f>IFERROR(VLOOKUP(B803,Заказ!B:Q,16,0),0)</f>
        <v>0</v>
      </c>
    </row>
    <row r="804" spans="2:9" x14ac:dyDescent="0.25">
      <c r="B804" s="84">
        <v>20665</v>
      </c>
      <c r="D804" s="84" t="str">
        <f t="shared" si="14"/>
        <v/>
      </c>
      <c r="H804" s="84">
        <f>IFERROR(VLOOKUP(B804,Заказ!B:Q,5,0),0)</f>
        <v>0</v>
      </c>
      <c r="I804" s="84">
        <f>IFERROR(VLOOKUP(B804,Заказ!B:Q,16,0),0)</f>
        <v>0</v>
      </c>
    </row>
    <row r="805" spans="2:9" x14ac:dyDescent="0.25">
      <c r="B805" s="84">
        <v>20664</v>
      </c>
      <c r="D805" s="84" t="str">
        <f t="shared" si="14"/>
        <v/>
      </c>
      <c r="H805" s="84">
        <f>IFERROR(VLOOKUP(B805,Заказ!B:Q,5,0),0)</f>
        <v>0</v>
      </c>
      <c r="I805" s="84">
        <f>IFERROR(VLOOKUP(B805,Заказ!B:Q,16,0),0)</f>
        <v>0</v>
      </c>
    </row>
    <row r="806" spans="2:9" x14ac:dyDescent="0.25">
      <c r="B806" s="84">
        <v>20666</v>
      </c>
      <c r="D806" s="84" t="str">
        <f t="shared" si="14"/>
        <v/>
      </c>
      <c r="H806" s="84">
        <f>IFERROR(VLOOKUP(B806,Заказ!B:Q,5,0),0)</f>
        <v>0</v>
      </c>
      <c r="I806" s="84">
        <f>IFERROR(VLOOKUP(B806,Заказ!B:Q,16,0),0)</f>
        <v>0</v>
      </c>
    </row>
    <row r="807" spans="2:9" x14ac:dyDescent="0.25">
      <c r="B807" s="84">
        <v>20661</v>
      </c>
      <c r="D807" s="84" t="str">
        <f t="shared" si="14"/>
        <v/>
      </c>
      <c r="H807" s="84">
        <f>IFERROR(VLOOKUP(B807,Заказ!B:Q,5,0),0)</f>
        <v>0</v>
      </c>
      <c r="I807" s="84">
        <f>IFERROR(VLOOKUP(B807,Заказ!B:Q,16,0),0)</f>
        <v>0</v>
      </c>
    </row>
    <row r="808" spans="2:9" x14ac:dyDescent="0.25">
      <c r="B808" s="84">
        <v>15585</v>
      </c>
      <c r="D808" s="84" t="str">
        <f t="shared" si="14"/>
        <v/>
      </c>
      <c r="H808" s="84">
        <f>IFERROR(VLOOKUP(B808,Заказ!B:Q,5,0),0)</f>
        <v>0</v>
      </c>
      <c r="I808" s="84">
        <f>IFERROR(VLOOKUP(B808,Заказ!B:Q,16,0),0)</f>
        <v>0</v>
      </c>
    </row>
    <row r="809" spans="2:9" x14ac:dyDescent="0.25">
      <c r="B809" s="84">
        <v>15582</v>
      </c>
      <c r="D809" s="84" t="str">
        <f t="shared" si="14"/>
        <v/>
      </c>
      <c r="H809" s="84">
        <f>IFERROR(VLOOKUP(B809,Заказ!B:Q,5,0),0)</f>
        <v>0</v>
      </c>
      <c r="I809" s="84">
        <f>IFERROR(VLOOKUP(B809,Заказ!B:Q,16,0),0)</f>
        <v>0</v>
      </c>
    </row>
    <row r="810" spans="2:9" x14ac:dyDescent="0.25">
      <c r="B810" s="84">
        <v>15592</v>
      </c>
      <c r="D810" s="84" t="str">
        <f t="shared" si="14"/>
        <v/>
      </c>
      <c r="H810" s="84">
        <f>IFERROR(VLOOKUP(B810,Заказ!B:Q,5,0),0)</f>
        <v>0</v>
      </c>
      <c r="I810" s="84">
        <f>IFERROR(VLOOKUP(B810,Заказ!B:Q,16,0),0)</f>
        <v>0</v>
      </c>
    </row>
    <row r="811" spans="2:9" x14ac:dyDescent="0.25">
      <c r="B811" s="84">
        <v>15591</v>
      </c>
      <c r="D811" s="84" t="str">
        <f t="shared" si="14"/>
        <v/>
      </c>
      <c r="H811" s="84">
        <f>IFERROR(VLOOKUP(B811,Заказ!B:Q,5,0),0)</f>
        <v>0</v>
      </c>
      <c r="I811" s="84">
        <f>IFERROR(VLOOKUP(B811,Заказ!B:Q,16,0),0)</f>
        <v>0</v>
      </c>
    </row>
    <row r="812" spans="2:9" x14ac:dyDescent="0.25">
      <c r="B812" s="84">
        <v>15590</v>
      </c>
      <c r="D812" s="84" t="str">
        <f t="shared" si="14"/>
        <v/>
      </c>
      <c r="H812" s="84">
        <f>IFERROR(VLOOKUP(B812,Заказ!B:Q,5,0),0)</f>
        <v>0</v>
      </c>
      <c r="I812" s="84">
        <f>IFERROR(VLOOKUP(B812,Заказ!B:Q,16,0),0)</f>
        <v>0</v>
      </c>
    </row>
    <row r="813" spans="2:9" x14ac:dyDescent="0.25">
      <c r="B813" s="84">
        <v>15586</v>
      </c>
      <c r="D813" s="84" t="str">
        <f t="shared" si="14"/>
        <v/>
      </c>
      <c r="H813" s="84">
        <f>IFERROR(VLOOKUP(B813,Заказ!B:Q,5,0),0)</f>
        <v>0</v>
      </c>
      <c r="I813" s="84">
        <f>IFERROR(VLOOKUP(B813,Заказ!B:Q,16,0),0)</f>
        <v>0</v>
      </c>
    </row>
    <row r="814" spans="2:9" x14ac:dyDescent="0.25">
      <c r="B814" s="84">
        <v>15587</v>
      </c>
      <c r="D814" s="84" t="str">
        <f t="shared" si="14"/>
        <v/>
      </c>
      <c r="H814" s="84">
        <f>IFERROR(VLOOKUP(B814,Заказ!B:Q,5,0),0)</f>
        <v>0</v>
      </c>
      <c r="I814" s="84">
        <f>IFERROR(VLOOKUP(B814,Заказ!B:Q,16,0),0)</f>
        <v>0</v>
      </c>
    </row>
    <row r="815" spans="2:9" x14ac:dyDescent="0.25">
      <c r="B815" s="84">
        <v>15588</v>
      </c>
      <c r="D815" s="84" t="str">
        <f t="shared" si="14"/>
        <v/>
      </c>
      <c r="H815" s="84">
        <f>IFERROR(VLOOKUP(B815,Заказ!B:Q,5,0),0)</f>
        <v>0</v>
      </c>
      <c r="I815" s="84">
        <f>IFERROR(VLOOKUP(B815,Заказ!B:Q,16,0),0)</f>
        <v>0</v>
      </c>
    </row>
    <row r="816" spans="2:9" x14ac:dyDescent="0.25">
      <c r="B816" s="84">
        <v>15583</v>
      </c>
      <c r="D816" s="84" t="str">
        <f t="shared" si="14"/>
        <v/>
      </c>
      <c r="H816" s="84">
        <f>IFERROR(VLOOKUP(B816,Заказ!B:Q,5,0),0)</f>
        <v>0</v>
      </c>
      <c r="I816" s="84">
        <f>IFERROR(VLOOKUP(B816,Заказ!B:Q,16,0),0)</f>
        <v>0</v>
      </c>
    </row>
    <row r="817" spans="2:9" x14ac:dyDescent="0.25">
      <c r="B817" s="84">
        <v>15589</v>
      </c>
      <c r="D817" s="84" t="str">
        <f t="shared" si="14"/>
        <v/>
      </c>
      <c r="H817" s="84">
        <f>IFERROR(VLOOKUP(B817,Заказ!B:Q,5,0),0)</f>
        <v>0</v>
      </c>
      <c r="I817" s="84">
        <f>IFERROR(VLOOKUP(B817,Заказ!B:Q,16,0),0)</f>
        <v>0</v>
      </c>
    </row>
    <row r="818" spans="2:9" x14ac:dyDescent="0.25">
      <c r="B818" s="84">
        <v>19873</v>
      </c>
      <c r="D818" s="84" t="str">
        <f t="shared" si="14"/>
        <v/>
      </c>
      <c r="H818" s="84">
        <f>IFERROR(VLOOKUP(B818,Заказ!B:Q,5,0),0)</f>
        <v>0</v>
      </c>
      <c r="I818" s="84">
        <f>IFERROR(VLOOKUP(B818,Заказ!B:Q,16,0),0)</f>
        <v>0</v>
      </c>
    </row>
    <row r="819" spans="2:9" x14ac:dyDescent="0.25">
      <c r="B819" s="84">
        <v>19875</v>
      </c>
      <c r="D819" s="84" t="str">
        <f t="shared" si="14"/>
        <v/>
      </c>
      <c r="H819" s="84">
        <f>IFERROR(VLOOKUP(B819,Заказ!B:Q,5,0),0)</f>
        <v>0</v>
      </c>
      <c r="I819" s="84">
        <f>IFERROR(VLOOKUP(B819,Заказ!B:Q,16,0),0)</f>
        <v>0</v>
      </c>
    </row>
    <row r="820" spans="2:9" x14ac:dyDescent="0.25">
      <c r="B820" s="84">
        <v>19877</v>
      </c>
      <c r="D820" s="84" t="str">
        <f t="shared" si="14"/>
        <v/>
      </c>
      <c r="H820" s="84">
        <f>IFERROR(VLOOKUP(B820,Заказ!B:Q,5,0),0)</f>
        <v>0</v>
      </c>
      <c r="I820" s="84">
        <f>IFERROR(VLOOKUP(B820,Заказ!B:Q,16,0),0)</f>
        <v>0</v>
      </c>
    </row>
    <row r="821" spans="2:9" x14ac:dyDescent="0.25">
      <c r="B821" s="84">
        <v>20397</v>
      </c>
      <c r="D821" s="84" t="str">
        <f t="shared" si="14"/>
        <v/>
      </c>
      <c r="H821" s="84">
        <f>IFERROR(VLOOKUP(B821,Заказ!B:Q,5,0),0)</f>
        <v>0</v>
      </c>
      <c r="I821" s="84">
        <f>IFERROR(VLOOKUP(B821,Заказ!B:Q,16,0),0)</f>
        <v>0</v>
      </c>
    </row>
    <row r="822" spans="2:9" x14ac:dyDescent="0.25">
      <c r="B822" s="84">
        <v>19876</v>
      </c>
      <c r="D822" s="84" t="str">
        <f t="shared" si="14"/>
        <v/>
      </c>
      <c r="H822" s="84">
        <f>IFERROR(VLOOKUP(B822,Заказ!B:Q,5,0),0)</f>
        <v>0</v>
      </c>
      <c r="I822" s="84">
        <f>IFERROR(VLOOKUP(B822,Заказ!B:Q,16,0),0)</f>
        <v>0</v>
      </c>
    </row>
    <row r="823" spans="2:9" x14ac:dyDescent="0.25">
      <c r="B823" s="84">
        <v>19874</v>
      </c>
      <c r="D823" s="84" t="str">
        <f t="shared" si="14"/>
        <v/>
      </c>
      <c r="H823" s="84">
        <f>IFERROR(VLOOKUP(B823,Заказ!B:Q,5,0),0)</f>
        <v>0</v>
      </c>
      <c r="I823" s="84">
        <f>IFERROR(VLOOKUP(B823,Заказ!B:Q,16,0),0)</f>
        <v>0</v>
      </c>
    </row>
    <row r="824" spans="2:9" x14ac:dyDescent="0.25">
      <c r="B824" s="84">
        <v>19878</v>
      </c>
      <c r="D824" s="84" t="str">
        <f t="shared" si="14"/>
        <v/>
      </c>
      <c r="H824" s="84">
        <f>IFERROR(VLOOKUP(B824,Заказ!B:Q,5,0),0)</f>
        <v>0</v>
      </c>
      <c r="I824" s="84">
        <f>IFERROR(VLOOKUP(B824,Заказ!B:Q,16,0),0)</f>
        <v>0</v>
      </c>
    </row>
    <row r="825" spans="2:9" x14ac:dyDescent="0.25">
      <c r="B825" s="84">
        <v>19879</v>
      </c>
      <c r="D825" s="84" t="str">
        <f t="shared" si="14"/>
        <v/>
      </c>
      <c r="H825" s="84">
        <f>IFERROR(VLOOKUP(B825,Заказ!B:Q,5,0),0)</f>
        <v>0</v>
      </c>
      <c r="I825" s="84">
        <f>IFERROR(VLOOKUP(B825,Заказ!B:Q,16,0),0)</f>
        <v>0</v>
      </c>
    </row>
    <row r="826" spans="2:9" x14ac:dyDescent="0.25">
      <c r="B826" s="84">
        <v>19880</v>
      </c>
      <c r="D826" s="84" t="str">
        <f t="shared" si="14"/>
        <v/>
      </c>
      <c r="H826" s="84">
        <f>IFERROR(VLOOKUP(B826,Заказ!B:Q,5,0),0)</f>
        <v>0</v>
      </c>
      <c r="I826" s="84">
        <f>IFERROR(VLOOKUP(B826,Заказ!B:Q,16,0),0)</f>
        <v>0</v>
      </c>
    </row>
    <row r="827" spans="2:9" x14ac:dyDescent="0.25">
      <c r="B827" s="84">
        <v>20401</v>
      </c>
      <c r="D827" s="84" t="str">
        <f t="shared" si="14"/>
        <v/>
      </c>
      <c r="H827" s="84">
        <f>IFERROR(VLOOKUP(B827,Заказ!B:Q,5,0),0)</f>
        <v>0</v>
      </c>
      <c r="I827" s="84">
        <f>IFERROR(VLOOKUP(B827,Заказ!B:Q,16,0),0)</f>
        <v>0</v>
      </c>
    </row>
    <row r="828" spans="2:9" x14ac:dyDescent="0.25">
      <c r="B828" s="84">
        <v>20398</v>
      </c>
      <c r="D828" s="84" t="str">
        <f t="shared" si="14"/>
        <v/>
      </c>
      <c r="H828" s="84">
        <f>IFERROR(VLOOKUP(B828,Заказ!B:Q,5,0),0)</f>
        <v>0</v>
      </c>
      <c r="I828" s="84">
        <f>IFERROR(VLOOKUP(B828,Заказ!B:Q,16,0),0)</f>
        <v>0</v>
      </c>
    </row>
    <row r="829" spans="2:9" x14ac:dyDescent="0.25">
      <c r="B829" s="84">
        <v>20399</v>
      </c>
      <c r="D829" s="84" t="str">
        <f t="shared" si="14"/>
        <v/>
      </c>
      <c r="H829" s="84">
        <f>IFERROR(VLOOKUP(B829,Заказ!B:Q,5,0),0)</f>
        <v>0</v>
      </c>
      <c r="I829" s="84">
        <f>IFERROR(VLOOKUP(B829,Заказ!B:Q,16,0),0)</f>
        <v>0</v>
      </c>
    </row>
    <row r="830" spans="2:9" x14ac:dyDescent="0.25">
      <c r="B830" s="84">
        <v>20400</v>
      </c>
      <c r="D830" s="84" t="str">
        <f t="shared" si="14"/>
        <v/>
      </c>
      <c r="H830" s="84">
        <f>IFERROR(VLOOKUP(B830,Заказ!B:Q,5,0),0)</f>
        <v>0</v>
      </c>
      <c r="I830" s="84">
        <f>IFERROR(VLOOKUP(B830,Заказ!B:Q,16,0),0)</f>
        <v>0</v>
      </c>
    </row>
    <row r="831" spans="2:9" x14ac:dyDescent="0.25">
      <c r="B831" s="84">
        <v>20477</v>
      </c>
      <c r="D831" s="84" t="str">
        <f t="shared" si="14"/>
        <v/>
      </c>
      <c r="H831" s="84">
        <f>IFERROR(VLOOKUP(B831,Заказ!B:Q,5,0),0)</f>
        <v>0</v>
      </c>
      <c r="I831" s="84">
        <f>IFERROR(VLOOKUP(B831,Заказ!B:Q,16,0),0)</f>
        <v>0</v>
      </c>
    </row>
    <row r="832" spans="2:9" x14ac:dyDescent="0.25">
      <c r="B832" s="84">
        <v>20482</v>
      </c>
      <c r="D832" s="84" t="str">
        <f t="shared" si="14"/>
        <v/>
      </c>
      <c r="H832" s="84">
        <f>IFERROR(VLOOKUP(B832,Заказ!B:Q,5,0),0)</f>
        <v>0</v>
      </c>
      <c r="I832" s="84">
        <f>IFERROR(VLOOKUP(B832,Заказ!B:Q,16,0),0)</f>
        <v>0</v>
      </c>
    </row>
    <row r="833" spans="2:9" x14ac:dyDescent="0.25">
      <c r="B833" s="84">
        <v>20515</v>
      </c>
      <c r="D833" s="84" t="str">
        <f t="shared" si="14"/>
        <v/>
      </c>
      <c r="H833" s="84">
        <f>IFERROR(VLOOKUP(B833,Заказ!B:Q,5,0),0)</f>
        <v>0</v>
      </c>
      <c r="I833" s="84">
        <f>IFERROR(VLOOKUP(B833,Заказ!B:Q,16,0),0)</f>
        <v>0</v>
      </c>
    </row>
    <row r="834" spans="2:9" x14ac:dyDescent="0.25">
      <c r="B834" s="84">
        <v>20479</v>
      </c>
      <c r="D834" s="84" t="str">
        <f t="shared" si="14"/>
        <v/>
      </c>
      <c r="H834" s="84">
        <f>IFERROR(VLOOKUP(B834,Заказ!B:Q,5,0),0)</f>
        <v>0</v>
      </c>
      <c r="I834" s="84">
        <f>IFERROR(VLOOKUP(B834,Заказ!B:Q,16,0),0)</f>
        <v>0</v>
      </c>
    </row>
    <row r="835" spans="2:9" x14ac:dyDescent="0.25">
      <c r="B835" s="84">
        <v>20483</v>
      </c>
      <c r="D835" s="84" t="str">
        <f t="shared" si="14"/>
        <v/>
      </c>
      <c r="H835" s="84">
        <f>IFERROR(VLOOKUP(B835,Заказ!B:Q,5,0),0)</f>
        <v>0</v>
      </c>
      <c r="I835" s="84">
        <f>IFERROR(VLOOKUP(B835,Заказ!B:Q,16,0),0)</f>
        <v>0</v>
      </c>
    </row>
    <row r="836" spans="2:9" x14ac:dyDescent="0.25">
      <c r="B836" s="84">
        <v>20485</v>
      </c>
      <c r="D836" s="84" t="str">
        <f t="shared" si="14"/>
        <v/>
      </c>
      <c r="H836" s="84">
        <f>IFERROR(VLOOKUP(B836,Заказ!B:Q,5,0),0)</f>
        <v>0</v>
      </c>
      <c r="I836" s="84">
        <f>IFERROR(VLOOKUP(B836,Заказ!B:Q,16,0),0)</f>
        <v>0</v>
      </c>
    </row>
    <row r="837" spans="2:9" x14ac:dyDescent="0.25">
      <c r="B837" s="84">
        <v>20520</v>
      </c>
      <c r="D837" s="84" t="str">
        <f t="shared" si="14"/>
        <v/>
      </c>
      <c r="H837" s="84">
        <f>IFERROR(VLOOKUP(B837,Заказ!B:Q,5,0),0)</f>
        <v>0</v>
      </c>
      <c r="I837" s="84">
        <f>IFERROR(VLOOKUP(B837,Заказ!B:Q,16,0),0)</f>
        <v>0</v>
      </c>
    </row>
    <row r="838" spans="2:9" x14ac:dyDescent="0.25">
      <c r="B838" s="84">
        <v>20478</v>
      </c>
      <c r="D838" s="84" t="str">
        <f t="shared" si="14"/>
        <v/>
      </c>
      <c r="H838" s="84">
        <f>IFERROR(VLOOKUP(B838,Заказ!B:Q,5,0),0)</f>
        <v>0</v>
      </c>
      <c r="I838" s="84">
        <f>IFERROR(VLOOKUP(B838,Заказ!B:Q,16,0),0)</f>
        <v>0</v>
      </c>
    </row>
    <row r="839" spans="2:9" x14ac:dyDescent="0.25">
      <c r="B839" s="84">
        <v>20871</v>
      </c>
      <c r="D839" s="84" t="str">
        <f t="shared" si="14"/>
        <v/>
      </c>
      <c r="H839" s="84">
        <f>IFERROR(VLOOKUP(B839,Заказ!B:Q,5,0),0)</f>
        <v>0</v>
      </c>
      <c r="I839" s="84">
        <f>IFERROR(VLOOKUP(B839,Заказ!B:Q,16,0),0)</f>
        <v>0</v>
      </c>
    </row>
    <row r="840" spans="2:9" x14ac:dyDescent="0.25">
      <c r="B840" s="84">
        <v>18287</v>
      </c>
      <c r="D840" s="84" t="str">
        <f t="shared" si="14"/>
        <v/>
      </c>
      <c r="H840" s="84">
        <f>IFERROR(VLOOKUP(B840,Заказ!B:Q,5,0),0)</f>
        <v>0</v>
      </c>
      <c r="I840" s="84">
        <f>IFERROR(VLOOKUP(B840,Заказ!B:Q,16,0),0)</f>
        <v>0</v>
      </c>
    </row>
    <row r="841" spans="2:9" x14ac:dyDescent="0.25">
      <c r="B841" s="84">
        <v>20208</v>
      </c>
      <c r="D841" s="84" t="str">
        <f t="shared" si="14"/>
        <v/>
      </c>
      <c r="H841" s="84">
        <f>IFERROR(VLOOKUP(B841,Заказ!B:Q,5,0),0)</f>
        <v>0</v>
      </c>
      <c r="I841" s="84">
        <f>IFERROR(VLOOKUP(B841,Заказ!B:Q,16,0),0)</f>
        <v>0</v>
      </c>
    </row>
    <row r="842" spans="2:9" x14ac:dyDescent="0.25">
      <c r="B842" s="84">
        <v>21309</v>
      </c>
      <c r="D842" s="84" t="str">
        <f t="shared" si="14"/>
        <v/>
      </c>
      <c r="H842" s="84">
        <f>IFERROR(VLOOKUP(B842,Заказ!B:Q,5,0),0)</f>
        <v>0</v>
      </c>
      <c r="I842" s="84">
        <f>IFERROR(VLOOKUP(B842,Заказ!B:Q,16,0),0)</f>
        <v>0</v>
      </c>
    </row>
    <row r="843" spans="2:9" x14ac:dyDescent="0.25">
      <c r="B843" s="84">
        <v>21308</v>
      </c>
      <c r="D843" s="84" t="str">
        <f t="shared" si="14"/>
        <v/>
      </c>
      <c r="H843" s="84">
        <f>IFERROR(VLOOKUP(B843,Заказ!B:Q,5,0),0)</f>
        <v>0</v>
      </c>
      <c r="I843" s="84">
        <f>IFERROR(VLOOKUP(B843,Заказ!B:Q,16,0),0)</f>
        <v>0</v>
      </c>
    </row>
    <row r="844" spans="2:9" x14ac:dyDescent="0.25">
      <c r="B844" s="84">
        <v>21421</v>
      </c>
      <c r="D844" s="84" t="str">
        <f t="shared" si="14"/>
        <v/>
      </c>
      <c r="H844" s="84">
        <f>IFERROR(VLOOKUP(B844,Заказ!B:Q,5,0),0)</f>
        <v>0</v>
      </c>
      <c r="I844" s="84">
        <f>IFERROR(VLOOKUP(B844,Заказ!B:Q,16,0),0)</f>
        <v>0</v>
      </c>
    </row>
    <row r="845" spans="2:9" x14ac:dyDescent="0.25">
      <c r="B845" s="84">
        <v>21313</v>
      </c>
      <c r="D845" s="84" t="str">
        <f t="shared" si="14"/>
        <v/>
      </c>
      <c r="H845" s="84">
        <f>IFERROR(VLOOKUP(B845,Заказ!B:Q,5,0),0)</f>
        <v>0</v>
      </c>
      <c r="I845" s="84">
        <f>IFERROR(VLOOKUP(B845,Заказ!B:Q,16,0),0)</f>
        <v>0</v>
      </c>
    </row>
    <row r="846" spans="2:9" x14ac:dyDescent="0.25">
      <c r="B846" s="84">
        <v>21306</v>
      </c>
      <c r="D846" s="84" t="str">
        <f t="shared" si="14"/>
        <v/>
      </c>
      <c r="H846" s="84">
        <f>IFERROR(VLOOKUP(B846,Заказ!B:Q,5,0),0)</f>
        <v>0</v>
      </c>
      <c r="I846" s="84">
        <f>IFERROR(VLOOKUP(B846,Заказ!B:Q,16,0),0)</f>
        <v>0</v>
      </c>
    </row>
    <row r="847" spans="2:9" x14ac:dyDescent="0.25">
      <c r="B847" s="84">
        <v>21422</v>
      </c>
      <c r="D847" s="84" t="str">
        <f t="shared" si="14"/>
        <v/>
      </c>
      <c r="H847" s="84">
        <f>IFERROR(VLOOKUP(B847,Заказ!B:Q,5,0),0)</f>
        <v>0</v>
      </c>
      <c r="I847" s="84">
        <f>IFERROR(VLOOKUP(B847,Заказ!B:Q,16,0),0)</f>
        <v>0</v>
      </c>
    </row>
    <row r="848" spans="2:9" x14ac:dyDescent="0.25">
      <c r="B848" s="84">
        <v>21423</v>
      </c>
      <c r="D848" s="84" t="str">
        <f t="shared" ref="D848:D904" si="15">IFERROR(ROUND(I848/H848,2),"")</f>
        <v/>
      </c>
      <c r="H848" s="84">
        <f>IFERROR(VLOOKUP(B848,Заказ!B:Q,5,0),0)</f>
        <v>0</v>
      </c>
      <c r="I848" s="84">
        <f>IFERROR(VLOOKUP(B848,Заказ!B:Q,16,0),0)</f>
        <v>0</v>
      </c>
    </row>
    <row r="849" spans="2:9" x14ac:dyDescent="0.25">
      <c r="B849" s="84">
        <v>21424</v>
      </c>
      <c r="D849" s="84" t="str">
        <f t="shared" si="15"/>
        <v/>
      </c>
      <c r="H849" s="84">
        <f>IFERROR(VLOOKUP(B849,Заказ!B:Q,5,0),0)</f>
        <v>0</v>
      </c>
      <c r="I849" s="84">
        <f>IFERROR(VLOOKUP(B849,Заказ!B:Q,16,0),0)</f>
        <v>0</v>
      </c>
    </row>
    <row r="850" spans="2:9" x14ac:dyDescent="0.25">
      <c r="B850" s="84">
        <v>21307</v>
      </c>
      <c r="D850" s="84" t="str">
        <f t="shared" si="15"/>
        <v/>
      </c>
      <c r="H850" s="84">
        <f>IFERROR(VLOOKUP(B850,Заказ!B:Q,5,0),0)</f>
        <v>0</v>
      </c>
      <c r="I850" s="84">
        <f>IFERROR(VLOOKUP(B850,Заказ!B:Q,16,0),0)</f>
        <v>0</v>
      </c>
    </row>
    <row r="851" spans="2:9" x14ac:dyDescent="0.25">
      <c r="B851" s="84">
        <v>21304</v>
      </c>
      <c r="D851" s="84" t="str">
        <f t="shared" si="15"/>
        <v/>
      </c>
      <c r="H851" s="84">
        <f>IFERROR(VLOOKUP(B851,Заказ!B:Q,5,0),0)</f>
        <v>0</v>
      </c>
      <c r="I851" s="84">
        <f>IFERROR(VLOOKUP(B851,Заказ!B:Q,16,0),0)</f>
        <v>0</v>
      </c>
    </row>
    <row r="852" spans="2:9" x14ac:dyDescent="0.25">
      <c r="B852" s="84">
        <v>21303</v>
      </c>
      <c r="D852" s="84" t="str">
        <f t="shared" si="15"/>
        <v/>
      </c>
      <c r="H852" s="84">
        <f>IFERROR(VLOOKUP(B852,Заказ!B:Q,5,0),0)</f>
        <v>0</v>
      </c>
      <c r="I852" s="84">
        <f>IFERROR(VLOOKUP(B852,Заказ!B:Q,16,0),0)</f>
        <v>0</v>
      </c>
    </row>
    <row r="853" spans="2:9" x14ac:dyDescent="0.25">
      <c r="B853" s="84">
        <v>21305</v>
      </c>
      <c r="D853" s="84" t="str">
        <f t="shared" si="15"/>
        <v/>
      </c>
      <c r="H853" s="84">
        <f>IFERROR(VLOOKUP(B853,Заказ!B:Q,5,0),0)</f>
        <v>0</v>
      </c>
      <c r="I853" s="84">
        <f>IFERROR(VLOOKUP(B853,Заказ!B:Q,16,0),0)</f>
        <v>0</v>
      </c>
    </row>
    <row r="854" spans="2:9" x14ac:dyDescent="0.25">
      <c r="B854" s="84">
        <v>21302</v>
      </c>
      <c r="D854" s="84" t="str">
        <f t="shared" si="15"/>
        <v/>
      </c>
      <c r="H854" s="84">
        <f>IFERROR(VLOOKUP(B854,Заказ!B:Q,5,0),0)</f>
        <v>0</v>
      </c>
      <c r="I854" s="84">
        <f>IFERROR(VLOOKUP(B854,Заказ!B:Q,16,0),0)</f>
        <v>0</v>
      </c>
    </row>
    <row r="855" spans="2:9" x14ac:dyDescent="0.25">
      <c r="B855" s="84">
        <v>21311</v>
      </c>
      <c r="D855" s="84" t="str">
        <f t="shared" si="15"/>
        <v/>
      </c>
      <c r="H855" s="84">
        <f>IFERROR(VLOOKUP(B855,Заказ!B:Q,5,0),0)</f>
        <v>0</v>
      </c>
      <c r="I855" s="84">
        <f>IFERROR(VLOOKUP(B855,Заказ!B:Q,16,0),0)</f>
        <v>0</v>
      </c>
    </row>
    <row r="856" spans="2:9" x14ac:dyDescent="0.25">
      <c r="B856" s="84">
        <v>21312</v>
      </c>
      <c r="D856" s="84" t="str">
        <f t="shared" si="15"/>
        <v/>
      </c>
      <c r="H856" s="84">
        <f>IFERROR(VLOOKUP(B856,Заказ!B:Q,5,0),0)</f>
        <v>0</v>
      </c>
      <c r="I856" s="84">
        <f>IFERROR(VLOOKUP(B856,Заказ!B:Q,16,0),0)</f>
        <v>0</v>
      </c>
    </row>
    <row r="857" spans="2:9" x14ac:dyDescent="0.25">
      <c r="B857" s="84">
        <v>17874</v>
      </c>
      <c r="D857" s="84" t="str">
        <f t="shared" si="15"/>
        <v/>
      </c>
      <c r="H857" s="84">
        <f>IFERROR(VLOOKUP(B857,Заказ!B:Q,5,0),0)</f>
        <v>0</v>
      </c>
      <c r="I857" s="84">
        <f>IFERROR(VLOOKUP(B857,Заказ!B:Q,16,0),0)</f>
        <v>0</v>
      </c>
    </row>
    <row r="858" spans="2:9" x14ac:dyDescent="0.25">
      <c r="B858" s="84">
        <v>17876</v>
      </c>
      <c r="D858" s="84" t="str">
        <f t="shared" si="15"/>
        <v/>
      </c>
      <c r="H858" s="84">
        <f>IFERROR(VLOOKUP(B858,Заказ!B:Q,5,0),0)</f>
        <v>0</v>
      </c>
      <c r="I858" s="84">
        <f>IFERROR(VLOOKUP(B858,Заказ!B:Q,16,0),0)</f>
        <v>0</v>
      </c>
    </row>
    <row r="859" spans="2:9" x14ac:dyDescent="0.25">
      <c r="B859" s="84">
        <v>17875</v>
      </c>
      <c r="D859" s="84" t="str">
        <f t="shared" si="15"/>
        <v/>
      </c>
      <c r="H859" s="84">
        <f>IFERROR(VLOOKUP(B859,Заказ!B:Q,5,0),0)</f>
        <v>0</v>
      </c>
      <c r="I859" s="84">
        <f>IFERROR(VLOOKUP(B859,Заказ!B:Q,16,0),0)</f>
        <v>0</v>
      </c>
    </row>
    <row r="860" spans="2:9" x14ac:dyDescent="0.25">
      <c r="B860" s="84">
        <v>17877</v>
      </c>
      <c r="D860" s="84" t="str">
        <f t="shared" si="15"/>
        <v/>
      </c>
      <c r="H860" s="84">
        <f>IFERROR(VLOOKUP(B860,Заказ!B:Q,5,0),0)</f>
        <v>0</v>
      </c>
      <c r="I860" s="84">
        <f>IFERROR(VLOOKUP(B860,Заказ!B:Q,16,0),0)</f>
        <v>0</v>
      </c>
    </row>
    <row r="861" spans="2:9" x14ac:dyDescent="0.25">
      <c r="B861" s="84">
        <v>18420</v>
      </c>
      <c r="D861" s="84" t="str">
        <f t="shared" si="15"/>
        <v/>
      </c>
      <c r="H861" s="84">
        <f>IFERROR(VLOOKUP(B861,Заказ!B:Q,5,0),0)</f>
        <v>0</v>
      </c>
      <c r="I861" s="84">
        <f>IFERROR(VLOOKUP(B861,Заказ!B:Q,16,0),0)</f>
        <v>0</v>
      </c>
    </row>
    <row r="862" spans="2:9" x14ac:dyDescent="0.25">
      <c r="B862" s="84">
        <v>18421</v>
      </c>
      <c r="D862" s="84" t="str">
        <f t="shared" si="15"/>
        <v/>
      </c>
      <c r="H862" s="84">
        <f>IFERROR(VLOOKUP(B862,Заказ!B:Q,5,0),0)</f>
        <v>0</v>
      </c>
      <c r="I862" s="84">
        <f>IFERROR(VLOOKUP(B862,Заказ!B:Q,16,0),0)</f>
        <v>0</v>
      </c>
    </row>
    <row r="863" spans="2:9" x14ac:dyDescent="0.25">
      <c r="B863" s="84">
        <v>18422</v>
      </c>
      <c r="D863" s="84" t="str">
        <f t="shared" si="15"/>
        <v/>
      </c>
      <c r="H863" s="84">
        <f>IFERROR(VLOOKUP(B863,Заказ!B:Q,5,0),0)</f>
        <v>0</v>
      </c>
      <c r="I863" s="84">
        <f>IFERROR(VLOOKUP(B863,Заказ!B:Q,16,0),0)</f>
        <v>0</v>
      </c>
    </row>
    <row r="864" spans="2:9" x14ac:dyDescent="0.25">
      <c r="B864" s="84">
        <v>16619</v>
      </c>
      <c r="D864" s="84" t="str">
        <f t="shared" si="15"/>
        <v/>
      </c>
      <c r="H864" s="84">
        <f>IFERROR(VLOOKUP(B864,Заказ!B:Q,5,0),0)</f>
        <v>0</v>
      </c>
      <c r="I864" s="84">
        <f>IFERROR(VLOOKUP(B864,Заказ!B:Q,16,0),0)</f>
        <v>0</v>
      </c>
    </row>
    <row r="865" spans="2:9" x14ac:dyDescent="0.25">
      <c r="B865" s="84">
        <v>16620</v>
      </c>
      <c r="D865" s="84" t="str">
        <f t="shared" si="15"/>
        <v/>
      </c>
      <c r="H865" s="84">
        <f>IFERROR(VLOOKUP(B865,Заказ!B:Q,5,0),0)</f>
        <v>0</v>
      </c>
      <c r="I865" s="84">
        <f>IFERROR(VLOOKUP(B865,Заказ!B:Q,16,0),0)</f>
        <v>0</v>
      </c>
    </row>
    <row r="866" spans="2:9" x14ac:dyDescent="0.25">
      <c r="B866" s="84">
        <v>20955</v>
      </c>
      <c r="D866" s="84" t="str">
        <f t="shared" si="15"/>
        <v/>
      </c>
      <c r="H866" s="84">
        <f>IFERROR(VLOOKUP(B866,Заказ!B:Q,5,0),0)</f>
        <v>0</v>
      </c>
      <c r="I866" s="84">
        <f>IFERROR(VLOOKUP(B866,Заказ!B:Q,16,0),0)</f>
        <v>0</v>
      </c>
    </row>
    <row r="867" spans="2:9" x14ac:dyDescent="0.25">
      <c r="B867" s="84">
        <v>20957</v>
      </c>
      <c r="D867" s="84" t="str">
        <f t="shared" si="15"/>
        <v/>
      </c>
      <c r="H867" s="84">
        <f>IFERROR(VLOOKUP(B867,Заказ!B:Q,5,0),0)</f>
        <v>0</v>
      </c>
      <c r="I867" s="84">
        <f>IFERROR(VLOOKUP(B867,Заказ!B:Q,16,0),0)</f>
        <v>0</v>
      </c>
    </row>
    <row r="868" spans="2:9" x14ac:dyDescent="0.25">
      <c r="B868" s="84">
        <v>20956</v>
      </c>
      <c r="D868" s="84" t="str">
        <f t="shared" si="15"/>
        <v/>
      </c>
      <c r="H868" s="84">
        <f>IFERROR(VLOOKUP(B868,Заказ!B:Q,5,0),0)</f>
        <v>0</v>
      </c>
      <c r="I868" s="84">
        <f>IFERROR(VLOOKUP(B868,Заказ!B:Q,16,0),0)</f>
        <v>0</v>
      </c>
    </row>
    <row r="869" spans="2:9" x14ac:dyDescent="0.25">
      <c r="B869" s="84">
        <v>20954</v>
      </c>
      <c r="D869" s="84" t="str">
        <f t="shared" si="15"/>
        <v/>
      </c>
      <c r="H869" s="84">
        <f>IFERROR(VLOOKUP(B869,Заказ!B:Q,5,0),0)</f>
        <v>0</v>
      </c>
      <c r="I869" s="84">
        <f>IFERROR(VLOOKUP(B869,Заказ!B:Q,16,0),0)</f>
        <v>0</v>
      </c>
    </row>
    <row r="870" spans="2:9" x14ac:dyDescent="0.25">
      <c r="B870" s="84">
        <v>16749</v>
      </c>
      <c r="D870" s="84" t="str">
        <f t="shared" si="15"/>
        <v/>
      </c>
      <c r="H870" s="84">
        <f>IFERROR(VLOOKUP(B870,Заказ!B:Q,5,0),0)</f>
        <v>0</v>
      </c>
      <c r="I870" s="84">
        <f>IFERROR(VLOOKUP(B870,Заказ!B:Q,16,0),0)</f>
        <v>0</v>
      </c>
    </row>
    <row r="871" spans="2:9" x14ac:dyDescent="0.25">
      <c r="B871" s="84">
        <v>16621</v>
      </c>
      <c r="D871" s="84" t="str">
        <f t="shared" si="15"/>
        <v/>
      </c>
      <c r="H871" s="84">
        <f>IFERROR(VLOOKUP(B871,Заказ!B:Q,5,0),0)</f>
        <v>0</v>
      </c>
      <c r="I871" s="84">
        <f>IFERROR(VLOOKUP(B871,Заказ!B:Q,16,0),0)</f>
        <v>0</v>
      </c>
    </row>
    <row r="872" spans="2:9" x14ac:dyDescent="0.25">
      <c r="B872" s="84">
        <v>16744</v>
      </c>
      <c r="D872" s="84" t="str">
        <f t="shared" si="15"/>
        <v/>
      </c>
      <c r="H872" s="84">
        <f>IFERROR(VLOOKUP(B872,Заказ!B:Q,5,0),0)</f>
        <v>0</v>
      </c>
      <c r="I872" s="84">
        <f>IFERROR(VLOOKUP(B872,Заказ!B:Q,16,0),0)</f>
        <v>0</v>
      </c>
    </row>
    <row r="873" spans="2:9" x14ac:dyDescent="0.25">
      <c r="B873" s="84">
        <v>16748</v>
      </c>
      <c r="D873" s="84" t="str">
        <f t="shared" si="15"/>
        <v/>
      </c>
      <c r="H873" s="84">
        <f>IFERROR(VLOOKUP(B873,Заказ!B:Q,5,0),0)</f>
        <v>0</v>
      </c>
      <c r="I873" s="84">
        <f>IFERROR(VLOOKUP(B873,Заказ!B:Q,16,0),0)</f>
        <v>0</v>
      </c>
    </row>
    <row r="874" spans="2:9" x14ac:dyDescent="0.25">
      <c r="B874" s="84">
        <v>16745</v>
      </c>
      <c r="D874" s="84" t="str">
        <f t="shared" si="15"/>
        <v/>
      </c>
      <c r="H874" s="84">
        <f>IFERROR(VLOOKUP(B874,Заказ!B:Q,5,0),0)</f>
        <v>0</v>
      </c>
      <c r="I874" s="84">
        <f>IFERROR(VLOOKUP(B874,Заказ!B:Q,16,0),0)</f>
        <v>0</v>
      </c>
    </row>
    <row r="875" spans="2:9" x14ac:dyDescent="0.25">
      <c r="B875" s="84">
        <v>20079</v>
      </c>
      <c r="D875" s="84" t="str">
        <f t="shared" si="15"/>
        <v/>
      </c>
      <c r="H875" s="84">
        <f>IFERROR(VLOOKUP(B875,Заказ!B:Q,5,0),0)</f>
        <v>0</v>
      </c>
      <c r="I875" s="84">
        <f>IFERROR(VLOOKUP(B875,Заказ!B:Q,16,0),0)</f>
        <v>0</v>
      </c>
    </row>
    <row r="876" spans="2:9" x14ac:dyDescent="0.25">
      <c r="B876" s="84">
        <v>20080</v>
      </c>
      <c r="D876" s="84" t="str">
        <f t="shared" si="15"/>
        <v/>
      </c>
      <c r="H876" s="84">
        <f>IFERROR(VLOOKUP(B876,Заказ!B:Q,5,0),0)</f>
        <v>0</v>
      </c>
      <c r="I876" s="84">
        <f>IFERROR(VLOOKUP(B876,Заказ!B:Q,16,0),0)</f>
        <v>0</v>
      </c>
    </row>
    <row r="877" spans="2:9" x14ac:dyDescent="0.25">
      <c r="B877" s="84">
        <v>16746</v>
      </c>
      <c r="D877" s="84" t="str">
        <f t="shared" si="15"/>
        <v/>
      </c>
      <c r="H877" s="84">
        <f>IFERROR(VLOOKUP(B877,Заказ!B:Q,5,0),0)</f>
        <v>0</v>
      </c>
      <c r="I877" s="84">
        <f>IFERROR(VLOOKUP(B877,Заказ!B:Q,16,0),0)</f>
        <v>0</v>
      </c>
    </row>
    <row r="878" spans="2:9" x14ac:dyDescent="0.25">
      <c r="B878" s="84">
        <v>16616</v>
      </c>
      <c r="D878" s="84" t="str">
        <f t="shared" si="15"/>
        <v/>
      </c>
      <c r="H878" s="84">
        <f>IFERROR(VLOOKUP(B878,Заказ!B:Q,5,0),0)</f>
        <v>0</v>
      </c>
      <c r="I878" s="84">
        <f>IFERROR(VLOOKUP(B878,Заказ!B:Q,16,0),0)</f>
        <v>0</v>
      </c>
    </row>
    <row r="879" spans="2:9" x14ac:dyDescent="0.25">
      <c r="B879" s="84">
        <v>20711</v>
      </c>
      <c r="D879" s="84" t="str">
        <f t="shared" si="15"/>
        <v/>
      </c>
      <c r="H879" s="84">
        <f>IFERROR(VLOOKUP(B879,Заказ!B:Q,5,0),0)</f>
        <v>0</v>
      </c>
      <c r="I879" s="84">
        <f>IFERROR(VLOOKUP(B879,Заказ!B:Q,16,0),0)</f>
        <v>0</v>
      </c>
    </row>
    <row r="880" spans="2:9" x14ac:dyDescent="0.25">
      <c r="B880" s="84">
        <v>16617</v>
      </c>
      <c r="D880" s="84" t="str">
        <f t="shared" si="15"/>
        <v/>
      </c>
      <c r="H880" s="84">
        <f>IFERROR(VLOOKUP(B880,Заказ!B:Q,5,0),0)</f>
        <v>0</v>
      </c>
      <c r="I880" s="84">
        <f>IFERROR(VLOOKUP(B880,Заказ!B:Q,16,0),0)</f>
        <v>0</v>
      </c>
    </row>
    <row r="881" spans="2:9" x14ac:dyDescent="0.25">
      <c r="B881" s="84">
        <v>16622</v>
      </c>
      <c r="D881" s="84" t="str">
        <f t="shared" si="15"/>
        <v/>
      </c>
      <c r="H881" s="84">
        <f>IFERROR(VLOOKUP(B881,Заказ!B:Q,5,0),0)</f>
        <v>0</v>
      </c>
      <c r="I881" s="84">
        <f>IFERROR(VLOOKUP(B881,Заказ!B:Q,16,0),0)</f>
        <v>0</v>
      </c>
    </row>
    <row r="882" spans="2:9" x14ac:dyDescent="0.25">
      <c r="B882" s="84">
        <v>16623</v>
      </c>
      <c r="D882" s="84" t="str">
        <f t="shared" si="15"/>
        <v/>
      </c>
      <c r="H882" s="84">
        <f>IFERROR(VLOOKUP(B882,Заказ!B:Q,5,0),0)</f>
        <v>0</v>
      </c>
      <c r="I882" s="84">
        <f>IFERROR(VLOOKUP(B882,Заказ!B:Q,16,0),0)</f>
        <v>0</v>
      </c>
    </row>
    <row r="883" spans="2:9" x14ac:dyDescent="0.25">
      <c r="B883" s="84">
        <v>16618</v>
      </c>
      <c r="D883" s="84" t="str">
        <f t="shared" si="15"/>
        <v/>
      </c>
      <c r="H883" s="84">
        <f>IFERROR(VLOOKUP(B883,Заказ!B:Q,5,0),0)</f>
        <v>0</v>
      </c>
      <c r="I883" s="84">
        <f>IFERROR(VLOOKUP(B883,Заказ!B:Q,16,0),0)</f>
        <v>0</v>
      </c>
    </row>
    <row r="884" spans="2:9" x14ac:dyDescent="0.25">
      <c r="B884" s="84">
        <v>16624</v>
      </c>
      <c r="D884" s="84" t="str">
        <f t="shared" si="15"/>
        <v/>
      </c>
      <c r="H884" s="84">
        <f>IFERROR(VLOOKUP(B884,Заказ!B:Q,5,0),0)</f>
        <v>0</v>
      </c>
      <c r="I884" s="84">
        <f>IFERROR(VLOOKUP(B884,Заказ!B:Q,16,0),0)</f>
        <v>0</v>
      </c>
    </row>
    <row r="885" spans="2:9" x14ac:dyDescent="0.25">
      <c r="B885" s="84">
        <v>21288</v>
      </c>
      <c r="D885" s="84" t="str">
        <f t="shared" si="15"/>
        <v/>
      </c>
      <c r="H885" s="84">
        <f>IFERROR(VLOOKUP(B885,Заказ!B:Q,5,0),0)</f>
        <v>0</v>
      </c>
      <c r="I885" s="84">
        <f>IFERROR(VLOOKUP(B885,Заказ!B:Q,16,0),0)</f>
        <v>0</v>
      </c>
    </row>
    <row r="886" spans="2:9" x14ac:dyDescent="0.25">
      <c r="B886" s="84">
        <v>21289</v>
      </c>
      <c r="D886" s="84" t="str">
        <f t="shared" si="15"/>
        <v/>
      </c>
      <c r="H886" s="84">
        <f>IFERROR(VLOOKUP(B886,Заказ!B:Q,5,0),0)</f>
        <v>0</v>
      </c>
      <c r="I886" s="84">
        <f>IFERROR(VLOOKUP(B886,Заказ!B:Q,16,0),0)</f>
        <v>0</v>
      </c>
    </row>
    <row r="887" spans="2:9" x14ac:dyDescent="0.25">
      <c r="B887" s="84">
        <v>21287</v>
      </c>
      <c r="D887" s="84" t="str">
        <f t="shared" si="15"/>
        <v/>
      </c>
      <c r="H887" s="84">
        <f>IFERROR(VLOOKUP(B887,Заказ!B:Q,5,0),0)</f>
        <v>0</v>
      </c>
      <c r="I887" s="84">
        <f>IFERROR(VLOOKUP(B887,Заказ!B:Q,16,0),0)</f>
        <v>0</v>
      </c>
    </row>
    <row r="888" spans="2:9" x14ac:dyDescent="0.25">
      <c r="B888" s="84">
        <v>21459</v>
      </c>
      <c r="D888" s="84" t="str">
        <f t="shared" si="15"/>
        <v/>
      </c>
      <c r="H888" s="84">
        <f>IFERROR(VLOOKUP(B888,Заказ!B:Q,5,0),0)</f>
        <v>0</v>
      </c>
      <c r="I888" s="84">
        <f>IFERROR(VLOOKUP(B888,Заказ!B:Q,16,0),0)</f>
        <v>0</v>
      </c>
    </row>
    <row r="889" spans="2:9" x14ac:dyDescent="0.25">
      <c r="B889" s="84">
        <v>20292</v>
      </c>
      <c r="D889" s="84" t="str">
        <f t="shared" si="15"/>
        <v/>
      </c>
      <c r="H889" s="84">
        <f>IFERROR(VLOOKUP(B889,Заказ!B:Q,5,0),0)</f>
        <v>0</v>
      </c>
      <c r="I889" s="84">
        <f>IFERROR(VLOOKUP(B889,Заказ!B:Q,16,0),0)</f>
        <v>0</v>
      </c>
    </row>
    <row r="890" spans="2:9" x14ac:dyDescent="0.25">
      <c r="B890" s="84">
        <v>20293</v>
      </c>
      <c r="D890" s="84" t="str">
        <f t="shared" si="15"/>
        <v/>
      </c>
      <c r="H890" s="84">
        <f>IFERROR(VLOOKUP(B890,Заказ!B:Q,5,0),0)</f>
        <v>0</v>
      </c>
      <c r="I890" s="84">
        <f>IFERROR(VLOOKUP(B890,Заказ!B:Q,16,0),0)</f>
        <v>0</v>
      </c>
    </row>
    <row r="891" spans="2:9" x14ac:dyDescent="0.25">
      <c r="B891" s="84">
        <v>20294</v>
      </c>
      <c r="D891" s="84" t="str">
        <f t="shared" si="15"/>
        <v/>
      </c>
      <c r="H891" s="84">
        <f>IFERROR(VLOOKUP(B891,Заказ!B:Q,5,0),0)</f>
        <v>0</v>
      </c>
      <c r="I891" s="84">
        <f>IFERROR(VLOOKUP(B891,Заказ!B:Q,16,0),0)</f>
        <v>0</v>
      </c>
    </row>
    <row r="892" spans="2:9" x14ac:dyDescent="0.25">
      <c r="B892" s="84">
        <v>20953</v>
      </c>
      <c r="D892" s="84" t="str">
        <f t="shared" si="15"/>
        <v/>
      </c>
      <c r="H892" s="84">
        <f>IFERROR(VLOOKUP(B892,Заказ!B:Q,5,0),0)</f>
        <v>0</v>
      </c>
      <c r="I892" s="84">
        <f>IFERROR(VLOOKUP(B892,Заказ!B:Q,16,0),0)</f>
        <v>0</v>
      </c>
    </row>
    <row r="893" spans="2:9" x14ac:dyDescent="0.25">
      <c r="B893" s="84">
        <v>16628</v>
      </c>
      <c r="D893" s="84" t="str">
        <f t="shared" si="15"/>
        <v/>
      </c>
      <c r="H893" s="84">
        <f>IFERROR(VLOOKUP(B893,Заказ!B:Q,5,0),0)</f>
        <v>0</v>
      </c>
      <c r="I893" s="84">
        <f>IFERROR(VLOOKUP(B893,Заказ!B:Q,16,0),0)</f>
        <v>0</v>
      </c>
    </row>
    <row r="894" spans="2:9" x14ac:dyDescent="0.25">
      <c r="B894" s="84">
        <v>20952</v>
      </c>
      <c r="D894" s="84" t="str">
        <f t="shared" si="15"/>
        <v/>
      </c>
      <c r="H894" s="84">
        <f>IFERROR(VLOOKUP(B894,Заказ!B:Q,5,0),0)</f>
        <v>0</v>
      </c>
      <c r="I894" s="84">
        <f>IFERROR(VLOOKUP(B894,Заказ!B:Q,16,0),0)</f>
        <v>0</v>
      </c>
    </row>
    <row r="895" spans="2:9" x14ac:dyDescent="0.25">
      <c r="B895" s="84">
        <v>20949</v>
      </c>
      <c r="D895" s="84" t="str">
        <f t="shared" si="15"/>
        <v/>
      </c>
      <c r="H895" s="84">
        <f>IFERROR(VLOOKUP(B895,Заказ!B:Q,5,0),0)</f>
        <v>0</v>
      </c>
      <c r="I895" s="84">
        <f>IFERROR(VLOOKUP(B895,Заказ!B:Q,16,0),0)</f>
        <v>0</v>
      </c>
    </row>
    <row r="896" spans="2:9" x14ac:dyDescent="0.25">
      <c r="B896" s="84">
        <v>20951</v>
      </c>
      <c r="D896" s="84" t="str">
        <f t="shared" si="15"/>
        <v/>
      </c>
      <c r="H896" s="84">
        <f>IFERROR(VLOOKUP(B896,Заказ!B:Q,5,0),0)</f>
        <v>0</v>
      </c>
      <c r="I896" s="84">
        <f>IFERROR(VLOOKUP(B896,Заказ!B:Q,16,0),0)</f>
        <v>0</v>
      </c>
    </row>
    <row r="897" spans="2:9" x14ac:dyDescent="0.25">
      <c r="B897" s="84">
        <v>20950</v>
      </c>
      <c r="D897" s="84" t="str">
        <f t="shared" si="15"/>
        <v/>
      </c>
      <c r="H897" s="84">
        <f>IFERROR(VLOOKUP(B897,Заказ!B:Q,5,0),0)</f>
        <v>0</v>
      </c>
      <c r="I897" s="84">
        <f>IFERROR(VLOOKUP(B897,Заказ!B:Q,16,0),0)</f>
        <v>0</v>
      </c>
    </row>
    <row r="898" spans="2:9" x14ac:dyDescent="0.25">
      <c r="B898" s="84">
        <v>16612</v>
      </c>
      <c r="D898" s="84" t="str">
        <f t="shared" si="15"/>
        <v/>
      </c>
      <c r="H898" s="84">
        <f>IFERROR(VLOOKUP(B898,Заказ!B:Q,5,0),0)</f>
        <v>0</v>
      </c>
      <c r="I898" s="84">
        <f>IFERROR(VLOOKUP(B898,Заказ!B:Q,16,0),0)</f>
        <v>0</v>
      </c>
    </row>
    <row r="899" spans="2:9" x14ac:dyDescent="0.25">
      <c r="B899" s="84">
        <v>16613</v>
      </c>
      <c r="D899" s="84" t="str">
        <f t="shared" si="15"/>
        <v/>
      </c>
      <c r="H899" s="84">
        <f>IFERROR(VLOOKUP(B899,Заказ!B:Q,5,0),0)</f>
        <v>0</v>
      </c>
      <c r="I899" s="84">
        <f>IFERROR(VLOOKUP(B899,Заказ!B:Q,16,0),0)</f>
        <v>0</v>
      </c>
    </row>
    <row r="900" spans="2:9" x14ac:dyDescent="0.25">
      <c r="B900" s="84">
        <v>16755</v>
      </c>
      <c r="D900" s="84" t="str">
        <f t="shared" si="15"/>
        <v/>
      </c>
      <c r="H900" s="84">
        <f>IFERROR(VLOOKUP(B900,Заказ!B:Q,5,0),0)</f>
        <v>0</v>
      </c>
      <c r="I900" s="84">
        <f>IFERROR(VLOOKUP(B900,Заказ!B:Q,16,0),0)</f>
        <v>0</v>
      </c>
    </row>
    <row r="901" spans="2:9" x14ac:dyDescent="0.25">
      <c r="B901" s="84">
        <v>16614</v>
      </c>
      <c r="D901" s="84" t="str">
        <f t="shared" si="15"/>
        <v/>
      </c>
      <c r="H901" s="84">
        <f>IFERROR(VLOOKUP(B901,Заказ!B:Q,5,0),0)</f>
        <v>0</v>
      </c>
      <c r="I901" s="84">
        <f>IFERROR(VLOOKUP(B901,Заказ!B:Q,16,0),0)</f>
        <v>0</v>
      </c>
    </row>
    <row r="902" spans="2:9" x14ac:dyDescent="0.25">
      <c r="B902" s="84">
        <v>16615</v>
      </c>
      <c r="D902" s="84" t="str">
        <f t="shared" si="15"/>
        <v/>
      </c>
      <c r="H902" s="84">
        <f>IFERROR(VLOOKUP(B902,Заказ!B:Q,5,0),0)</f>
        <v>0</v>
      </c>
      <c r="I902" s="84">
        <f>IFERROR(VLOOKUP(B902,Заказ!B:Q,16,0),0)</f>
        <v>0</v>
      </c>
    </row>
    <row r="903" spans="2:9" x14ac:dyDescent="0.25">
      <c r="B903" s="84">
        <v>15968</v>
      </c>
      <c r="D903" s="84" t="str">
        <f t="shared" si="15"/>
        <v/>
      </c>
      <c r="H903" s="84">
        <f>IFERROR(VLOOKUP(B903,Заказ!B:Q,5,0),0)</f>
        <v>0</v>
      </c>
      <c r="I903" s="84">
        <f>IFERROR(VLOOKUP(B903,Заказ!B:Q,16,0),0)</f>
        <v>0</v>
      </c>
    </row>
    <row r="904" spans="2:9" x14ac:dyDescent="0.25">
      <c r="B904" s="84">
        <v>15966</v>
      </c>
      <c r="D904" s="84" t="str">
        <f t="shared" si="15"/>
        <v/>
      </c>
      <c r="H904" s="84">
        <f>IFERROR(VLOOKUP(B904,Заказ!B:Q,5,0),0)</f>
        <v>0</v>
      </c>
      <c r="I904" s="84">
        <f>IFERROR(VLOOKUP(B904,Заказ!B:Q,16,0),0)</f>
        <v>0</v>
      </c>
    </row>
    <row r="905" spans="2:9" x14ac:dyDescent="0.25">
      <c r="B905" s="84">
        <v>15967</v>
      </c>
      <c r="D905" s="84" t="str">
        <f t="shared" ref="D905:D1001" si="16">IFERROR(ROUND(I905/H905,2),"")</f>
        <v/>
      </c>
      <c r="H905" s="84">
        <f>IFERROR(VLOOKUP(B905,Заказ!B:Q,5,0),0)</f>
        <v>0</v>
      </c>
      <c r="I905" s="84">
        <f>IFERROR(VLOOKUP(B905,Заказ!B:Q,16,0),0)</f>
        <v>0</v>
      </c>
    </row>
    <row r="906" spans="2:9" x14ac:dyDescent="0.25">
      <c r="B906" s="84">
        <v>15969</v>
      </c>
      <c r="D906" s="84" t="str">
        <f t="shared" si="16"/>
        <v/>
      </c>
      <c r="H906" s="84">
        <f>IFERROR(VLOOKUP(B906,Заказ!B:Q,5,0),0)</f>
        <v>0</v>
      </c>
      <c r="I906" s="84">
        <f>IFERROR(VLOOKUP(B906,Заказ!B:Q,16,0),0)</f>
        <v>0</v>
      </c>
    </row>
    <row r="907" spans="2:9" x14ac:dyDescent="0.25">
      <c r="B907" s="84">
        <v>15621</v>
      </c>
      <c r="D907" s="84" t="str">
        <f t="shared" si="16"/>
        <v/>
      </c>
      <c r="H907" s="84">
        <f>IFERROR(VLOOKUP(B907,Заказ!B:Q,5,0),0)</f>
        <v>0</v>
      </c>
      <c r="I907" s="84">
        <f>IFERROR(VLOOKUP(B907,Заказ!B:Q,16,0),0)</f>
        <v>0</v>
      </c>
    </row>
    <row r="908" spans="2:9" x14ac:dyDescent="0.25">
      <c r="B908" s="84">
        <v>20416</v>
      </c>
      <c r="D908" s="84" t="str">
        <f t="shared" si="16"/>
        <v/>
      </c>
      <c r="H908" s="84">
        <f>IFERROR(VLOOKUP(B908,Заказ!B:Q,5,0),0)</f>
        <v>0</v>
      </c>
      <c r="I908" s="84">
        <f>IFERROR(VLOOKUP(B908,Заказ!B:Q,16,0),0)</f>
        <v>0</v>
      </c>
    </row>
    <row r="909" spans="2:9" x14ac:dyDescent="0.25">
      <c r="B909" s="84">
        <v>20248</v>
      </c>
      <c r="D909" s="84" t="str">
        <f t="shared" si="16"/>
        <v/>
      </c>
      <c r="H909" s="84">
        <f>IFERROR(VLOOKUP(B909,Заказ!B:Q,5,0),0)</f>
        <v>0</v>
      </c>
      <c r="I909" s="84">
        <f>IFERROR(VLOOKUP(B909,Заказ!B:Q,16,0),0)</f>
        <v>0</v>
      </c>
    </row>
    <row r="910" spans="2:9" x14ac:dyDescent="0.25">
      <c r="B910" s="84">
        <v>20247</v>
      </c>
      <c r="D910" s="84" t="str">
        <f t="shared" si="16"/>
        <v/>
      </c>
      <c r="H910" s="84">
        <f>IFERROR(VLOOKUP(B910,Заказ!B:Q,5,0),0)</f>
        <v>0</v>
      </c>
      <c r="I910" s="84">
        <f>IFERROR(VLOOKUP(B910,Заказ!B:Q,16,0),0)</f>
        <v>0</v>
      </c>
    </row>
    <row r="911" spans="2:9" x14ac:dyDescent="0.25">
      <c r="B911" s="84">
        <v>20246</v>
      </c>
      <c r="D911" s="84" t="str">
        <f t="shared" si="16"/>
        <v/>
      </c>
      <c r="H911" s="84">
        <f>IFERROR(VLOOKUP(B911,Заказ!B:Q,5,0),0)</f>
        <v>0</v>
      </c>
      <c r="I911" s="84">
        <f>IFERROR(VLOOKUP(B911,Заказ!B:Q,16,0),0)</f>
        <v>0</v>
      </c>
    </row>
    <row r="912" spans="2:9" x14ac:dyDescent="0.25">
      <c r="B912" s="84">
        <v>20656</v>
      </c>
      <c r="D912" s="84" t="str">
        <f t="shared" si="16"/>
        <v/>
      </c>
      <c r="H912" s="84">
        <f>IFERROR(VLOOKUP(B912,Заказ!B:Q,5,0),0)</f>
        <v>0</v>
      </c>
      <c r="I912" s="84">
        <f>IFERROR(VLOOKUP(B912,Заказ!B:Q,16,0),0)</f>
        <v>0</v>
      </c>
    </row>
    <row r="913" spans="2:9" x14ac:dyDescent="0.25">
      <c r="B913" s="84">
        <v>20055</v>
      </c>
      <c r="D913" s="84" t="str">
        <f t="shared" si="16"/>
        <v/>
      </c>
      <c r="H913" s="84">
        <f>IFERROR(VLOOKUP(B913,Заказ!B:Q,5,0),0)</f>
        <v>0</v>
      </c>
      <c r="I913" s="84">
        <f>IFERROR(VLOOKUP(B913,Заказ!B:Q,16,0),0)</f>
        <v>0</v>
      </c>
    </row>
    <row r="914" spans="2:9" x14ac:dyDescent="0.25">
      <c r="B914" s="84">
        <v>20054</v>
      </c>
      <c r="D914" s="84" t="str">
        <f t="shared" si="16"/>
        <v/>
      </c>
      <c r="H914" s="84">
        <f>IFERROR(VLOOKUP(B914,Заказ!B:Q,5,0),0)</f>
        <v>0</v>
      </c>
      <c r="I914" s="84">
        <f>IFERROR(VLOOKUP(B914,Заказ!B:Q,16,0),0)</f>
        <v>0</v>
      </c>
    </row>
    <row r="915" spans="2:9" x14ac:dyDescent="0.25">
      <c r="B915" s="84">
        <v>20945</v>
      </c>
      <c r="D915" s="84" t="str">
        <f t="shared" si="16"/>
        <v/>
      </c>
      <c r="H915" s="84">
        <f>IFERROR(VLOOKUP(B915,Заказ!B:Q,5,0),0)</f>
        <v>0</v>
      </c>
      <c r="I915" s="84">
        <f>IFERROR(VLOOKUP(B915,Заказ!B:Q,16,0),0)</f>
        <v>0</v>
      </c>
    </row>
    <row r="916" spans="2:9" x14ac:dyDescent="0.25">
      <c r="B916" s="84">
        <v>20657</v>
      </c>
      <c r="D916" s="84" t="str">
        <f t="shared" si="16"/>
        <v/>
      </c>
      <c r="H916" s="84">
        <f>IFERROR(VLOOKUP(B916,Заказ!B:Q,5,0),0)</f>
        <v>0</v>
      </c>
      <c r="I916" s="84">
        <f>IFERROR(VLOOKUP(B916,Заказ!B:Q,16,0),0)</f>
        <v>0</v>
      </c>
    </row>
    <row r="917" spans="2:9" x14ac:dyDescent="0.25">
      <c r="B917" s="84">
        <v>20658</v>
      </c>
      <c r="D917" s="84" t="str">
        <f t="shared" si="16"/>
        <v/>
      </c>
      <c r="H917" s="84">
        <f>IFERROR(VLOOKUP(B917,Заказ!B:Q,5,0),0)</f>
        <v>0</v>
      </c>
      <c r="I917" s="84">
        <f>IFERROR(VLOOKUP(B917,Заказ!B:Q,16,0),0)</f>
        <v>0</v>
      </c>
    </row>
    <row r="918" spans="2:9" x14ac:dyDescent="0.25">
      <c r="B918" s="84">
        <v>20659</v>
      </c>
      <c r="D918" s="84" t="str">
        <f t="shared" si="16"/>
        <v/>
      </c>
      <c r="H918" s="84">
        <f>IFERROR(VLOOKUP(B918,Заказ!B:Q,5,0),0)</f>
        <v>0</v>
      </c>
      <c r="I918" s="84">
        <f>IFERROR(VLOOKUP(B918,Заказ!B:Q,16,0),0)</f>
        <v>0</v>
      </c>
    </row>
    <row r="919" spans="2:9" x14ac:dyDescent="0.25">
      <c r="B919" s="84">
        <v>19433</v>
      </c>
      <c r="D919" s="84" t="str">
        <f t="shared" si="16"/>
        <v/>
      </c>
      <c r="H919" s="84">
        <f>IFERROR(VLOOKUP(B919,Заказ!B:Q,5,0),0)</f>
        <v>0</v>
      </c>
      <c r="I919" s="84">
        <f>IFERROR(VLOOKUP(B919,Заказ!B:Q,16,0),0)</f>
        <v>0</v>
      </c>
    </row>
    <row r="920" spans="2:9" x14ac:dyDescent="0.25">
      <c r="B920" s="84">
        <v>19431</v>
      </c>
      <c r="D920" s="84" t="str">
        <f t="shared" si="16"/>
        <v/>
      </c>
      <c r="H920" s="84">
        <f>IFERROR(VLOOKUP(B920,Заказ!B:Q,5,0),0)</f>
        <v>0</v>
      </c>
      <c r="I920" s="84">
        <f>IFERROR(VLOOKUP(B920,Заказ!B:Q,16,0),0)</f>
        <v>0</v>
      </c>
    </row>
    <row r="921" spans="2:9" x14ac:dyDescent="0.25">
      <c r="B921" s="84">
        <v>21149</v>
      </c>
      <c r="D921" s="84" t="str">
        <f t="shared" si="16"/>
        <v/>
      </c>
      <c r="H921" s="84">
        <f>IFERROR(VLOOKUP(B921,Заказ!B:Q,5,0),0)</f>
        <v>0</v>
      </c>
      <c r="I921" s="84">
        <f>IFERROR(VLOOKUP(B921,Заказ!B:Q,16,0),0)</f>
        <v>0</v>
      </c>
    </row>
    <row r="922" spans="2:9" x14ac:dyDescent="0.25">
      <c r="B922" s="84">
        <v>19432</v>
      </c>
      <c r="D922" s="84" t="str">
        <f t="shared" si="16"/>
        <v/>
      </c>
      <c r="H922" s="84">
        <f>IFERROR(VLOOKUP(B922,Заказ!B:Q,5,0),0)</f>
        <v>0</v>
      </c>
      <c r="I922" s="84">
        <f>IFERROR(VLOOKUP(B922,Заказ!B:Q,16,0),0)</f>
        <v>0</v>
      </c>
    </row>
    <row r="923" spans="2:9" x14ac:dyDescent="0.25">
      <c r="B923" s="84">
        <v>19778</v>
      </c>
      <c r="D923" s="84" t="str">
        <f t="shared" si="16"/>
        <v/>
      </c>
      <c r="H923" s="84">
        <f>IFERROR(VLOOKUP(B923,Заказ!B:Q,5,0),0)</f>
        <v>0</v>
      </c>
      <c r="I923" s="84">
        <f>IFERROR(VLOOKUP(B923,Заказ!B:Q,16,0),0)</f>
        <v>0</v>
      </c>
    </row>
    <row r="924" spans="2:9" x14ac:dyDescent="0.25">
      <c r="B924" s="84">
        <v>21158</v>
      </c>
      <c r="D924" s="84" t="str">
        <f t="shared" si="16"/>
        <v/>
      </c>
      <c r="H924" s="84">
        <f>IFERROR(VLOOKUP(B924,Заказ!B:Q,5,0),0)</f>
        <v>0</v>
      </c>
      <c r="I924" s="84">
        <f>IFERROR(VLOOKUP(B924,Заказ!B:Q,16,0),0)</f>
        <v>0</v>
      </c>
    </row>
    <row r="925" spans="2:9" x14ac:dyDescent="0.25">
      <c r="B925" s="84">
        <v>19434</v>
      </c>
      <c r="D925" s="84" t="str">
        <f t="shared" si="16"/>
        <v/>
      </c>
      <c r="H925" s="84">
        <f>IFERROR(VLOOKUP(B925,Заказ!B:Q,5,0),0)</f>
        <v>0</v>
      </c>
      <c r="I925" s="84">
        <f>IFERROR(VLOOKUP(B925,Заказ!B:Q,16,0),0)</f>
        <v>0</v>
      </c>
    </row>
    <row r="926" spans="2:9" x14ac:dyDescent="0.25">
      <c r="B926" s="84">
        <v>21150</v>
      </c>
      <c r="D926" s="84" t="str">
        <f t="shared" si="16"/>
        <v/>
      </c>
      <c r="H926" s="84">
        <f>IFERROR(VLOOKUP(B926,Заказ!B:Q,5,0),0)</f>
        <v>0</v>
      </c>
      <c r="I926" s="84">
        <f>IFERROR(VLOOKUP(B926,Заказ!B:Q,16,0),0)</f>
        <v>0</v>
      </c>
    </row>
    <row r="927" spans="2:9" x14ac:dyDescent="0.25">
      <c r="B927" s="84">
        <v>19435</v>
      </c>
      <c r="D927" s="84" t="str">
        <f t="shared" si="16"/>
        <v/>
      </c>
      <c r="H927" s="84">
        <f>IFERROR(VLOOKUP(B927,Заказ!B:Q,5,0),0)</f>
        <v>0</v>
      </c>
      <c r="I927" s="84">
        <f>IFERROR(VLOOKUP(B927,Заказ!B:Q,16,0),0)</f>
        <v>0</v>
      </c>
    </row>
    <row r="928" spans="2:9" x14ac:dyDescent="0.25">
      <c r="B928" s="84">
        <v>21151</v>
      </c>
      <c r="D928" s="84" t="str">
        <f t="shared" si="16"/>
        <v/>
      </c>
      <c r="H928" s="84">
        <f>IFERROR(VLOOKUP(B928,Заказ!B:Q,5,0),0)</f>
        <v>0</v>
      </c>
      <c r="I928" s="84">
        <f>IFERROR(VLOOKUP(B928,Заказ!B:Q,16,0),0)</f>
        <v>0</v>
      </c>
    </row>
    <row r="929" spans="2:9" x14ac:dyDescent="0.25">
      <c r="B929" s="84">
        <v>19779</v>
      </c>
      <c r="D929" s="84" t="str">
        <f t="shared" si="16"/>
        <v/>
      </c>
      <c r="H929" s="84">
        <f>IFERROR(VLOOKUP(B929,Заказ!B:Q,5,0),0)</f>
        <v>0</v>
      </c>
      <c r="I929" s="84">
        <f>IFERROR(VLOOKUP(B929,Заказ!B:Q,16,0),0)</f>
        <v>0</v>
      </c>
    </row>
    <row r="930" spans="2:9" x14ac:dyDescent="0.25">
      <c r="B930" s="84">
        <v>19921</v>
      </c>
      <c r="D930" s="84" t="str">
        <f t="shared" si="16"/>
        <v/>
      </c>
      <c r="H930" s="84">
        <f>IFERROR(VLOOKUP(B930,Заказ!B:Q,5,0),0)</f>
        <v>0</v>
      </c>
      <c r="I930" s="84">
        <f>IFERROR(VLOOKUP(B930,Заказ!B:Q,16,0),0)</f>
        <v>0</v>
      </c>
    </row>
    <row r="931" spans="2:9" x14ac:dyDescent="0.25">
      <c r="B931" s="84">
        <v>19436</v>
      </c>
      <c r="D931" s="84" t="str">
        <f t="shared" si="16"/>
        <v/>
      </c>
      <c r="H931" s="84">
        <f>IFERROR(VLOOKUP(B931,Заказ!B:Q,5,0),0)</f>
        <v>0</v>
      </c>
      <c r="I931" s="84">
        <f>IFERROR(VLOOKUP(B931,Заказ!B:Q,16,0),0)</f>
        <v>0</v>
      </c>
    </row>
    <row r="932" spans="2:9" x14ac:dyDescent="0.25">
      <c r="B932" s="84">
        <v>19608</v>
      </c>
      <c r="D932" s="84" t="str">
        <f t="shared" si="16"/>
        <v/>
      </c>
      <c r="H932" s="84">
        <f>IFERROR(VLOOKUP(B932,Заказ!B:Q,5,0),0)</f>
        <v>0</v>
      </c>
      <c r="I932" s="84">
        <f>IFERROR(VLOOKUP(B932,Заказ!B:Q,16,0),0)</f>
        <v>0</v>
      </c>
    </row>
    <row r="933" spans="2:9" x14ac:dyDescent="0.25">
      <c r="B933" s="84">
        <v>20824</v>
      </c>
      <c r="D933" s="84" t="str">
        <f t="shared" si="16"/>
        <v/>
      </c>
      <c r="H933" s="84">
        <f>IFERROR(VLOOKUP(B933,Заказ!B:Q,5,0),0)</f>
        <v>0</v>
      </c>
      <c r="I933" s="84">
        <f>IFERROR(VLOOKUP(B933,Заказ!B:Q,16,0),0)</f>
        <v>0</v>
      </c>
    </row>
    <row r="934" spans="2:9" x14ac:dyDescent="0.25">
      <c r="B934" s="84">
        <v>19613</v>
      </c>
      <c r="D934" s="84" t="str">
        <f t="shared" si="16"/>
        <v/>
      </c>
      <c r="H934" s="84">
        <f>IFERROR(VLOOKUP(B934,Заказ!B:Q,5,0),0)</f>
        <v>0</v>
      </c>
      <c r="I934" s="84">
        <f>IFERROR(VLOOKUP(B934,Заказ!B:Q,16,0),0)</f>
        <v>0</v>
      </c>
    </row>
    <row r="935" spans="2:9" x14ac:dyDescent="0.25">
      <c r="B935" s="84">
        <v>19609</v>
      </c>
      <c r="D935" s="84" t="str">
        <f t="shared" si="16"/>
        <v/>
      </c>
      <c r="H935" s="84">
        <f>IFERROR(VLOOKUP(B935,Заказ!B:Q,5,0),0)</f>
        <v>0</v>
      </c>
      <c r="I935" s="84">
        <f>IFERROR(VLOOKUP(B935,Заказ!B:Q,16,0),0)</f>
        <v>0</v>
      </c>
    </row>
    <row r="936" spans="2:9" x14ac:dyDescent="0.25">
      <c r="B936" s="84">
        <v>21152</v>
      </c>
      <c r="D936" s="84" t="str">
        <f t="shared" si="16"/>
        <v/>
      </c>
      <c r="H936" s="84">
        <f>IFERROR(VLOOKUP(B936,Заказ!B:Q,5,0),0)</f>
        <v>0</v>
      </c>
      <c r="I936" s="84">
        <f>IFERROR(VLOOKUP(B936,Заказ!B:Q,16,0),0)</f>
        <v>0</v>
      </c>
    </row>
    <row r="937" spans="2:9" x14ac:dyDescent="0.25">
      <c r="B937" s="84">
        <v>19610</v>
      </c>
      <c r="D937" s="84" t="str">
        <f t="shared" si="16"/>
        <v/>
      </c>
      <c r="H937" s="84">
        <f>IFERROR(VLOOKUP(B937,Заказ!B:Q,5,0),0)</f>
        <v>0</v>
      </c>
      <c r="I937" s="84">
        <f>IFERROR(VLOOKUP(B937,Заказ!B:Q,16,0),0)</f>
        <v>0</v>
      </c>
    </row>
    <row r="938" spans="2:9" x14ac:dyDescent="0.25">
      <c r="B938" s="84">
        <v>21153</v>
      </c>
      <c r="D938" s="84" t="str">
        <f t="shared" si="16"/>
        <v/>
      </c>
      <c r="H938" s="84">
        <f>IFERROR(VLOOKUP(B938,Заказ!B:Q,5,0),0)</f>
        <v>0</v>
      </c>
      <c r="I938" s="84">
        <f>IFERROR(VLOOKUP(B938,Заказ!B:Q,16,0),0)</f>
        <v>0</v>
      </c>
    </row>
    <row r="939" spans="2:9" x14ac:dyDescent="0.25">
      <c r="B939" s="84">
        <v>19612</v>
      </c>
      <c r="D939" s="84" t="str">
        <f t="shared" si="16"/>
        <v/>
      </c>
      <c r="H939" s="84">
        <f>IFERROR(VLOOKUP(B939,Заказ!B:Q,5,0),0)</f>
        <v>0</v>
      </c>
      <c r="I939" s="84">
        <f>IFERROR(VLOOKUP(B939,Заказ!B:Q,16,0),0)</f>
        <v>0</v>
      </c>
    </row>
    <row r="940" spans="2:9" x14ac:dyDescent="0.25">
      <c r="B940" s="84">
        <v>19922</v>
      </c>
      <c r="D940" s="84" t="str">
        <f t="shared" si="16"/>
        <v/>
      </c>
      <c r="H940" s="84">
        <f>IFERROR(VLOOKUP(B940,Заказ!B:Q,5,0),0)</f>
        <v>0</v>
      </c>
      <c r="I940" s="84">
        <f>IFERROR(VLOOKUP(B940,Заказ!B:Q,16,0),0)</f>
        <v>0</v>
      </c>
    </row>
    <row r="941" spans="2:9" x14ac:dyDescent="0.25">
      <c r="B941" s="84">
        <v>15088</v>
      </c>
      <c r="D941" s="84" t="str">
        <f t="shared" si="16"/>
        <v/>
      </c>
      <c r="H941" s="84">
        <f>IFERROR(VLOOKUP(B941,Заказ!B:Q,5,0),0)</f>
        <v>0</v>
      </c>
      <c r="I941" s="84">
        <f>IFERROR(VLOOKUP(B941,Заказ!B:Q,16,0),0)</f>
        <v>0</v>
      </c>
    </row>
    <row r="942" spans="2:9" x14ac:dyDescent="0.25">
      <c r="B942" s="84">
        <v>15087</v>
      </c>
      <c r="D942" s="84" t="str">
        <f t="shared" si="16"/>
        <v/>
      </c>
      <c r="H942" s="84">
        <f>IFERROR(VLOOKUP(B942,Заказ!B:Q,5,0),0)</f>
        <v>0</v>
      </c>
      <c r="I942" s="84">
        <f>IFERROR(VLOOKUP(B942,Заказ!B:Q,16,0),0)</f>
        <v>0</v>
      </c>
    </row>
    <row r="943" spans="2:9" x14ac:dyDescent="0.25">
      <c r="B943" s="84">
        <v>19197</v>
      </c>
      <c r="D943" s="84" t="str">
        <f t="shared" si="16"/>
        <v/>
      </c>
      <c r="H943" s="84">
        <f>IFERROR(VLOOKUP(B943,Заказ!B:Q,5,0),0)</f>
        <v>0</v>
      </c>
      <c r="I943" s="84">
        <f>IFERROR(VLOOKUP(B943,Заказ!B:Q,16,0),0)</f>
        <v>0</v>
      </c>
    </row>
    <row r="944" spans="2:9" x14ac:dyDescent="0.25">
      <c r="B944" s="84">
        <v>21146</v>
      </c>
      <c r="D944" s="84" t="str">
        <f t="shared" si="16"/>
        <v/>
      </c>
      <c r="H944" s="84">
        <f>IFERROR(VLOOKUP(B944,Заказ!B:Q,5,0),0)</f>
        <v>0</v>
      </c>
      <c r="I944" s="84">
        <f>IFERROR(VLOOKUP(B944,Заказ!B:Q,16,0),0)</f>
        <v>0</v>
      </c>
    </row>
    <row r="945" spans="2:9" x14ac:dyDescent="0.25">
      <c r="B945" s="84">
        <v>20946</v>
      </c>
      <c r="D945" s="84" t="str">
        <f t="shared" si="16"/>
        <v/>
      </c>
      <c r="H945" s="84">
        <f>IFERROR(VLOOKUP(B945,Заказ!B:Q,5,0),0)</f>
        <v>0</v>
      </c>
      <c r="I945" s="84">
        <f>IFERROR(VLOOKUP(B945,Заказ!B:Q,16,0),0)</f>
        <v>0</v>
      </c>
    </row>
    <row r="946" spans="2:9" x14ac:dyDescent="0.25">
      <c r="B946" s="84">
        <v>19940</v>
      </c>
      <c r="D946" s="84" t="str">
        <f t="shared" si="16"/>
        <v/>
      </c>
      <c r="H946" s="84">
        <f>IFERROR(VLOOKUP(B946,Заказ!B:Q,5,0),0)</f>
        <v>0</v>
      </c>
      <c r="I946" s="84">
        <f>IFERROR(VLOOKUP(B946,Заказ!B:Q,16,0),0)</f>
        <v>0</v>
      </c>
    </row>
    <row r="947" spans="2:9" x14ac:dyDescent="0.25">
      <c r="B947" s="84">
        <v>20555</v>
      </c>
      <c r="D947" s="84" t="str">
        <f t="shared" si="16"/>
        <v/>
      </c>
      <c r="H947" s="84">
        <f>IFERROR(VLOOKUP(B947,Заказ!B:Q,5,0),0)</f>
        <v>0</v>
      </c>
      <c r="I947" s="84">
        <f>IFERROR(VLOOKUP(B947,Заказ!B:Q,16,0),0)</f>
        <v>0</v>
      </c>
    </row>
    <row r="948" spans="2:9" x14ac:dyDescent="0.25">
      <c r="B948" s="84">
        <v>21145</v>
      </c>
      <c r="D948" s="84" t="str">
        <f t="shared" si="16"/>
        <v/>
      </c>
      <c r="H948" s="84">
        <f>IFERROR(VLOOKUP(B948,Заказ!B:Q,5,0),0)</f>
        <v>0</v>
      </c>
      <c r="I948" s="84">
        <f>IFERROR(VLOOKUP(B948,Заказ!B:Q,16,0),0)</f>
        <v>0</v>
      </c>
    </row>
    <row r="949" spans="2:9" x14ac:dyDescent="0.25">
      <c r="B949" s="84">
        <v>21144</v>
      </c>
      <c r="D949" s="84" t="str">
        <f t="shared" si="16"/>
        <v/>
      </c>
      <c r="H949" s="84">
        <f>IFERROR(VLOOKUP(B949,Заказ!B:Q,5,0),0)</f>
        <v>0</v>
      </c>
      <c r="I949" s="84">
        <f>IFERROR(VLOOKUP(B949,Заказ!B:Q,16,0),0)</f>
        <v>0</v>
      </c>
    </row>
    <row r="950" spans="2:9" x14ac:dyDescent="0.25">
      <c r="B950" s="84">
        <v>21182</v>
      </c>
      <c r="D950" s="84" t="str">
        <f t="shared" si="16"/>
        <v/>
      </c>
      <c r="H950" s="84">
        <f>IFERROR(VLOOKUP(B950,Заказ!B:Q,5,0),0)</f>
        <v>0</v>
      </c>
      <c r="I950" s="84">
        <f>IFERROR(VLOOKUP(B950,Заказ!B:Q,16,0),0)</f>
        <v>0</v>
      </c>
    </row>
    <row r="951" spans="2:9" x14ac:dyDescent="0.25">
      <c r="B951" s="84">
        <v>21183</v>
      </c>
      <c r="D951" s="84" t="str">
        <f t="shared" si="16"/>
        <v/>
      </c>
      <c r="H951" s="84">
        <f>IFERROR(VLOOKUP(B951,Заказ!B:Q,5,0),0)</f>
        <v>0</v>
      </c>
      <c r="I951" s="84">
        <f>IFERROR(VLOOKUP(B951,Заказ!B:Q,16,0),0)</f>
        <v>0</v>
      </c>
    </row>
    <row r="952" spans="2:9" x14ac:dyDescent="0.25">
      <c r="B952" s="84">
        <v>21184</v>
      </c>
      <c r="D952" s="84" t="str">
        <f t="shared" si="16"/>
        <v/>
      </c>
      <c r="H952" s="84">
        <f>IFERROR(VLOOKUP(B952,Заказ!B:Q,5,0),0)</f>
        <v>0</v>
      </c>
      <c r="I952" s="84">
        <f>IFERROR(VLOOKUP(B952,Заказ!B:Q,16,0),0)</f>
        <v>0</v>
      </c>
    </row>
    <row r="953" spans="2:9" x14ac:dyDescent="0.25">
      <c r="B953" s="84">
        <v>21181</v>
      </c>
      <c r="D953" s="84" t="str">
        <f t="shared" si="16"/>
        <v/>
      </c>
      <c r="H953" s="84">
        <f>IFERROR(VLOOKUP(B953,Заказ!B:Q,5,0),0)</f>
        <v>0</v>
      </c>
      <c r="I953" s="84">
        <f>IFERROR(VLOOKUP(B953,Заказ!B:Q,16,0),0)</f>
        <v>0</v>
      </c>
    </row>
    <row r="954" spans="2:9" x14ac:dyDescent="0.25">
      <c r="B954" s="84">
        <v>20553</v>
      </c>
      <c r="D954" s="84" t="str">
        <f t="shared" si="16"/>
        <v/>
      </c>
      <c r="H954" s="84">
        <f>IFERROR(VLOOKUP(B954,Заказ!B:Q,5,0),0)</f>
        <v>0</v>
      </c>
      <c r="I954" s="84">
        <f>IFERROR(VLOOKUP(B954,Заказ!B:Q,16,0),0)</f>
        <v>0</v>
      </c>
    </row>
    <row r="955" spans="2:9" x14ac:dyDescent="0.25">
      <c r="B955" s="84">
        <v>19198</v>
      </c>
      <c r="D955" s="84" t="str">
        <f t="shared" si="16"/>
        <v/>
      </c>
      <c r="H955" s="84">
        <f>IFERROR(VLOOKUP(B955,Заказ!B:Q,5,0),0)</f>
        <v>0</v>
      </c>
      <c r="I955" s="84">
        <f>IFERROR(VLOOKUP(B955,Заказ!B:Q,16,0),0)</f>
        <v>0</v>
      </c>
    </row>
    <row r="956" spans="2:9" x14ac:dyDescent="0.25">
      <c r="B956" s="84">
        <v>20958</v>
      </c>
      <c r="D956" s="84" t="str">
        <f t="shared" si="16"/>
        <v/>
      </c>
      <c r="H956" s="84">
        <f>IFERROR(VLOOKUP(B956,Заказ!B:Q,5,0),0)</f>
        <v>0</v>
      </c>
      <c r="I956" s="84">
        <f>IFERROR(VLOOKUP(B956,Заказ!B:Q,16,0),0)</f>
        <v>0</v>
      </c>
    </row>
    <row r="957" spans="2:9" x14ac:dyDescent="0.25">
      <c r="B957" s="84">
        <v>21147</v>
      </c>
      <c r="D957" s="84" t="str">
        <f t="shared" si="16"/>
        <v/>
      </c>
      <c r="H957" s="84">
        <f>IFERROR(VLOOKUP(B957,Заказ!B:Q,5,0),0)</f>
        <v>0</v>
      </c>
      <c r="I957" s="84">
        <f>IFERROR(VLOOKUP(B957,Заказ!B:Q,16,0),0)</f>
        <v>0</v>
      </c>
    </row>
    <row r="958" spans="2:9" x14ac:dyDescent="0.25">
      <c r="B958" s="84">
        <v>20682</v>
      </c>
      <c r="D958" s="84" t="str">
        <f t="shared" si="16"/>
        <v/>
      </c>
      <c r="H958" s="84">
        <f>IFERROR(VLOOKUP(B958,Заказ!B:Q,5,0),0)</f>
        <v>0</v>
      </c>
      <c r="I958" s="84">
        <f>IFERROR(VLOOKUP(B958,Заказ!B:Q,16,0),0)</f>
        <v>0</v>
      </c>
    </row>
    <row r="959" spans="2:9" x14ac:dyDescent="0.25">
      <c r="B959" s="84">
        <v>20683</v>
      </c>
      <c r="D959" s="84" t="str">
        <f t="shared" si="16"/>
        <v/>
      </c>
      <c r="H959" s="84">
        <f>IFERROR(VLOOKUP(B959,Заказ!B:Q,5,0),0)</f>
        <v>0</v>
      </c>
      <c r="I959" s="84">
        <f>IFERROR(VLOOKUP(B959,Заказ!B:Q,16,0),0)</f>
        <v>0</v>
      </c>
    </row>
    <row r="960" spans="2:9" x14ac:dyDescent="0.25">
      <c r="B960" s="84">
        <v>20688</v>
      </c>
      <c r="D960" s="84" t="str">
        <f t="shared" si="16"/>
        <v/>
      </c>
      <c r="H960" s="84">
        <f>IFERROR(VLOOKUP(B960,Заказ!B:Q,5,0),0)</f>
        <v>0</v>
      </c>
      <c r="I960" s="84">
        <f>IFERROR(VLOOKUP(B960,Заказ!B:Q,16,0),0)</f>
        <v>0</v>
      </c>
    </row>
    <row r="961" spans="2:9" x14ac:dyDescent="0.25">
      <c r="B961" s="84">
        <v>20684</v>
      </c>
      <c r="D961" s="84" t="str">
        <f t="shared" si="16"/>
        <v/>
      </c>
      <c r="H961" s="84">
        <f>IFERROR(VLOOKUP(B961,Заказ!B:Q,5,0),0)</f>
        <v>0</v>
      </c>
      <c r="I961" s="84">
        <f>IFERROR(VLOOKUP(B961,Заказ!B:Q,16,0),0)</f>
        <v>0</v>
      </c>
    </row>
    <row r="962" spans="2:9" x14ac:dyDescent="0.25">
      <c r="B962" s="84">
        <v>20685</v>
      </c>
      <c r="D962" s="84" t="str">
        <f t="shared" si="16"/>
        <v/>
      </c>
      <c r="H962" s="84">
        <f>IFERROR(VLOOKUP(B962,Заказ!B:Q,5,0),0)</f>
        <v>0</v>
      </c>
      <c r="I962" s="84">
        <f>IFERROR(VLOOKUP(B962,Заказ!B:Q,16,0),0)</f>
        <v>0</v>
      </c>
    </row>
    <row r="963" spans="2:9" x14ac:dyDescent="0.25">
      <c r="B963" s="84">
        <v>20687</v>
      </c>
      <c r="D963" s="84" t="str">
        <f t="shared" si="16"/>
        <v/>
      </c>
      <c r="H963" s="84">
        <f>IFERROR(VLOOKUP(B963,Заказ!B:Q,5,0),0)</f>
        <v>0</v>
      </c>
      <c r="I963" s="84">
        <f>IFERROR(VLOOKUP(B963,Заказ!B:Q,16,0),0)</f>
        <v>0</v>
      </c>
    </row>
    <row r="964" spans="2:9" x14ac:dyDescent="0.25">
      <c r="B964" s="84">
        <v>20686</v>
      </c>
      <c r="D964" s="84" t="str">
        <f t="shared" si="16"/>
        <v/>
      </c>
      <c r="H964" s="84">
        <f>IFERROR(VLOOKUP(B964,Заказ!B:Q,5,0),0)</f>
        <v>0</v>
      </c>
      <c r="I964" s="84">
        <f>IFERROR(VLOOKUP(B964,Заказ!B:Q,16,0),0)</f>
        <v>0</v>
      </c>
    </row>
    <row r="965" spans="2:9" x14ac:dyDescent="0.25">
      <c r="B965" s="84">
        <v>17982</v>
      </c>
      <c r="D965" s="84" t="str">
        <f t="shared" si="16"/>
        <v/>
      </c>
      <c r="H965" s="84">
        <f>IFERROR(VLOOKUP(B965,Заказ!B:Q,5,0),0)</f>
        <v>0</v>
      </c>
      <c r="I965" s="84">
        <f>IFERROR(VLOOKUP(B965,Заказ!B:Q,16,0),0)</f>
        <v>0</v>
      </c>
    </row>
    <row r="966" spans="2:9" x14ac:dyDescent="0.25">
      <c r="B966" s="84">
        <v>17752</v>
      </c>
      <c r="D966" s="84" t="str">
        <f t="shared" si="16"/>
        <v/>
      </c>
      <c r="H966" s="84">
        <f>IFERROR(VLOOKUP(B966,Заказ!B:Q,5,0),0)</f>
        <v>0</v>
      </c>
      <c r="I966" s="84">
        <f>IFERROR(VLOOKUP(B966,Заказ!B:Q,16,0),0)</f>
        <v>0</v>
      </c>
    </row>
    <row r="967" spans="2:9" x14ac:dyDescent="0.25">
      <c r="B967" s="84">
        <v>16892</v>
      </c>
      <c r="D967" s="84" t="str">
        <f t="shared" si="16"/>
        <v/>
      </c>
      <c r="H967" s="84">
        <f>IFERROR(VLOOKUP(B967,Заказ!B:Q,5,0),0)</f>
        <v>0</v>
      </c>
      <c r="I967" s="84">
        <f>IFERROR(VLOOKUP(B967,Заказ!B:Q,16,0),0)</f>
        <v>0</v>
      </c>
    </row>
    <row r="968" spans="2:9" x14ac:dyDescent="0.25">
      <c r="B968" s="84">
        <v>17029</v>
      </c>
      <c r="D968" s="84" t="str">
        <f t="shared" si="16"/>
        <v/>
      </c>
      <c r="H968" s="84">
        <f>IFERROR(VLOOKUP(B968,Заказ!B:Q,5,0),0)</f>
        <v>0</v>
      </c>
      <c r="I968" s="84">
        <f>IFERROR(VLOOKUP(B968,Заказ!B:Q,16,0),0)</f>
        <v>0</v>
      </c>
    </row>
    <row r="969" spans="2:9" x14ac:dyDescent="0.25">
      <c r="B969" s="84">
        <v>19362</v>
      </c>
      <c r="D969" s="84" t="str">
        <f t="shared" si="16"/>
        <v/>
      </c>
      <c r="H969" s="84">
        <f>IFERROR(VLOOKUP(B969,Заказ!B:Q,5,0),0)</f>
        <v>0</v>
      </c>
      <c r="I969" s="84">
        <f>IFERROR(VLOOKUP(B969,Заказ!B:Q,16,0),0)</f>
        <v>0</v>
      </c>
    </row>
    <row r="970" spans="2:9" x14ac:dyDescent="0.25">
      <c r="B970" s="84">
        <v>19364</v>
      </c>
      <c r="D970" s="84" t="str">
        <f t="shared" si="16"/>
        <v/>
      </c>
      <c r="H970" s="84">
        <f>IFERROR(VLOOKUP(B970,Заказ!B:Q,5,0),0)</f>
        <v>0</v>
      </c>
      <c r="I970" s="84">
        <f>IFERROR(VLOOKUP(B970,Заказ!B:Q,16,0),0)</f>
        <v>0</v>
      </c>
    </row>
    <row r="971" spans="2:9" x14ac:dyDescent="0.25">
      <c r="B971" s="84">
        <v>17170</v>
      </c>
      <c r="D971" s="84" t="str">
        <f t="shared" si="16"/>
        <v/>
      </c>
      <c r="H971" s="84">
        <f>IFERROR(VLOOKUP(B971,Заказ!B:Q,5,0),0)</f>
        <v>0</v>
      </c>
      <c r="I971" s="84">
        <f>IFERROR(VLOOKUP(B971,Заказ!B:Q,16,0),0)</f>
        <v>0</v>
      </c>
    </row>
    <row r="972" spans="2:9" x14ac:dyDescent="0.25">
      <c r="B972" s="84">
        <v>20868</v>
      </c>
      <c r="D972" s="84" t="str">
        <f t="shared" si="16"/>
        <v/>
      </c>
      <c r="H972" s="84">
        <f>IFERROR(VLOOKUP(B972,Заказ!B:Q,5,0),0)</f>
        <v>0</v>
      </c>
      <c r="I972" s="84">
        <f>IFERROR(VLOOKUP(B972,Заказ!B:Q,16,0),0)</f>
        <v>0</v>
      </c>
    </row>
    <row r="973" spans="2:9" x14ac:dyDescent="0.25">
      <c r="B973" s="84">
        <v>19923</v>
      </c>
      <c r="D973" s="84" t="str">
        <f t="shared" si="16"/>
        <v/>
      </c>
      <c r="H973" s="84">
        <f>IFERROR(VLOOKUP(B973,Заказ!B:Q,5,0),0)</f>
        <v>0</v>
      </c>
      <c r="I973" s="84">
        <f>IFERROR(VLOOKUP(B973,Заказ!B:Q,16,0),0)</f>
        <v>0</v>
      </c>
    </row>
    <row r="974" spans="2:9" x14ac:dyDescent="0.25">
      <c r="B974" s="84">
        <v>16804</v>
      </c>
      <c r="D974" s="84" t="str">
        <f t="shared" si="16"/>
        <v/>
      </c>
      <c r="H974" s="84">
        <f>IFERROR(VLOOKUP(B974,Заказ!B:Q,5,0),0)</f>
        <v>0</v>
      </c>
      <c r="I974" s="84">
        <f>IFERROR(VLOOKUP(B974,Заказ!B:Q,16,0),0)</f>
        <v>0</v>
      </c>
    </row>
    <row r="975" spans="2:9" x14ac:dyDescent="0.25">
      <c r="B975" s="84">
        <v>17032</v>
      </c>
      <c r="D975" s="84" t="str">
        <f t="shared" si="16"/>
        <v/>
      </c>
      <c r="H975" s="84">
        <f>IFERROR(VLOOKUP(B975,Заказ!B:Q,5,0),0)</f>
        <v>0</v>
      </c>
      <c r="I975" s="84">
        <f>IFERROR(VLOOKUP(B975,Заказ!B:Q,16,0),0)</f>
        <v>0</v>
      </c>
    </row>
    <row r="976" spans="2:9" x14ac:dyDescent="0.25">
      <c r="B976" s="84">
        <v>18507</v>
      </c>
      <c r="D976" s="84" t="str">
        <f t="shared" si="16"/>
        <v/>
      </c>
      <c r="H976" s="84">
        <f>IFERROR(VLOOKUP(B976,Заказ!B:Q,5,0),0)</f>
        <v>0</v>
      </c>
      <c r="I976" s="84">
        <f>IFERROR(VLOOKUP(B976,Заказ!B:Q,16,0),0)</f>
        <v>0</v>
      </c>
    </row>
    <row r="977" spans="2:9" x14ac:dyDescent="0.25">
      <c r="B977" s="84">
        <v>21154</v>
      </c>
      <c r="D977" s="84" t="str">
        <f t="shared" si="16"/>
        <v/>
      </c>
      <c r="H977" s="84">
        <f>IFERROR(VLOOKUP(B977,Заказ!B:Q,5,0),0)</f>
        <v>0</v>
      </c>
      <c r="I977" s="84">
        <f>IFERROR(VLOOKUP(B977,Заказ!B:Q,16,0),0)</f>
        <v>0</v>
      </c>
    </row>
    <row r="978" spans="2:9" x14ac:dyDescent="0.25">
      <c r="B978" s="84">
        <v>18657</v>
      </c>
      <c r="D978" s="84" t="str">
        <f t="shared" si="16"/>
        <v/>
      </c>
      <c r="H978" s="84">
        <f>IFERROR(VLOOKUP(B978,Заказ!B:Q,5,0),0)</f>
        <v>0</v>
      </c>
      <c r="I978" s="84">
        <f>IFERROR(VLOOKUP(B978,Заказ!B:Q,16,0),0)</f>
        <v>0</v>
      </c>
    </row>
    <row r="979" spans="2:9" x14ac:dyDescent="0.25">
      <c r="B979" s="84">
        <v>20995</v>
      </c>
      <c r="D979" s="84" t="str">
        <f t="shared" si="16"/>
        <v/>
      </c>
      <c r="H979" s="84">
        <f>IFERROR(VLOOKUP(B979,Заказ!B:Q,5,0),0)</f>
        <v>0</v>
      </c>
      <c r="I979" s="84">
        <f>IFERROR(VLOOKUP(B979,Заказ!B:Q,16,0),0)</f>
        <v>0</v>
      </c>
    </row>
    <row r="980" spans="2:9" x14ac:dyDescent="0.25">
      <c r="B980" s="84">
        <v>20994</v>
      </c>
      <c r="D980" s="84" t="str">
        <f t="shared" si="16"/>
        <v/>
      </c>
      <c r="H980" s="84">
        <f>IFERROR(VLOOKUP(B980,Заказ!B:Q,5,0),0)</f>
        <v>0</v>
      </c>
      <c r="I980" s="84">
        <f>IFERROR(VLOOKUP(B980,Заказ!B:Q,16,0),0)</f>
        <v>0</v>
      </c>
    </row>
    <row r="981" spans="2:9" x14ac:dyDescent="0.25">
      <c r="B981" s="84">
        <v>18408</v>
      </c>
      <c r="D981" s="84" t="str">
        <f t="shared" si="16"/>
        <v/>
      </c>
      <c r="H981" s="84">
        <f>IFERROR(VLOOKUP(B981,Заказ!B:Q,5,0),0)</f>
        <v>0</v>
      </c>
      <c r="I981" s="84">
        <f>IFERROR(VLOOKUP(B981,Заказ!B:Q,16,0),0)</f>
        <v>0</v>
      </c>
    </row>
    <row r="982" spans="2:9" x14ac:dyDescent="0.25">
      <c r="B982" s="84">
        <v>20552</v>
      </c>
      <c r="D982" s="84" t="str">
        <f t="shared" si="16"/>
        <v/>
      </c>
      <c r="H982" s="84">
        <f>IFERROR(VLOOKUP(B982,Заказ!B:Q,5,0),0)</f>
        <v>0</v>
      </c>
      <c r="I982" s="84">
        <f>IFERROR(VLOOKUP(B982,Заказ!B:Q,16,0),0)</f>
        <v>0</v>
      </c>
    </row>
    <row r="983" spans="2:9" x14ac:dyDescent="0.25">
      <c r="B983" s="84">
        <v>20549</v>
      </c>
      <c r="D983" s="84" t="str">
        <f t="shared" si="16"/>
        <v/>
      </c>
      <c r="H983" s="84">
        <f>IFERROR(VLOOKUP(B983,Заказ!B:Q,5,0),0)</f>
        <v>0</v>
      </c>
      <c r="I983" s="84">
        <f>IFERROR(VLOOKUP(B983,Заказ!B:Q,16,0),0)</f>
        <v>0</v>
      </c>
    </row>
    <row r="984" spans="2:9" x14ac:dyDescent="0.25">
      <c r="B984" s="84">
        <v>19811</v>
      </c>
      <c r="D984" s="84" t="str">
        <f t="shared" si="16"/>
        <v/>
      </c>
      <c r="H984" s="84">
        <f>IFERROR(VLOOKUP(B984,Заказ!B:Q,5,0),0)</f>
        <v>0</v>
      </c>
      <c r="I984" s="84">
        <f>IFERROR(VLOOKUP(B984,Заказ!B:Q,16,0),0)</f>
        <v>0</v>
      </c>
    </row>
    <row r="985" spans="2:9" x14ac:dyDescent="0.25">
      <c r="B985" s="84">
        <v>20825</v>
      </c>
      <c r="D985" s="84" t="str">
        <f t="shared" si="16"/>
        <v/>
      </c>
      <c r="H985" s="84">
        <f>IFERROR(VLOOKUP(B985,Заказ!B:Q,5,0),0)</f>
        <v>0</v>
      </c>
      <c r="I985" s="84">
        <f>IFERROR(VLOOKUP(B985,Заказ!B:Q,16,0),0)</f>
        <v>0</v>
      </c>
    </row>
    <row r="986" spans="2:9" x14ac:dyDescent="0.25">
      <c r="B986" s="84">
        <v>21185</v>
      </c>
      <c r="D986" s="84" t="str">
        <f t="shared" si="16"/>
        <v/>
      </c>
      <c r="H986" s="84">
        <f>IFERROR(VLOOKUP(B986,Заказ!B:Q,5,0),0)</f>
        <v>0</v>
      </c>
      <c r="I986" s="84">
        <f>IFERROR(VLOOKUP(B986,Заказ!B:Q,16,0),0)</f>
        <v>0</v>
      </c>
    </row>
    <row r="987" spans="2:9" x14ac:dyDescent="0.25">
      <c r="B987" s="84">
        <v>21148</v>
      </c>
      <c r="D987" s="84" t="str">
        <f t="shared" si="16"/>
        <v/>
      </c>
      <c r="H987" s="84">
        <f>IFERROR(VLOOKUP(B987,Заказ!B:Q,5,0),0)</f>
        <v>0</v>
      </c>
      <c r="I987" s="84">
        <f>IFERROR(VLOOKUP(B987,Заказ!B:Q,16,0),0)</f>
        <v>0</v>
      </c>
    </row>
    <row r="988" spans="2:9" x14ac:dyDescent="0.25">
      <c r="B988" s="84">
        <v>18410</v>
      </c>
      <c r="D988" s="84" t="str">
        <f t="shared" si="16"/>
        <v/>
      </c>
      <c r="H988" s="84">
        <f>IFERROR(VLOOKUP(B988,Заказ!B:Q,5,0),0)</f>
        <v>0</v>
      </c>
      <c r="I988" s="84">
        <f>IFERROR(VLOOKUP(B988,Заказ!B:Q,16,0),0)</f>
        <v>0</v>
      </c>
    </row>
    <row r="989" spans="2:9" x14ac:dyDescent="0.25">
      <c r="B989" s="84">
        <v>19812</v>
      </c>
      <c r="D989" s="84" t="str">
        <f t="shared" si="16"/>
        <v/>
      </c>
      <c r="H989" s="84">
        <f>IFERROR(VLOOKUP(B989,Заказ!B:Q,5,0),0)</f>
        <v>0</v>
      </c>
      <c r="I989" s="84">
        <f>IFERROR(VLOOKUP(B989,Заказ!B:Q,16,0),0)</f>
        <v>0</v>
      </c>
    </row>
    <row r="990" spans="2:9" x14ac:dyDescent="0.25">
      <c r="B990" s="84">
        <v>18411</v>
      </c>
      <c r="D990" s="84" t="str">
        <f t="shared" si="16"/>
        <v/>
      </c>
      <c r="H990" s="84">
        <f>IFERROR(VLOOKUP(B990,Заказ!B:Q,5,0),0)</f>
        <v>0</v>
      </c>
      <c r="I990" s="84">
        <f>IFERROR(VLOOKUP(B990,Заказ!B:Q,16,0),0)</f>
        <v>0</v>
      </c>
    </row>
    <row r="991" spans="2:9" x14ac:dyDescent="0.25">
      <c r="B991" s="84">
        <v>19813</v>
      </c>
      <c r="D991" s="84" t="str">
        <f t="shared" si="16"/>
        <v/>
      </c>
      <c r="H991" s="84">
        <f>IFERROR(VLOOKUP(B991,Заказ!B:Q,5,0),0)</f>
        <v>0</v>
      </c>
      <c r="I991" s="84">
        <f>IFERROR(VLOOKUP(B991,Заказ!B:Q,16,0),0)</f>
        <v>0</v>
      </c>
    </row>
    <row r="992" spans="2:9" x14ac:dyDescent="0.25">
      <c r="B992" s="84">
        <v>21142</v>
      </c>
      <c r="D992" s="84" t="str">
        <f t="shared" si="16"/>
        <v/>
      </c>
      <c r="H992" s="84">
        <f>IFERROR(VLOOKUP(B992,Заказ!B:Q,5,0),0)</f>
        <v>0</v>
      </c>
      <c r="I992" s="84">
        <f>IFERROR(VLOOKUP(B992,Заказ!B:Q,16,0),0)</f>
        <v>0</v>
      </c>
    </row>
    <row r="993" spans="2:9" x14ac:dyDescent="0.25">
      <c r="B993" s="84">
        <v>21143</v>
      </c>
      <c r="D993" s="84" t="str">
        <f t="shared" si="16"/>
        <v/>
      </c>
      <c r="H993" s="84">
        <f>IFERROR(VLOOKUP(B993,Заказ!B:Q,5,0),0)</f>
        <v>0</v>
      </c>
      <c r="I993" s="84">
        <f>IFERROR(VLOOKUP(B993,Заказ!B:Q,16,0),0)</f>
        <v>0</v>
      </c>
    </row>
    <row r="994" spans="2:9" x14ac:dyDescent="0.25">
      <c r="B994" s="84">
        <v>20996</v>
      </c>
      <c r="D994" s="84" t="str">
        <f t="shared" si="16"/>
        <v/>
      </c>
      <c r="H994" s="84">
        <f>IFERROR(VLOOKUP(B994,Заказ!B:Q,5,0),0)</f>
        <v>0</v>
      </c>
      <c r="I994" s="84">
        <f>IFERROR(VLOOKUP(B994,Заказ!B:Q,16,0),0)</f>
        <v>0</v>
      </c>
    </row>
    <row r="995" spans="2:9" x14ac:dyDescent="0.25">
      <c r="B995" s="84">
        <v>20993</v>
      </c>
      <c r="D995" s="84" t="str">
        <f t="shared" si="16"/>
        <v/>
      </c>
      <c r="H995" s="84">
        <f>IFERROR(VLOOKUP(B995,Заказ!B:Q,5,0),0)</f>
        <v>0</v>
      </c>
      <c r="I995" s="84">
        <f>IFERROR(VLOOKUP(B995,Заказ!B:Q,16,0),0)</f>
        <v>0</v>
      </c>
    </row>
    <row r="996" spans="2:9" x14ac:dyDescent="0.25">
      <c r="B996" s="84">
        <v>21234</v>
      </c>
      <c r="D996" s="84" t="str">
        <f t="shared" si="16"/>
        <v/>
      </c>
      <c r="H996" s="84">
        <f>IFERROR(VLOOKUP(B996,Заказ!B:Q,5,0),0)</f>
        <v>0</v>
      </c>
      <c r="I996" s="84">
        <f>IFERROR(VLOOKUP(B996,Заказ!B:Q,16,0),0)</f>
        <v>0</v>
      </c>
    </row>
    <row r="997" spans="2:9" x14ac:dyDescent="0.25">
      <c r="B997" s="84">
        <v>13844</v>
      </c>
      <c r="D997" s="84" t="str">
        <f t="shared" si="16"/>
        <v/>
      </c>
      <c r="H997" s="84">
        <f>IFERROR(VLOOKUP(B997,Заказ!B:Q,5,0),0)</f>
        <v>0</v>
      </c>
      <c r="I997" s="84">
        <f>IFERROR(VLOOKUP(B997,Заказ!B:Q,16,0),0)</f>
        <v>0</v>
      </c>
    </row>
    <row r="998" spans="2:9" x14ac:dyDescent="0.25">
      <c r="B998" s="84">
        <v>13843</v>
      </c>
      <c r="D998" s="84" t="str">
        <f t="shared" si="16"/>
        <v/>
      </c>
      <c r="H998" s="84">
        <f>IFERROR(VLOOKUP(B998,Заказ!B:Q,5,0),0)</f>
        <v>0</v>
      </c>
      <c r="I998" s="84">
        <f>IFERROR(VLOOKUP(B998,Заказ!B:Q,16,0),0)</f>
        <v>0</v>
      </c>
    </row>
    <row r="999" spans="2:9" x14ac:dyDescent="0.25">
      <c r="B999" s="84">
        <v>13679</v>
      </c>
      <c r="D999" s="84" t="str">
        <f t="shared" si="16"/>
        <v/>
      </c>
      <c r="H999" s="84">
        <f>IFERROR(VLOOKUP(B999,Заказ!B:Q,5,0),0)</f>
        <v>0</v>
      </c>
      <c r="I999" s="84">
        <f>IFERROR(VLOOKUP(B999,Заказ!B:Q,16,0),0)</f>
        <v>0</v>
      </c>
    </row>
    <row r="1000" spans="2:9" x14ac:dyDescent="0.25">
      <c r="B1000" s="84">
        <v>18720</v>
      </c>
      <c r="D1000" s="84" t="str">
        <f t="shared" si="16"/>
        <v/>
      </c>
      <c r="H1000" s="84">
        <f>IFERROR(VLOOKUP(B1000,Заказ!B:Q,5,0),0)</f>
        <v>0</v>
      </c>
      <c r="I1000" s="84">
        <f>IFERROR(VLOOKUP(B1000,Заказ!B:Q,16,0),0)</f>
        <v>0</v>
      </c>
    </row>
    <row r="1001" spans="2:9" x14ac:dyDescent="0.25">
      <c r="B1001" s="84">
        <v>13069</v>
      </c>
      <c r="D1001" s="84" t="str">
        <f t="shared" si="16"/>
        <v/>
      </c>
      <c r="H1001" s="84">
        <f>IFERROR(VLOOKUP(B1001,Заказ!B:Q,5,0),0)</f>
        <v>0</v>
      </c>
      <c r="I1001" s="84">
        <f>IFERROR(VLOOKUP(B1001,Заказ!B:Q,16,0),0)</f>
        <v>0</v>
      </c>
    </row>
    <row r="1002" spans="2:9" x14ac:dyDescent="0.25">
      <c r="B1002" s="84">
        <v>13070</v>
      </c>
      <c r="D1002" s="84" t="str">
        <f t="shared" ref="D1002:D1067" si="17">IFERROR(ROUND(I1002/H1002,2),"")</f>
        <v/>
      </c>
      <c r="H1002" s="84">
        <f>IFERROR(VLOOKUP(B1002,Заказ!B:Q,5,0),0)</f>
        <v>0</v>
      </c>
      <c r="I1002" s="84">
        <f>IFERROR(VLOOKUP(B1002,Заказ!B:Q,16,0),0)</f>
        <v>0</v>
      </c>
    </row>
    <row r="1003" spans="2:9" x14ac:dyDescent="0.25">
      <c r="B1003" s="84">
        <v>18528</v>
      </c>
      <c r="D1003" s="84" t="str">
        <f t="shared" si="17"/>
        <v/>
      </c>
      <c r="H1003" s="84">
        <f>IFERROR(VLOOKUP(B1003,Заказ!B:Q,5,0),0)</f>
        <v>0</v>
      </c>
      <c r="I1003" s="84">
        <f>IFERROR(VLOOKUP(B1003,Заказ!B:Q,16,0),0)</f>
        <v>0</v>
      </c>
    </row>
    <row r="1004" spans="2:9" x14ac:dyDescent="0.25">
      <c r="B1004" s="84">
        <v>16838</v>
      </c>
      <c r="D1004" s="84" t="str">
        <f t="shared" si="17"/>
        <v/>
      </c>
      <c r="H1004" s="84">
        <f>IFERROR(VLOOKUP(B1004,Заказ!B:Q,5,0),0)</f>
        <v>0</v>
      </c>
      <c r="I1004" s="84">
        <f>IFERROR(VLOOKUP(B1004,Заказ!B:Q,16,0),0)</f>
        <v>0</v>
      </c>
    </row>
    <row r="1005" spans="2:9" x14ac:dyDescent="0.25">
      <c r="B1005" s="84">
        <v>17034</v>
      </c>
      <c r="D1005" s="84" t="str">
        <f t="shared" si="17"/>
        <v/>
      </c>
      <c r="H1005" s="84">
        <f>IFERROR(VLOOKUP(B1005,Заказ!B:Q,5,0),0)</f>
        <v>0</v>
      </c>
      <c r="I1005" s="84">
        <f>IFERROR(VLOOKUP(B1005,Заказ!B:Q,16,0),0)</f>
        <v>0</v>
      </c>
    </row>
    <row r="1006" spans="2:9" x14ac:dyDescent="0.25">
      <c r="B1006" s="84">
        <v>14201</v>
      </c>
      <c r="D1006" s="84" t="str">
        <f t="shared" si="17"/>
        <v/>
      </c>
      <c r="H1006" s="84">
        <f>IFERROR(VLOOKUP(B1006,Заказ!B:Q,5,0),0)</f>
        <v>0</v>
      </c>
      <c r="I1006" s="84">
        <f>IFERROR(VLOOKUP(B1006,Заказ!B:Q,16,0),0)</f>
        <v>0</v>
      </c>
    </row>
    <row r="1007" spans="2:9" x14ac:dyDescent="0.25">
      <c r="B1007" s="84">
        <v>17480</v>
      </c>
      <c r="D1007" s="84" t="str">
        <f t="shared" si="17"/>
        <v/>
      </c>
      <c r="H1007" s="84">
        <f>IFERROR(VLOOKUP(B1007,Заказ!B:Q,5,0),0)</f>
        <v>0</v>
      </c>
      <c r="I1007" s="84">
        <f>IFERROR(VLOOKUP(B1007,Заказ!B:Q,16,0),0)</f>
        <v>0</v>
      </c>
    </row>
    <row r="1008" spans="2:9" x14ac:dyDescent="0.25">
      <c r="B1008" s="84">
        <v>17446</v>
      </c>
      <c r="D1008" s="84" t="str">
        <f t="shared" si="17"/>
        <v/>
      </c>
      <c r="H1008" s="84">
        <f>IFERROR(VLOOKUP(B1008,Заказ!B:Q,5,0),0)</f>
        <v>0</v>
      </c>
      <c r="I1008" s="84">
        <f>IFERROR(VLOOKUP(B1008,Заказ!B:Q,16,0),0)</f>
        <v>0</v>
      </c>
    </row>
    <row r="1009" spans="2:9" x14ac:dyDescent="0.25">
      <c r="B1009" s="84">
        <v>15142</v>
      </c>
      <c r="D1009" s="84" t="str">
        <f t="shared" si="17"/>
        <v/>
      </c>
      <c r="H1009" s="84">
        <f>IFERROR(VLOOKUP(B1009,Заказ!B:Q,5,0),0)</f>
        <v>0</v>
      </c>
      <c r="I1009" s="84">
        <f>IFERROR(VLOOKUP(B1009,Заказ!B:Q,16,0),0)</f>
        <v>0</v>
      </c>
    </row>
    <row r="1010" spans="2:9" x14ac:dyDescent="0.25">
      <c r="B1010" s="84">
        <v>13839</v>
      </c>
      <c r="D1010" s="84" t="str">
        <f t="shared" si="17"/>
        <v/>
      </c>
      <c r="H1010" s="84">
        <f>IFERROR(VLOOKUP(B1010,Заказ!B:Q,5,0),0)</f>
        <v>0</v>
      </c>
      <c r="I1010" s="84">
        <f>IFERROR(VLOOKUP(B1010,Заказ!B:Q,16,0),0)</f>
        <v>0</v>
      </c>
    </row>
    <row r="1011" spans="2:9" x14ac:dyDescent="0.25">
      <c r="B1011" s="84">
        <v>17035</v>
      </c>
      <c r="D1011" s="84" t="str">
        <f t="shared" si="17"/>
        <v/>
      </c>
      <c r="H1011" s="84">
        <f>IFERROR(VLOOKUP(B1011,Заказ!B:Q,5,0),0)</f>
        <v>0</v>
      </c>
      <c r="I1011" s="84">
        <f>IFERROR(VLOOKUP(B1011,Заказ!B:Q,16,0),0)</f>
        <v>0</v>
      </c>
    </row>
    <row r="1012" spans="2:9" x14ac:dyDescent="0.25">
      <c r="B1012" s="84">
        <v>16839</v>
      </c>
      <c r="D1012" s="84" t="str">
        <f t="shared" si="17"/>
        <v/>
      </c>
      <c r="H1012" s="84">
        <f>IFERROR(VLOOKUP(B1012,Заказ!B:Q,5,0),0)</f>
        <v>0</v>
      </c>
      <c r="I1012" s="84">
        <f>IFERROR(VLOOKUP(B1012,Заказ!B:Q,16,0),0)</f>
        <v>0</v>
      </c>
    </row>
    <row r="1013" spans="2:9" x14ac:dyDescent="0.25">
      <c r="B1013" s="84">
        <v>15213</v>
      </c>
      <c r="D1013" s="84" t="str">
        <f t="shared" si="17"/>
        <v/>
      </c>
      <c r="H1013" s="84">
        <f>IFERROR(VLOOKUP(B1013,Заказ!B:Q,5,0),0)</f>
        <v>0</v>
      </c>
      <c r="I1013" s="84">
        <f>IFERROR(VLOOKUP(B1013,Заказ!B:Q,16,0),0)</f>
        <v>0</v>
      </c>
    </row>
    <row r="1014" spans="2:9" x14ac:dyDescent="0.25">
      <c r="B1014" s="84">
        <v>17579</v>
      </c>
      <c r="D1014" s="84" t="str">
        <f t="shared" si="17"/>
        <v/>
      </c>
      <c r="H1014" s="84">
        <f>IFERROR(VLOOKUP(B1014,Заказ!B:Q,5,0),0)</f>
        <v>0</v>
      </c>
      <c r="I1014" s="84">
        <f>IFERROR(VLOOKUP(B1014,Заказ!B:Q,16,0),0)</f>
        <v>0</v>
      </c>
    </row>
    <row r="1015" spans="2:9" x14ac:dyDescent="0.25">
      <c r="B1015" s="84">
        <v>12540</v>
      </c>
      <c r="D1015" s="84" t="str">
        <f t="shared" si="17"/>
        <v/>
      </c>
      <c r="H1015" s="84">
        <f>IFERROR(VLOOKUP(B1015,Заказ!B:Q,5,0),0)</f>
        <v>0</v>
      </c>
      <c r="I1015" s="84">
        <f>IFERROR(VLOOKUP(B1015,Заказ!B:Q,16,0),0)</f>
        <v>0</v>
      </c>
    </row>
    <row r="1016" spans="2:9" x14ac:dyDescent="0.25">
      <c r="B1016" s="84">
        <v>15127</v>
      </c>
      <c r="D1016" s="84" t="str">
        <f t="shared" si="17"/>
        <v/>
      </c>
      <c r="H1016" s="84">
        <f>IFERROR(VLOOKUP(B1016,Заказ!B:Q,5,0),0)</f>
        <v>0</v>
      </c>
      <c r="I1016" s="84">
        <f>IFERROR(VLOOKUP(B1016,Заказ!B:Q,16,0),0)</f>
        <v>0</v>
      </c>
    </row>
    <row r="1017" spans="2:9" x14ac:dyDescent="0.25">
      <c r="B1017" s="84">
        <v>13842</v>
      </c>
      <c r="D1017" s="84" t="str">
        <f t="shared" si="17"/>
        <v/>
      </c>
      <c r="H1017" s="84">
        <f>IFERROR(VLOOKUP(B1017,Заказ!B:Q,5,0),0)</f>
        <v>0</v>
      </c>
      <c r="I1017" s="84">
        <f>IFERROR(VLOOKUP(B1017,Заказ!B:Q,16,0),0)</f>
        <v>0</v>
      </c>
    </row>
    <row r="1018" spans="2:9" x14ac:dyDescent="0.25">
      <c r="B1018" s="84">
        <v>13840</v>
      </c>
      <c r="D1018" s="84" t="str">
        <f t="shared" si="17"/>
        <v/>
      </c>
      <c r="H1018" s="84">
        <f>IFERROR(VLOOKUP(B1018,Заказ!B:Q,5,0),0)</f>
        <v>0</v>
      </c>
      <c r="I1018" s="84">
        <f>IFERROR(VLOOKUP(B1018,Заказ!B:Q,16,0),0)</f>
        <v>0</v>
      </c>
    </row>
    <row r="1019" spans="2:9" x14ac:dyDescent="0.25">
      <c r="B1019" s="84">
        <v>13838</v>
      </c>
      <c r="D1019" s="84" t="str">
        <f t="shared" si="17"/>
        <v/>
      </c>
      <c r="H1019" s="84">
        <f>IFERROR(VLOOKUP(B1019,Заказ!B:Q,5,0),0)</f>
        <v>0</v>
      </c>
      <c r="I1019" s="84">
        <f>IFERROR(VLOOKUP(B1019,Заказ!B:Q,16,0),0)</f>
        <v>0</v>
      </c>
    </row>
    <row r="1020" spans="2:9" x14ac:dyDescent="0.25">
      <c r="B1020" s="84">
        <v>15141</v>
      </c>
      <c r="D1020" s="84" t="str">
        <f t="shared" si="17"/>
        <v/>
      </c>
      <c r="H1020" s="84">
        <f>IFERROR(VLOOKUP(B1020,Заказ!B:Q,5,0),0)</f>
        <v>0</v>
      </c>
      <c r="I1020" s="84">
        <f>IFERROR(VLOOKUP(B1020,Заказ!B:Q,16,0),0)</f>
        <v>0</v>
      </c>
    </row>
    <row r="1021" spans="2:9" x14ac:dyDescent="0.25">
      <c r="B1021" s="84">
        <v>13836</v>
      </c>
      <c r="D1021" s="84" t="str">
        <f t="shared" si="17"/>
        <v/>
      </c>
      <c r="H1021" s="84">
        <f>IFERROR(VLOOKUP(B1021,Заказ!B:Q,5,0),0)</f>
        <v>0</v>
      </c>
      <c r="I1021" s="84">
        <f>IFERROR(VLOOKUP(B1021,Заказ!B:Q,16,0),0)</f>
        <v>0</v>
      </c>
    </row>
    <row r="1022" spans="2:9" x14ac:dyDescent="0.25">
      <c r="B1022" s="84">
        <v>15140</v>
      </c>
      <c r="D1022" s="84" t="str">
        <f t="shared" si="17"/>
        <v/>
      </c>
      <c r="H1022" s="84">
        <f>IFERROR(VLOOKUP(B1022,Заказ!B:Q,5,0),0)</f>
        <v>0</v>
      </c>
      <c r="I1022" s="84">
        <f>IFERROR(VLOOKUP(B1022,Заказ!B:Q,16,0),0)</f>
        <v>0</v>
      </c>
    </row>
    <row r="1023" spans="2:9" x14ac:dyDescent="0.25">
      <c r="B1023" s="84">
        <v>15231</v>
      </c>
      <c r="D1023" s="84" t="str">
        <f t="shared" si="17"/>
        <v/>
      </c>
      <c r="H1023" s="84">
        <f>IFERROR(VLOOKUP(B1023,Заказ!B:Q,5,0),0)</f>
        <v>0</v>
      </c>
      <c r="I1023" s="84">
        <f>IFERROR(VLOOKUP(B1023,Заказ!B:Q,16,0),0)</f>
        <v>0</v>
      </c>
    </row>
    <row r="1024" spans="2:9" x14ac:dyDescent="0.25">
      <c r="B1024" s="84">
        <v>17007</v>
      </c>
      <c r="D1024" s="84" t="str">
        <f t="shared" si="17"/>
        <v/>
      </c>
      <c r="H1024" s="84">
        <f>IFERROR(VLOOKUP(B1024,Заказ!B:Q,5,0),0)</f>
        <v>0</v>
      </c>
      <c r="I1024" s="84">
        <f>IFERROR(VLOOKUP(B1024,Заказ!B:Q,16,0),0)</f>
        <v>0</v>
      </c>
    </row>
    <row r="1025" spans="2:9" x14ac:dyDescent="0.25">
      <c r="B1025" s="84">
        <v>13484</v>
      </c>
      <c r="D1025" s="84" t="str">
        <f t="shared" si="17"/>
        <v/>
      </c>
      <c r="H1025" s="84">
        <f>IFERROR(VLOOKUP(B1025,Заказ!B:Q,5,0),0)</f>
        <v>0</v>
      </c>
      <c r="I1025" s="84">
        <f>IFERROR(VLOOKUP(B1025,Заказ!B:Q,16,0),0)</f>
        <v>0</v>
      </c>
    </row>
    <row r="1026" spans="2:9" x14ac:dyDescent="0.25">
      <c r="B1026" s="84">
        <v>15789</v>
      </c>
      <c r="D1026" s="84" t="str">
        <f t="shared" si="17"/>
        <v/>
      </c>
      <c r="H1026" s="84">
        <f>IFERROR(VLOOKUP(B1026,Заказ!B:Q,5,0),0)</f>
        <v>0</v>
      </c>
      <c r="I1026" s="84">
        <f>IFERROR(VLOOKUP(B1026,Заказ!B:Q,16,0),0)</f>
        <v>0</v>
      </c>
    </row>
    <row r="1027" spans="2:9" x14ac:dyDescent="0.25">
      <c r="B1027" s="84">
        <v>12201</v>
      </c>
      <c r="D1027" s="84" t="str">
        <f t="shared" si="17"/>
        <v/>
      </c>
      <c r="H1027" s="84">
        <f>IFERROR(VLOOKUP(B1027,Заказ!B:Q,5,0),0)</f>
        <v>0</v>
      </c>
      <c r="I1027" s="84">
        <f>IFERROR(VLOOKUP(B1027,Заказ!B:Q,16,0),0)</f>
        <v>0</v>
      </c>
    </row>
    <row r="1028" spans="2:9" x14ac:dyDescent="0.25">
      <c r="B1028" s="84">
        <v>13071</v>
      </c>
      <c r="D1028" s="84" t="str">
        <f t="shared" si="17"/>
        <v/>
      </c>
      <c r="H1028" s="84">
        <f>IFERROR(VLOOKUP(B1028,Заказ!B:Q,5,0),0)</f>
        <v>0</v>
      </c>
      <c r="I1028" s="84">
        <f>IFERROR(VLOOKUP(B1028,Заказ!B:Q,16,0),0)</f>
        <v>0</v>
      </c>
    </row>
    <row r="1029" spans="2:9" x14ac:dyDescent="0.25">
      <c r="B1029" s="84">
        <v>13321</v>
      </c>
      <c r="D1029" s="84" t="str">
        <f t="shared" si="17"/>
        <v/>
      </c>
      <c r="H1029" s="84">
        <f>IFERROR(VLOOKUP(B1029,Заказ!B:Q,5,0),0)</f>
        <v>0</v>
      </c>
      <c r="I1029" s="84">
        <f>IFERROR(VLOOKUP(B1029,Заказ!B:Q,16,0),0)</f>
        <v>0</v>
      </c>
    </row>
    <row r="1030" spans="2:9" x14ac:dyDescent="0.25">
      <c r="B1030" s="84">
        <v>13680</v>
      </c>
      <c r="D1030" s="84" t="str">
        <f t="shared" si="17"/>
        <v/>
      </c>
      <c r="H1030" s="84">
        <f>IFERROR(VLOOKUP(B1030,Заказ!B:Q,5,0),0)</f>
        <v>0</v>
      </c>
      <c r="I1030" s="84">
        <f>IFERROR(VLOOKUP(B1030,Заказ!B:Q,16,0),0)</f>
        <v>0</v>
      </c>
    </row>
    <row r="1031" spans="2:9" x14ac:dyDescent="0.25">
      <c r="B1031" s="84">
        <v>18539</v>
      </c>
      <c r="D1031" s="84" t="str">
        <f t="shared" si="17"/>
        <v/>
      </c>
      <c r="H1031" s="84">
        <f>IFERROR(VLOOKUP(B1031,Заказ!B:Q,5,0),0)</f>
        <v>0</v>
      </c>
      <c r="I1031" s="84">
        <f>IFERROR(VLOOKUP(B1031,Заказ!B:Q,16,0),0)</f>
        <v>0</v>
      </c>
    </row>
    <row r="1032" spans="2:9" x14ac:dyDescent="0.25">
      <c r="B1032" s="84">
        <v>13682</v>
      </c>
      <c r="D1032" s="84" t="str">
        <f t="shared" si="17"/>
        <v/>
      </c>
      <c r="H1032" s="84">
        <f>IFERROR(VLOOKUP(B1032,Заказ!B:Q,5,0),0)</f>
        <v>0</v>
      </c>
      <c r="I1032" s="84">
        <f>IFERROR(VLOOKUP(B1032,Заказ!B:Q,16,0),0)</f>
        <v>0</v>
      </c>
    </row>
    <row r="1033" spans="2:9" x14ac:dyDescent="0.25">
      <c r="B1033" s="84">
        <v>18025</v>
      </c>
      <c r="D1033" s="84" t="str">
        <f t="shared" si="17"/>
        <v/>
      </c>
      <c r="H1033" s="84">
        <f>IFERROR(VLOOKUP(B1033,Заказ!B:Q,5,0),0)</f>
        <v>0</v>
      </c>
      <c r="I1033" s="84">
        <f>IFERROR(VLOOKUP(B1033,Заказ!B:Q,16,0),0)</f>
        <v>0</v>
      </c>
    </row>
    <row r="1034" spans="2:9" x14ac:dyDescent="0.25">
      <c r="B1034" s="84">
        <v>11884</v>
      </c>
      <c r="D1034" s="84" t="str">
        <f t="shared" si="17"/>
        <v/>
      </c>
      <c r="H1034" s="84">
        <f>IFERROR(VLOOKUP(B1034,Заказ!B:Q,5,0),0)</f>
        <v>0</v>
      </c>
      <c r="I1034" s="84">
        <f>IFERROR(VLOOKUP(B1034,Заказ!B:Q,16,0),0)</f>
        <v>0</v>
      </c>
    </row>
    <row r="1035" spans="2:9" x14ac:dyDescent="0.25">
      <c r="B1035" s="84">
        <v>11883</v>
      </c>
      <c r="D1035" s="84" t="str">
        <f t="shared" si="17"/>
        <v/>
      </c>
      <c r="H1035" s="84">
        <f>IFERROR(VLOOKUP(B1035,Заказ!B:Q,5,0),0)</f>
        <v>0</v>
      </c>
      <c r="I1035" s="84">
        <f>IFERROR(VLOOKUP(B1035,Заказ!B:Q,16,0),0)</f>
        <v>0</v>
      </c>
    </row>
    <row r="1036" spans="2:9" x14ac:dyDescent="0.25">
      <c r="B1036" s="84">
        <v>15124</v>
      </c>
      <c r="D1036" s="84" t="str">
        <f t="shared" si="17"/>
        <v/>
      </c>
      <c r="H1036" s="84">
        <f>IFERROR(VLOOKUP(B1036,Заказ!B:Q,5,0),0)</f>
        <v>0</v>
      </c>
      <c r="I1036" s="84">
        <f>IFERROR(VLOOKUP(B1036,Заказ!B:Q,16,0),0)</f>
        <v>0</v>
      </c>
    </row>
    <row r="1037" spans="2:9" x14ac:dyDescent="0.25">
      <c r="B1037" s="84">
        <v>14876</v>
      </c>
      <c r="D1037" s="84" t="str">
        <f t="shared" si="17"/>
        <v/>
      </c>
      <c r="H1037" s="84">
        <f>IFERROR(VLOOKUP(B1037,Заказ!B:Q,5,0),0)</f>
        <v>0</v>
      </c>
      <c r="I1037" s="84">
        <f>IFERROR(VLOOKUP(B1037,Заказ!B:Q,16,0),0)</f>
        <v>0</v>
      </c>
    </row>
    <row r="1038" spans="2:9" x14ac:dyDescent="0.25">
      <c r="B1038" s="84">
        <v>16083</v>
      </c>
      <c r="D1038" s="84" t="str">
        <f t="shared" si="17"/>
        <v/>
      </c>
      <c r="H1038" s="84">
        <f>IFERROR(VLOOKUP(B1038,Заказ!B:Q,5,0),0)</f>
        <v>0</v>
      </c>
      <c r="I1038" s="84">
        <f>IFERROR(VLOOKUP(B1038,Заказ!B:Q,16,0),0)</f>
        <v>0</v>
      </c>
    </row>
    <row r="1039" spans="2:9" x14ac:dyDescent="0.25">
      <c r="B1039" s="84">
        <v>16272</v>
      </c>
      <c r="D1039" s="84" t="str">
        <f t="shared" si="17"/>
        <v/>
      </c>
      <c r="H1039" s="84">
        <f>IFERROR(VLOOKUP(B1039,Заказ!B:Q,5,0),0)</f>
        <v>0</v>
      </c>
      <c r="I1039" s="84">
        <f>IFERROR(VLOOKUP(B1039,Заказ!B:Q,16,0),0)</f>
        <v>0</v>
      </c>
    </row>
    <row r="1040" spans="2:9" x14ac:dyDescent="0.25">
      <c r="B1040" s="84">
        <v>12383</v>
      </c>
      <c r="D1040" s="84" t="str">
        <f t="shared" si="17"/>
        <v/>
      </c>
      <c r="H1040" s="84">
        <f>IFERROR(VLOOKUP(B1040,Заказ!B:Q,5,0),0)</f>
        <v>0</v>
      </c>
      <c r="I1040" s="84">
        <f>IFERROR(VLOOKUP(B1040,Заказ!B:Q,16,0),0)</f>
        <v>0</v>
      </c>
    </row>
    <row r="1041" spans="2:9" x14ac:dyDescent="0.25">
      <c r="B1041" s="84">
        <v>15489</v>
      </c>
      <c r="D1041" s="84" t="str">
        <f t="shared" si="17"/>
        <v/>
      </c>
      <c r="H1041" s="84">
        <f>IFERROR(VLOOKUP(B1041,Заказ!B:Q,5,0),0)</f>
        <v>0</v>
      </c>
      <c r="I1041" s="84">
        <f>IFERROR(VLOOKUP(B1041,Заказ!B:Q,16,0),0)</f>
        <v>0</v>
      </c>
    </row>
    <row r="1042" spans="2:9" x14ac:dyDescent="0.25">
      <c r="B1042" s="84">
        <v>17296</v>
      </c>
      <c r="D1042" s="84" t="str">
        <f t="shared" si="17"/>
        <v/>
      </c>
      <c r="H1042" s="84">
        <f>IFERROR(VLOOKUP(B1042,Заказ!B:Q,5,0),0)</f>
        <v>0</v>
      </c>
      <c r="I1042" s="84">
        <f>IFERROR(VLOOKUP(B1042,Заказ!B:Q,16,0),0)</f>
        <v>0</v>
      </c>
    </row>
    <row r="1043" spans="2:9" x14ac:dyDescent="0.25">
      <c r="B1043" s="84">
        <v>17458</v>
      </c>
      <c r="D1043" s="84" t="str">
        <f t="shared" si="17"/>
        <v/>
      </c>
      <c r="H1043" s="84">
        <f>IFERROR(VLOOKUP(B1043,Заказ!B:Q,5,0),0)</f>
        <v>0</v>
      </c>
      <c r="I1043" s="84">
        <f>IFERROR(VLOOKUP(B1043,Заказ!B:Q,16,0),0)</f>
        <v>0</v>
      </c>
    </row>
    <row r="1044" spans="2:9" x14ac:dyDescent="0.25">
      <c r="B1044" s="84">
        <v>13103</v>
      </c>
      <c r="D1044" s="84" t="str">
        <f t="shared" si="17"/>
        <v/>
      </c>
      <c r="H1044" s="84">
        <f>IFERROR(VLOOKUP(B1044,Заказ!B:Q,5,0),0)</f>
        <v>0</v>
      </c>
      <c r="I1044" s="84">
        <f>IFERROR(VLOOKUP(B1044,Заказ!B:Q,16,0),0)</f>
        <v>0</v>
      </c>
    </row>
    <row r="1045" spans="2:9" x14ac:dyDescent="0.25">
      <c r="B1045" s="84">
        <v>12619</v>
      </c>
      <c r="D1045" s="84" t="str">
        <f t="shared" si="17"/>
        <v/>
      </c>
      <c r="H1045" s="84">
        <f>IFERROR(VLOOKUP(B1045,Заказ!B:Q,5,0),0)</f>
        <v>0</v>
      </c>
      <c r="I1045" s="84">
        <f>IFERROR(VLOOKUP(B1045,Заказ!B:Q,16,0),0)</f>
        <v>0</v>
      </c>
    </row>
    <row r="1046" spans="2:9" x14ac:dyDescent="0.25">
      <c r="B1046" s="84">
        <v>18529</v>
      </c>
      <c r="D1046" s="84" t="str">
        <f t="shared" si="17"/>
        <v/>
      </c>
      <c r="H1046" s="84">
        <f>IFERROR(VLOOKUP(B1046,Заказ!B:Q,5,0),0)</f>
        <v>0</v>
      </c>
      <c r="I1046" s="84">
        <f>IFERROR(VLOOKUP(B1046,Заказ!B:Q,16,0),0)</f>
        <v>0</v>
      </c>
    </row>
    <row r="1047" spans="2:9" x14ac:dyDescent="0.25">
      <c r="B1047" s="84">
        <v>14401</v>
      </c>
      <c r="D1047" s="84" t="str">
        <f t="shared" si="17"/>
        <v/>
      </c>
      <c r="H1047" s="84">
        <f>IFERROR(VLOOKUP(B1047,Заказ!B:Q,5,0),0)</f>
        <v>0</v>
      </c>
      <c r="I1047" s="84">
        <f>IFERROR(VLOOKUP(B1047,Заказ!B:Q,16,0),0)</f>
        <v>0</v>
      </c>
    </row>
    <row r="1048" spans="2:9" x14ac:dyDescent="0.25">
      <c r="B1048" s="84">
        <v>14503</v>
      </c>
      <c r="D1048" s="84" t="str">
        <f t="shared" si="17"/>
        <v/>
      </c>
      <c r="H1048" s="84">
        <f>IFERROR(VLOOKUP(B1048,Заказ!B:Q,5,0),0)</f>
        <v>0</v>
      </c>
      <c r="I1048" s="84">
        <f>IFERROR(VLOOKUP(B1048,Заказ!B:Q,16,0),0)</f>
        <v>0</v>
      </c>
    </row>
    <row r="1049" spans="2:9" x14ac:dyDescent="0.25">
      <c r="B1049" s="84">
        <v>13499</v>
      </c>
      <c r="D1049" s="84" t="str">
        <f t="shared" si="17"/>
        <v/>
      </c>
      <c r="H1049" s="84">
        <f>IFERROR(VLOOKUP(B1049,Заказ!B:Q,5,0),0)</f>
        <v>0</v>
      </c>
      <c r="I1049" s="84">
        <f>IFERROR(VLOOKUP(B1049,Заказ!B:Q,16,0),0)</f>
        <v>0</v>
      </c>
    </row>
    <row r="1050" spans="2:9" x14ac:dyDescent="0.25">
      <c r="B1050" s="84">
        <v>13104</v>
      </c>
      <c r="D1050" s="84" t="str">
        <f t="shared" si="17"/>
        <v/>
      </c>
      <c r="H1050" s="84">
        <f>IFERROR(VLOOKUP(B1050,Заказ!B:Q,5,0),0)</f>
        <v>0</v>
      </c>
      <c r="I1050" s="84">
        <f>IFERROR(VLOOKUP(B1050,Заказ!B:Q,16,0),0)</f>
        <v>0</v>
      </c>
    </row>
    <row r="1051" spans="2:9" x14ac:dyDescent="0.25">
      <c r="B1051" s="84">
        <v>18339</v>
      </c>
      <c r="D1051" s="84" t="str">
        <f t="shared" si="17"/>
        <v/>
      </c>
      <c r="H1051" s="84">
        <f>IFERROR(VLOOKUP(B1051,Заказ!B:Q,5,0),0)</f>
        <v>0</v>
      </c>
      <c r="I1051" s="84">
        <f>IFERROR(VLOOKUP(B1051,Заказ!B:Q,16,0),0)</f>
        <v>0</v>
      </c>
    </row>
    <row r="1052" spans="2:9" x14ac:dyDescent="0.25">
      <c r="B1052" s="84">
        <v>15788</v>
      </c>
      <c r="D1052" s="84" t="str">
        <f t="shared" si="17"/>
        <v/>
      </c>
      <c r="H1052" s="84">
        <f>IFERROR(VLOOKUP(B1052,Заказ!B:Q,5,0),0)</f>
        <v>0</v>
      </c>
      <c r="I1052" s="84">
        <f>IFERROR(VLOOKUP(B1052,Заказ!B:Q,16,0),0)</f>
        <v>0</v>
      </c>
    </row>
    <row r="1053" spans="2:9" x14ac:dyDescent="0.25">
      <c r="B1053" s="84">
        <v>20715</v>
      </c>
      <c r="D1053" s="84" t="str">
        <f t="shared" si="17"/>
        <v/>
      </c>
      <c r="H1053" s="84">
        <f>IFERROR(VLOOKUP(B1053,Заказ!B:Q,5,0),0)</f>
        <v>0</v>
      </c>
      <c r="I1053" s="84">
        <f>IFERROR(VLOOKUP(B1053,Заказ!B:Q,16,0),0)</f>
        <v>0</v>
      </c>
    </row>
    <row r="1054" spans="2:9" x14ac:dyDescent="0.25">
      <c r="B1054" s="84">
        <v>20716</v>
      </c>
      <c r="D1054" s="84" t="str">
        <f t="shared" si="17"/>
        <v/>
      </c>
      <c r="H1054" s="84">
        <f>IFERROR(VLOOKUP(B1054,Заказ!B:Q,5,0),0)</f>
        <v>0</v>
      </c>
      <c r="I1054" s="84">
        <f>IFERROR(VLOOKUP(B1054,Заказ!B:Q,16,0),0)</f>
        <v>0</v>
      </c>
    </row>
    <row r="1055" spans="2:9" x14ac:dyDescent="0.25">
      <c r="B1055" s="84">
        <v>19442</v>
      </c>
      <c r="D1055" s="84" t="str">
        <f t="shared" si="17"/>
        <v/>
      </c>
      <c r="H1055" s="84">
        <f>IFERROR(VLOOKUP(B1055,Заказ!B:Q,5,0),0)</f>
        <v>0</v>
      </c>
      <c r="I1055" s="84">
        <f>IFERROR(VLOOKUP(B1055,Заказ!B:Q,16,0),0)</f>
        <v>0</v>
      </c>
    </row>
    <row r="1056" spans="2:9" x14ac:dyDescent="0.25">
      <c r="B1056" s="84">
        <v>19443</v>
      </c>
      <c r="D1056" s="84" t="str">
        <f t="shared" si="17"/>
        <v/>
      </c>
      <c r="H1056" s="84">
        <f>IFERROR(VLOOKUP(B1056,Заказ!B:Q,5,0),0)</f>
        <v>0</v>
      </c>
      <c r="I1056" s="84">
        <f>IFERROR(VLOOKUP(B1056,Заказ!B:Q,16,0),0)</f>
        <v>0</v>
      </c>
    </row>
    <row r="1057" spans="2:9" x14ac:dyDescent="0.25">
      <c r="B1057" s="84">
        <v>15218</v>
      </c>
      <c r="D1057" s="84" t="str">
        <f t="shared" si="17"/>
        <v/>
      </c>
      <c r="H1057" s="84">
        <f>IFERROR(VLOOKUP(B1057,Заказ!B:Q,5,0),0)</f>
        <v>0</v>
      </c>
      <c r="I1057" s="84">
        <f>IFERROR(VLOOKUP(B1057,Заказ!B:Q,16,0),0)</f>
        <v>0</v>
      </c>
    </row>
    <row r="1058" spans="2:9" x14ac:dyDescent="0.25">
      <c r="B1058" s="84">
        <v>17548</v>
      </c>
      <c r="D1058" s="84" t="str">
        <f t="shared" si="17"/>
        <v/>
      </c>
      <c r="H1058" s="84">
        <f>IFERROR(VLOOKUP(B1058,Заказ!B:Q,5,0),0)</f>
        <v>0</v>
      </c>
      <c r="I1058" s="84">
        <f>IFERROR(VLOOKUP(B1058,Заказ!B:Q,16,0),0)</f>
        <v>0</v>
      </c>
    </row>
    <row r="1059" spans="2:9" x14ac:dyDescent="0.25">
      <c r="B1059" s="84">
        <v>17557</v>
      </c>
      <c r="D1059" s="84" t="str">
        <f t="shared" si="17"/>
        <v/>
      </c>
      <c r="H1059" s="84">
        <f>IFERROR(VLOOKUP(B1059,Заказ!B:Q,5,0),0)</f>
        <v>0</v>
      </c>
      <c r="I1059" s="84">
        <f>IFERROR(VLOOKUP(B1059,Заказ!B:Q,16,0),0)</f>
        <v>0</v>
      </c>
    </row>
    <row r="1060" spans="2:9" x14ac:dyDescent="0.25">
      <c r="B1060" s="84">
        <v>18759</v>
      </c>
      <c r="D1060" s="84" t="str">
        <f t="shared" si="17"/>
        <v/>
      </c>
      <c r="H1060" s="84">
        <f>IFERROR(VLOOKUP(B1060,Заказ!B:Q,5,0),0)</f>
        <v>0</v>
      </c>
      <c r="I1060" s="84">
        <f>IFERROR(VLOOKUP(B1060,Заказ!B:Q,16,0),0)</f>
        <v>0</v>
      </c>
    </row>
    <row r="1061" spans="2:9" x14ac:dyDescent="0.25">
      <c r="B1061" s="84">
        <v>11882</v>
      </c>
      <c r="D1061" s="84" t="str">
        <f t="shared" si="17"/>
        <v/>
      </c>
      <c r="H1061" s="84">
        <f>IFERROR(VLOOKUP(B1061,Заказ!B:Q,5,0),0)</f>
        <v>0</v>
      </c>
      <c r="I1061" s="84">
        <f>IFERROR(VLOOKUP(B1061,Заказ!B:Q,16,0),0)</f>
        <v>0</v>
      </c>
    </row>
    <row r="1062" spans="2:9" x14ac:dyDescent="0.25">
      <c r="B1062" s="84">
        <v>11881</v>
      </c>
      <c r="D1062" s="84" t="str">
        <f t="shared" si="17"/>
        <v/>
      </c>
      <c r="H1062" s="84">
        <f>IFERROR(VLOOKUP(B1062,Заказ!B:Q,5,0),0)</f>
        <v>0</v>
      </c>
      <c r="I1062" s="84">
        <f>IFERROR(VLOOKUP(B1062,Заказ!B:Q,16,0),0)</f>
        <v>0</v>
      </c>
    </row>
    <row r="1063" spans="2:9" x14ac:dyDescent="0.25">
      <c r="B1063" s="84">
        <v>16236</v>
      </c>
      <c r="D1063" s="84" t="str">
        <f t="shared" si="17"/>
        <v/>
      </c>
      <c r="H1063" s="84">
        <f>IFERROR(VLOOKUP(B1063,Заказ!B:Q,5,0),0)</f>
        <v>0</v>
      </c>
      <c r="I1063" s="84">
        <f>IFERROR(VLOOKUP(B1063,Заказ!B:Q,16,0),0)</f>
        <v>0</v>
      </c>
    </row>
    <row r="1064" spans="2:9" x14ac:dyDescent="0.25">
      <c r="B1064" s="84">
        <v>21545</v>
      </c>
      <c r="D1064" s="84" t="str">
        <f t="shared" ref="D1064:D1066" si="18">IFERROR(ROUND(I1064/H1064,2),"")</f>
        <v/>
      </c>
      <c r="H1064" s="84">
        <f>IFERROR(VLOOKUP(B1064,Заказ!B:Q,5,0),0)</f>
        <v>0</v>
      </c>
      <c r="I1064" s="84">
        <f>IFERROR(VLOOKUP(B1064,Заказ!B:Q,16,0),0)</f>
        <v>0</v>
      </c>
    </row>
    <row r="1065" spans="2:9" x14ac:dyDescent="0.25">
      <c r="B1065" s="84">
        <v>21544</v>
      </c>
      <c r="D1065" s="84" t="str">
        <f t="shared" si="18"/>
        <v/>
      </c>
      <c r="H1065" s="84">
        <f>IFERROR(VLOOKUP(B1065,Заказ!B:Q,5,0),0)</f>
        <v>0</v>
      </c>
      <c r="I1065" s="84">
        <f>IFERROR(VLOOKUP(B1065,Заказ!B:Q,16,0),0)</f>
        <v>0</v>
      </c>
    </row>
    <row r="1066" spans="2:9" x14ac:dyDescent="0.25">
      <c r="B1066" s="84">
        <v>21082</v>
      </c>
      <c r="D1066" s="84" t="str">
        <f t="shared" si="18"/>
        <v/>
      </c>
      <c r="H1066" s="84">
        <f>IFERROR(VLOOKUP(B1066,Заказ!B:Q,5,0),0)</f>
        <v>0</v>
      </c>
      <c r="I1066" s="84">
        <f>IFERROR(VLOOKUP(B1066,Заказ!B:Q,16,0),0)</f>
        <v>0</v>
      </c>
    </row>
    <row r="1067" spans="2:9" x14ac:dyDescent="0.25">
      <c r="B1067" s="84">
        <v>21083</v>
      </c>
      <c r="D1067" s="84" t="str">
        <f t="shared" si="17"/>
        <v/>
      </c>
      <c r="H1067" s="84">
        <f>IFERROR(VLOOKUP(B1067,Заказ!B:Q,5,0),0)</f>
        <v>0</v>
      </c>
      <c r="I1067" s="84">
        <f>IFERROR(VLOOKUP(B1067,Заказ!B:Q,16,0),0)</f>
        <v>0</v>
      </c>
    </row>
    <row r="1068" spans="2:9" x14ac:dyDescent="0.25">
      <c r="B1068" s="84">
        <v>21084</v>
      </c>
      <c r="D1068" s="84" t="str">
        <f t="shared" ref="D1068:D1131" si="19">IFERROR(ROUND(I1068/H1068,2),"")</f>
        <v/>
      </c>
      <c r="H1068" s="84">
        <f>IFERROR(VLOOKUP(B1068,Заказ!B:Q,5,0),0)</f>
        <v>0</v>
      </c>
      <c r="I1068" s="84">
        <f>IFERROR(VLOOKUP(B1068,Заказ!B:Q,16,0),0)</f>
        <v>0</v>
      </c>
    </row>
    <row r="1069" spans="2:9" x14ac:dyDescent="0.25">
      <c r="B1069" s="84">
        <v>21085</v>
      </c>
      <c r="D1069" s="84" t="str">
        <f t="shared" si="19"/>
        <v/>
      </c>
      <c r="H1069" s="84">
        <f>IFERROR(VLOOKUP(B1069,Заказ!B:Q,5,0),0)</f>
        <v>0</v>
      </c>
      <c r="I1069" s="84">
        <f>IFERROR(VLOOKUP(B1069,Заказ!B:Q,16,0),0)</f>
        <v>0</v>
      </c>
    </row>
    <row r="1070" spans="2:9" x14ac:dyDescent="0.25">
      <c r="B1070" s="84">
        <v>19720</v>
      </c>
      <c r="D1070" s="84" t="str">
        <f t="shared" si="19"/>
        <v/>
      </c>
      <c r="H1070" s="84">
        <f>IFERROR(VLOOKUP(B1070,Заказ!B:Q,5,0),0)</f>
        <v>0</v>
      </c>
      <c r="I1070" s="84">
        <f>IFERROR(VLOOKUP(B1070,Заказ!B:Q,16,0),0)</f>
        <v>0</v>
      </c>
    </row>
    <row r="1071" spans="2:9" x14ac:dyDescent="0.25">
      <c r="B1071" s="84">
        <v>19717</v>
      </c>
      <c r="D1071" s="84" t="str">
        <f t="shared" si="19"/>
        <v/>
      </c>
      <c r="H1071" s="84">
        <f>IFERROR(VLOOKUP(B1071,Заказ!B:Q,5,0),0)</f>
        <v>0</v>
      </c>
      <c r="I1071" s="84">
        <f>IFERROR(VLOOKUP(B1071,Заказ!B:Q,16,0),0)</f>
        <v>0</v>
      </c>
    </row>
    <row r="1072" spans="2:9" x14ac:dyDescent="0.25">
      <c r="B1072" s="84">
        <v>19718</v>
      </c>
      <c r="D1072" s="84" t="str">
        <f t="shared" si="19"/>
        <v/>
      </c>
      <c r="H1072" s="84">
        <f>IFERROR(VLOOKUP(B1072,Заказ!B:Q,5,0),0)</f>
        <v>0</v>
      </c>
      <c r="I1072" s="84">
        <f>IFERROR(VLOOKUP(B1072,Заказ!B:Q,16,0),0)</f>
        <v>0</v>
      </c>
    </row>
    <row r="1073" spans="2:9" x14ac:dyDescent="0.25">
      <c r="B1073" s="84">
        <v>19719</v>
      </c>
      <c r="D1073" s="84" t="str">
        <f t="shared" si="19"/>
        <v/>
      </c>
      <c r="H1073" s="84">
        <f>IFERROR(VLOOKUP(B1073,Заказ!B:Q,5,0),0)</f>
        <v>0</v>
      </c>
      <c r="I1073" s="84">
        <f>IFERROR(VLOOKUP(B1073,Заказ!B:Q,16,0),0)</f>
        <v>0</v>
      </c>
    </row>
    <row r="1074" spans="2:9" x14ac:dyDescent="0.25">
      <c r="B1074" s="84">
        <v>19721</v>
      </c>
      <c r="D1074" s="84" t="str">
        <f t="shared" si="19"/>
        <v/>
      </c>
      <c r="H1074" s="84">
        <f>IFERROR(VLOOKUP(B1074,Заказ!B:Q,5,0),0)</f>
        <v>0</v>
      </c>
      <c r="I1074" s="84">
        <f>IFERROR(VLOOKUP(B1074,Заказ!B:Q,16,0),0)</f>
        <v>0</v>
      </c>
    </row>
    <row r="1075" spans="2:9" x14ac:dyDescent="0.25">
      <c r="B1075" s="84">
        <v>20962</v>
      </c>
      <c r="D1075" s="84" t="str">
        <f t="shared" si="19"/>
        <v/>
      </c>
      <c r="H1075" s="84">
        <f>IFERROR(VLOOKUP(B1075,Заказ!B:Q,5,0),0)</f>
        <v>0</v>
      </c>
      <c r="I1075" s="84">
        <f>IFERROR(VLOOKUP(B1075,Заказ!B:Q,16,0),0)</f>
        <v>0</v>
      </c>
    </row>
    <row r="1076" spans="2:9" x14ac:dyDescent="0.25">
      <c r="B1076" s="84">
        <v>19723</v>
      </c>
      <c r="D1076" s="84" t="str">
        <f t="shared" si="19"/>
        <v/>
      </c>
      <c r="H1076" s="84">
        <f>IFERROR(VLOOKUP(B1076,Заказ!B:Q,5,0),0)</f>
        <v>0</v>
      </c>
      <c r="I1076" s="84">
        <f>IFERROR(VLOOKUP(B1076,Заказ!B:Q,16,0),0)</f>
        <v>0</v>
      </c>
    </row>
    <row r="1077" spans="2:9" x14ac:dyDescent="0.25">
      <c r="B1077" s="84">
        <v>20960</v>
      </c>
      <c r="D1077" s="84" t="str">
        <f t="shared" si="19"/>
        <v/>
      </c>
      <c r="H1077" s="84">
        <f>IFERROR(VLOOKUP(B1077,Заказ!B:Q,5,0),0)</f>
        <v>0</v>
      </c>
      <c r="I1077" s="84">
        <f>IFERROR(VLOOKUP(B1077,Заказ!B:Q,16,0),0)</f>
        <v>0</v>
      </c>
    </row>
    <row r="1078" spans="2:9" x14ac:dyDescent="0.25">
      <c r="B1078" s="84">
        <v>20961</v>
      </c>
      <c r="D1078" s="84" t="str">
        <f t="shared" si="19"/>
        <v/>
      </c>
      <c r="H1078" s="84">
        <f>IFERROR(VLOOKUP(B1078,Заказ!B:Q,5,0),0)</f>
        <v>0</v>
      </c>
      <c r="I1078" s="84">
        <f>IFERROR(VLOOKUP(B1078,Заказ!B:Q,16,0),0)</f>
        <v>0</v>
      </c>
    </row>
    <row r="1079" spans="2:9" x14ac:dyDescent="0.25">
      <c r="B1079" s="84">
        <v>19726</v>
      </c>
      <c r="D1079" s="84" t="str">
        <f t="shared" si="19"/>
        <v/>
      </c>
      <c r="H1079" s="84">
        <f>IFERROR(VLOOKUP(B1079,Заказ!B:Q,5,0),0)</f>
        <v>0</v>
      </c>
      <c r="I1079" s="84">
        <f>IFERROR(VLOOKUP(B1079,Заказ!B:Q,16,0),0)</f>
        <v>0</v>
      </c>
    </row>
    <row r="1080" spans="2:9" x14ac:dyDescent="0.25">
      <c r="B1080" s="84">
        <v>19725</v>
      </c>
      <c r="D1080" s="84" t="str">
        <f t="shared" si="19"/>
        <v/>
      </c>
      <c r="H1080" s="84">
        <f>IFERROR(VLOOKUP(B1080,Заказ!B:Q,5,0),0)</f>
        <v>0</v>
      </c>
      <c r="I1080" s="84">
        <f>IFERROR(VLOOKUP(B1080,Заказ!B:Q,16,0),0)</f>
        <v>0</v>
      </c>
    </row>
    <row r="1081" spans="2:9" x14ac:dyDescent="0.25">
      <c r="B1081" s="84">
        <v>19727</v>
      </c>
      <c r="D1081" s="84" t="str">
        <f t="shared" si="19"/>
        <v/>
      </c>
      <c r="H1081" s="84">
        <f>IFERROR(VLOOKUP(B1081,Заказ!B:Q,5,0),0)</f>
        <v>0</v>
      </c>
      <c r="I1081" s="84">
        <f>IFERROR(VLOOKUP(B1081,Заказ!B:Q,16,0),0)</f>
        <v>0</v>
      </c>
    </row>
    <row r="1082" spans="2:9" x14ac:dyDescent="0.25">
      <c r="B1082" s="84">
        <v>20964</v>
      </c>
      <c r="D1082" s="84" t="str">
        <f t="shared" si="19"/>
        <v/>
      </c>
      <c r="H1082" s="84">
        <f>IFERROR(VLOOKUP(B1082,Заказ!B:Q,5,0),0)</f>
        <v>0</v>
      </c>
      <c r="I1082" s="84">
        <f>IFERROR(VLOOKUP(B1082,Заказ!B:Q,16,0),0)</f>
        <v>0</v>
      </c>
    </row>
    <row r="1083" spans="2:9" x14ac:dyDescent="0.25">
      <c r="B1083" s="84">
        <v>19724</v>
      </c>
      <c r="D1083" s="84" t="str">
        <f t="shared" si="19"/>
        <v/>
      </c>
      <c r="H1083" s="84">
        <f>IFERROR(VLOOKUP(B1083,Заказ!B:Q,5,0),0)</f>
        <v>0</v>
      </c>
      <c r="I1083" s="84">
        <f>IFERROR(VLOOKUP(B1083,Заказ!B:Q,16,0),0)</f>
        <v>0</v>
      </c>
    </row>
    <row r="1084" spans="2:9" x14ac:dyDescent="0.25">
      <c r="B1084" s="84">
        <v>20963</v>
      </c>
      <c r="D1084" s="84" t="str">
        <f t="shared" si="19"/>
        <v/>
      </c>
      <c r="H1084" s="84">
        <f>IFERROR(VLOOKUP(B1084,Заказ!B:Q,5,0),0)</f>
        <v>0</v>
      </c>
      <c r="I1084" s="84">
        <f>IFERROR(VLOOKUP(B1084,Заказ!B:Q,16,0),0)</f>
        <v>0</v>
      </c>
    </row>
    <row r="1085" spans="2:9" x14ac:dyDescent="0.25">
      <c r="B1085" s="84">
        <v>19722</v>
      </c>
      <c r="D1085" s="84" t="str">
        <f t="shared" si="19"/>
        <v/>
      </c>
      <c r="H1085" s="84">
        <f>IFERROR(VLOOKUP(B1085,Заказ!B:Q,5,0),0)</f>
        <v>0</v>
      </c>
      <c r="I1085" s="84">
        <f>IFERROR(VLOOKUP(B1085,Заказ!B:Q,16,0),0)</f>
        <v>0</v>
      </c>
    </row>
    <row r="1086" spans="2:9" x14ac:dyDescent="0.25">
      <c r="B1086" s="84">
        <v>19728</v>
      </c>
      <c r="D1086" s="84" t="str">
        <f t="shared" si="19"/>
        <v/>
      </c>
      <c r="H1086" s="84">
        <f>IFERROR(VLOOKUP(B1086,Заказ!B:Q,5,0),0)</f>
        <v>0</v>
      </c>
      <c r="I1086" s="84">
        <f>IFERROR(VLOOKUP(B1086,Заказ!B:Q,16,0),0)</f>
        <v>0</v>
      </c>
    </row>
    <row r="1087" spans="2:9" x14ac:dyDescent="0.25">
      <c r="B1087" s="84">
        <v>20832</v>
      </c>
      <c r="D1087" s="84" t="str">
        <f t="shared" si="19"/>
        <v/>
      </c>
      <c r="H1087" s="84">
        <f>IFERROR(VLOOKUP(B1087,Заказ!B:Q,5,0),0)</f>
        <v>0</v>
      </c>
      <c r="I1087" s="84">
        <f>IFERROR(VLOOKUP(B1087,Заказ!B:Q,16,0),0)</f>
        <v>0</v>
      </c>
    </row>
    <row r="1088" spans="2:9" x14ac:dyDescent="0.25">
      <c r="B1088" s="84">
        <v>20831</v>
      </c>
      <c r="D1088" s="84" t="str">
        <f t="shared" si="19"/>
        <v/>
      </c>
      <c r="H1088" s="84">
        <f>IFERROR(VLOOKUP(B1088,Заказ!B:Q,5,0),0)</f>
        <v>0</v>
      </c>
      <c r="I1088" s="84">
        <f>IFERROR(VLOOKUP(B1088,Заказ!B:Q,16,0),0)</f>
        <v>0</v>
      </c>
    </row>
    <row r="1089" spans="2:9" x14ac:dyDescent="0.25">
      <c r="B1089" s="84">
        <v>17118</v>
      </c>
      <c r="D1089" s="84" t="str">
        <f t="shared" si="19"/>
        <v/>
      </c>
      <c r="H1089" s="84">
        <f>IFERROR(VLOOKUP(B1089,Заказ!B:Q,5,0),0)</f>
        <v>0</v>
      </c>
      <c r="I1089" s="84">
        <f>IFERROR(VLOOKUP(B1089,Заказ!B:Q,16,0),0)</f>
        <v>0</v>
      </c>
    </row>
    <row r="1090" spans="2:9" x14ac:dyDescent="0.25">
      <c r="B1090" s="84">
        <v>20833</v>
      </c>
      <c r="D1090" s="84" t="str">
        <f t="shared" si="19"/>
        <v/>
      </c>
      <c r="H1090" s="84">
        <f>IFERROR(VLOOKUP(B1090,Заказ!B:Q,5,0),0)</f>
        <v>0</v>
      </c>
      <c r="I1090" s="84">
        <f>IFERROR(VLOOKUP(B1090,Заказ!B:Q,16,0),0)</f>
        <v>0</v>
      </c>
    </row>
    <row r="1091" spans="2:9" x14ac:dyDescent="0.25">
      <c r="B1091" s="84">
        <v>17121</v>
      </c>
      <c r="D1091" s="84" t="str">
        <f t="shared" si="19"/>
        <v/>
      </c>
      <c r="H1091" s="84">
        <f>IFERROR(VLOOKUP(B1091,Заказ!B:Q,5,0),0)</f>
        <v>0</v>
      </c>
      <c r="I1091" s="84">
        <f>IFERROR(VLOOKUP(B1091,Заказ!B:Q,16,0),0)</f>
        <v>0</v>
      </c>
    </row>
    <row r="1092" spans="2:9" x14ac:dyDescent="0.25">
      <c r="B1092" s="84">
        <v>17120</v>
      </c>
      <c r="D1092" s="84" t="str">
        <f t="shared" si="19"/>
        <v/>
      </c>
      <c r="H1092" s="84">
        <f>IFERROR(VLOOKUP(B1092,Заказ!B:Q,5,0),0)</f>
        <v>0</v>
      </c>
      <c r="I1092" s="84">
        <f>IFERROR(VLOOKUP(B1092,Заказ!B:Q,16,0),0)</f>
        <v>0</v>
      </c>
    </row>
    <row r="1093" spans="2:9" x14ac:dyDescent="0.25">
      <c r="B1093" s="84">
        <v>17119</v>
      </c>
      <c r="D1093" s="84" t="str">
        <f t="shared" si="19"/>
        <v/>
      </c>
      <c r="H1093" s="84">
        <f>IFERROR(VLOOKUP(B1093,Заказ!B:Q,5,0),0)</f>
        <v>0</v>
      </c>
      <c r="I1093" s="84">
        <f>IFERROR(VLOOKUP(B1093,Заказ!B:Q,16,0),0)</f>
        <v>0</v>
      </c>
    </row>
    <row r="1094" spans="2:9" x14ac:dyDescent="0.25">
      <c r="B1094" s="84">
        <v>20834</v>
      </c>
      <c r="D1094" s="84" t="str">
        <f t="shared" si="19"/>
        <v/>
      </c>
      <c r="H1094" s="84">
        <f>IFERROR(VLOOKUP(B1094,Заказ!B:Q,5,0),0)</f>
        <v>0</v>
      </c>
      <c r="I1094" s="84">
        <f>IFERROR(VLOOKUP(B1094,Заказ!B:Q,16,0),0)</f>
        <v>0</v>
      </c>
    </row>
    <row r="1095" spans="2:9" x14ac:dyDescent="0.25">
      <c r="B1095" s="84">
        <v>20835</v>
      </c>
      <c r="D1095" s="84" t="str">
        <f t="shared" si="19"/>
        <v/>
      </c>
      <c r="H1095" s="84">
        <f>IFERROR(VLOOKUP(B1095,Заказ!B:Q,5,0),0)</f>
        <v>0</v>
      </c>
      <c r="I1095" s="84">
        <f>IFERROR(VLOOKUP(B1095,Заказ!B:Q,16,0),0)</f>
        <v>0</v>
      </c>
    </row>
    <row r="1096" spans="2:9" x14ac:dyDescent="0.25">
      <c r="B1096" s="84">
        <v>14229</v>
      </c>
      <c r="D1096" s="84" t="str">
        <f t="shared" si="19"/>
        <v/>
      </c>
      <c r="H1096" s="84">
        <f>IFERROR(VLOOKUP(B1096,Заказ!B:Q,5,0),0)</f>
        <v>0</v>
      </c>
      <c r="I1096" s="84">
        <f>IFERROR(VLOOKUP(B1096,Заказ!B:Q,16,0),0)</f>
        <v>0</v>
      </c>
    </row>
    <row r="1097" spans="2:9" x14ac:dyDescent="0.25">
      <c r="B1097" s="84">
        <v>14235</v>
      </c>
      <c r="D1097" s="84" t="str">
        <f t="shared" si="19"/>
        <v/>
      </c>
      <c r="H1097" s="84">
        <f>IFERROR(VLOOKUP(B1097,Заказ!B:Q,5,0),0)</f>
        <v>0</v>
      </c>
      <c r="I1097" s="84">
        <f>IFERROR(VLOOKUP(B1097,Заказ!B:Q,16,0),0)</f>
        <v>0</v>
      </c>
    </row>
    <row r="1098" spans="2:9" x14ac:dyDescent="0.25">
      <c r="B1098" s="84">
        <v>17117</v>
      </c>
      <c r="D1098" s="84" t="str">
        <f t="shared" si="19"/>
        <v/>
      </c>
      <c r="H1098" s="84">
        <f>IFERROR(VLOOKUP(B1098,Заказ!B:Q,5,0),0)</f>
        <v>0</v>
      </c>
      <c r="I1098" s="84">
        <f>IFERROR(VLOOKUP(B1098,Заказ!B:Q,16,0),0)</f>
        <v>0</v>
      </c>
    </row>
    <row r="1099" spans="2:9" x14ac:dyDescent="0.25">
      <c r="B1099" s="84">
        <v>14236</v>
      </c>
      <c r="D1099" s="84" t="str">
        <f t="shared" si="19"/>
        <v/>
      </c>
      <c r="H1099" s="84">
        <f>IFERROR(VLOOKUP(B1099,Заказ!B:Q,5,0),0)</f>
        <v>0</v>
      </c>
      <c r="I1099" s="84">
        <f>IFERROR(VLOOKUP(B1099,Заказ!B:Q,16,0),0)</f>
        <v>0</v>
      </c>
    </row>
    <row r="1100" spans="2:9" x14ac:dyDescent="0.25">
      <c r="B1100" s="84">
        <v>14232</v>
      </c>
      <c r="D1100" s="84" t="str">
        <f t="shared" si="19"/>
        <v/>
      </c>
      <c r="H1100" s="84">
        <f>IFERROR(VLOOKUP(B1100,Заказ!B:Q,5,0),0)</f>
        <v>0</v>
      </c>
      <c r="I1100" s="84">
        <f>IFERROR(VLOOKUP(B1100,Заказ!B:Q,16,0),0)</f>
        <v>0</v>
      </c>
    </row>
    <row r="1101" spans="2:9" x14ac:dyDescent="0.25">
      <c r="B1101" s="84">
        <v>14237</v>
      </c>
      <c r="D1101" s="84" t="str">
        <f t="shared" si="19"/>
        <v/>
      </c>
      <c r="H1101" s="84">
        <f>IFERROR(VLOOKUP(B1101,Заказ!B:Q,5,0),0)</f>
        <v>0</v>
      </c>
      <c r="I1101" s="84">
        <f>IFERROR(VLOOKUP(B1101,Заказ!B:Q,16,0),0)</f>
        <v>0</v>
      </c>
    </row>
    <row r="1102" spans="2:9" x14ac:dyDescent="0.25">
      <c r="B1102" s="84">
        <v>14238</v>
      </c>
      <c r="D1102" s="84" t="str">
        <f t="shared" si="19"/>
        <v/>
      </c>
      <c r="H1102" s="84">
        <f>IFERROR(VLOOKUP(B1102,Заказ!B:Q,5,0),0)</f>
        <v>0</v>
      </c>
      <c r="I1102" s="84">
        <f>IFERROR(VLOOKUP(B1102,Заказ!B:Q,16,0),0)</f>
        <v>0</v>
      </c>
    </row>
    <row r="1103" spans="2:9" x14ac:dyDescent="0.25">
      <c r="B1103" s="84">
        <v>14816</v>
      </c>
      <c r="D1103" s="84" t="str">
        <f t="shared" si="19"/>
        <v/>
      </c>
      <c r="H1103" s="84">
        <f>IFERROR(VLOOKUP(B1103,Заказ!B:Q,5,0),0)</f>
        <v>0</v>
      </c>
      <c r="I1103" s="84">
        <f>IFERROR(VLOOKUP(B1103,Заказ!B:Q,16,0),0)</f>
        <v>0</v>
      </c>
    </row>
    <row r="1104" spans="2:9" x14ac:dyDescent="0.25">
      <c r="B1104" s="84">
        <v>14231</v>
      </c>
      <c r="D1104" s="84" t="str">
        <f t="shared" si="19"/>
        <v/>
      </c>
      <c r="H1104" s="84">
        <f>IFERROR(VLOOKUP(B1104,Заказ!B:Q,5,0),0)</f>
        <v>0</v>
      </c>
      <c r="I1104" s="84">
        <f>IFERROR(VLOOKUP(B1104,Заказ!B:Q,16,0),0)</f>
        <v>0</v>
      </c>
    </row>
    <row r="1105" spans="2:9" x14ac:dyDescent="0.25">
      <c r="B1105" s="84">
        <v>14234</v>
      </c>
      <c r="D1105" s="84" t="str">
        <f t="shared" si="19"/>
        <v/>
      </c>
      <c r="H1105" s="84">
        <f>IFERROR(VLOOKUP(B1105,Заказ!B:Q,5,0),0)</f>
        <v>0</v>
      </c>
      <c r="I1105" s="84">
        <f>IFERROR(VLOOKUP(B1105,Заказ!B:Q,16,0),0)</f>
        <v>0</v>
      </c>
    </row>
    <row r="1106" spans="2:9" x14ac:dyDescent="0.25">
      <c r="B1106" s="84">
        <v>14240</v>
      </c>
      <c r="D1106" s="84" t="str">
        <f t="shared" si="19"/>
        <v/>
      </c>
      <c r="H1106" s="84">
        <f>IFERROR(VLOOKUP(B1106,Заказ!B:Q,5,0),0)</f>
        <v>0</v>
      </c>
      <c r="I1106" s="84">
        <f>IFERROR(VLOOKUP(B1106,Заказ!B:Q,16,0),0)</f>
        <v>0</v>
      </c>
    </row>
    <row r="1107" spans="2:9" x14ac:dyDescent="0.25">
      <c r="B1107" s="84">
        <v>20997</v>
      </c>
      <c r="D1107" s="84" t="str">
        <f t="shared" si="19"/>
        <v/>
      </c>
      <c r="H1107" s="84">
        <f>IFERROR(VLOOKUP(B1107,Заказ!B:Q,5,0),0)</f>
        <v>0</v>
      </c>
      <c r="I1107" s="84">
        <f>IFERROR(VLOOKUP(B1107,Заказ!B:Q,16,0),0)</f>
        <v>0</v>
      </c>
    </row>
    <row r="1108" spans="2:9" x14ac:dyDescent="0.25">
      <c r="B1108" s="84">
        <v>16852</v>
      </c>
      <c r="D1108" s="84" t="str">
        <f t="shared" si="19"/>
        <v/>
      </c>
      <c r="H1108" s="84">
        <f>IFERROR(VLOOKUP(B1108,Заказ!B:Q,5,0),0)</f>
        <v>0</v>
      </c>
      <c r="I1108" s="84">
        <f>IFERROR(VLOOKUP(B1108,Заказ!B:Q,16,0),0)</f>
        <v>0</v>
      </c>
    </row>
    <row r="1109" spans="2:9" x14ac:dyDescent="0.25">
      <c r="B1109" s="84">
        <v>16850</v>
      </c>
      <c r="D1109" s="84" t="str">
        <f t="shared" si="19"/>
        <v/>
      </c>
      <c r="H1109" s="84">
        <f>IFERROR(VLOOKUP(B1109,Заказ!B:Q,5,0),0)</f>
        <v>0</v>
      </c>
      <c r="I1109" s="84">
        <f>IFERROR(VLOOKUP(B1109,Заказ!B:Q,16,0),0)</f>
        <v>0</v>
      </c>
    </row>
    <row r="1110" spans="2:9" x14ac:dyDescent="0.25">
      <c r="B1110" s="84">
        <v>16851</v>
      </c>
      <c r="D1110" s="84" t="str">
        <f t="shared" si="19"/>
        <v/>
      </c>
      <c r="H1110" s="84">
        <f>IFERROR(VLOOKUP(B1110,Заказ!B:Q,5,0),0)</f>
        <v>0</v>
      </c>
      <c r="I1110" s="84">
        <f>IFERROR(VLOOKUP(B1110,Заказ!B:Q,16,0),0)</f>
        <v>0</v>
      </c>
    </row>
    <row r="1111" spans="2:9" x14ac:dyDescent="0.25">
      <c r="B1111" s="84">
        <v>21040</v>
      </c>
      <c r="D1111" s="84" t="str">
        <f t="shared" si="19"/>
        <v/>
      </c>
      <c r="H1111" s="84">
        <f>IFERROR(VLOOKUP(B1111,Заказ!B:Q,5,0),0)</f>
        <v>0</v>
      </c>
      <c r="I1111" s="84">
        <f>IFERROR(VLOOKUP(B1111,Заказ!B:Q,16,0),0)</f>
        <v>0</v>
      </c>
    </row>
    <row r="1112" spans="2:9" x14ac:dyDescent="0.25">
      <c r="B1112" s="84">
        <v>16875</v>
      </c>
      <c r="D1112" s="84" t="str">
        <f t="shared" si="19"/>
        <v/>
      </c>
      <c r="H1112" s="84">
        <f>IFERROR(VLOOKUP(B1112,Заказ!B:Q,5,0),0)</f>
        <v>0</v>
      </c>
      <c r="I1112" s="84">
        <f>IFERROR(VLOOKUP(B1112,Заказ!B:Q,16,0),0)</f>
        <v>0</v>
      </c>
    </row>
    <row r="1113" spans="2:9" x14ac:dyDescent="0.25">
      <c r="B1113" s="84">
        <v>18753</v>
      </c>
      <c r="D1113" s="84" t="str">
        <f t="shared" si="19"/>
        <v/>
      </c>
      <c r="H1113" s="84">
        <f>IFERROR(VLOOKUP(B1113,Заказ!B:Q,5,0),0)</f>
        <v>0</v>
      </c>
      <c r="I1113" s="84">
        <f>IFERROR(VLOOKUP(B1113,Заказ!B:Q,16,0),0)</f>
        <v>0</v>
      </c>
    </row>
    <row r="1114" spans="2:9" x14ac:dyDescent="0.25">
      <c r="B1114" s="84">
        <v>16925</v>
      </c>
      <c r="D1114" s="84" t="str">
        <f t="shared" si="19"/>
        <v/>
      </c>
      <c r="H1114" s="84">
        <f>IFERROR(VLOOKUP(B1114,Заказ!B:Q,5,0),0)</f>
        <v>0</v>
      </c>
      <c r="I1114" s="84">
        <f>IFERROR(VLOOKUP(B1114,Заказ!B:Q,16,0),0)</f>
        <v>0</v>
      </c>
    </row>
    <row r="1115" spans="2:9" x14ac:dyDescent="0.25">
      <c r="B1115" s="84">
        <v>16170</v>
      </c>
      <c r="D1115" s="84" t="str">
        <f t="shared" si="19"/>
        <v/>
      </c>
      <c r="H1115" s="84">
        <f>IFERROR(VLOOKUP(B1115,Заказ!B:Q,5,0),0)</f>
        <v>0</v>
      </c>
      <c r="I1115" s="84">
        <f>IFERROR(VLOOKUP(B1115,Заказ!B:Q,16,0),0)</f>
        <v>0</v>
      </c>
    </row>
    <row r="1116" spans="2:9" x14ac:dyDescent="0.25">
      <c r="B1116" s="84">
        <v>16853</v>
      </c>
      <c r="D1116" s="84" t="str">
        <f t="shared" si="19"/>
        <v/>
      </c>
      <c r="H1116" s="84">
        <f>IFERROR(VLOOKUP(B1116,Заказ!B:Q,5,0),0)</f>
        <v>0</v>
      </c>
      <c r="I1116" s="84">
        <f>IFERROR(VLOOKUP(B1116,Заказ!B:Q,16,0),0)</f>
        <v>0</v>
      </c>
    </row>
    <row r="1117" spans="2:9" x14ac:dyDescent="0.25">
      <c r="B1117" s="84">
        <v>16159</v>
      </c>
      <c r="D1117" s="84" t="str">
        <f t="shared" si="19"/>
        <v/>
      </c>
      <c r="H1117" s="84">
        <f>IFERROR(VLOOKUP(B1117,Заказ!B:Q,5,0),0)</f>
        <v>0</v>
      </c>
      <c r="I1117" s="84">
        <f>IFERROR(VLOOKUP(B1117,Заказ!B:Q,16,0),0)</f>
        <v>0</v>
      </c>
    </row>
    <row r="1118" spans="2:9" x14ac:dyDescent="0.25">
      <c r="B1118" s="84">
        <v>16158</v>
      </c>
      <c r="D1118" s="84" t="str">
        <f t="shared" si="19"/>
        <v/>
      </c>
      <c r="H1118" s="84">
        <f>IFERROR(VLOOKUP(B1118,Заказ!B:Q,5,0),0)</f>
        <v>0</v>
      </c>
      <c r="I1118" s="84">
        <f>IFERROR(VLOOKUP(B1118,Заказ!B:Q,16,0),0)</f>
        <v>0</v>
      </c>
    </row>
    <row r="1119" spans="2:9" x14ac:dyDescent="0.25">
      <c r="B1119" s="84">
        <v>16127</v>
      </c>
      <c r="D1119" s="84" t="str">
        <f t="shared" si="19"/>
        <v/>
      </c>
      <c r="H1119" s="84">
        <f>IFERROR(VLOOKUP(B1119,Заказ!B:Q,5,0),0)</f>
        <v>0</v>
      </c>
      <c r="I1119" s="84">
        <f>IFERROR(VLOOKUP(B1119,Заказ!B:Q,16,0),0)</f>
        <v>0</v>
      </c>
    </row>
    <row r="1120" spans="2:9" x14ac:dyDescent="0.25">
      <c r="B1120" s="84">
        <v>16877</v>
      </c>
      <c r="D1120" s="84" t="str">
        <f t="shared" si="19"/>
        <v/>
      </c>
      <c r="H1120" s="84">
        <f>IFERROR(VLOOKUP(B1120,Заказ!B:Q,5,0),0)</f>
        <v>0</v>
      </c>
      <c r="I1120" s="84">
        <f>IFERROR(VLOOKUP(B1120,Заказ!B:Q,16,0),0)</f>
        <v>0</v>
      </c>
    </row>
    <row r="1121" spans="2:9" x14ac:dyDescent="0.25">
      <c r="B1121" s="84">
        <v>18206</v>
      </c>
      <c r="D1121" s="84" t="str">
        <f t="shared" si="19"/>
        <v/>
      </c>
      <c r="H1121" s="84">
        <f>IFERROR(VLOOKUP(B1121,Заказ!B:Q,5,0),0)</f>
        <v>0</v>
      </c>
      <c r="I1121" s="84">
        <f>IFERROR(VLOOKUP(B1121,Заказ!B:Q,16,0),0)</f>
        <v>0</v>
      </c>
    </row>
    <row r="1122" spans="2:9" x14ac:dyDescent="0.25">
      <c r="B1122" s="84">
        <v>19119</v>
      </c>
      <c r="D1122" s="84" t="str">
        <f t="shared" si="19"/>
        <v/>
      </c>
      <c r="H1122" s="84">
        <f>IFERROR(VLOOKUP(B1122,Заказ!B:Q,5,0),0)</f>
        <v>0</v>
      </c>
      <c r="I1122" s="84">
        <f>IFERROR(VLOOKUP(B1122,Заказ!B:Q,16,0),0)</f>
        <v>0</v>
      </c>
    </row>
    <row r="1123" spans="2:9" x14ac:dyDescent="0.25">
      <c r="B1123" s="84">
        <v>16161</v>
      </c>
      <c r="D1123" s="84" t="str">
        <f t="shared" si="19"/>
        <v/>
      </c>
      <c r="H1123" s="84">
        <f>IFERROR(VLOOKUP(B1123,Заказ!B:Q,5,0),0)</f>
        <v>0</v>
      </c>
      <c r="I1123" s="84">
        <f>IFERROR(VLOOKUP(B1123,Заказ!B:Q,16,0),0)</f>
        <v>0</v>
      </c>
    </row>
    <row r="1124" spans="2:9" x14ac:dyDescent="0.25">
      <c r="B1124" s="84">
        <v>18689</v>
      </c>
      <c r="D1124" s="84" t="str">
        <f t="shared" si="19"/>
        <v/>
      </c>
      <c r="H1124" s="84">
        <f>IFERROR(VLOOKUP(B1124,Заказ!B:Q,5,0),0)</f>
        <v>0</v>
      </c>
      <c r="I1124" s="84">
        <f>IFERROR(VLOOKUP(B1124,Заказ!B:Q,16,0),0)</f>
        <v>0</v>
      </c>
    </row>
    <row r="1125" spans="2:9" x14ac:dyDescent="0.25">
      <c r="B1125" s="84">
        <v>18754</v>
      </c>
      <c r="D1125" s="84" t="str">
        <f t="shared" si="19"/>
        <v/>
      </c>
      <c r="H1125" s="84">
        <f>IFERROR(VLOOKUP(B1125,Заказ!B:Q,5,0),0)</f>
        <v>0</v>
      </c>
      <c r="I1125" s="84">
        <f>IFERROR(VLOOKUP(B1125,Заказ!B:Q,16,0),0)</f>
        <v>0</v>
      </c>
    </row>
    <row r="1126" spans="2:9" x14ac:dyDescent="0.25">
      <c r="B1126" s="84">
        <v>17493</v>
      </c>
      <c r="D1126" s="84" t="str">
        <f t="shared" si="19"/>
        <v/>
      </c>
      <c r="H1126" s="84">
        <f>IFERROR(VLOOKUP(B1126,Заказ!B:Q,5,0),0)</f>
        <v>0</v>
      </c>
      <c r="I1126" s="84">
        <f>IFERROR(VLOOKUP(B1126,Заказ!B:Q,16,0),0)</f>
        <v>0</v>
      </c>
    </row>
    <row r="1127" spans="2:9" x14ac:dyDescent="0.25">
      <c r="B1127" s="84">
        <v>18677</v>
      </c>
      <c r="D1127" s="84" t="str">
        <f t="shared" si="19"/>
        <v/>
      </c>
      <c r="H1127" s="84">
        <f>IFERROR(VLOOKUP(B1127,Заказ!B:Q,5,0),0)</f>
        <v>0</v>
      </c>
      <c r="I1127" s="84">
        <f>IFERROR(VLOOKUP(B1127,Заказ!B:Q,16,0),0)</f>
        <v>0</v>
      </c>
    </row>
    <row r="1128" spans="2:9" x14ac:dyDescent="0.25">
      <c r="B1128" s="84">
        <v>18981</v>
      </c>
      <c r="D1128" s="84" t="str">
        <f t="shared" si="19"/>
        <v/>
      </c>
      <c r="H1128" s="84">
        <f>IFERROR(VLOOKUP(B1128,Заказ!B:Q,5,0),0)</f>
        <v>0</v>
      </c>
      <c r="I1128" s="84">
        <f>IFERROR(VLOOKUP(B1128,Заказ!B:Q,16,0),0)</f>
        <v>0</v>
      </c>
    </row>
    <row r="1129" spans="2:9" x14ac:dyDescent="0.25">
      <c r="B1129" s="84">
        <v>19913</v>
      </c>
      <c r="D1129" s="84" t="str">
        <f t="shared" si="19"/>
        <v/>
      </c>
      <c r="H1129" s="84">
        <f>IFERROR(VLOOKUP(B1129,Заказ!B:Q,5,0),0)</f>
        <v>0</v>
      </c>
      <c r="I1129" s="84">
        <f>IFERROR(VLOOKUP(B1129,Заказ!B:Q,16,0),0)</f>
        <v>0</v>
      </c>
    </row>
    <row r="1130" spans="2:9" x14ac:dyDescent="0.25">
      <c r="B1130" s="84">
        <v>17041</v>
      </c>
      <c r="D1130" s="84" t="str">
        <f t="shared" si="19"/>
        <v/>
      </c>
      <c r="H1130" s="84">
        <f>IFERROR(VLOOKUP(B1130,Заказ!B:Q,5,0),0)</f>
        <v>0</v>
      </c>
      <c r="I1130" s="84">
        <f>IFERROR(VLOOKUP(B1130,Заказ!B:Q,16,0),0)</f>
        <v>0</v>
      </c>
    </row>
    <row r="1131" spans="2:9" x14ac:dyDescent="0.25">
      <c r="B1131" s="84">
        <v>16137</v>
      </c>
      <c r="D1131" s="84" t="str">
        <f t="shared" si="19"/>
        <v/>
      </c>
      <c r="H1131" s="84">
        <f>IFERROR(VLOOKUP(B1131,Заказ!B:Q,5,0),0)</f>
        <v>0</v>
      </c>
      <c r="I1131" s="84">
        <f>IFERROR(VLOOKUP(B1131,Заказ!B:Q,16,0),0)</f>
        <v>0</v>
      </c>
    </row>
    <row r="1132" spans="2:9" x14ac:dyDescent="0.25">
      <c r="B1132" s="84">
        <v>18735</v>
      </c>
      <c r="D1132" s="84" t="str">
        <f t="shared" ref="D1132:D1199" si="20">IFERROR(ROUND(I1132/H1132,2),"")</f>
        <v/>
      </c>
      <c r="H1132" s="84">
        <f>IFERROR(VLOOKUP(B1132,Заказ!B:Q,5,0),0)</f>
        <v>0</v>
      </c>
      <c r="I1132" s="84">
        <f>IFERROR(VLOOKUP(B1132,Заказ!B:Q,16,0),0)</f>
        <v>0</v>
      </c>
    </row>
    <row r="1133" spans="2:9" x14ac:dyDescent="0.25">
      <c r="B1133" s="84">
        <v>20998</v>
      </c>
      <c r="D1133" s="84" t="str">
        <f t="shared" si="20"/>
        <v/>
      </c>
      <c r="H1133" s="84">
        <f>IFERROR(VLOOKUP(B1133,Заказ!B:Q,5,0),0)</f>
        <v>0</v>
      </c>
      <c r="I1133" s="84">
        <f>IFERROR(VLOOKUP(B1133,Заказ!B:Q,16,0),0)</f>
        <v>0</v>
      </c>
    </row>
    <row r="1134" spans="2:9" x14ac:dyDescent="0.25">
      <c r="B1134" s="84">
        <v>18470</v>
      </c>
      <c r="D1134" s="84" t="str">
        <f t="shared" si="20"/>
        <v/>
      </c>
      <c r="H1134" s="84">
        <f>IFERROR(VLOOKUP(B1134,Заказ!B:Q,5,0),0)</f>
        <v>0</v>
      </c>
      <c r="I1134" s="84">
        <f>IFERROR(VLOOKUP(B1134,Заказ!B:Q,16,0),0)</f>
        <v>0</v>
      </c>
    </row>
    <row r="1135" spans="2:9" x14ac:dyDescent="0.25">
      <c r="B1135" s="84">
        <v>20415</v>
      </c>
      <c r="D1135" s="84" t="str">
        <f t="shared" si="20"/>
        <v/>
      </c>
      <c r="H1135" s="84">
        <f>IFERROR(VLOOKUP(B1135,Заказ!B:Q,5,0),0)</f>
        <v>0</v>
      </c>
      <c r="I1135" s="84">
        <f>IFERROR(VLOOKUP(B1135,Заказ!B:Q,16,0),0)</f>
        <v>0</v>
      </c>
    </row>
    <row r="1136" spans="2:9" x14ac:dyDescent="0.25">
      <c r="B1136" s="84">
        <v>17949</v>
      </c>
      <c r="D1136" s="84" t="str">
        <f t="shared" si="20"/>
        <v/>
      </c>
      <c r="H1136" s="84">
        <f>IFERROR(VLOOKUP(B1136,Заказ!B:Q,5,0),0)</f>
        <v>0</v>
      </c>
      <c r="I1136" s="84">
        <f>IFERROR(VLOOKUP(B1136,Заказ!B:Q,16,0),0)</f>
        <v>0</v>
      </c>
    </row>
    <row r="1137" spans="2:9" x14ac:dyDescent="0.25">
      <c r="B1137" s="84">
        <v>17488</v>
      </c>
      <c r="D1137" s="84" t="str">
        <f t="shared" si="20"/>
        <v/>
      </c>
      <c r="H1137" s="84">
        <f>IFERROR(VLOOKUP(B1137,Заказ!B:Q,5,0),0)</f>
        <v>0</v>
      </c>
      <c r="I1137" s="84">
        <f>IFERROR(VLOOKUP(B1137,Заказ!B:Q,16,0),0)</f>
        <v>0</v>
      </c>
    </row>
    <row r="1138" spans="2:9" x14ac:dyDescent="0.25">
      <c r="B1138" s="84">
        <v>18678</v>
      </c>
      <c r="D1138" s="84" t="str">
        <f t="shared" si="20"/>
        <v/>
      </c>
      <c r="H1138" s="84">
        <f>IFERROR(VLOOKUP(B1138,Заказ!B:Q,5,0),0)</f>
        <v>0</v>
      </c>
      <c r="I1138" s="84">
        <f>IFERROR(VLOOKUP(B1138,Заказ!B:Q,16,0),0)</f>
        <v>0</v>
      </c>
    </row>
    <row r="1139" spans="2:9" x14ac:dyDescent="0.25">
      <c r="B1139" s="84">
        <v>19074</v>
      </c>
      <c r="D1139" s="84" t="str">
        <f t="shared" si="20"/>
        <v/>
      </c>
      <c r="H1139" s="84">
        <f>IFERROR(VLOOKUP(B1139,Заказ!B:Q,5,0),0)</f>
        <v>0</v>
      </c>
      <c r="I1139" s="84">
        <f>IFERROR(VLOOKUP(B1139,Заказ!B:Q,16,0),0)</f>
        <v>0</v>
      </c>
    </row>
    <row r="1140" spans="2:9" x14ac:dyDescent="0.25">
      <c r="B1140" s="84">
        <v>18698</v>
      </c>
      <c r="D1140" s="84" t="str">
        <f t="shared" si="20"/>
        <v/>
      </c>
      <c r="H1140" s="84">
        <f>IFERROR(VLOOKUP(B1140,Заказ!B:Q,5,0),0)</f>
        <v>0</v>
      </c>
      <c r="I1140" s="84">
        <f>IFERROR(VLOOKUP(B1140,Заказ!B:Q,16,0),0)</f>
        <v>0</v>
      </c>
    </row>
    <row r="1141" spans="2:9" x14ac:dyDescent="0.25">
      <c r="B1141" s="84">
        <v>17004</v>
      </c>
      <c r="D1141" s="84" t="str">
        <f t="shared" si="20"/>
        <v/>
      </c>
      <c r="H1141" s="84">
        <f>IFERROR(VLOOKUP(B1141,Заказ!B:Q,5,0),0)</f>
        <v>0</v>
      </c>
      <c r="I1141" s="84">
        <f>IFERROR(VLOOKUP(B1141,Заказ!B:Q,16,0),0)</f>
        <v>0</v>
      </c>
    </row>
    <row r="1142" spans="2:9" x14ac:dyDescent="0.25">
      <c r="B1142" s="84">
        <v>17003</v>
      </c>
      <c r="D1142" s="84" t="str">
        <f t="shared" si="20"/>
        <v/>
      </c>
      <c r="H1142" s="84">
        <f>IFERROR(VLOOKUP(B1142,Заказ!B:Q,5,0),0)</f>
        <v>0</v>
      </c>
      <c r="I1142" s="84">
        <f>IFERROR(VLOOKUP(B1142,Заказ!B:Q,16,0),0)</f>
        <v>0</v>
      </c>
    </row>
    <row r="1143" spans="2:9" x14ac:dyDescent="0.25">
      <c r="B1143" s="84">
        <v>17005</v>
      </c>
      <c r="D1143" s="84" t="str">
        <f t="shared" si="20"/>
        <v/>
      </c>
      <c r="H1143" s="84">
        <f>IFERROR(VLOOKUP(B1143,Заказ!B:Q,5,0),0)</f>
        <v>0</v>
      </c>
      <c r="I1143" s="84">
        <f>IFERROR(VLOOKUP(B1143,Заказ!B:Q,16,0),0)</f>
        <v>0</v>
      </c>
    </row>
    <row r="1144" spans="2:9" x14ac:dyDescent="0.25">
      <c r="B1144" s="84">
        <v>16926</v>
      </c>
      <c r="D1144" s="84" t="str">
        <f t="shared" si="20"/>
        <v/>
      </c>
      <c r="H1144" s="84">
        <f>IFERROR(VLOOKUP(B1144,Заказ!B:Q,5,0),0)</f>
        <v>0</v>
      </c>
      <c r="I1144" s="84">
        <f>IFERROR(VLOOKUP(B1144,Заказ!B:Q,16,0),0)</f>
        <v>0</v>
      </c>
    </row>
    <row r="1145" spans="2:9" x14ac:dyDescent="0.25">
      <c r="B1145" s="84">
        <v>20941</v>
      </c>
      <c r="D1145" s="84" t="str">
        <f t="shared" si="20"/>
        <v/>
      </c>
      <c r="H1145" s="84">
        <f>IFERROR(VLOOKUP(B1145,Заказ!B:Q,5,0),0)</f>
        <v>0</v>
      </c>
      <c r="I1145" s="84">
        <f>IFERROR(VLOOKUP(B1145,Заказ!B:Q,16,0),0)</f>
        <v>0</v>
      </c>
    </row>
    <row r="1146" spans="2:9" x14ac:dyDescent="0.25">
      <c r="B1146" s="84">
        <v>20940</v>
      </c>
      <c r="D1146" s="84" t="str">
        <f t="shared" si="20"/>
        <v/>
      </c>
      <c r="H1146" s="84">
        <f>IFERROR(VLOOKUP(B1146,Заказ!B:Q,5,0),0)</f>
        <v>0</v>
      </c>
      <c r="I1146" s="84">
        <f>IFERROR(VLOOKUP(B1146,Заказ!B:Q,16,0),0)</f>
        <v>0</v>
      </c>
    </row>
    <row r="1147" spans="2:9" x14ac:dyDescent="0.25">
      <c r="B1147" s="84">
        <v>17103</v>
      </c>
      <c r="D1147" s="84" t="str">
        <f t="shared" si="20"/>
        <v/>
      </c>
      <c r="H1147" s="84">
        <f>IFERROR(VLOOKUP(B1147,Заказ!B:Q,5,0),0)</f>
        <v>0</v>
      </c>
      <c r="I1147" s="84">
        <f>IFERROR(VLOOKUP(B1147,Заказ!B:Q,16,0),0)</f>
        <v>0</v>
      </c>
    </row>
    <row r="1148" spans="2:9" x14ac:dyDescent="0.25">
      <c r="B1148" s="84">
        <v>16927</v>
      </c>
      <c r="D1148" s="84" t="str">
        <f t="shared" si="20"/>
        <v/>
      </c>
      <c r="H1148" s="84">
        <f>IFERROR(VLOOKUP(B1148,Заказ!B:Q,5,0),0)</f>
        <v>0</v>
      </c>
      <c r="I1148" s="84">
        <f>IFERROR(VLOOKUP(B1148,Заказ!B:Q,16,0),0)</f>
        <v>0</v>
      </c>
    </row>
    <row r="1149" spans="2:9" x14ac:dyDescent="0.25">
      <c r="B1149" s="84">
        <v>16930</v>
      </c>
      <c r="D1149" s="84" t="str">
        <f t="shared" si="20"/>
        <v/>
      </c>
      <c r="H1149" s="84">
        <f>IFERROR(VLOOKUP(B1149,Заказ!B:Q,5,0),0)</f>
        <v>0</v>
      </c>
      <c r="I1149" s="84">
        <f>IFERROR(VLOOKUP(B1149,Заказ!B:Q,16,0),0)</f>
        <v>0</v>
      </c>
    </row>
    <row r="1150" spans="2:9" x14ac:dyDescent="0.25">
      <c r="B1150" s="84">
        <v>16440</v>
      </c>
      <c r="D1150" s="84" t="str">
        <f t="shared" si="20"/>
        <v/>
      </c>
      <c r="H1150" s="84">
        <f>IFERROR(VLOOKUP(B1150,Заказ!B:Q,5,0),0)</f>
        <v>0</v>
      </c>
      <c r="I1150" s="84">
        <f>IFERROR(VLOOKUP(B1150,Заказ!B:Q,16,0),0)</f>
        <v>0</v>
      </c>
    </row>
    <row r="1151" spans="2:9" x14ac:dyDescent="0.25">
      <c r="B1151" s="84">
        <v>16157</v>
      </c>
      <c r="D1151" s="84" t="str">
        <f t="shared" si="20"/>
        <v/>
      </c>
      <c r="H1151" s="84">
        <f>IFERROR(VLOOKUP(B1151,Заказ!B:Q,5,0),0)</f>
        <v>0</v>
      </c>
      <c r="I1151" s="84">
        <f>IFERROR(VLOOKUP(B1151,Заказ!B:Q,16,0),0)</f>
        <v>0</v>
      </c>
    </row>
    <row r="1152" spans="2:9" x14ac:dyDescent="0.25">
      <c r="B1152" s="84">
        <v>17104</v>
      </c>
      <c r="D1152" s="84" t="str">
        <f t="shared" si="20"/>
        <v/>
      </c>
      <c r="H1152" s="84">
        <f>IFERROR(VLOOKUP(B1152,Заказ!B:Q,5,0),0)</f>
        <v>0</v>
      </c>
      <c r="I1152" s="84">
        <f>IFERROR(VLOOKUP(B1152,Заказ!B:Q,16,0),0)</f>
        <v>0</v>
      </c>
    </row>
    <row r="1153" spans="2:9" x14ac:dyDescent="0.25">
      <c r="B1153" s="84">
        <v>18621</v>
      </c>
      <c r="D1153" s="84" t="str">
        <f t="shared" si="20"/>
        <v/>
      </c>
      <c r="H1153" s="84">
        <f>IFERROR(VLOOKUP(B1153,Заказ!B:Q,5,0),0)</f>
        <v>0</v>
      </c>
      <c r="I1153" s="84">
        <f>IFERROR(VLOOKUP(B1153,Заказ!B:Q,16,0),0)</f>
        <v>0</v>
      </c>
    </row>
    <row r="1154" spans="2:9" x14ac:dyDescent="0.25">
      <c r="B1154" s="84">
        <v>20114</v>
      </c>
      <c r="D1154" s="84" t="str">
        <f t="shared" si="20"/>
        <v/>
      </c>
      <c r="H1154" s="84">
        <f>IFERROR(VLOOKUP(B1154,Заказ!B:Q,5,0),0)</f>
        <v>0</v>
      </c>
      <c r="I1154" s="84">
        <f>IFERROR(VLOOKUP(B1154,Заказ!B:Q,16,0),0)</f>
        <v>0</v>
      </c>
    </row>
    <row r="1155" spans="2:9" x14ac:dyDescent="0.25">
      <c r="B1155" s="84">
        <v>17105</v>
      </c>
      <c r="D1155" s="84" t="str">
        <f t="shared" si="20"/>
        <v/>
      </c>
      <c r="H1155" s="84">
        <f>IFERROR(VLOOKUP(B1155,Заказ!B:Q,5,0),0)</f>
        <v>0</v>
      </c>
      <c r="I1155" s="84">
        <f>IFERROR(VLOOKUP(B1155,Заказ!B:Q,16,0),0)</f>
        <v>0</v>
      </c>
    </row>
    <row r="1156" spans="2:9" x14ac:dyDescent="0.25">
      <c r="B1156" s="84">
        <v>18400</v>
      </c>
      <c r="D1156" s="84" t="str">
        <f t="shared" si="20"/>
        <v/>
      </c>
      <c r="H1156" s="84">
        <f>IFERROR(VLOOKUP(B1156,Заказ!B:Q,5,0),0)</f>
        <v>0</v>
      </c>
      <c r="I1156" s="84">
        <f>IFERROR(VLOOKUP(B1156,Заказ!B:Q,16,0),0)</f>
        <v>0</v>
      </c>
    </row>
    <row r="1157" spans="2:9" x14ac:dyDescent="0.25">
      <c r="B1157" s="84">
        <v>21536</v>
      </c>
      <c r="D1157" s="84" t="str">
        <f t="shared" ref="D1157:D1161" si="21">IFERROR(ROUND(I1157/H1157,2),"")</f>
        <v/>
      </c>
      <c r="H1157" s="84">
        <f>IFERROR(VLOOKUP(B1157,Заказ!B:Q,5,0),0)</f>
        <v>0</v>
      </c>
      <c r="I1157" s="84">
        <f>IFERROR(VLOOKUP(B1157,Заказ!B:Q,16,0),0)</f>
        <v>0</v>
      </c>
    </row>
    <row r="1158" spans="2:9" x14ac:dyDescent="0.25">
      <c r="B1158" s="84">
        <v>21539</v>
      </c>
      <c r="D1158" s="84" t="str">
        <f t="shared" si="21"/>
        <v/>
      </c>
      <c r="H1158" s="84">
        <f>IFERROR(VLOOKUP(B1158,Заказ!B:Q,5,0),0)</f>
        <v>0</v>
      </c>
      <c r="I1158" s="84">
        <f>IFERROR(VLOOKUP(B1158,Заказ!B:Q,16,0),0)</f>
        <v>0</v>
      </c>
    </row>
    <row r="1159" spans="2:9" x14ac:dyDescent="0.25">
      <c r="B1159" s="84">
        <v>21537</v>
      </c>
      <c r="D1159" s="84" t="str">
        <f t="shared" si="21"/>
        <v/>
      </c>
      <c r="H1159" s="84">
        <f>IFERROR(VLOOKUP(B1159,Заказ!B:Q,5,0),0)</f>
        <v>0</v>
      </c>
      <c r="I1159" s="84">
        <f>IFERROR(VLOOKUP(B1159,Заказ!B:Q,16,0),0)</f>
        <v>0</v>
      </c>
    </row>
    <row r="1160" spans="2:9" x14ac:dyDescent="0.25">
      <c r="B1160" s="84">
        <v>21538</v>
      </c>
      <c r="D1160" s="84" t="str">
        <f t="shared" si="21"/>
        <v/>
      </c>
      <c r="H1160" s="84">
        <f>IFERROR(VLOOKUP(B1160,Заказ!B:Q,5,0),0)</f>
        <v>0</v>
      </c>
      <c r="I1160" s="84">
        <f>IFERROR(VLOOKUP(B1160,Заказ!B:Q,16,0),0)</f>
        <v>0</v>
      </c>
    </row>
    <row r="1161" spans="2:9" x14ac:dyDescent="0.25">
      <c r="B1161" s="84">
        <v>18878</v>
      </c>
      <c r="D1161" s="84" t="str">
        <f t="shared" si="21"/>
        <v/>
      </c>
      <c r="H1161" s="84">
        <f>IFERROR(VLOOKUP(B1161,Заказ!B:Q,5,0),0)</f>
        <v>0</v>
      </c>
      <c r="I1161" s="84">
        <f>IFERROR(VLOOKUP(B1161,Заказ!B:Q,16,0),0)</f>
        <v>0</v>
      </c>
    </row>
    <row r="1162" spans="2:9" x14ac:dyDescent="0.25">
      <c r="B1162" s="84">
        <v>16145</v>
      </c>
      <c r="D1162" s="84" t="str">
        <f t="shared" si="20"/>
        <v/>
      </c>
      <c r="H1162" s="84">
        <f>IFERROR(VLOOKUP(B1162,Заказ!B:Q,5,0),0)</f>
        <v>0</v>
      </c>
      <c r="I1162" s="84">
        <f>IFERROR(VLOOKUP(B1162,Заказ!B:Q,16,0),0)</f>
        <v>0</v>
      </c>
    </row>
    <row r="1163" spans="2:9" x14ac:dyDescent="0.25">
      <c r="B1163" s="84">
        <v>16148</v>
      </c>
      <c r="D1163" s="84" t="str">
        <f t="shared" si="20"/>
        <v/>
      </c>
      <c r="H1163" s="84">
        <f>IFERROR(VLOOKUP(B1163,Заказ!B:Q,5,0),0)</f>
        <v>0</v>
      </c>
      <c r="I1163" s="84">
        <f>IFERROR(VLOOKUP(B1163,Заказ!B:Q,16,0),0)</f>
        <v>0</v>
      </c>
    </row>
    <row r="1164" spans="2:9" x14ac:dyDescent="0.25">
      <c r="B1164" s="84">
        <v>16130</v>
      </c>
      <c r="D1164" s="84" t="str">
        <f t="shared" si="20"/>
        <v/>
      </c>
      <c r="H1164" s="84">
        <f>IFERROR(VLOOKUP(B1164,Заказ!B:Q,5,0),0)</f>
        <v>0</v>
      </c>
      <c r="I1164" s="84">
        <f>IFERROR(VLOOKUP(B1164,Заказ!B:Q,16,0),0)</f>
        <v>0</v>
      </c>
    </row>
    <row r="1165" spans="2:9" x14ac:dyDescent="0.25">
      <c r="B1165" s="84">
        <v>16150</v>
      </c>
      <c r="D1165" s="84" t="str">
        <f t="shared" si="20"/>
        <v/>
      </c>
      <c r="H1165" s="84">
        <f>IFERROR(VLOOKUP(B1165,Заказ!B:Q,5,0),0)</f>
        <v>0</v>
      </c>
      <c r="I1165" s="84">
        <f>IFERROR(VLOOKUP(B1165,Заказ!B:Q,16,0),0)</f>
        <v>0</v>
      </c>
    </row>
    <row r="1166" spans="2:9" x14ac:dyDescent="0.25">
      <c r="B1166" s="84">
        <v>16149</v>
      </c>
      <c r="D1166" s="84" t="str">
        <f t="shared" si="20"/>
        <v/>
      </c>
      <c r="H1166" s="84">
        <f>IFERROR(VLOOKUP(B1166,Заказ!B:Q,5,0),0)</f>
        <v>0</v>
      </c>
      <c r="I1166" s="84">
        <f>IFERROR(VLOOKUP(B1166,Заказ!B:Q,16,0),0)</f>
        <v>0</v>
      </c>
    </row>
    <row r="1167" spans="2:9" x14ac:dyDescent="0.25">
      <c r="B1167" s="84">
        <v>18879</v>
      </c>
      <c r="D1167" s="84" t="str">
        <f t="shared" si="20"/>
        <v/>
      </c>
      <c r="H1167" s="84">
        <f>IFERROR(VLOOKUP(B1167,Заказ!B:Q,5,0),0)</f>
        <v>0</v>
      </c>
      <c r="I1167" s="84">
        <f>IFERROR(VLOOKUP(B1167,Заказ!B:Q,16,0),0)</f>
        <v>0</v>
      </c>
    </row>
    <row r="1168" spans="2:9" x14ac:dyDescent="0.25">
      <c r="B1168" s="84">
        <v>18880</v>
      </c>
      <c r="D1168" s="84" t="str">
        <f t="shared" si="20"/>
        <v/>
      </c>
      <c r="H1168" s="84">
        <f>IFERROR(VLOOKUP(B1168,Заказ!B:Q,5,0),0)</f>
        <v>0</v>
      </c>
      <c r="I1168" s="84">
        <f>IFERROR(VLOOKUP(B1168,Заказ!B:Q,16,0),0)</f>
        <v>0</v>
      </c>
    </row>
    <row r="1169" spans="2:9" x14ac:dyDescent="0.25">
      <c r="B1169" s="84">
        <v>19064</v>
      </c>
      <c r="D1169" s="84" t="str">
        <f t="shared" si="20"/>
        <v/>
      </c>
      <c r="H1169" s="84">
        <f>IFERROR(VLOOKUP(B1169,Заказ!B:Q,5,0),0)</f>
        <v>0</v>
      </c>
      <c r="I1169" s="84">
        <f>IFERROR(VLOOKUP(B1169,Заказ!B:Q,16,0),0)</f>
        <v>0</v>
      </c>
    </row>
    <row r="1170" spans="2:9" x14ac:dyDescent="0.25">
      <c r="B1170" s="84">
        <v>18811</v>
      </c>
      <c r="D1170" s="84" t="str">
        <f t="shared" si="20"/>
        <v/>
      </c>
      <c r="H1170" s="84">
        <f>IFERROR(VLOOKUP(B1170,Заказ!B:Q,5,0),0)</f>
        <v>0</v>
      </c>
      <c r="I1170" s="84">
        <f>IFERROR(VLOOKUP(B1170,Заказ!B:Q,16,0),0)</f>
        <v>0</v>
      </c>
    </row>
    <row r="1171" spans="2:9" x14ac:dyDescent="0.25">
      <c r="B1171" s="84">
        <v>18620</v>
      </c>
      <c r="D1171" s="84" t="str">
        <f t="shared" si="20"/>
        <v/>
      </c>
      <c r="H1171" s="84">
        <f>IFERROR(VLOOKUP(B1171,Заказ!B:Q,5,0),0)</f>
        <v>0</v>
      </c>
      <c r="I1171" s="84">
        <f>IFERROR(VLOOKUP(B1171,Заказ!B:Q,16,0),0)</f>
        <v>0</v>
      </c>
    </row>
    <row r="1172" spans="2:9" x14ac:dyDescent="0.25">
      <c r="B1172" s="84">
        <v>20127</v>
      </c>
      <c r="D1172" s="84" t="str">
        <f t="shared" si="20"/>
        <v/>
      </c>
      <c r="H1172" s="84">
        <f>IFERROR(VLOOKUP(B1172,Заказ!B:Q,5,0),0)</f>
        <v>0</v>
      </c>
      <c r="I1172" s="84">
        <f>IFERROR(VLOOKUP(B1172,Заказ!B:Q,16,0),0)</f>
        <v>0</v>
      </c>
    </row>
    <row r="1173" spans="2:9" x14ac:dyDescent="0.25">
      <c r="B1173" s="84">
        <v>20146</v>
      </c>
      <c r="D1173" s="84" t="str">
        <f t="shared" si="20"/>
        <v/>
      </c>
      <c r="H1173" s="84">
        <f>IFERROR(VLOOKUP(B1173,Заказ!B:Q,5,0),0)</f>
        <v>0</v>
      </c>
      <c r="I1173" s="84">
        <f>IFERROR(VLOOKUP(B1173,Заказ!B:Q,16,0),0)</f>
        <v>0</v>
      </c>
    </row>
    <row r="1174" spans="2:9" x14ac:dyDescent="0.25">
      <c r="B1174" s="84">
        <v>18812</v>
      </c>
      <c r="D1174" s="84" t="str">
        <f t="shared" si="20"/>
        <v/>
      </c>
      <c r="H1174" s="84">
        <f>IFERROR(VLOOKUP(B1174,Заказ!B:Q,5,0),0)</f>
        <v>0</v>
      </c>
      <c r="I1174" s="84">
        <f>IFERROR(VLOOKUP(B1174,Заказ!B:Q,16,0),0)</f>
        <v>0</v>
      </c>
    </row>
    <row r="1175" spans="2:9" x14ac:dyDescent="0.25">
      <c r="B1175" s="84">
        <v>19200</v>
      </c>
      <c r="D1175" s="84" t="str">
        <f t="shared" si="20"/>
        <v/>
      </c>
      <c r="H1175" s="84">
        <f>IFERROR(VLOOKUP(B1175,Заказ!B:Q,5,0),0)</f>
        <v>0</v>
      </c>
      <c r="I1175" s="84">
        <f>IFERROR(VLOOKUP(B1175,Заказ!B:Q,16,0),0)</f>
        <v>0</v>
      </c>
    </row>
    <row r="1176" spans="2:9" x14ac:dyDescent="0.25">
      <c r="B1176" s="84">
        <v>18619</v>
      </c>
      <c r="D1176" s="84" t="str">
        <f t="shared" si="20"/>
        <v/>
      </c>
      <c r="H1176" s="84">
        <f>IFERROR(VLOOKUP(B1176,Заказ!B:Q,5,0),0)</f>
        <v>0</v>
      </c>
      <c r="I1176" s="84">
        <f>IFERROR(VLOOKUP(B1176,Заказ!B:Q,16,0),0)</f>
        <v>0</v>
      </c>
    </row>
    <row r="1177" spans="2:9" x14ac:dyDescent="0.25">
      <c r="B1177" s="84">
        <v>18612</v>
      </c>
      <c r="D1177" s="84" t="str">
        <f t="shared" si="20"/>
        <v/>
      </c>
      <c r="H1177" s="84">
        <f>IFERROR(VLOOKUP(B1177,Заказ!B:Q,5,0),0)</f>
        <v>0</v>
      </c>
      <c r="I1177" s="84">
        <f>IFERROR(VLOOKUP(B1177,Заказ!B:Q,16,0),0)</f>
        <v>0</v>
      </c>
    </row>
    <row r="1178" spans="2:9" x14ac:dyDescent="0.25">
      <c r="B1178" s="84">
        <v>18611</v>
      </c>
      <c r="D1178" s="84" t="str">
        <f t="shared" si="20"/>
        <v/>
      </c>
      <c r="H1178" s="84">
        <f>IFERROR(VLOOKUP(B1178,Заказ!B:Q,5,0),0)</f>
        <v>0</v>
      </c>
      <c r="I1178" s="84">
        <f>IFERROR(VLOOKUP(B1178,Заказ!B:Q,16,0),0)</f>
        <v>0</v>
      </c>
    </row>
    <row r="1179" spans="2:9" x14ac:dyDescent="0.25">
      <c r="B1179" s="84">
        <v>16135</v>
      </c>
      <c r="D1179" s="84" t="str">
        <f t="shared" si="20"/>
        <v/>
      </c>
      <c r="H1179" s="84">
        <f>IFERROR(VLOOKUP(B1179,Заказ!B:Q,5,0),0)</f>
        <v>0</v>
      </c>
      <c r="I1179" s="84">
        <f>IFERROR(VLOOKUP(B1179,Заказ!B:Q,16,0),0)</f>
        <v>0</v>
      </c>
    </row>
    <row r="1180" spans="2:9" x14ac:dyDescent="0.25">
      <c r="B1180" s="84">
        <v>16131</v>
      </c>
      <c r="D1180" s="84" t="str">
        <f t="shared" si="20"/>
        <v/>
      </c>
      <c r="H1180" s="84">
        <f>IFERROR(VLOOKUP(B1180,Заказ!B:Q,5,0),0)</f>
        <v>0</v>
      </c>
      <c r="I1180" s="84">
        <f>IFERROR(VLOOKUP(B1180,Заказ!B:Q,16,0),0)</f>
        <v>0</v>
      </c>
    </row>
    <row r="1181" spans="2:9" x14ac:dyDescent="0.25">
      <c r="B1181" s="84">
        <v>16516</v>
      </c>
      <c r="D1181" s="84" t="str">
        <f t="shared" si="20"/>
        <v/>
      </c>
      <c r="H1181" s="84">
        <f>IFERROR(VLOOKUP(B1181,Заказ!B:Q,5,0),0)</f>
        <v>0</v>
      </c>
      <c r="I1181" s="84">
        <f>IFERROR(VLOOKUP(B1181,Заказ!B:Q,16,0),0)</f>
        <v>0</v>
      </c>
    </row>
    <row r="1182" spans="2:9" x14ac:dyDescent="0.25">
      <c r="B1182" s="84">
        <v>21359</v>
      </c>
      <c r="D1182" s="84" t="str">
        <f t="shared" si="20"/>
        <v/>
      </c>
      <c r="H1182" s="84">
        <f>IFERROR(VLOOKUP(B1182,Заказ!B:Q,5,0),0)</f>
        <v>0</v>
      </c>
      <c r="I1182" s="84">
        <f>IFERROR(VLOOKUP(B1182,Заказ!B:Q,16,0),0)</f>
        <v>0</v>
      </c>
    </row>
    <row r="1183" spans="2:9" x14ac:dyDescent="0.25">
      <c r="B1183" s="84">
        <v>21358</v>
      </c>
      <c r="D1183" s="84" t="str">
        <f t="shared" si="20"/>
        <v/>
      </c>
      <c r="H1183" s="84">
        <f>IFERROR(VLOOKUP(B1183,Заказ!B:Q,5,0),0)</f>
        <v>0</v>
      </c>
      <c r="I1183" s="84">
        <f>IFERROR(VLOOKUP(B1183,Заказ!B:Q,16,0),0)</f>
        <v>0</v>
      </c>
    </row>
    <row r="1184" spans="2:9" x14ac:dyDescent="0.25">
      <c r="B1184" s="84">
        <v>21357</v>
      </c>
      <c r="D1184" s="84" t="str">
        <f t="shared" si="20"/>
        <v/>
      </c>
      <c r="H1184" s="84">
        <f>IFERROR(VLOOKUP(B1184,Заказ!B:Q,5,0),0)</f>
        <v>0</v>
      </c>
      <c r="I1184" s="84">
        <f>IFERROR(VLOOKUP(B1184,Заказ!B:Q,16,0),0)</f>
        <v>0</v>
      </c>
    </row>
    <row r="1185" spans="2:9" x14ac:dyDescent="0.25">
      <c r="B1185" s="84">
        <v>21356</v>
      </c>
      <c r="D1185" s="84" t="str">
        <f t="shared" si="20"/>
        <v/>
      </c>
      <c r="H1185" s="84">
        <f>IFERROR(VLOOKUP(B1185,Заказ!B:Q,5,0),0)</f>
        <v>0</v>
      </c>
      <c r="I1185" s="84">
        <f>IFERROR(VLOOKUP(B1185,Заказ!B:Q,16,0),0)</f>
        <v>0</v>
      </c>
    </row>
    <row r="1186" spans="2:9" x14ac:dyDescent="0.25">
      <c r="B1186" s="84">
        <v>21355</v>
      </c>
      <c r="D1186" s="84" t="str">
        <f t="shared" si="20"/>
        <v/>
      </c>
      <c r="H1186" s="84">
        <f>IFERROR(VLOOKUP(B1186,Заказ!B:Q,5,0),0)</f>
        <v>0</v>
      </c>
      <c r="I1186" s="84">
        <f>IFERROR(VLOOKUP(B1186,Заказ!B:Q,16,0),0)</f>
        <v>0</v>
      </c>
    </row>
    <row r="1187" spans="2:9" x14ac:dyDescent="0.25">
      <c r="B1187" s="84">
        <v>20775</v>
      </c>
      <c r="D1187" s="84" t="str">
        <f t="shared" si="20"/>
        <v/>
      </c>
      <c r="H1187" s="84">
        <f>IFERROR(VLOOKUP(B1187,Заказ!B:Q,5,0),0)</f>
        <v>0</v>
      </c>
      <c r="I1187" s="84">
        <f>IFERROR(VLOOKUP(B1187,Заказ!B:Q,16,0),0)</f>
        <v>0</v>
      </c>
    </row>
    <row r="1188" spans="2:9" x14ac:dyDescent="0.25">
      <c r="B1188" s="84">
        <v>20774</v>
      </c>
      <c r="D1188" s="84" t="str">
        <f t="shared" si="20"/>
        <v/>
      </c>
      <c r="H1188" s="84">
        <f>IFERROR(VLOOKUP(B1188,Заказ!B:Q,5,0),0)</f>
        <v>0</v>
      </c>
      <c r="I1188" s="84">
        <f>IFERROR(VLOOKUP(B1188,Заказ!B:Q,16,0),0)</f>
        <v>0</v>
      </c>
    </row>
    <row r="1189" spans="2:9" x14ac:dyDescent="0.25">
      <c r="B1189" s="84">
        <v>20443</v>
      </c>
      <c r="D1189" s="84" t="str">
        <f t="shared" si="20"/>
        <v/>
      </c>
      <c r="H1189" s="84">
        <f>IFERROR(VLOOKUP(B1189,Заказ!B:Q,5,0),0)</f>
        <v>0</v>
      </c>
      <c r="I1189" s="84">
        <f>IFERROR(VLOOKUP(B1189,Заказ!B:Q,16,0),0)</f>
        <v>0</v>
      </c>
    </row>
    <row r="1190" spans="2:9" x14ac:dyDescent="0.25">
      <c r="B1190" s="84">
        <v>20037</v>
      </c>
      <c r="D1190" s="84" t="str">
        <f t="shared" si="20"/>
        <v/>
      </c>
      <c r="H1190" s="84">
        <f>IFERROR(VLOOKUP(B1190,Заказ!B:Q,5,0),0)</f>
        <v>0</v>
      </c>
      <c r="I1190" s="84">
        <f>IFERROR(VLOOKUP(B1190,Заказ!B:Q,16,0),0)</f>
        <v>0</v>
      </c>
    </row>
    <row r="1191" spans="2:9" x14ac:dyDescent="0.25">
      <c r="B1191" s="84">
        <v>20068</v>
      </c>
      <c r="D1191" s="84" t="str">
        <f t="shared" si="20"/>
        <v/>
      </c>
      <c r="H1191" s="84">
        <f>IFERROR(VLOOKUP(B1191,Заказ!B:Q,5,0),0)</f>
        <v>0</v>
      </c>
      <c r="I1191" s="84">
        <f>IFERROR(VLOOKUP(B1191,Заказ!B:Q,16,0),0)</f>
        <v>0</v>
      </c>
    </row>
    <row r="1192" spans="2:9" x14ac:dyDescent="0.25">
      <c r="B1192" s="84">
        <v>20040</v>
      </c>
      <c r="D1192" s="84" t="str">
        <f t="shared" si="20"/>
        <v/>
      </c>
      <c r="H1192" s="84">
        <f>IFERROR(VLOOKUP(B1192,Заказ!B:Q,5,0),0)</f>
        <v>0</v>
      </c>
      <c r="I1192" s="84">
        <f>IFERROR(VLOOKUP(B1192,Заказ!B:Q,16,0),0)</f>
        <v>0</v>
      </c>
    </row>
    <row r="1193" spans="2:9" x14ac:dyDescent="0.25">
      <c r="B1193" s="84">
        <v>20041</v>
      </c>
      <c r="D1193" s="84" t="str">
        <f t="shared" si="20"/>
        <v/>
      </c>
      <c r="H1193" s="84">
        <f>IFERROR(VLOOKUP(B1193,Заказ!B:Q,5,0),0)</f>
        <v>0</v>
      </c>
      <c r="I1193" s="84">
        <f>IFERROR(VLOOKUP(B1193,Заказ!B:Q,16,0),0)</f>
        <v>0</v>
      </c>
    </row>
    <row r="1194" spans="2:9" x14ac:dyDescent="0.25">
      <c r="B1194" s="84">
        <v>20038</v>
      </c>
      <c r="D1194" s="84" t="str">
        <f t="shared" si="20"/>
        <v/>
      </c>
      <c r="H1194" s="84">
        <f>IFERROR(VLOOKUP(B1194,Заказ!B:Q,5,0),0)</f>
        <v>0</v>
      </c>
      <c r="I1194" s="84">
        <f>IFERROR(VLOOKUP(B1194,Заказ!B:Q,16,0),0)</f>
        <v>0</v>
      </c>
    </row>
    <row r="1195" spans="2:9" x14ac:dyDescent="0.25">
      <c r="B1195" s="84">
        <v>20039</v>
      </c>
      <c r="D1195" s="84" t="str">
        <f t="shared" si="20"/>
        <v/>
      </c>
      <c r="H1195" s="84">
        <f>IFERROR(VLOOKUP(B1195,Заказ!B:Q,5,0),0)</f>
        <v>0</v>
      </c>
      <c r="I1195" s="84">
        <f>IFERROR(VLOOKUP(B1195,Заказ!B:Q,16,0),0)</f>
        <v>0</v>
      </c>
    </row>
    <row r="1196" spans="2:9" x14ac:dyDescent="0.25">
      <c r="B1196" s="84">
        <v>17304</v>
      </c>
      <c r="D1196" s="84" t="str">
        <f t="shared" si="20"/>
        <v/>
      </c>
      <c r="H1196" s="84">
        <f>IFERROR(VLOOKUP(B1196,Заказ!B:Q,5,0),0)</f>
        <v>0</v>
      </c>
      <c r="I1196" s="84">
        <f>IFERROR(VLOOKUP(B1196,Заказ!B:Q,16,0),0)</f>
        <v>0</v>
      </c>
    </row>
    <row r="1197" spans="2:9" x14ac:dyDescent="0.25">
      <c r="B1197" s="84">
        <v>18038</v>
      </c>
      <c r="D1197" s="84" t="str">
        <f t="shared" si="20"/>
        <v/>
      </c>
      <c r="H1197" s="84">
        <f>IFERROR(VLOOKUP(B1197,Заказ!B:Q,5,0),0)</f>
        <v>0</v>
      </c>
      <c r="I1197" s="84">
        <f>IFERROR(VLOOKUP(B1197,Заказ!B:Q,16,0),0)</f>
        <v>0</v>
      </c>
    </row>
    <row r="1198" spans="2:9" x14ac:dyDescent="0.25">
      <c r="B1198" s="84">
        <v>18040</v>
      </c>
      <c r="D1198" s="84" t="str">
        <f t="shared" si="20"/>
        <v/>
      </c>
      <c r="H1198" s="84">
        <f>IFERROR(VLOOKUP(B1198,Заказ!B:Q,5,0),0)</f>
        <v>0</v>
      </c>
      <c r="I1198" s="84">
        <f>IFERROR(VLOOKUP(B1198,Заказ!B:Q,16,0),0)</f>
        <v>0</v>
      </c>
    </row>
    <row r="1199" spans="2:9" x14ac:dyDescent="0.25">
      <c r="B1199" s="84">
        <v>17302</v>
      </c>
      <c r="D1199" s="84" t="str">
        <f t="shared" si="20"/>
        <v/>
      </c>
      <c r="H1199" s="84">
        <f>IFERROR(VLOOKUP(B1199,Заказ!B:Q,5,0),0)</f>
        <v>0</v>
      </c>
      <c r="I1199" s="84">
        <f>IFERROR(VLOOKUP(B1199,Заказ!B:Q,16,0),0)</f>
        <v>0</v>
      </c>
    </row>
    <row r="1200" spans="2:9" x14ac:dyDescent="0.25">
      <c r="B1200" s="84">
        <v>17457</v>
      </c>
      <c r="D1200" s="84" t="str">
        <f t="shared" ref="D1200:D1335" si="22">IFERROR(ROUND(I1200/H1200,2),"")</f>
        <v/>
      </c>
      <c r="H1200" s="84">
        <f>IFERROR(VLOOKUP(B1200,Заказ!B:Q,5,0),0)</f>
        <v>0</v>
      </c>
      <c r="I1200" s="84">
        <f>IFERROR(VLOOKUP(B1200,Заказ!B:Q,16,0),0)</f>
        <v>0</v>
      </c>
    </row>
    <row r="1201" spans="2:9" x14ac:dyDescent="0.25">
      <c r="B1201" s="84">
        <v>17456</v>
      </c>
      <c r="D1201" s="84" t="str">
        <f t="shared" si="22"/>
        <v/>
      </c>
      <c r="H1201" s="84">
        <f>IFERROR(VLOOKUP(B1201,Заказ!B:Q,5,0),0)</f>
        <v>0</v>
      </c>
      <c r="I1201" s="84">
        <f>IFERROR(VLOOKUP(B1201,Заказ!B:Q,16,0),0)</f>
        <v>0</v>
      </c>
    </row>
    <row r="1202" spans="2:9" x14ac:dyDescent="0.25">
      <c r="B1202" s="84">
        <v>17455</v>
      </c>
      <c r="D1202" s="84" t="str">
        <f t="shared" si="22"/>
        <v/>
      </c>
      <c r="H1202" s="84">
        <f>IFERROR(VLOOKUP(B1202,Заказ!B:Q,5,0),0)</f>
        <v>0</v>
      </c>
      <c r="I1202" s="84">
        <f>IFERROR(VLOOKUP(B1202,Заказ!B:Q,16,0),0)</f>
        <v>0</v>
      </c>
    </row>
    <row r="1203" spans="2:9" x14ac:dyDescent="0.25">
      <c r="B1203" s="84">
        <v>17503</v>
      </c>
      <c r="D1203" s="84" t="str">
        <f t="shared" si="22"/>
        <v/>
      </c>
      <c r="H1203" s="84">
        <f>IFERROR(VLOOKUP(B1203,Заказ!B:Q,5,0),0)</f>
        <v>0</v>
      </c>
      <c r="I1203" s="84">
        <f>IFERROR(VLOOKUP(B1203,Заказ!B:Q,16,0),0)</f>
        <v>0</v>
      </c>
    </row>
    <row r="1204" spans="2:9" x14ac:dyDescent="0.25">
      <c r="B1204" s="84">
        <v>17817</v>
      </c>
      <c r="D1204" s="84" t="str">
        <f t="shared" si="22"/>
        <v/>
      </c>
      <c r="H1204" s="84">
        <f>IFERROR(VLOOKUP(B1204,Заказ!B:Q,5,0),0)</f>
        <v>0</v>
      </c>
      <c r="I1204" s="84">
        <f>IFERROR(VLOOKUP(B1204,Заказ!B:Q,16,0),0)</f>
        <v>0</v>
      </c>
    </row>
    <row r="1205" spans="2:9" x14ac:dyDescent="0.25">
      <c r="B1205" s="84">
        <v>17300</v>
      </c>
      <c r="D1205" s="84" t="str">
        <f t="shared" si="22"/>
        <v/>
      </c>
      <c r="H1205" s="84">
        <f>IFERROR(VLOOKUP(B1205,Заказ!B:Q,5,0),0)</f>
        <v>0</v>
      </c>
      <c r="I1205" s="84">
        <f>IFERROR(VLOOKUP(B1205,Заказ!B:Q,16,0),0)</f>
        <v>0</v>
      </c>
    </row>
    <row r="1206" spans="2:9" x14ac:dyDescent="0.25">
      <c r="B1206" s="84">
        <v>17816</v>
      </c>
      <c r="D1206" s="84" t="str">
        <f t="shared" si="22"/>
        <v/>
      </c>
      <c r="H1206" s="84">
        <f>IFERROR(VLOOKUP(B1206,Заказ!B:Q,5,0),0)</f>
        <v>0</v>
      </c>
      <c r="I1206" s="84">
        <f>IFERROR(VLOOKUP(B1206,Заказ!B:Q,16,0),0)</f>
        <v>0</v>
      </c>
    </row>
    <row r="1207" spans="2:9" x14ac:dyDescent="0.25">
      <c r="B1207" s="84">
        <v>17299</v>
      </c>
      <c r="D1207" s="84" t="str">
        <f t="shared" si="22"/>
        <v/>
      </c>
      <c r="H1207" s="84">
        <f>IFERROR(VLOOKUP(B1207,Заказ!B:Q,5,0),0)</f>
        <v>0</v>
      </c>
      <c r="I1207" s="84">
        <f>IFERROR(VLOOKUP(B1207,Заказ!B:Q,16,0),0)</f>
        <v>0</v>
      </c>
    </row>
    <row r="1208" spans="2:9" x14ac:dyDescent="0.25">
      <c r="B1208" s="84">
        <v>19113</v>
      </c>
      <c r="D1208" s="84" t="str">
        <f t="shared" si="22"/>
        <v/>
      </c>
      <c r="H1208" s="84">
        <f>IFERROR(VLOOKUP(B1208,Заказ!B:Q,5,0),0)</f>
        <v>0</v>
      </c>
      <c r="I1208" s="84">
        <f>IFERROR(VLOOKUP(B1208,Заказ!B:Q,16,0),0)</f>
        <v>0</v>
      </c>
    </row>
    <row r="1209" spans="2:9" x14ac:dyDescent="0.25">
      <c r="B1209" s="84">
        <v>17301</v>
      </c>
      <c r="D1209" s="84" t="str">
        <f t="shared" si="22"/>
        <v/>
      </c>
      <c r="H1209" s="84">
        <f>IFERROR(VLOOKUP(B1209,Заказ!B:Q,5,0),0)</f>
        <v>0</v>
      </c>
      <c r="I1209" s="84">
        <f>IFERROR(VLOOKUP(B1209,Заказ!B:Q,16,0),0)</f>
        <v>0</v>
      </c>
    </row>
    <row r="1210" spans="2:9" x14ac:dyDescent="0.25">
      <c r="B1210" s="84">
        <v>20046</v>
      </c>
      <c r="D1210" s="84" t="str">
        <f t="shared" si="22"/>
        <v/>
      </c>
      <c r="H1210" s="84">
        <f>IFERROR(VLOOKUP(B1210,Заказ!B:Q,5,0),0)</f>
        <v>0</v>
      </c>
      <c r="I1210" s="84">
        <f>IFERROR(VLOOKUP(B1210,Заказ!B:Q,16,0),0)</f>
        <v>0</v>
      </c>
    </row>
    <row r="1211" spans="2:9" x14ac:dyDescent="0.25">
      <c r="B1211" s="84">
        <v>19705</v>
      </c>
      <c r="D1211" s="84" t="str">
        <f t="shared" si="22"/>
        <v/>
      </c>
      <c r="H1211" s="84">
        <f>IFERROR(VLOOKUP(B1211,Заказ!B:Q,5,0),0)</f>
        <v>0</v>
      </c>
      <c r="I1211" s="84">
        <f>IFERROR(VLOOKUP(B1211,Заказ!B:Q,16,0),0)</f>
        <v>0</v>
      </c>
    </row>
    <row r="1212" spans="2:9" x14ac:dyDescent="0.25">
      <c r="B1212" s="84">
        <v>20271</v>
      </c>
      <c r="D1212" s="84" t="str">
        <f t="shared" si="22"/>
        <v/>
      </c>
      <c r="H1212" s="84">
        <f>IFERROR(VLOOKUP(B1212,Заказ!B:Q,5,0),0)</f>
        <v>0</v>
      </c>
      <c r="I1212" s="84">
        <f>IFERROR(VLOOKUP(B1212,Заказ!B:Q,16,0),0)</f>
        <v>0</v>
      </c>
    </row>
    <row r="1213" spans="2:9" x14ac:dyDescent="0.25">
      <c r="B1213" s="84">
        <v>20221</v>
      </c>
      <c r="D1213" s="84" t="str">
        <f t="shared" si="22"/>
        <v/>
      </c>
      <c r="H1213" s="84">
        <f>IFERROR(VLOOKUP(B1213,Заказ!B:Q,5,0),0)</f>
        <v>0</v>
      </c>
      <c r="I1213" s="84">
        <f>IFERROR(VLOOKUP(B1213,Заказ!B:Q,16,0),0)</f>
        <v>0</v>
      </c>
    </row>
    <row r="1214" spans="2:9" x14ac:dyDescent="0.25">
      <c r="B1214" s="84">
        <v>20240</v>
      </c>
      <c r="D1214" s="84" t="str">
        <f t="shared" si="22"/>
        <v/>
      </c>
      <c r="H1214" s="84">
        <f>IFERROR(VLOOKUP(B1214,Заказ!B:Q,5,0),0)</f>
        <v>0</v>
      </c>
      <c r="I1214" s="84">
        <f>IFERROR(VLOOKUP(B1214,Заказ!B:Q,16,0),0)</f>
        <v>0</v>
      </c>
    </row>
    <row r="1215" spans="2:9" x14ac:dyDescent="0.25">
      <c r="B1215" s="84">
        <v>20569</v>
      </c>
      <c r="D1215" s="84" t="str">
        <f t="shared" si="22"/>
        <v/>
      </c>
      <c r="H1215" s="84">
        <f>IFERROR(VLOOKUP(B1215,Заказ!B:Q,5,0),0)</f>
        <v>0</v>
      </c>
      <c r="I1215" s="84">
        <f>IFERROR(VLOOKUP(B1215,Заказ!B:Q,16,0),0)</f>
        <v>0</v>
      </c>
    </row>
    <row r="1216" spans="2:9" x14ac:dyDescent="0.25">
      <c r="B1216" s="84">
        <v>20453</v>
      </c>
      <c r="D1216" s="84" t="str">
        <f t="shared" si="22"/>
        <v/>
      </c>
      <c r="H1216" s="84">
        <f>IFERROR(VLOOKUP(B1216,Заказ!B:Q,5,0),0)</f>
        <v>0</v>
      </c>
      <c r="I1216" s="84">
        <f>IFERROR(VLOOKUP(B1216,Заказ!B:Q,16,0),0)</f>
        <v>0</v>
      </c>
    </row>
    <row r="1217" spans="2:9" x14ac:dyDescent="0.25">
      <c r="B1217" s="84">
        <v>20402</v>
      </c>
      <c r="D1217" s="84" t="str">
        <f t="shared" si="22"/>
        <v/>
      </c>
      <c r="H1217" s="84">
        <f>IFERROR(VLOOKUP(B1217,Заказ!B:Q,5,0),0)</f>
        <v>0</v>
      </c>
      <c r="I1217" s="84">
        <f>IFERROR(VLOOKUP(B1217,Заказ!B:Q,16,0),0)</f>
        <v>0</v>
      </c>
    </row>
    <row r="1218" spans="2:9" x14ac:dyDescent="0.25">
      <c r="B1218" s="84">
        <v>20404</v>
      </c>
      <c r="D1218" s="84" t="str">
        <f t="shared" si="22"/>
        <v/>
      </c>
      <c r="H1218" s="84">
        <f>IFERROR(VLOOKUP(B1218,Заказ!B:Q,5,0),0)</f>
        <v>0</v>
      </c>
      <c r="I1218" s="84">
        <f>IFERROR(VLOOKUP(B1218,Заказ!B:Q,16,0),0)</f>
        <v>0</v>
      </c>
    </row>
    <row r="1219" spans="2:9" x14ac:dyDescent="0.25">
      <c r="B1219" s="84">
        <v>20405</v>
      </c>
      <c r="D1219" s="84" t="str">
        <f t="shared" si="22"/>
        <v/>
      </c>
      <c r="H1219" s="84">
        <f>IFERROR(VLOOKUP(B1219,Заказ!B:Q,5,0),0)</f>
        <v>0</v>
      </c>
      <c r="I1219" s="84">
        <f>IFERROR(VLOOKUP(B1219,Заказ!B:Q,16,0),0)</f>
        <v>0</v>
      </c>
    </row>
    <row r="1220" spans="2:9" x14ac:dyDescent="0.25">
      <c r="B1220" s="84">
        <v>20454</v>
      </c>
      <c r="D1220" s="84" t="str">
        <f t="shared" si="22"/>
        <v/>
      </c>
      <c r="H1220" s="84">
        <f>IFERROR(VLOOKUP(B1220,Заказ!B:Q,5,0),0)</f>
        <v>0</v>
      </c>
      <c r="I1220" s="84">
        <f>IFERROR(VLOOKUP(B1220,Заказ!B:Q,16,0),0)</f>
        <v>0</v>
      </c>
    </row>
    <row r="1221" spans="2:9" x14ac:dyDescent="0.25">
      <c r="B1221" s="84">
        <v>20364</v>
      </c>
      <c r="D1221" s="84" t="str">
        <f t="shared" si="22"/>
        <v/>
      </c>
      <c r="H1221" s="84">
        <f>IFERROR(VLOOKUP(B1221,Заказ!B:Q,5,0),0)</f>
        <v>0</v>
      </c>
      <c r="I1221" s="84">
        <f>IFERROR(VLOOKUP(B1221,Заказ!B:Q,16,0),0)</f>
        <v>0</v>
      </c>
    </row>
    <row r="1222" spans="2:9" x14ac:dyDescent="0.25">
      <c r="B1222" s="84">
        <v>17543</v>
      </c>
      <c r="D1222" s="84" t="str">
        <f t="shared" si="22"/>
        <v/>
      </c>
      <c r="H1222" s="84">
        <f>IFERROR(VLOOKUP(B1222,Заказ!B:Q,5,0),0)</f>
        <v>0</v>
      </c>
      <c r="I1222" s="84">
        <f>IFERROR(VLOOKUP(B1222,Заказ!B:Q,16,0),0)</f>
        <v>0</v>
      </c>
    </row>
    <row r="1223" spans="2:9" x14ac:dyDescent="0.25">
      <c r="B1223" s="84">
        <v>17542</v>
      </c>
      <c r="D1223" s="84" t="str">
        <f t="shared" si="22"/>
        <v/>
      </c>
      <c r="H1223" s="84">
        <f>IFERROR(VLOOKUP(B1223,Заказ!B:Q,5,0),0)</f>
        <v>0</v>
      </c>
      <c r="I1223" s="84">
        <f>IFERROR(VLOOKUP(B1223,Заказ!B:Q,16,0),0)</f>
        <v>0</v>
      </c>
    </row>
    <row r="1224" spans="2:9" x14ac:dyDescent="0.25">
      <c r="B1224" s="84">
        <v>17539</v>
      </c>
      <c r="D1224" s="84" t="str">
        <f t="shared" si="22"/>
        <v/>
      </c>
      <c r="H1224" s="84">
        <f>IFERROR(VLOOKUP(B1224,Заказ!B:Q,5,0),0)</f>
        <v>0</v>
      </c>
      <c r="I1224" s="84">
        <f>IFERROR(VLOOKUP(B1224,Заказ!B:Q,16,0),0)</f>
        <v>0</v>
      </c>
    </row>
    <row r="1225" spans="2:9" x14ac:dyDescent="0.25">
      <c r="B1225" s="84">
        <v>17540</v>
      </c>
      <c r="D1225" s="84" t="str">
        <f t="shared" si="22"/>
        <v/>
      </c>
      <c r="H1225" s="84">
        <f>IFERROR(VLOOKUP(B1225,Заказ!B:Q,5,0),0)</f>
        <v>0</v>
      </c>
      <c r="I1225" s="84">
        <f>IFERROR(VLOOKUP(B1225,Заказ!B:Q,16,0),0)</f>
        <v>0</v>
      </c>
    </row>
    <row r="1226" spans="2:9" x14ac:dyDescent="0.25">
      <c r="B1226" s="84">
        <v>17541</v>
      </c>
      <c r="D1226" s="84" t="str">
        <f t="shared" si="22"/>
        <v/>
      </c>
      <c r="H1226" s="84">
        <f>IFERROR(VLOOKUP(B1226,Заказ!B:Q,5,0),0)</f>
        <v>0</v>
      </c>
      <c r="I1226" s="84">
        <f>IFERROR(VLOOKUP(B1226,Заказ!B:Q,16,0),0)</f>
        <v>0</v>
      </c>
    </row>
    <row r="1227" spans="2:9" x14ac:dyDescent="0.25">
      <c r="B1227" s="84">
        <v>20022</v>
      </c>
      <c r="D1227" s="84" t="str">
        <f t="shared" si="22"/>
        <v/>
      </c>
      <c r="H1227" s="84">
        <f>IFERROR(VLOOKUP(B1227,Заказ!B:Q,5,0),0)</f>
        <v>0</v>
      </c>
      <c r="I1227" s="84">
        <f>IFERROR(VLOOKUP(B1227,Заказ!B:Q,16,0),0)</f>
        <v>0</v>
      </c>
    </row>
    <row r="1228" spans="2:9" x14ac:dyDescent="0.25">
      <c r="B1228" s="84">
        <v>19794</v>
      </c>
      <c r="D1228" s="84" t="str">
        <f t="shared" si="22"/>
        <v/>
      </c>
      <c r="H1228" s="84">
        <f>IFERROR(VLOOKUP(B1228,Заказ!B:Q,5,0),0)</f>
        <v>0</v>
      </c>
      <c r="I1228" s="84">
        <f>IFERROR(VLOOKUP(B1228,Заказ!B:Q,16,0),0)</f>
        <v>0</v>
      </c>
    </row>
    <row r="1229" spans="2:9" x14ac:dyDescent="0.25">
      <c r="B1229" s="84">
        <v>20033</v>
      </c>
      <c r="D1229" s="84" t="str">
        <f t="shared" si="22"/>
        <v/>
      </c>
      <c r="H1229" s="84">
        <f>IFERROR(VLOOKUP(B1229,Заказ!B:Q,5,0),0)</f>
        <v>0</v>
      </c>
      <c r="I1229" s="84">
        <f>IFERROR(VLOOKUP(B1229,Заказ!B:Q,16,0),0)</f>
        <v>0</v>
      </c>
    </row>
    <row r="1230" spans="2:9" x14ac:dyDescent="0.25">
      <c r="B1230" s="84">
        <v>18301</v>
      </c>
      <c r="D1230" s="84" t="str">
        <f t="shared" si="22"/>
        <v/>
      </c>
      <c r="H1230" s="84">
        <f>IFERROR(VLOOKUP(B1230,Заказ!B:Q,5,0),0)</f>
        <v>0</v>
      </c>
      <c r="I1230" s="84">
        <f>IFERROR(VLOOKUP(B1230,Заказ!B:Q,16,0),0)</f>
        <v>0</v>
      </c>
    </row>
    <row r="1231" spans="2:9" x14ac:dyDescent="0.25">
      <c r="B1231" s="84">
        <v>18300</v>
      </c>
      <c r="D1231" s="84" t="str">
        <f t="shared" si="22"/>
        <v/>
      </c>
      <c r="H1231" s="84">
        <f>IFERROR(VLOOKUP(B1231,Заказ!B:Q,5,0),0)</f>
        <v>0</v>
      </c>
      <c r="I1231" s="84">
        <f>IFERROR(VLOOKUP(B1231,Заказ!B:Q,16,0),0)</f>
        <v>0</v>
      </c>
    </row>
    <row r="1232" spans="2:9" x14ac:dyDescent="0.25">
      <c r="B1232" s="84">
        <v>19533</v>
      </c>
      <c r="D1232" s="84" t="str">
        <f t="shared" si="22"/>
        <v/>
      </c>
      <c r="H1232" s="84">
        <f>IFERROR(VLOOKUP(B1232,Заказ!B:Q,5,0),0)</f>
        <v>0</v>
      </c>
      <c r="I1232" s="84">
        <f>IFERROR(VLOOKUP(B1232,Заказ!B:Q,16,0),0)</f>
        <v>0</v>
      </c>
    </row>
    <row r="1233" spans="2:9" x14ac:dyDescent="0.25">
      <c r="B1233" s="84">
        <v>19535</v>
      </c>
      <c r="D1233" s="84" t="str">
        <f t="shared" si="22"/>
        <v/>
      </c>
      <c r="H1233" s="84">
        <f>IFERROR(VLOOKUP(B1233,Заказ!B:Q,5,0),0)</f>
        <v>0</v>
      </c>
      <c r="I1233" s="84">
        <f>IFERROR(VLOOKUP(B1233,Заказ!B:Q,16,0),0)</f>
        <v>0</v>
      </c>
    </row>
    <row r="1234" spans="2:9" x14ac:dyDescent="0.25">
      <c r="B1234" s="84">
        <v>21057</v>
      </c>
      <c r="D1234" s="84" t="str">
        <f t="shared" si="22"/>
        <v/>
      </c>
      <c r="H1234" s="84">
        <f>IFERROR(VLOOKUP(B1234,Заказ!B:Q,5,0),0)</f>
        <v>0</v>
      </c>
      <c r="I1234" s="84">
        <f>IFERROR(VLOOKUP(B1234,Заказ!B:Q,16,0),0)</f>
        <v>0</v>
      </c>
    </row>
    <row r="1235" spans="2:9" x14ac:dyDescent="0.25">
      <c r="B1235" s="84">
        <v>19534</v>
      </c>
      <c r="D1235" s="84" t="str">
        <f t="shared" si="22"/>
        <v/>
      </c>
      <c r="H1235" s="84">
        <f>IFERROR(VLOOKUP(B1235,Заказ!B:Q,5,0),0)</f>
        <v>0</v>
      </c>
      <c r="I1235" s="84">
        <f>IFERROR(VLOOKUP(B1235,Заказ!B:Q,16,0),0)</f>
        <v>0</v>
      </c>
    </row>
    <row r="1236" spans="2:9" x14ac:dyDescent="0.25">
      <c r="B1236" s="84">
        <v>20367</v>
      </c>
      <c r="D1236" s="84" t="str">
        <f t="shared" si="22"/>
        <v/>
      </c>
      <c r="H1236" s="84">
        <f>IFERROR(VLOOKUP(B1236,Заказ!B:Q,5,0),0)</f>
        <v>0</v>
      </c>
      <c r="I1236" s="84">
        <f>IFERROR(VLOOKUP(B1236,Заказ!B:Q,16,0),0)</f>
        <v>0</v>
      </c>
    </row>
    <row r="1237" spans="2:9" x14ac:dyDescent="0.25">
      <c r="B1237" s="84">
        <v>19537</v>
      </c>
      <c r="D1237" s="84" t="str">
        <f t="shared" si="22"/>
        <v/>
      </c>
      <c r="H1237" s="84">
        <f>IFERROR(VLOOKUP(B1237,Заказ!B:Q,5,0),0)</f>
        <v>0</v>
      </c>
      <c r="I1237" s="84">
        <f>IFERROR(VLOOKUP(B1237,Заказ!B:Q,16,0),0)</f>
        <v>0</v>
      </c>
    </row>
    <row r="1238" spans="2:9" x14ac:dyDescent="0.25">
      <c r="B1238" s="84">
        <v>20631</v>
      </c>
      <c r="D1238" s="84" t="str">
        <f t="shared" si="22"/>
        <v/>
      </c>
      <c r="H1238" s="84">
        <f>IFERROR(VLOOKUP(B1238,Заказ!B:Q,5,0),0)</f>
        <v>0</v>
      </c>
      <c r="I1238" s="84">
        <f>IFERROR(VLOOKUP(B1238,Заказ!B:Q,16,0),0)</f>
        <v>0</v>
      </c>
    </row>
    <row r="1239" spans="2:9" x14ac:dyDescent="0.25">
      <c r="B1239" s="84">
        <v>20269</v>
      </c>
      <c r="D1239" s="84" t="str">
        <f t="shared" si="22"/>
        <v/>
      </c>
      <c r="H1239" s="84">
        <f>IFERROR(VLOOKUP(B1239,Заказ!B:Q,5,0),0)</f>
        <v>0</v>
      </c>
      <c r="I1239" s="84">
        <f>IFERROR(VLOOKUP(B1239,Заказ!B:Q,16,0),0)</f>
        <v>0</v>
      </c>
    </row>
    <row r="1240" spans="2:9" x14ac:dyDescent="0.25">
      <c r="B1240" s="84">
        <v>20270</v>
      </c>
      <c r="D1240" s="84" t="str">
        <f t="shared" si="22"/>
        <v/>
      </c>
      <c r="H1240" s="84">
        <f>IFERROR(VLOOKUP(B1240,Заказ!B:Q,5,0),0)</f>
        <v>0</v>
      </c>
      <c r="I1240" s="84">
        <f>IFERROR(VLOOKUP(B1240,Заказ!B:Q,16,0),0)</f>
        <v>0</v>
      </c>
    </row>
    <row r="1241" spans="2:9" x14ac:dyDescent="0.25">
      <c r="B1241" s="84">
        <v>17969</v>
      </c>
      <c r="D1241" s="84" t="str">
        <f t="shared" si="22"/>
        <v/>
      </c>
      <c r="H1241" s="84">
        <f>IFERROR(VLOOKUP(B1241,Заказ!B:Q,5,0),0)</f>
        <v>0</v>
      </c>
      <c r="I1241" s="84">
        <f>IFERROR(VLOOKUP(B1241,Заказ!B:Q,16,0),0)</f>
        <v>0</v>
      </c>
    </row>
    <row r="1242" spans="2:9" x14ac:dyDescent="0.25">
      <c r="B1242" s="84">
        <v>20934</v>
      </c>
      <c r="D1242" s="84" t="str">
        <f t="shared" si="22"/>
        <v/>
      </c>
      <c r="H1242" s="84">
        <f>IFERROR(VLOOKUP(B1242,Заказ!B:Q,5,0),0)</f>
        <v>0</v>
      </c>
      <c r="I1242" s="84">
        <f>IFERROR(VLOOKUP(B1242,Заказ!B:Q,16,0),0)</f>
        <v>0</v>
      </c>
    </row>
    <row r="1243" spans="2:9" x14ac:dyDescent="0.25">
      <c r="B1243" s="84">
        <v>20220</v>
      </c>
      <c r="D1243" s="84" t="str">
        <f t="shared" si="22"/>
        <v/>
      </c>
      <c r="H1243" s="84">
        <f>IFERROR(VLOOKUP(B1243,Заказ!B:Q,5,0),0)</f>
        <v>0</v>
      </c>
      <c r="I1243" s="84">
        <f>IFERROR(VLOOKUP(B1243,Заказ!B:Q,16,0),0)</f>
        <v>0</v>
      </c>
    </row>
    <row r="1244" spans="2:9" x14ac:dyDescent="0.25">
      <c r="B1244" s="84">
        <v>19615</v>
      </c>
      <c r="D1244" s="84" t="str">
        <f t="shared" si="22"/>
        <v/>
      </c>
      <c r="H1244" s="84">
        <f>IFERROR(VLOOKUP(B1244,Заказ!B:Q,5,0),0)</f>
        <v>0</v>
      </c>
      <c r="I1244" s="84">
        <f>IFERROR(VLOOKUP(B1244,Заказ!B:Q,16,0),0)</f>
        <v>0</v>
      </c>
    </row>
    <row r="1245" spans="2:9" x14ac:dyDescent="0.25">
      <c r="B1245" s="84">
        <v>19994</v>
      </c>
      <c r="D1245" s="84" t="str">
        <f t="shared" si="22"/>
        <v/>
      </c>
      <c r="H1245" s="84">
        <f>IFERROR(VLOOKUP(B1245,Заказ!B:Q,5,0),0)</f>
        <v>0</v>
      </c>
      <c r="I1245" s="84">
        <f>IFERROR(VLOOKUP(B1245,Заказ!B:Q,16,0),0)</f>
        <v>0</v>
      </c>
    </row>
    <row r="1246" spans="2:9" x14ac:dyDescent="0.25">
      <c r="B1246" s="84">
        <v>19762</v>
      </c>
      <c r="D1246" s="84" t="str">
        <f t="shared" si="22"/>
        <v/>
      </c>
      <c r="H1246" s="84">
        <f>IFERROR(VLOOKUP(B1246,Заказ!B:Q,5,0),0)</f>
        <v>0</v>
      </c>
      <c r="I1246" s="84">
        <f>IFERROR(VLOOKUP(B1246,Заказ!B:Q,16,0),0)</f>
        <v>0</v>
      </c>
    </row>
    <row r="1247" spans="2:9" x14ac:dyDescent="0.25">
      <c r="B1247" s="84">
        <v>19992</v>
      </c>
      <c r="D1247" s="84" t="str">
        <f t="shared" si="22"/>
        <v/>
      </c>
      <c r="H1247" s="84">
        <f>IFERROR(VLOOKUP(B1247,Заказ!B:Q,5,0),0)</f>
        <v>0</v>
      </c>
      <c r="I1247" s="84">
        <f>IFERROR(VLOOKUP(B1247,Заказ!B:Q,16,0),0)</f>
        <v>0</v>
      </c>
    </row>
    <row r="1248" spans="2:9" x14ac:dyDescent="0.25">
      <c r="B1248" s="84">
        <v>18299</v>
      </c>
      <c r="D1248" s="84" t="str">
        <f t="shared" si="22"/>
        <v/>
      </c>
      <c r="H1248" s="84">
        <f>IFERROR(VLOOKUP(B1248,Заказ!B:Q,5,0),0)</f>
        <v>0</v>
      </c>
      <c r="I1248" s="84">
        <f>IFERROR(VLOOKUP(B1248,Заказ!B:Q,16,0),0)</f>
        <v>0</v>
      </c>
    </row>
    <row r="1249" spans="2:9" x14ac:dyDescent="0.25">
      <c r="B1249" s="84">
        <v>17544</v>
      </c>
      <c r="D1249" s="84" t="str">
        <f t="shared" si="22"/>
        <v/>
      </c>
      <c r="H1249" s="84">
        <f>IFERROR(VLOOKUP(B1249,Заказ!B:Q,5,0),0)</f>
        <v>0</v>
      </c>
      <c r="I1249" s="84">
        <f>IFERROR(VLOOKUP(B1249,Заказ!B:Q,16,0),0)</f>
        <v>0</v>
      </c>
    </row>
    <row r="1250" spans="2:9" x14ac:dyDescent="0.25">
      <c r="B1250" s="84">
        <v>18469</v>
      </c>
      <c r="D1250" s="84" t="str">
        <f t="shared" si="22"/>
        <v/>
      </c>
      <c r="H1250" s="84">
        <f>IFERROR(VLOOKUP(B1250,Заказ!B:Q,5,0),0)</f>
        <v>0</v>
      </c>
      <c r="I1250" s="84">
        <f>IFERROR(VLOOKUP(B1250,Заказ!B:Q,16,0),0)</f>
        <v>0</v>
      </c>
    </row>
    <row r="1251" spans="2:9" x14ac:dyDescent="0.25">
      <c r="B1251" s="84">
        <v>19704</v>
      </c>
      <c r="D1251" s="84" t="str">
        <f t="shared" si="22"/>
        <v/>
      </c>
      <c r="H1251" s="84">
        <f>IFERROR(VLOOKUP(B1251,Заказ!B:Q,5,0),0)</f>
        <v>0</v>
      </c>
      <c r="I1251" s="84">
        <f>IFERROR(VLOOKUP(B1251,Заказ!B:Q,16,0),0)</f>
        <v>0</v>
      </c>
    </row>
    <row r="1252" spans="2:9" x14ac:dyDescent="0.25">
      <c r="B1252" s="84">
        <v>19702</v>
      </c>
      <c r="D1252" s="84" t="str">
        <f t="shared" si="22"/>
        <v/>
      </c>
      <c r="H1252" s="84">
        <f>IFERROR(VLOOKUP(B1252,Заказ!B:Q,5,0),0)</f>
        <v>0</v>
      </c>
      <c r="I1252" s="84">
        <f>IFERROR(VLOOKUP(B1252,Заказ!B:Q,16,0),0)</f>
        <v>0</v>
      </c>
    </row>
    <row r="1253" spans="2:9" x14ac:dyDescent="0.25">
      <c r="B1253" s="84">
        <v>19703</v>
      </c>
      <c r="D1253" s="84" t="str">
        <f t="shared" si="22"/>
        <v/>
      </c>
      <c r="H1253" s="84">
        <f>IFERROR(VLOOKUP(B1253,Заказ!B:Q,5,0),0)</f>
        <v>0</v>
      </c>
      <c r="I1253" s="84">
        <f>IFERROR(VLOOKUP(B1253,Заказ!B:Q,16,0),0)</f>
        <v>0</v>
      </c>
    </row>
    <row r="1254" spans="2:9" x14ac:dyDescent="0.25">
      <c r="B1254" s="84">
        <v>19701</v>
      </c>
      <c r="D1254" s="84" t="str">
        <f t="shared" si="22"/>
        <v/>
      </c>
      <c r="H1254" s="84">
        <f>IFERROR(VLOOKUP(B1254,Заказ!B:Q,5,0),0)</f>
        <v>0</v>
      </c>
      <c r="I1254" s="84">
        <f>IFERROR(VLOOKUP(B1254,Заказ!B:Q,16,0),0)</f>
        <v>0</v>
      </c>
    </row>
    <row r="1255" spans="2:9" x14ac:dyDescent="0.25">
      <c r="B1255" s="84">
        <v>19696</v>
      </c>
      <c r="D1255" s="84" t="str">
        <f t="shared" si="22"/>
        <v/>
      </c>
      <c r="H1255" s="84">
        <f>IFERROR(VLOOKUP(B1255,Заказ!B:Q,5,0),0)</f>
        <v>0</v>
      </c>
      <c r="I1255" s="84">
        <f>IFERROR(VLOOKUP(B1255,Заказ!B:Q,16,0),0)</f>
        <v>0</v>
      </c>
    </row>
    <row r="1256" spans="2:9" x14ac:dyDescent="0.25">
      <c r="B1256" s="84">
        <v>19697</v>
      </c>
      <c r="D1256" s="84" t="str">
        <f t="shared" si="22"/>
        <v/>
      </c>
      <c r="H1256" s="84">
        <f>IFERROR(VLOOKUP(B1256,Заказ!B:Q,5,0),0)</f>
        <v>0</v>
      </c>
      <c r="I1256" s="84">
        <f>IFERROR(VLOOKUP(B1256,Заказ!B:Q,16,0),0)</f>
        <v>0</v>
      </c>
    </row>
    <row r="1257" spans="2:9" x14ac:dyDescent="0.25">
      <c r="B1257" s="84">
        <v>20035</v>
      </c>
      <c r="D1257" s="84" t="str">
        <f t="shared" si="22"/>
        <v/>
      </c>
      <c r="H1257" s="84">
        <f>IFERROR(VLOOKUP(B1257,Заказ!B:Q,5,0),0)</f>
        <v>0</v>
      </c>
      <c r="I1257" s="84">
        <f>IFERROR(VLOOKUP(B1257,Заказ!B:Q,16,0),0)</f>
        <v>0</v>
      </c>
    </row>
    <row r="1258" spans="2:9" x14ac:dyDescent="0.25">
      <c r="B1258" s="84">
        <v>15761</v>
      </c>
      <c r="D1258" s="84" t="str">
        <f t="shared" si="22"/>
        <v/>
      </c>
      <c r="H1258" s="84">
        <f>IFERROR(VLOOKUP(B1258,Заказ!B:Q,5,0),0)</f>
        <v>0</v>
      </c>
      <c r="I1258" s="84">
        <f>IFERROR(VLOOKUP(B1258,Заказ!B:Q,16,0),0)</f>
        <v>0</v>
      </c>
    </row>
    <row r="1259" spans="2:9" x14ac:dyDescent="0.25">
      <c r="B1259" s="84">
        <v>15763</v>
      </c>
      <c r="D1259" s="84" t="str">
        <f t="shared" si="22"/>
        <v/>
      </c>
      <c r="H1259" s="84">
        <f>IFERROR(VLOOKUP(B1259,Заказ!B:Q,5,0),0)</f>
        <v>0</v>
      </c>
      <c r="I1259" s="84">
        <f>IFERROR(VLOOKUP(B1259,Заказ!B:Q,16,0),0)</f>
        <v>0</v>
      </c>
    </row>
    <row r="1260" spans="2:9" x14ac:dyDescent="0.25">
      <c r="B1260" s="84">
        <v>15758</v>
      </c>
      <c r="D1260" s="84" t="str">
        <f t="shared" si="22"/>
        <v/>
      </c>
      <c r="H1260" s="84">
        <f>IFERROR(VLOOKUP(B1260,Заказ!B:Q,5,0),0)</f>
        <v>0</v>
      </c>
      <c r="I1260" s="84">
        <f>IFERROR(VLOOKUP(B1260,Заказ!B:Q,16,0),0)</f>
        <v>0</v>
      </c>
    </row>
    <row r="1261" spans="2:9" x14ac:dyDescent="0.25">
      <c r="B1261" s="84">
        <v>20326</v>
      </c>
      <c r="D1261" s="84" t="str">
        <f t="shared" si="22"/>
        <v/>
      </c>
      <c r="H1261" s="84">
        <f>IFERROR(VLOOKUP(B1261,Заказ!B:Q,5,0),0)</f>
        <v>0</v>
      </c>
      <c r="I1261" s="84">
        <f>IFERROR(VLOOKUP(B1261,Заказ!B:Q,16,0),0)</f>
        <v>0</v>
      </c>
    </row>
    <row r="1262" spans="2:9" x14ac:dyDescent="0.25">
      <c r="B1262" s="84">
        <v>15764</v>
      </c>
      <c r="D1262" s="84" t="str">
        <f t="shared" si="22"/>
        <v/>
      </c>
      <c r="H1262" s="84">
        <f>IFERROR(VLOOKUP(B1262,Заказ!B:Q,5,0),0)</f>
        <v>0</v>
      </c>
      <c r="I1262" s="84">
        <f>IFERROR(VLOOKUP(B1262,Заказ!B:Q,16,0),0)</f>
        <v>0</v>
      </c>
    </row>
    <row r="1263" spans="2:9" x14ac:dyDescent="0.25">
      <c r="B1263" s="84">
        <v>15765</v>
      </c>
      <c r="D1263" s="84" t="str">
        <f t="shared" si="22"/>
        <v/>
      </c>
      <c r="H1263" s="84">
        <f>IFERROR(VLOOKUP(B1263,Заказ!B:Q,5,0),0)</f>
        <v>0</v>
      </c>
      <c r="I1263" s="84">
        <f>IFERROR(VLOOKUP(B1263,Заказ!B:Q,16,0),0)</f>
        <v>0</v>
      </c>
    </row>
    <row r="1264" spans="2:9" x14ac:dyDescent="0.25">
      <c r="B1264" s="84">
        <v>15762</v>
      </c>
      <c r="D1264" s="84" t="str">
        <f t="shared" si="22"/>
        <v/>
      </c>
      <c r="H1264" s="84">
        <f>IFERROR(VLOOKUP(B1264,Заказ!B:Q,5,0),0)</f>
        <v>0</v>
      </c>
      <c r="I1264" s="84">
        <f>IFERROR(VLOOKUP(B1264,Заказ!B:Q,16,0),0)</f>
        <v>0</v>
      </c>
    </row>
    <row r="1265" spans="2:9" x14ac:dyDescent="0.25">
      <c r="B1265" s="84">
        <v>15760</v>
      </c>
      <c r="D1265" s="84" t="str">
        <f t="shared" si="22"/>
        <v/>
      </c>
      <c r="H1265" s="84">
        <f>IFERROR(VLOOKUP(B1265,Заказ!B:Q,5,0),0)</f>
        <v>0</v>
      </c>
      <c r="I1265" s="84">
        <f>IFERROR(VLOOKUP(B1265,Заказ!B:Q,16,0),0)</f>
        <v>0</v>
      </c>
    </row>
    <row r="1266" spans="2:9" x14ac:dyDescent="0.25">
      <c r="B1266" s="84">
        <v>15759</v>
      </c>
      <c r="D1266" s="84" t="str">
        <f t="shared" si="22"/>
        <v/>
      </c>
      <c r="H1266" s="84">
        <f>IFERROR(VLOOKUP(B1266,Заказ!B:Q,5,0),0)</f>
        <v>0</v>
      </c>
      <c r="I1266" s="84">
        <f>IFERROR(VLOOKUP(B1266,Заказ!B:Q,16,0),0)</f>
        <v>0</v>
      </c>
    </row>
    <row r="1267" spans="2:9" x14ac:dyDescent="0.25">
      <c r="B1267" s="84">
        <v>15817</v>
      </c>
      <c r="D1267" s="84" t="str">
        <f t="shared" si="22"/>
        <v/>
      </c>
      <c r="H1267" s="84">
        <f>IFERROR(VLOOKUP(B1267,Заказ!B:Q,5,0),0)</f>
        <v>0</v>
      </c>
      <c r="I1267" s="84">
        <f>IFERROR(VLOOKUP(B1267,Заказ!B:Q,16,0),0)</f>
        <v>0</v>
      </c>
    </row>
    <row r="1268" spans="2:9" x14ac:dyDescent="0.25">
      <c r="B1268" s="84">
        <v>15818</v>
      </c>
      <c r="D1268" s="84" t="str">
        <f t="shared" si="22"/>
        <v/>
      </c>
      <c r="H1268" s="84">
        <f>IFERROR(VLOOKUP(B1268,Заказ!B:Q,5,0),0)</f>
        <v>0</v>
      </c>
      <c r="I1268" s="84">
        <f>IFERROR(VLOOKUP(B1268,Заказ!B:Q,16,0),0)</f>
        <v>0</v>
      </c>
    </row>
    <row r="1269" spans="2:9" x14ac:dyDescent="0.25">
      <c r="B1269" s="84">
        <v>15819</v>
      </c>
      <c r="D1269" s="84" t="str">
        <f t="shared" ref="D1269:D1282" si="23">IFERROR(ROUND(I1269/H1269,2),"")</f>
        <v/>
      </c>
      <c r="H1269" s="84">
        <f>IFERROR(VLOOKUP(B1269,Заказ!B:Q,5,0),0)</f>
        <v>0</v>
      </c>
      <c r="I1269" s="84">
        <f>IFERROR(VLOOKUP(B1269,Заказ!B:Q,16,0),0)</f>
        <v>0</v>
      </c>
    </row>
    <row r="1270" spans="2:9" x14ac:dyDescent="0.25">
      <c r="B1270" s="84">
        <v>15750</v>
      </c>
      <c r="D1270" s="84" t="str">
        <f t="shared" si="23"/>
        <v/>
      </c>
      <c r="H1270" s="84">
        <f>IFERROR(VLOOKUP(B1270,Заказ!B:Q,5,0),0)</f>
        <v>0</v>
      </c>
      <c r="I1270" s="84">
        <f>IFERROR(VLOOKUP(B1270,Заказ!B:Q,16,0),0)</f>
        <v>0</v>
      </c>
    </row>
    <row r="1271" spans="2:9" x14ac:dyDescent="0.25">
      <c r="B1271" s="84">
        <v>15752</v>
      </c>
      <c r="D1271" s="84" t="str">
        <f t="shared" si="23"/>
        <v/>
      </c>
      <c r="H1271" s="84">
        <f>IFERROR(VLOOKUP(B1271,Заказ!B:Q,5,0),0)</f>
        <v>0</v>
      </c>
      <c r="I1271" s="84">
        <f>IFERROR(VLOOKUP(B1271,Заказ!B:Q,16,0),0)</f>
        <v>0</v>
      </c>
    </row>
    <row r="1272" spans="2:9" x14ac:dyDescent="0.25">
      <c r="B1272" s="84">
        <v>15748</v>
      </c>
      <c r="D1272" s="84" t="str">
        <f t="shared" si="23"/>
        <v/>
      </c>
      <c r="H1272" s="84">
        <f>IFERROR(VLOOKUP(B1272,Заказ!B:Q,5,0),0)</f>
        <v>0</v>
      </c>
      <c r="I1272" s="84">
        <f>IFERROR(VLOOKUP(B1272,Заказ!B:Q,16,0),0)</f>
        <v>0</v>
      </c>
    </row>
    <row r="1273" spans="2:9" x14ac:dyDescent="0.25">
      <c r="B1273" s="84">
        <v>17711</v>
      </c>
      <c r="D1273" s="84" t="str">
        <f t="shared" si="23"/>
        <v/>
      </c>
      <c r="H1273" s="84">
        <f>IFERROR(VLOOKUP(B1273,Заказ!B:Q,5,0),0)</f>
        <v>0</v>
      </c>
      <c r="I1273" s="84">
        <f>IFERROR(VLOOKUP(B1273,Заказ!B:Q,16,0),0)</f>
        <v>0</v>
      </c>
    </row>
    <row r="1274" spans="2:9" x14ac:dyDescent="0.25">
      <c r="B1274" s="84">
        <v>15753</v>
      </c>
      <c r="D1274" s="84" t="str">
        <f t="shared" si="23"/>
        <v/>
      </c>
      <c r="H1274" s="84">
        <f>IFERROR(VLOOKUP(B1274,Заказ!B:Q,5,0),0)</f>
        <v>0</v>
      </c>
      <c r="I1274" s="84">
        <f>IFERROR(VLOOKUP(B1274,Заказ!B:Q,16,0),0)</f>
        <v>0</v>
      </c>
    </row>
    <row r="1275" spans="2:9" x14ac:dyDescent="0.25">
      <c r="B1275" s="84">
        <v>15895</v>
      </c>
      <c r="D1275" s="84" t="str">
        <f t="shared" si="23"/>
        <v/>
      </c>
      <c r="H1275" s="84">
        <f>IFERROR(VLOOKUP(B1275,Заказ!B:Q,5,0),0)</f>
        <v>0</v>
      </c>
      <c r="I1275" s="84">
        <f>IFERROR(VLOOKUP(B1275,Заказ!B:Q,16,0),0)</f>
        <v>0</v>
      </c>
    </row>
    <row r="1276" spans="2:9" x14ac:dyDescent="0.25">
      <c r="B1276" s="84">
        <v>15749</v>
      </c>
      <c r="D1276" s="84" t="str">
        <f t="shared" si="23"/>
        <v/>
      </c>
      <c r="H1276" s="84">
        <f>IFERROR(VLOOKUP(B1276,Заказ!B:Q,5,0),0)</f>
        <v>0</v>
      </c>
      <c r="I1276" s="84">
        <f>IFERROR(VLOOKUP(B1276,Заказ!B:Q,16,0),0)</f>
        <v>0</v>
      </c>
    </row>
    <row r="1277" spans="2:9" x14ac:dyDescent="0.25">
      <c r="B1277" s="84">
        <v>15820</v>
      </c>
      <c r="D1277" s="84" t="str">
        <f t="shared" si="23"/>
        <v/>
      </c>
      <c r="H1277" s="84">
        <f>IFERROR(VLOOKUP(B1277,Заказ!B:Q,5,0),0)</f>
        <v>0</v>
      </c>
      <c r="I1277" s="84">
        <f>IFERROR(VLOOKUP(B1277,Заказ!B:Q,16,0),0)</f>
        <v>0</v>
      </c>
    </row>
    <row r="1278" spans="2:9" x14ac:dyDescent="0.25">
      <c r="B1278" s="84">
        <v>15816</v>
      </c>
      <c r="D1278" s="84" t="str">
        <f t="shared" si="23"/>
        <v/>
      </c>
      <c r="H1278" s="84">
        <f>IFERROR(VLOOKUP(B1278,Заказ!B:Q,5,0),0)</f>
        <v>0</v>
      </c>
      <c r="I1278" s="84">
        <f>IFERROR(VLOOKUP(B1278,Заказ!B:Q,16,0),0)</f>
        <v>0</v>
      </c>
    </row>
    <row r="1279" spans="2:9" x14ac:dyDescent="0.25">
      <c r="B1279" s="84">
        <v>15751</v>
      </c>
      <c r="D1279" s="84" t="str">
        <f t="shared" si="23"/>
        <v/>
      </c>
      <c r="H1279" s="84">
        <f>IFERROR(VLOOKUP(B1279,Заказ!B:Q,5,0),0)</f>
        <v>0</v>
      </c>
      <c r="I1279" s="84">
        <f>IFERROR(VLOOKUP(B1279,Заказ!B:Q,16,0),0)</f>
        <v>0</v>
      </c>
    </row>
    <row r="1280" spans="2:9" x14ac:dyDescent="0.25">
      <c r="B1280" s="84">
        <v>19380</v>
      </c>
      <c r="D1280" s="84" t="str">
        <f t="shared" si="23"/>
        <v/>
      </c>
      <c r="H1280" s="84">
        <f>IFERROR(VLOOKUP(B1280,Заказ!B:Q,5,0),0)</f>
        <v>0</v>
      </c>
      <c r="I1280" s="84">
        <f>IFERROR(VLOOKUP(B1280,Заказ!B:Q,16,0),0)</f>
        <v>0</v>
      </c>
    </row>
    <row r="1281" spans="2:9" x14ac:dyDescent="0.25">
      <c r="B1281" s="84">
        <v>19383</v>
      </c>
      <c r="D1281" s="84" t="str">
        <f t="shared" si="23"/>
        <v/>
      </c>
      <c r="H1281" s="84">
        <f>IFERROR(VLOOKUP(B1281,Заказ!B:Q,5,0),0)</f>
        <v>0</v>
      </c>
      <c r="I1281" s="84">
        <f>IFERROR(VLOOKUP(B1281,Заказ!B:Q,16,0),0)</f>
        <v>0</v>
      </c>
    </row>
    <row r="1282" spans="2:9" x14ac:dyDescent="0.25">
      <c r="B1282" s="84">
        <v>19382</v>
      </c>
      <c r="D1282" s="84" t="str">
        <f t="shared" si="23"/>
        <v/>
      </c>
      <c r="H1282" s="84">
        <f>IFERROR(VLOOKUP(B1282,Заказ!B:Q,5,0),0)</f>
        <v>0</v>
      </c>
      <c r="I1282" s="84">
        <f>IFERROR(VLOOKUP(B1282,Заказ!B:Q,16,0),0)</f>
        <v>0</v>
      </c>
    </row>
    <row r="1283" spans="2:9" x14ac:dyDescent="0.25">
      <c r="B1283" s="84">
        <v>19384</v>
      </c>
      <c r="D1283" s="84" t="str">
        <f t="shared" si="22"/>
        <v/>
      </c>
      <c r="H1283" s="84">
        <f>IFERROR(VLOOKUP(B1283,Заказ!B:Q,5,0),0)</f>
        <v>0</v>
      </c>
      <c r="I1283" s="84">
        <f>IFERROR(VLOOKUP(B1283,Заказ!B:Q,16,0),0)</f>
        <v>0</v>
      </c>
    </row>
    <row r="1284" spans="2:9" x14ac:dyDescent="0.25">
      <c r="B1284" s="84">
        <v>19386</v>
      </c>
      <c r="D1284" s="84" t="str">
        <f t="shared" si="22"/>
        <v/>
      </c>
      <c r="H1284" s="84">
        <f>IFERROR(VLOOKUP(B1284,Заказ!B:Q,5,0),0)</f>
        <v>0</v>
      </c>
      <c r="I1284" s="84">
        <f>IFERROR(VLOOKUP(B1284,Заказ!B:Q,16,0),0)</f>
        <v>0</v>
      </c>
    </row>
    <row r="1285" spans="2:9" x14ac:dyDescent="0.25">
      <c r="B1285" s="84">
        <v>19385</v>
      </c>
      <c r="D1285" s="84" t="str">
        <f t="shared" si="22"/>
        <v/>
      </c>
      <c r="H1285" s="84">
        <f>IFERROR(VLOOKUP(B1285,Заказ!B:Q,5,0),0)</f>
        <v>0</v>
      </c>
      <c r="I1285" s="84">
        <f>IFERROR(VLOOKUP(B1285,Заказ!B:Q,16,0),0)</f>
        <v>0</v>
      </c>
    </row>
    <row r="1286" spans="2:9" x14ac:dyDescent="0.25">
      <c r="B1286" s="84">
        <v>21238</v>
      </c>
      <c r="D1286" s="84" t="str">
        <f t="shared" si="22"/>
        <v/>
      </c>
      <c r="H1286" s="84">
        <f>IFERROR(VLOOKUP(B1286,Заказ!B:Q,5,0),0)</f>
        <v>0</v>
      </c>
      <c r="I1286" s="84">
        <f>IFERROR(VLOOKUP(B1286,Заказ!B:Q,16,0),0)</f>
        <v>0</v>
      </c>
    </row>
    <row r="1287" spans="2:9" x14ac:dyDescent="0.25">
      <c r="B1287" s="84">
        <v>21239</v>
      </c>
      <c r="D1287" s="84" t="str">
        <f t="shared" si="22"/>
        <v/>
      </c>
      <c r="H1287" s="84">
        <f>IFERROR(VLOOKUP(B1287,Заказ!B:Q,5,0),0)</f>
        <v>0</v>
      </c>
      <c r="I1287" s="84">
        <f>IFERROR(VLOOKUP(B1287,Заказ!B:Q,16,0),0)</f>
        <v>0</v>
      </c>
    </row>
    <row r="1288" spans="2:9" x14ac:dyDescent="0.25">
      <c r="B1288" s="84">
        <v>18512</v>
      </c>
      <c r="D1288" s="84" t="str">
        <f t="shared" si="22"/>
        <v/>
      </c>
      <c r="H1288" s="84">
        <f>IFERROR(VLOOKUP(B1288,Заказ!B:Q,5,0),0)</f>
        <v>0</v>
      </c>
      <c r="I1288" s="84">
        <f>IFERROR(VLOOKUP(B1288,Заказ!B:Q,16,0),0)</f>
        <v>0</v>
      </c>
    </row>
    <row r="1289" spans="2:9" x14ac:dyDescent="0.25">
      <c r="B1289" s="84">
        <v>18511</v>
      </c>
      <c r="D1289" s="84" t="str">
        <f t="shared" si="22"/>
        <v/>
      </c>
      <c r="H1289" s="84">
        <f>IFERROR(VLOOKUP(B1289,Заказ!B:Q,5,0),0)</f>
        <v>0</v>
      </c>
      <c r="I1289" s="84">
        <f>IFERROR(VLOOKUP(B1289,Заказ!B:Q,16,0),0)</f>
        <v>0</v>
      </c>
    </row>
    <row r="1290" spans="2:9" x14ac:dyDescent="0.25">
      <c r="B1290" s="84">
        <v>18510</v>
      </c>
      <c r="D1290" s="84" t="str">
        <f t="shared" si="22"/>
        <v/>
      </c>
      <c r="H1290" s="84">
        <f>IFERROR(VLOOKUP(B1290,Заказ!B:Q,5,0),0)</f>
        <v>0</v>
      </c>
      <c r="I1290" s="84">
        <f>IFERROR(VLOOKUP(B1290,Заказ!B:Q,16,0),0)</f>
        <v>0</v>
      </c>
    </row>
    <row r="1291" spans="2:9" x14ac:dyDescent="0.25">
      <c r="B1291" s="84">
        <v>18534</v>
      </c>
      <c r="D1291" s="84" t="str">
        <f t="shared" si="22"/>
        <v/>
      </c>
      <c r="H1291" s="84">
        <f>IFERROR(VLOOKUP(B1291,Заказ!B:Q,5,0),0)</f>
        <v>0</v>
      </c>
      <c r="I1291" s="84">
        <f>IFERROR(VLOOKUP(B1291,Заказ!B:Q,16,0),0)</f>
        <v>0</v>
      </c>
    </row>
    <row r="1292" spans="2:9" x14ac:dyDescent="0.25">
      <c r="B1292" s="84">
        <v>18513</v>
      </c>
      <c r="D1292" s="84" t="str">
        <f t="shared" si="22"/>
        <v/>
      </c>
      <c r="H1292" s="84">
        <f>IFERROR(VLOOKUP(B1292,Заказ!B:Q,5,0),0)</f>
        <v>0</v>
      </c>
      <c r="I1292" s="84">
        <f>IFERROR(VLOOKUP(B1292,Заказ!B:Q,16,0),0)</f>
        <v>0</v>
      </c>
    </row>
    <row r="1293" spans="2:9" x14ac:dyDescent="0.25">
      <c r="B1293" s="84">
        <v>15757</v>
      </c>
      <c r="D1293" s="84" t="str">
        <f t="shared" si="22"/>
        <v/>
      </c>
      <c r="H1293" s="84">
        <f>IFERROR(VLOOKUP(B1293,Заказ!B:Q,5,0),0)</f>
        <v>0</v>
      </c>
      <c r="I1293" s="84">
        <f>IFERROR(VLOOKUP(B1293,Заказ!B:Q,16,0),0)</f>
        <v>0</v>
      </c>
    </row>
    <row r="1294" spans="2:9" x14ac:dyDescent="0.25">
      <c r="B1294" s="84">
        <v>15754</v>
      </c>
      <c r="D1294" s="84" t="str">
        <f t="shared" si="22"/>
        <v/>
      </c>
      <c r="H1294" s="84">
        <f>IFERROR(VLOOKUP(B1294,Заказ!B:Q,5,0),0)</f>
        <v>0</v>
      </c>
      <c r="I1294" s="84">
        <f>IFERROR(VLOOKUP(B1294,Заказ!B:Q,16,0),0)</f>
        <v>0</v>
      </c>
    </row>
    <row r="1295" spans="2:9" x14ac:dyDescent="0.25">
      <c r="B1295" s="84">
        <v>19751</v>
      </c>
      <c r="D1295" s="84" t="str">
        <f t="shared" si="22"/>
        <v/>
      </c>
      <c r="H1295" s="84">
        <f>IFERROR(VLOOKUP(B1295,Заказ!B:Q,5,0),0)</f>
        <v>0</v>
      </c>
      <c r="I1295" s="84">
        <f>IFERROR(VLOOKUP(B1295,Заказ!B:Q,16,0),0)</f>
        <v>0</v>
      </c>
    </row>
    <row r="1296" spans="2:9" x14ac:dyDescent="0.25">
      <c r="B1296" s="84">
        <v>19752</v>
      </c>
      <c r="D1296" s="84" t="str">
        <f t="shared" si="22"/>
        <v/>
      </c>
      <c r="H1296" s="84">
        <f>IFERROR(VLOOKUP(B1296,Заказ!B:Q,5,0),0)</f>
        <v>0</v>
      </c>
      <c r="I1296" s="84">
        <f>IFERROR(VLOOKUP(B1296,Заказ!B:Q,16,0),0)</f>
        <v>0</v>
      </c>
    </row>
    <row r="1297" spans="2:9" x14ac:dyDescent="0.25">
      <c r="B1297" s="84">
        <v>19753</v>
      </c>
      <c r="D1297" s="84" t="str">
        <f t="shared" si="22"/>
        <v/>
      </c>
      <c r="H1297" s="84">
        <f>IFERROR(VLOOKUP(B1297,Заказ!B:Q,5,0),0)</f>
        <v>0</v>
      </c>
      <c r="I1297" s="84">
        <f>IFERROR(VLOOKUP(B1297,Заказ!B:Q,16,0),0)</f>
        <v>0</v>
      </c>
    </row>
    <row r="1298" spans="2:9" x14ac:dyDescent="0.25">
      <c r="B1298" s="84">
        <v>19749</v>
      </c>
      <c r="D1298" s="84" t="str">
        <f t="shared" si="22"/>
        <v/>
      </c>
      <c r="H1298" s="84">
        <f>IFERROR(VLOOKUP(B1298,Заказ!B:Q,5,0),0)</f>
        <v>0</v>
      </c>
      <c r="I1298" s="84">
        <f>IFERROR(VLOOKUP(B1298,Заказ!B:Q,16,0),0)</f>
        <v>0</v>
      </c>
    </row>
    <row r="1299" spans="2:9" x14ac:dyDescent="0.25">
      <c r="B1299" s="84">
        <v>19750</v>
      </c>
      <c r="D1299" s="84" t="str">
        <f t="shared" si="22"/>
        <v/>
      </c>
      <c r="H1299" s="84">
        <f>IFERROR(VLOOKUP(B1299,Заказ!B:Q,5,0),0)</f>
        <v>0</v>
      </c>
      <c r="I1299" s="84">
        <f>IFERROR(VLOOKUP(B1299,Заказ!B:Q,16,0),0)</f>
        <v>0</v>
      </c>
    </row>
    <row r="1300" spans="2:9" x14ac:dyDescent="0.25">
      <c r="B1300" s="84">
        <v>20168</v>
      </c>
      <c r="D1300" s="84" t="str">
        <f t="shared" si="22"/>
        <v/>
      </c>
      <c r="H1300" s="84">
        <f>IFERROR(VLOOKUP(B1300,Заказ!B:Q,5,0),0)</f>
        <v>0</v>
      </c>
      <c r="I1300" s="84">
        <f>IFERROR(VLOOKUP(B1300,Заказ!B:Q,16,0),0)</f>
        <v>0</v>
      </c>
    </row>
    <row r="1301" spans="2:9" x14ac:dyDescent="0.25">
      <c r="B1301" s="84">
        <v>20327</v>
      </c>
      <c r="D1301" s="84" t="str">
        <f t="shared" si="22"/>
        <v/>
      </c>
      <c r="H1301" s="84">
        <f>IFERROR(VLOOKUP(B1301,Заказ!B:Q,5,0),0)</f>
        <v>0</v>
      </c>
      <c r="I1301" s="84">
        <f>IFERROR(VLOOKUP(B1301,Заказ!B:Q,16,0),0)</f>
        <v>0</v>
      </c>
    </row>
    <row r="1302" spans="2:9" x14ac:dyDescent="0.25">
      <c r="B1302" s="84">
        <v>20169</v>
      </c>
      <c r="D1302" s="84" t="str">
        <f t="shared" si="22"/>
        <v/>
      </c>
      <c r="H1302" s="84">
        <f>IFERROR(VLOOKUP(B1302,Заказ!B:Q,5,0),0)</f>
        <v>0</v>
      </c>
      <c r="I1302" s="84">
        <f>IFERROR(VLOOKUP(B1302,Заказ!B:Q,16,0),0)</f>
        <v>0</v>
      </c>
    </row>
    <row r="1303" spans="2:9" x14ac:dyDescent="0.25">
      <c r="B1303" s="84">
        <v>20170</v>
      </c>
      <c r="D1303" s="84" t="str">
        <f t="shared" si="22"/>
        <v/>
      </c>
      <c r="H1303" s="84">
        <f>IFERROR(VLOOKUP(B1303,Заказ!B:Q,5,0),0)</f>
        <v>0</v>
      </c>
      <c r="I1303" s="84">
        <f>IFERROR(VLOOKUP(B1303,Заказ!B:Q,16,0),0)</f>
        <v>0</v>
      </c>
    </row>
    <row r="1304" spans="2:9" x14ac:dyDescent="0.25">
      <c r="B1304" s="84">
        <v>15756</v>
      </c>
      <c r="D1304" s="84" t="str">
        <f t="shared" si="22"/>
        <v/>
      </c>
      <c r="H1304" s="84">
        <f>IFERROR(VLOOKUP(B1304,Заказ!B:Q,5,0),0)</f>
        <v>0</v>
      </c>
      <c r="I1304" s="84">
        <f>IFERROR(VLOOKUP(B1304,Заказ!B:Q,16,0),0)</f>
        <v>0</v>
      </c>
    </row>
    <row r="1305" spans="2:9" x14ac:dyDescent="0.25">
      <c r="B1305" s="84">
        <v>16917</v>
      </c>
      <c r="D1305" s="84" t="str">
        <f t="shared" si="22"/>
        <v/>
      </c>
      <c r="H1305" s="84">
        <f>IFERROR(VLOOKUP(B1305,Заказ!B:Q,5,0),0)</f>
        <v>0</v>
      </c>
      <c r="I1305" s="84">
        <f>IFERROR(VLOOKUP(B1305,Заказ!B:Q,16,0),0)</f>
        <v>0</v>
      </c>
    </row>
    <row r="1306" spans="2:9" x14ac:dyDescent="0.25">
      <c r="B1306" s="84">
        <v>16902</v>
      </c>
      <c r="D1306" s="84" t="str">
        <f t="shared" si="22"/>
        <v/>
      </c>
      <c r="H1306" s="84">
        <f>IFERROR(VLOOKUP(B1306,Заказ!B:Q,5,0),0)</f>
        <v>0</v>
      </c>
      <c r="I1306" s="84">
        <f>IFERROR(VLOOKUP(B1306,Заказ!B:Q,16,0),0)</f>
        <v>0</v>
      </c>
    </row>
    <row r="1307" spans="2:9" x14ac:dyDescent="0.25">
      <c r="B1307" s="84">
        <v>17510</v>
      </c>
      <c r="D1307" s="84" t="str">
        <f t="shared" si="22"/>
        <v/>
      </c>
      <c r="H1307" s="84">
        <f>IFERROR(VLOOKUP(B1307,Заказ!B:Q,5,0),0)</f>
        <v>0</v>
      </c>
      <c r="I1307" s="84">
        <f>IFERROR(VLOOKUP(B1307,Заказ!B:Q,16,0),0)</f>
        <v>0</v>
      </c>
    </row>
    <row r="1308" spans="2:9" x14ac:dyDescent="0.25">
      <c r="B1308" s="84">
        <v>17513</v>
      </c>
      <c r="D1308" s="84" t="str">
        <f t="shared" si="22"/>
        <v/>
      </c>
      <c r="H1308" s="84">
        <f>IFERROR(VLOOKUP(B1308,Заказ!B:Q,5,0),0)</f>
        <v>0</v>
      </c>
      <c r="I1308" s="84">
        <f>IFERROR(VLOOKUP(B1308,Заказ!B:Q,16,0),0)</f>
        <v>0</v>
      </c>
    </row>
    <row r="1309" spans="2:9" x14ac:dyDescent="0.25">
      <c r="B1309" s="84">
        <v>17512</v>
      </c>
      <c r="D1309" s="84" t="str">
        <f t="shared" si="22"/>
        <v/>
      </c>
      <c r="H1309" s="84">
        <f>IFERROR(VLOOKUP(B1309,Заказ!B:Q,5,0),0)</f>
        <v>0</v>
      </c>
      <c r="I1309" s="84">
        <f>IFERROR(VLOOKUP(B1309,Заказ!B:Q,16,0),0)</f>
        <v>0</v>
      </c>
    </row>
    <row r="1310" spans="2:9" x14ac:dyDescent="0.25">
      <c r="B1310" s="84">
        <v>17514</v>
      </c>
      <c r="D1310" s="84" t="str">
        <f t="shared" si="22"/>
        <v/>
      </c>
      <c r="H1310" s="84">
        <f>IFERROR(VLOOKUP(B1310,Заказ!B:Q,5,0),0)</f>
        <v>0</v>
      </c>
      <c r="I1310" s="84">
        <f>IFERROR(VLOOKUP(B1310,Заказ!B:Q,16,0),0)</f>
        <v>0</v>
      </c>
    </row>
    <row r="1311" spans="2:9" x14ac:dyDescent="0.25">
      <c r="B1311" s="84">
        <v>17511</v>
      </c>
      <c r="D1311" s="84" t="str">
        <f t="shared" si="22"/>
        <v/>
      </c>
      <c r="H1311" s="84">
        <f>IFERROR(VLOOKUP(B1311,Заказ!B:Q,5,0),0)</f>
        <v>0</v>
      </c>
      <c r="I1311" s="84">
        <f>IFERROR(VLOOKUP(B1311,Заказ!B:Q,16,0),0)</f>
        <v>0</v>
      </c>
    </row>
    <row r="1312" spans="2:9" x14ac:dyDescent="0.25">
      <c r="B1312" s="84">
        <v>17515</v>
      </c>
      <c r="D1312" s="84" t="str">
        <f t="shared" si="22"/>
        <v/>
      </c>
      <c r="H1312" s="84">
        <f>IFERROR(VLOOKUP(B1312,Заказ!B:Q,5,0),0)</f>
        <v>0</v>
      </c>
      <c r="I1312" s="84">
        <f>IFERROR(VLOOKUP(B1312,Заказ!B:Q,16,0),0)</f>
        <v>0</v>
      </c>
    </row>
    <row r="1313" spans="2:9" x14ac:dyDescent="0.25">
      <c r="B1313" s="84">
        <v>15984</v>
      </c>
      <c r="D1313" s="84" t="str">
        <f t="shared" si="22"/>
        <v/>
      </c>
      <c r="H1313" s="84">
        <f>IFERROR(VLOOKUP(B1313,Заказ!B:Q,5,0),0)</f>
        <v>0</v>
      </c>
      <c r="I1313" s="84">
        <f>IFERROR(VLOOKUP(B1313,Заказ!B:Q,16,0),0)</f>
        <v>0</v>
      </c>
    </row>
    <row r="1314" spans="2:9" x14ac:dyDescent="0.25">
      <c r="B1314" s="84">
        <v>15987</v>
      </c>
      <c r="D1314" s="84" t="str">
        <f t="shared" si="22"/>
        <v/>
      </c>
      <c r="H1314" s="84">
        <f>IFERROR(VLOOKUP(B1314,Заказ!B:Q,5,0),0)</f>
        <v>0</v>
      </c>
      <c r="I1314" s="84">
        <f>IFERROR(VLOOKUP(B1314,Заказ!B:Q,16,0),0)</f>
        <v>0</v>
      </c>
    </row>
    <row r="1315" spans="2:9" x14ac:dyDescent="0.25">
      <c r="B1315" s="84">
        <v>15985</v>
      </c>
      <c r="D1315" s="84" t="str">
        <f t="shared" si="22"/>
        <v/>
      </c>
      <c r="H1315" s="84">
        <f>IFERROR(VLOOKUP(B1315,Заказ!B:Q,5,0),0)</f>
        <v>0</v>
      </c>
      <c r="I1315" s="84">
        <f>IFERROR(VLOOKUP(B1315,Заказ!B:Q,16,0),0)</f>
        <v>0</v>
      </c>
    </row>
    <row r="1316" spans="2:9" x14ac:dyDescent="0.25">
      <c r="B1316" s="84">
        <v>20550</v>
      </c>
      <c r="D1316" s="84" t="str">
        <f t="shared" si="22"/>
        <v/>
      </c>
      <c r="H1316" s="84">
        <f>IFERROR(VLOOKUP(B1316,Заказ!B:Q,5,0),0)</f>
        <v>0</v>
      </c>
      <c r="I1316" s="84">
        <f>IFERROR(VLOOKUP(B1316,Заказ!B:Q,16,0),0)</f>
        <v>0</v>
      </c>
    </row>
    <row r="1317" spans="2:9" x14ac:dyDescent="0.25">
      <c r="B1317" s="84">
        <v>15988</v>
      </c>
      <c r="D1317" s="84" t="str">
        <f t="shared" si="22"/>
        <v/>
      </c>
      <c r="H1317" s="84">
        <f>IFERROR(VLOOKUP(B1317,Заказ!B:Q,5,0),0)</f>
        <v>0</v>
      </c>
      <c r="I1317" s="84">
        <f>IFERROR(VLOOKUP(B1317,Заказ!B:Q,16,0),0)</f>
        <v>0</v>
      </c>
    </row>
    <row r="1318" spans="2:9" x14ac:dyDescent="0.25">
      <c r="B1318" s="84">
        <v>15979</v>
      </c>
      <c r="D1318" s="84" t="str">
        <f t="shared" si="22"/>
        <v/>
      </c>
      <c r="H1318" s="84">
        <f>IFERROR(VLOOKUP(B1318,Заказ!B:Q,5,0),0)</f>
        <v>0</v>
      </c>
      <c r="I1318" s="84">
        <f>IFERROR(VLOOKUP(B1318,Заказ!B:Q,16,0),0)</f>
        <v>0</v>
      </c>
    </row>
    <row r="1319" spans="2:9" x14ac:dyDescent="0.25">
      <c r="B1319" s="84">
        <v>15978</v>
      </c>
      <c r="D1319" s="84" t="str">
        <f t="shared" si="22"/>
        <v/>
      </c>
      <c r="H1319" s="84">
        <f>IFERROR(VLOOKUP(B1319,Заказ!B:Q,5,0),0)</f>
        <v>0</v>
      </c>
      <c r="I1319" s="84">
        <f>IFERROR(VLOOKUP(B1319,Заказ!B:Q,16,0),0)</f>
        <v>0</v>
      </c>
    </row>
    <row r="1320" spans="2:9" x14ac:dyDescent="0.25">
      <c r="B1320" s="84">
        <v>15976</v>
      </c>
      <c r="D1320" s="84" t="str">
        <f t="shared" si="22"/>
        <v/>
      </c>
      <c r="H1320" s="84">
        <f>IFERROR(VLOOKUP(B1320,Заказ!B:Q,5,0),0)</f>
        <v>0</v>
      </c>
      <c r="I1320" s="84">
        <f>IFERROR(VLOOKUP(B1320,Заказ!B:Q,16,0),0)</f>
        <v>0</v>
      </c>
    </row>
    <row r="1321" spans="2:9" x14ac:dyDescent="0.25">
      <c r="B1321" s="84">
        <v>15982</v>
      </c>
      <c r="D1321" s="84" t="str">
        <f t="shared" si="22"/>
        <v/>
      </c>
      <c r="H1321" s="84">
        <f>IFERROR(VLOOKUP(B1321,Заказ!B:Q,5,0),0)</f>
        <v>0</v>
      </c>
      <c r="I1321" s="84">
        <f>IFERROR(VLOOKUP(B1321,Заказ!B:Q,16,0),0)</f>
        <v>0</v>
      </c>
    </row>
    <row r="1322" spans="2:9" x14ac:dyDescent="0.25">
      <c r="B1322" s="84">
        <v>20554</v>
      </c>
      <c r="D1322" s="84" t="str">
        <f t="shared" si="22"/>
        <v/>
      </c>
      <c r="H1322" s="84">
        <f>IFERROR(VLOOKUP(B1322,Заказ!B:Q,5,0),0)</f>
        <v>0</v>
      </c>
      <c r="I1322" s="84">
        <f>IFERROR(VLOOKUP(B1322,Заказ!B:Q,16,0),0)</f>
        <v>0</v>
      </c>
    </row>
    <row r="1323" spans="2:9" x14ac:dyDescent="0.25">
      <c r="B1323" s="84">
        <v>15977</v>
      </c>
      <c r="D1323" s="84" t="str">
        <f t="shared" si="22"/>
        <v/>
      </c>
      <c r="H1323" s="84">
        <f>IFERROR(VLOOKUP(B1323,Заказ!B:Q,5,0),0)</f>
        <v>0</v>
      </c>
      <c r="I1323" s="84">
        <f>IFERROR(VLOOKUP(B1323,Заказ!B:Q,16,0),0)</f>
        <v>0</v>
      </c>
    </row>
    <row r="1324" spans="2:9" x14ac:dyDescent="0.25">
      <c r="B1324" s="84">
        <v>19710</v>
      </c>
      <c r="D1324" s="84" t="str">
        <f t="shared" si="22"/>
        <v/>
      </c>
      <c r="H1324" s="84">
        <f>IFERROR(VLOOKUP(B1324,Заказ!B:Q,5,0),0)</f>
        <v>0</v>
      </c>
      <c r="I1324" s="84">
        <f>IFERROR(VLOOKUP(B1324,Заказ!B:Q,16,0),0)</f>
        <v>0</v>
      </c>
    </row>
    <row r="1325" spans="2:9" x14ac:dyDescent="0.25">
      <c r="B1325" s="84">
        <v>19547</v>
      </c>
      <c r="D1325" s="84" t="str">
        <f t="shared" si="22"/>
        <v/>
      </c>
      <c r="H1325" s="84">
        <f>IFERROR(VLOOKUP(B1325,Заказ!B:Q,5,0),0)</f>
        <v>0</v>
      </c>
      <c r="I1325" s="84">
        <f>IFERROR(VLOOKUP(B1325,Заказ!B:Q,16,0),0)</f>
        <v>0</v>
      </c>
    </row>
    <row r="1326" spans="2:9" x14ac:dyDescent="0.25">
      <c r="B1326" s="84">
        <v>19711</v>
      </c>
      <c r="D1326" s="84" t="str">
        <f t="shared" si="22"/>
        <v/>
      </c>
      <c r="H1326" s="84">
        <f>IFERROR(VLOOKUP(B1326,Заказ!B:Q,5,0),0)</f>
        <v>0</v>
      </c>
      <c r="I1326" s="84">
        <f>IFERROR(VLOOKUP(B1326,Заказ!B:Q,16,0),0)</f>
        <v>0</v>
      </c>
    </row>
    <row r="1327" spans="2:9" x14ac:dyDescent="0.25">
      <c r="B1327" s="84">
        <v>18733</v>
      </c>
      <c r="D1327" s="84" t="str">
        <f t="shared" si="22"/>
        <v/>
      </c>
      <c r="H1327" s="84">
        <f>IFERROR(VLOOKUP(B1327,Заказ!B:Q,5,0),0)</f>
        <v>0</v>
      </c>
      <c r="I1327" s="84">
        <f>IFERROR(VLOOKUP(B1327,Заказ!B:Q,16,0),0)</f>
        <v>0</v>
      </c>
    </row>
    <row r="1328" spans="2:9" x14ac:dyDescent="0.25">
      <c r="B1328" s="84">
        <v>20630</v>
      </c>
      <c r="D1328" s="84" t="str">
        <f t="shared" si="22"/>
        <v/>
      </c>
      <c r="H1328" s="84">
        <f>IFERROR(VLOOKUP(B1328,Заказ!B:Q,5,0),0)</f>
        <v>0</v>
      </c>
      <c r="I1328" s="84">
        <f>IFERROR(VLOOKUP(B1328,Заказ!B:Q,16,0),0)</f>
        <v>0</v>
      </c>
    </row>
    <row r="1329" spans="2:9" x14ac:dyDescent="0.25">
      <c r="B1329" s="84">
        <v>20602</v>
      </c>
      <c r="D1329" s="84" t="str">
        <f t="shared" si="22"/>
        <v/>
      </c>
      <c r="H1329" s="84">
        <f>IFERROR(VLOOKUP(B1329,Заказ!B:Q,5,0),0)</f>
        <v>0</v>
      </c>
      <c r="I1329" s="84">
        <f>IFERROR(VLOOKUP(B1329,Заказ!B:Q,16,0),0)</f>
        <v>0</v>
      </c>
    </row>
    <row r="1330" spans="2:9" x14ac:dyDescent="0.25">
      <c r="B1330" s="84">
        <v>16737</v>
      </c>
      <c r="D1330" s="84" t="str">
        <f t="shared" si="22"/>
        <v/>
      </c>
      <c r="H1330" s="84">
        <f>IFERROR(VLOOKUP(B1330,Заказ!B:Q,5,0),0)</f>
        <v>0</v>
      </c>
      <c r="I1330" s="84">
        <f>IFERROR(VLOOKUP(B1330,Заказ!B:Q,16,0),0)</f>
        <v>0</v>
      </c>
    </row>
    <row r="1331" spans="2:9" x14ac:dyDescent="0.25">
      <c r="B1331" s="84">
        <v>16176</v>
      </c>
      <c r="D1331" s="84" t="str">
        <f t="shared" si="22"/>
        <v/>
      </c>
      <c r="H1331" s="84">
        <f>IFERROR(VLOOKUP(B1331,Заказ!B:Q,5,0),0)</f>
        <v>0</v>
      </c>
      <c r="I1331" s="84">
        <f>IFERROR(VLOOKUP(B1331,Заказ!B:Q,16,0),0)</f>
        <v>0</v>
      </c>
    </row>
    <row r="1332" spans="2:9" x14ac:dyDescent="0.25">
      <c r="B1332" s="84">
        <v>15275</v>
      </c>
      <c r="D1332" s="84" t="str">
        <f t="shared" si="22"/>
        <v/>
      </c>
      <c r="H1332" s="84">
        <f>IFERROR(VLOOKUP(B1332,Заказ!B:Q,5,0),0)</f>
        <v>0</v>
      </c>
      <c r="I1332" s="84">
        <f>IFERROR(VLOOKUP(B1332,Заказ!B:Q,16,0),0)</f>
        <v>0</v>
      </c>
    </row>
    <row r="1333" spans="2:9" x14ac:dyDescent="0.25">
      <c r="B1333" s="84">
        <v>15270</v>
      </c>
      <c r="D1333" s="84" t="str">
        <f t="shared" si="22"/>
        <v/>
      </c>
      <c r="H1333" s="84">
        <f>IFERROR(VLOOKUP(B1333,Заказ!B:Q,5,0),0)</f>
        <v>0</v>
      </c>
      <c r="I1333" s="84">
        <f>IFERROR(VLOOKUP(B1333,Заказ!B:Q,16,0),0)</f>
        <v>0</v>
      </c>
    </row>
    <row r="1334" spans="2:9" x14ac:dyDescent="0.25">
      <c r="B1334" s="84">
        <v>15815</v>
      </c>
      <c r="D1334" s="84" t="str">
        <f t="shared" si="22"/>
        <v/>
      </c>
      <c r="H1334" s="84">
        <f>IFERROR(VLOOKUP(B1334,Заказ!B:Q,5,0),0)</f>
        <v>0</v>
      </c>
      <c r="I1334" s="84">
        <f>IFERROR(VLOOKUP(B1334,Заказ!B:Q,16,0),0)</f>
        <v>0</v>
      </c>
    </row>
    <row r="1335" spans="2:9" x14ac:dyDescent="0.25">
      <c r="B1335" s="84">
        <v>15810</v>
      </c>
      <c r="D1335" s="84" t="str">
        <f t="shared" si="22"/>
        <v/>
      </c>
      <c r="H1335" s="84">
        <f>IFERROR(VLOOKUP(B1335,Заказ!B:Q,5,0),0)</f>
        <v>0</v>
      </c>
      <c r="I1335" s="84">
        <f>IFERROR(VLOOKUP(B1335,Заказ!B:Q,16,0),0)</f>
        <v>0</v>
      </c>
    </row>
    <row r="1336" spans="2:9" x14ac:dyDescent="0.25">
      <c r="B1336" s="84">
        <v>15812</v>
      </c>
      <c r="D1336" s="84" t="str">
        <f t="shared" ref="D1336:D1399" si="24">IFERROR(ROUND(I1336/H1336,2),"")</f>
        <v/>
      </c>
      <c r="H1336" s="84">
        <f>IFERROR(VLOOKUP(B1336,Заказ!B:Q,5,0),0)</f>
        <v>0</v>
      </c>
      <c r="I1336" s="84">
        <f>IFERROR(VLOOKUP(B1336,Заказ!B:Q,16,0),0)</f>
        <v>0</v>
      </c>
    </row>
    <row r="1337" spans="2:9" x14ac:dyDescent="0.25">
      <c r="B1337" s="84">
        <v>15811</v>
      </c>
      <c r="D1337" s="84" t="str">
        <f t="shared" si="24"/>
        <v/>
      </c>
      <c r="H1337" s="84">
        <f>IFERROR(VLOOKUP(B1337,Заказ!B:Q,5,0),0)</f>
        <v>0</v>
      </c>
      <c r="I1337" s="84">
        <f>IFERROR(VLOOKUP(B1337,Заказ!B:Q,16,0),0)</f>
        <v>0</v>
      </c>
    </row>
    <row r="1338" spans="2:9" x14ac:dyDescent="0.25">
      <c r="B1338" s="84">
        <v>15814</v>
      </c>
      <c r="D1338" s="84" t="str">
        <f t="shared" si="24"/>
        <v/>
      </c>
      <c r="H1338" s="84">
        <f>IFERROR(VLOOKUP(B1338,Заказ!B:Q,5,0),0)</f>
        <v>0</v>
      </c>
      <c r="I1338" s="84">
        <f>IFERROR(VLOOKUP(B1338,Заказ!B:Q,16,0),0)</f>
        <v>0</v>
      </c>
    </row>
    <row r="1339" spans="2:9" x14ac:dyDescent="0.25">
      <c r="B1339" s="84">
        <v>15813</v>
      </c>
      <c r="D1339" s="84" t="str">
        <f t="shared" si="24"/>
        <v/>
      </c>
      <c r="H1339" s="84">
        <f>IFERROR(VLOOKUP(B1339,Заказ!B:Q,5,0),0)</f>
        <v>0</v>
      </c>
      <c r="I1339" s="84">
        <f>IFERROR(VLOOKUP(B1339,Заказ!B:Q,16,0),0)</f>
        <v>0</v>
      </c>
    </row>
    <row r="1340" spans="2:9" x14ac:dyDescent="0.25">
      <c r="B1340" s="84">
        <v>20291</v>
      </c>
      <c r="D1340" s="84" t="str">
        <f t="shared" si="24"/>
        <v/>
      </c>
      <c r="H1340" s="84">
        <f>IFERROR(VLOOKUP(B1340,Заказ!B:Q,5,0),0)</f>
        <v>0</v>
      </c>
      <c r="I1340" s="84">
        <f>IFERROR(VLOOKUP(B1340,Заказ!B:Q,16,0),0)</f>
        <v>0</v>
      </c>
    </row>
    <row r="1341" spans="2:9" x14ac:dyDescent="0.25">
      <c r="B1341" s="84">
        <v>18662</v>
      </c>
      <c r="D1341" s="84" t="str">
        <f t="shared" si="24"/>
        <v/>
      </c>
      <c r="H1341" s="84">
        <f>IFERROR(VLOOKUP(B1341,Заказ!B:Q,5,0),0)</f>
        <v>0</v>
      </c>
      <c r="I1341" s="84">
        <f>IFERROR(VLOOKUP(B1341,Заказ!B:Q,16,0),0)</f>
        <v>0</v>
      </c>
    </row>
    <row r="1342" spans="2:9" x14ac:dyDescent="0.25">
      <c r="B1342" s="84">
        <v>20290</v>
      </c>
      <c r="D1342" s="84" t="str">
        <f t="shared" si="24"/>
        <v/>
      </c>
      <c r="H1342" s="84">
        <f>IFERROR(VLOOKUP(B1342,Заказ!B:Q,5,0),0)</f>
        <v>0</v>
      </c>
      <c r="I1342" s="84">
        <f>IFERROR(VLOOKUP(B1342,Заказ!B:Q,16,0),0)</f>
        <v>0</v>
      </c>
    </row>
    <row r="1343" spans="2:9" x14ac:dyDescent="0.25">
      <c r="B1343" s="84">
        <v>21460</v>
      </c>
      <c r="D1343" s="84" t="str">
        <f t="shared" si="24"/>
        <v/>
      </c>
      <c r="H1343" s="84">
        <f>IFERROR(VLOOKUP(B1343,Заказ!B:Q,5,0),0)</f>
        <v>0</v>
      </c>
      <c r="I1343" s="84">
        <f>IFERROR(VLOOKUP(B1343,Заказ!B:Q,16,0),0)</f>
        <v>0</v>
      </c>
    </row>
    <row r="1344" spans="2:9" x14ac:dyDescent="0.25">
      <c r="B1344" s="84">
        <v>18661</v>
      </c>
      <c r="D1344" s="84" t="str">
        <f t="shared" si="24"/>
        <v/>
      </c>
      <c r="H1344" s="84">
        <f>IFERROR(VLOOKUP(B1344,Заказ!B:Q,5,0),0)</f>
        <v>0</v>
      </c>
      <c r="I1344" s="84">
        <f>IFERROR(VLOOKUP(B1344,Заказ!B:Q,16,0),0)</f>
        <v>0</v>
      </c>
    </row>
    <row r="1345" spans="2:9" x14ac:dyDescent="0.25">
      <c r="B1345" s="84">
        <v>16183</v>
      </c>
      <c r="D1345" s="84" t="str">
        <f t="shared" si="24"/>
        <v/>
      </c>
      <c r="H1345" s="84">
        <f>IFERROR(VLOOKUP(B1345,Заказ!B:Q,5,0),0)</f>
        <v>0</v>
      </c>
      <c r="I1345" s="84">
        <f>IFERROR(VLOOKUP(B1345,Заказ!B:Q,16,0),0)</f>
        <v>0</v>
      </c>
    </row>
    <row r="1346" spans="2:9" x14ac:dyDescent="0.25">
      <c r="B1346" s="84">
        <v>16182</v>
      </c>
      <c r="D1346" s="84" t="str">
        <f t="shared" si="24"/>
        <v/>
      </c>
      <c r="H1346" s="84">
        <f>IFERROR(VLOOKUP(B1346,Заказ!B:Q,5,0),0)</f>
        <v>0</v>
      </c>
      <c r="I1346" s="84">
        <f>IFERROR(VLOOKUP(B1346,Заказ!B:Q,16,0),0)</f>
        <v>0</v>
      </c>
    </row>
    <row r="1347" spans="2:9" x14ac:dyDescent="0.25">
      <c r="B1347" s="84">
        <v>16178</v>
      </c>
      <c r="D1347" s="84" t="str">
        <f t="shared" si="24"/>
        <v/>
      </c>
      <c r="H1347" s="84">
        <f>IFERROR(VLOOKUP(B1347,Заказ!B:Q,5,0),0)</f>
        <v>0</v>
      </c>
      <c r="I1347" s="84">
        <f>IFERROR(VLOOKUP(B1347,Заказ!B:Q,16,0),0)</f>
        <v>0</v>
      </c>
    </row>
    <row r="1348" spans="2:9" x14ac:dyDescent="0.25">
      <c r="B1348" s="84">
        <v>16180</v>
      </c>
      <c r="D1348" s="84" t="str">
        <f t="shared" si="24"/>
        <v/>
      </c>
      <c r="H1348" s="84">
        <f>IFERROR(VLOOKUP(B1348,Заказ!B:Q,5,0),0)</f>
        <v>0</v>
      </c>
      <c r="I1348" s="84">
        <f>IFERROR(VLOOKUP(B1348,Заказ!B:Q,16,0),0)</f>
        <v>0</v>
      </c>
    </row>
    <row r="1349" spans="2:9" x14ac:dyDescent="0.25">
      <c r="B1349" s="84">
        <v>16177</v>
      </c>
      <c r="D1349" s="84" t="str">
        <f t="shared" si="24"/>
        <v/>
      </c>
      <c r="H1349" s="84">
        <f>IFERROR(VLOOKUP(B1349,Заказ!B:Q,5,0),0)</f>
        <v>0</v>
      </c>
      <c r="I1349" s="84">
        <f>IFERROR(VLOOKUP(B1349,Заказ!B:Q,16,0),0)</f>
        <v>0</v>
      </c>
    </row>
    <row r="1350" spans="2:9" x14ac:dyDescent="0.25">
      <c r="B1350" s="84">
        <v>16181</v>
      </c>
      <c r="D1350" s="84" t="str">
        <f t="shared" si="24"/>
        <v/>
      </c>
      <c r="H1350" s="84">
        <f>IFERROR(VLOOKUP(B1350,Заказ!B:Q,5,0),0)</f>
        <v>0</v>
      </c>
      <c r="I1350" s="84">
        <f>IFERROR(VLOOKUP(B1350,Заказ!B:Q,16,0),0)</f>
        <v>0</v>
      </c>
    </row>
    <row r="1351" spans="2:9" x14ac:dyDescent="0.25">
      <c r="B1351" s="84">
        <v>20706</v>
      </c>
      <c r="D1351" s="84" t="str">
        <f t="shared" si="24"/>
        <v/>
      </c>
      <c r="H1351" s="84">
        <f>IFERROR(VLOOKUP(B1351,Заказ!B:Q,5,0),0)</f>
        <v>0</v>
      </c>
      <c r="I1351" s="84">
        <f>IFERROR(VLOOKUP(B1351,Заказ!B:Q,16,0),0)</f>
        <v>0</v>
      </c>
    </row>
    <row r="1352" spans="2:9" x14ac:dyDescent="0.25">
      <c r="B1352" s="84">
        <v>16873</v>
      </c>
      <c r="D1352" s="84" t="str">
        <f t="shared" si="24"/>
        <v/>
      </c>
      <c r="H1352" s="84">
        <f>IFERROR(VLOOKUP(B1352,Заказ!B:Q,5,0),0)</f>
        <v>0</v>
      </c>
      <c r="I1352" s="84">
        <f>IFERROR(VLOOKUP(B1352,Заказ!B:Q,16,0),0)</f>
        <v>0</v>
      </c>
    </row>
    <row r="1353" spans="2:9" x14ac:dyDescent="0.25">
      <c r="B1353" s="84">
        <v>19772</v>
      </c>
      <c r="D1353" s="84" t="str">
        <f t="shared" si="24"/>
        <v/>
      </c>
      <c r="H1353" s="84">
        <f>IFERROR(VLOOKUP(B1353,Заказ!B:Q,5,0),0)</f>
        <v>0</v>
      </c>
      <c r="I1353" s="84">
        <f>IFERROR(VLOOKUP(B1353,Заказ!B:Q,16,0),0)</f>
        <v>0</v>
      </c>
    </row>
    <row r="1354" spans="2:9" x14ac:dyDescent="0.25">
      <c r="B1354" s="84">
        <v>21316</v>
      </c>
      <c r="D1354" s="84" t="str">
        <f t="shared" si="24"/>
        <v/>
      </c>
      <c r="H1354" s="84">
        <f>IFERROR(VLOOKUP(B1354,Заказ!B:Q,5,0),0)</f>
        <v>0</v>
      </c>
      <c r="I1354" s="84">
        <f>IFERROR(VLOOKUP(B1354,Заказ!B:Q,16,0),0)</f>
        <v>0</v>
      </c>
    </row>
    <row r="1355" spans="2:9" x14ac:dyDescent="0.25">
      <c r="B1355" s="84">
        <v>19846</v>
      </c>
      <c r="D1355" s="84" t="str">
        <f t="shared" si="24"/>
        <v/>
      </c>
      <c r="H1355" s="84">
        <f>IFERROR(VLOOKUP(B1355,Заказ!B:Q,5,0),0)</f>
        <v>0</v>
      </c>
      <c r="I1355" s="84">
        <f>IFERROR(VLOOKUP(B1355,Заказ!B:Q,16,0),0)</f>
        <v>0</v>
      </c>
    </row>
    <row r="1356" spans="2:9" x14ac:dyDescent="0.25">
      <c r="B1356" s="84">
        <v>19868</v>
      </c>
      <c r="D1356" s="84" t="str">
        <f t="shared" si="24"/>
        <v/>
      </c>
      <c r="H1356" s="84">
        <f>IFERROR(VLOOKUP(B1356,Заказ!B:Q,5,0),0)</f>
        <v>0</v>
      </c>
      <c r="I1356" s="84">
        <f>IFERROR(VLOOKUP(B1356,Заказ!B:Q,16,0),0)</f>
        <v>0</v>
      </c>
    </row>
    <row r="1357" spans="2:9" x14ac:dyDescent="0.25">
      <c r="B1357" s="84">
        <v>19869</v>
      </c>
      <c r="D1357" s="84" t="str">
        <f t="shared" si="24"/>
        <v/>
      </c>
      <c r="H1357" s="84">
        <f>IFERROR(VLOOKUP(B1357,Заказ!B:Q,5,0),0)</f>
        <v>0</v>
      </c>
      <c r="I1357" s="84">
        <f>IFERROR(VLOOKUP(B1357,Заказ!B:Q,16,0),0)</f>
        <v>0</v>
      </c>
    </row>
    <row r="1358" spans="2:9" x14ac:dyDescent="0.25">
      <c r="B1358" s="84">
        <v>19871</v>
      </c>
      <c r="D1358" s="84" t="str">
        <f t="shared" si="24"/>
        <v/>
      </c>
      <c r="H1358" s="84">
        <f>IFERROR(VLOOKUP(B1358,Заказ!B:Q,5,0),0)</f>
        <v>0</v>
      </c>
      <c r="I1358" s="84">
        <f>IFERROR(VLOOKUP(B1358,Заказ!B:Q,16,0),0)</f>
        <v>0</v>
      </c>
    </row>
    <row r="1359" spans="2:9" x14ac:dyDescent="0.25">
      <c r="B1359" s="84">
        <v>14100</v>
      </c>
      <c r="D1359" s="84" t="str">
        <f t="shared" si="24"/>
        <v/>
      </c>
      <c r="H1359" s="84">
        <f>IFERROR(VLOOKUP(B1359,Заказ!B:Q,5,0),0)</f>
        <v>0</v>
      </c>
      <c r="I1359" s="84">
        <f>IFERROR(VLOOKUP(B1359,Заказ!B:Q,16,0),0)</f>
        <v>0</v>
      </c>
    </row>
    <row r="1360" spans="2:9" x14ac:dyDescent="0.25">
      <c r="B1360" s="84">
        <v>19210</v>
      </c>
      <c r="D1360" s="84" t="str">
        <f t="shared" si="24"/>
        <v/>
      </c>
      <c r="H1360" s="84">
        <f>IFERROR(VLOOKUP(B1360,Заказ!B:Q,5,0),0)</f>
        <v>0</v>
      </c>
      <c r="I1360" s="84">
        <f>IFERROR(VLOOKUP(B1360,Заказ!B:Q,16,0),0)</f>
        <v>0</v>
      </c>
    </row>
    <row r="1361" spans="2:9" x14ac:dyDescent="0.25">
      <c r="B1361" s="84">
        <v>19208</v>
      </c>
      <c r="D1361" s="84" t="str">
        <f t="shared" si="24"/>
        <v/>
      </c>
      <c r="H1361" s="84">
        <f>IFERROR(VLOOKUP(B1361,Заказ!B:Q,5,0),0)</f>
        <v>0</v>
      </c>
      <c r="I1361" s="84">
        <f>IFERROR(VLOOKUP(B1361,Заказ!B:Q,16,0),0)</f>
        <v>0</v>
      </c>
    </row>
    <row r="1362" spans="2:9" x14ac:dyDescent="0.25">
      <c r="B1362" s="84">
        <v>19209</v>
      </c>
      <c r="D1362" s="84" t="str">
        <f t="shared" si="24"/>
        <v/>
      </c>
      <c r="H1362" s="84">
        <f>IFERROR(VLOOKUP(B1362,Заказ!B:Q,5,0),0)</f>
        <v>0</v>
      </c>
      <c r="I1362" s="84">
        <f>IFERROR(VLOOKUP(B1362,Заказ!B:Q,16,0),0)</f>
        <v>0</v>
      </c>
    </row>
    <row r="1363" spans="2:9" x14ac:dyDescent="0.25">
      <c r="B1363" s="84">
        <v>19207</v>
      </c>
      <c r="D1363" s="84" t="str">
        <f t="shared" si="24"/>
        <v/>
      </c>
      <c r="H1363" s="84">
        <f>IFERROR(VLOOKUP(B1363,Заказ!B:Q,5,0),0)</f>
        <v>0</v>
      </c>
      <c r="I1363" s="84">
        <f>IFERROR(VLOOKUP(B1363,Заказ!B:Q,16,0),0)</f>
        <v>0</v>
      </c>
    </row>
    <row r="1364" spans="2:9" x14ac:dyDescent="0.25">
      <c r="B1364" s="84">
        <v>19883</v>
      </c>
      <c r="D1364" s="84" t="str">
        <f t="shared" si="24"/>
        <v/>
      </c>
      <c r="H1364" s="84">
        <f>IFERROR(VLOOKUP(B1364,Заказ!B:Q,5,0),0)</f>
        <v>0</v>
      </c>
      <c r="I1364" s="84">
        <f>IFERROR(VLOOKUP(B1364,Заказ!B:Q,16,0),0)</f>
        <v>0</v>
      </c>
    </row>
    <row r="1365" spans="2:9" x14ac:dyDescent="0.25">
      <c r="B1365" s="84">
        <v>18712</v>
      </c>
      <c r="D1365" s="84" t="str">
        <f t="shared" si="24"/>
        <v/>
      </c>
      <c r="H1365" s="84">
        <f>IFERROR(VLOOKUP(B1365,Заказ!B:Q,5,0),0)</f>
        <v>0</v>
      </c>
      <c r="I1365" s="84">
        <f>IFERROR(VLOOKUP(B1365,Заказ!B:Q,16,0),0)</f>
        <v>0</v>
      </c>
    </row>
    <row r="1366" spans="2:9" x14ac:dyDescent="0.25">
      <c r="B1366" s="84">
        <v>13886</v>
      </c>
      <c r="D1366" s="84" t="str">
        <f t="shared" si="24"/>
        <v/>
      </c>
      <c r="H1366" s="84">
        <f>IFERROR(VLOOKUP(B1366,Заказ!B:Q,5,0),0)</f>
        <v>0</v>
      </c>
      <c r="I1366" s="84">
        <f>IFERROR(VLOOKUP(B1366,Заказ!B:Q,16,0),0)</f>
        <v>0</v>
      </c>
    </row>
    <row r="1367" spans="2:9" x14ac:dyDescent="0.25">
      <c r="B1367" s="84">
        <v>13885</v>
      </c>
      <c r="D1367" s="84" t="str">
        <f t="shared" si="24"/>
        <v/>
      </c>
      <c r="H1367" s="84">
        <f>IFERROR(VLOOKUP(B1367,Заказ!B:Q,5,0),0)</f>
        <v>0</v>
      </c>
      <c r="I1367" s="84">
        <f>IFERROR(VLOOKUP(B1367,Заказ!B:Q,16,0),0)</f>
        <v>0</v>
      </c>
    </row>
    <row r="1368" spans="2:9" x14ac:dyDescent="0.25">
      <c r="B1368" s="84">
        <v>13883</v>
      </c>
      <c r="D1368" s="84" t="str">
        <f t="shared" si="24"/>
        <v/>
      </c>
      <c r="H1368" s="84">
        <f>IFERROR(VLOOKUP(B1368,Заказ!B:Q,5,0),0)</f>
        <v>0</v>
      </c>
      <c r="I1368" s="84">
        <f>IFERROR(VLOOKUP(B1368,Заказ!B:Q,16,0),0)</f>
        <v>0</v>
      </c>
    </row>
    <row r="1369" spans="2:9" x14ac:dyDescent="0.25">
      <c r="B1369" s="84">
        <v>16858</v>
      </c>
      <c r="D1369" s="84" t="str">
        <f t="shared" si="24"/>
        <v/>
      </c>
      <c r="H1369" s="84">
        <f>IFERROR(VLOOKUP(B1369,Заказ!B:Q,5,0),0)</f>
        <v>0</v>
      </c>
      <c r="I1369" s="84">
        <f>IFERROR(VLOOKUP(B1369,Заказ!B:Q,16,0),0)</f>
        <v>0</v>
      </c>
    </row>
    <row r="1370" spans="2:9" x14ac:dyDescent="0.25">
      <c r="B1370" s="84">
        <v>13879</v>
      </c>
      <c r="D1370" s="84" t="str">
        <f t="shared" si="24"/>
        <v/>
      </c>
      <c r="H1370" s="84">
        <f>IFERROR(VLOOKUP(B1370,Заказ!B:Q,5,0),0)</f>
        <v>0</v>
      </c>
      <c r="I1370" s="84">
        <f>IFERROR(VLOOKUP(B1370,Заказ!B:Q,16,0),0)</f>
        <v>0</v>
      </c>
    </row>
    <row r="1371" spans="2:9" x14ac:dyDescent="0.25">
      <c r="B1371" s="84">
        <v>16857</v>
      </c>
      <c r="D1371" s="84" t="str">
        <f t="shared" si="24"/>
        <v/>
      </c>
      <c r="H1371" s="84">
        <f>IFERROR(VLOOKUP(B1371,Заказ!B:Q,5,0),0)</f>
        <v>0</v>
      </c>
      <c r="I1371" s="84">
        <f>IFERROR(VLOOKUP(B1371,Заказ!B:Q,16,0),0)</f>
        <v>0</v>
      </c>
    </row>
    <row r="1372" spans="2:9" x14ac:dyDescent="0.25">
      <c r="B1372" s="84">
        <v>16854</v>
      </c>
      <c r="D1372" s="84" t="str">
        <f t="shared" si="24"/>
        <v/>
      </c>
      <c r="H1372" s="84">
        <f>IFERROR(VLOOKUP(B1372,Заказ!B:Q,5,0),0)</f>
        <v>0</v>
      </c>
      <c r="I1372" s="84">
        <f>IFERROR(VLOOKUP(B1372,Заказ!B:Q,16,0),0)</f>
        <v>0</v>
      </c>
    </row>
    <row r="1373" spans="2:9" x14ac:dyDescent="0.25">
      <c r="B1373" s="84">
        <v>16856</v>
      </c>
      <c r="D1373" s="84" t="str">
        <f t="shared" si="24"/>
        <v/>
      </c>
      <c r="H1373" s="84">
        <f>IFERROR(VLOOKUP(B1373,Заказ!B:Q,5,0),0)</f>
        <v>0</v>
      </c>
      <c r="I1373" s="84">
        <f>IFERROR(VLOOKUP(B1373,Заказ!B:Q,16,0),0)</f>
        <v>0</v>
      </c>
    </row>
    <row r="1374" spans="2:9" x14ac:dyDescent="0.25">
      <c r="B1374" s="84">
        <v>13878</v>
      </c>
      <c r="D1374" s="84" t="str">
        <f t="shared" si="24"/>
        <v/>
      </c>
      <c r="H1374" s="84">
        <f>IFERROR(VLOOKUP(B1374,Заказ!B:Q,5,0),0)</f>
        <v>0</v>
      </c>
      <c r="I1374" s="84">
        <f>IFERROR(VLOOKUP(B1374,Заказ!B:Q,16,0),0)</f>
        <v>0</v>
      </c>
    </row>
    <row r="1375" spans="2:9" x14ac:dyDescent="0.25">
      <c r="B1375" s="84">
        <v>14992</v>
      </c>
      <c r="D1375" s="84" t="str">
        <f t="shared" si="24"/>
        <v/>
      </c>
      <c r="H1375" s="84">
        <f>IFERROR(VLOOKUP(B1375,Заказ!B:Q,5,0),0)</f>
        <v>0</v>
      </c>
      <c r="I1375" s="84">
        <f>IFERROR(VLOOKUP(B1375,Заказ!B:Q,16,0),0)</f>
        <v>0</v>
      </c>
    </row>
    <row r="1376" spans="2:9" x14ac:dyDescent="0.25">
      <c r="B1376" s="84">
        <v>14976</v>
      </c>
      <c r="D1376" s="84" t="str">
        <f t="shared" si="24"/>
        <v/>
      </c>
      <c r="H1376" s="84">
        <f>IFERROR(VLOOKUP(B1376,Заказ!B:Q,5,0),0)</f>
        <v>0</v>
      </c>
      <c r="I1376" s="84">
        <f>IFERROR(VLOOKUP(B1376,Заказ!B:Q,16,0),0)</f>
        <v>0</v>
      </c>
    </row>
    <row r="1377" spans="2:9" x14ac:dyDescent="0.25">
      <c r="B1377" s="84">
        <v>13880</v>
      </c>
      <c r="D1377" s="84" t="str">
        <f t="shared" si="24"/>
        <v/>
      </c>
      <c r="H1377" s="84">
        <f>IFERROR(VLOOKUP(B1377,Заказ!B:Q,5,0),0)</f>
        <v>0</v>
      </c>
      <c r="I1377" s="84">
        <f>IFERROR(VLOOKUP(B1377,Заказ!B:Q,16,0),0)</f>
        <v>0</v>
      </c>
    </row>
    <row r="1378" spans="2:9" x14ac:dyDescent="0.25">
      <c r="B1378" s="84">
        <v>13877</v>
      </c>
      <c r="D1378" s="84" t="str">
        <f t="shared" si="24"/>
        <v/>
      </c>
      <c r="H1378" s="84">
        <f>IFERROR(VLOOKUP(B1378,Заказ!B:Q,5,0),0)</f>
        <v>0</v>
      </c>
      <c r="I1378" s="84">
        <f>IFERROR(VLOOKUP(B1378,Заказ!B:Q,16,0),0)</f>
        <v>0</v>
      </c>
    </row>
    <row r="1379" spans="2:9" x14ac:dyDescent="0.25">
      <c r="B1379" s="84">
        <v>19571</v>
      </c>
      <c r="D1379" s="84" t="str">
        <f t="shared" si="24"/>
        <v/>
      </c>
      <c r="H1379" s="84">
        <f>IFERROR(VLOOKUP(B1379,Заказ!B:Q,5,0),0)</f>
        <v>0</v>
      </c>
      <c r="I1379" s="84">
        <f>IFERROR(VLOOKUP(B1379,Заказ!B:Q,16,0),0)</f>
        <v>0</v>
      </c>
    </row>
    <row r="1380" spans="2:9" x14ac:dyDescent="0.25">
      <c r="B1380" s="84">
        <v>19604</v>
      </c>
      <c r="D1380" s="84" t="str">
        <f t="shared" si="24"/>
        <v/>
      </c>
      <c r="H1380" s="84">
        <f>IFERROR(VLOOKUP(B1380,Заказ!B:Q,5,0),0)</f>
        <v>0</v>
      </c>
      <c r="I1380" s="84">
        <f>IFERROR(VLOOKUP(B1380,Заказ!B:Q,16,0),0)</f>
        <v>0</v>
      </c>
    </row>
    <row r="1381" spans="2:9" x14ac:dyDescent="0.25">
      <c r="B1381" s="84">
        <v>19572</v>
      </c>
      <c r="D1381" s="84" t="str">
        <f t="shared" si="24"/>
        <v/>
      </c>
      <c r="H1381" s="84">
        <f>IFERROR(VLOOKUP(B1381,Заказ!B:Q,5,0),0)</f>
        <v>0</v>
      </c>
      <c r="I1381" s="84">
        <f>IFERROR(VLOOKUP(B1381,Заказ!B:Q,16,0),0)</f>
        <v>0</v>
      </c>
    </row>
    <row r="1382" spans="2:9" x14ac:dyDescent="0.25">
      <c r="B1382" s="84">
        <v>19606</v>
      </c>
      <c r="D1382" s="84" t="str">
        <f t="shared" si="24"/>
        <v/>
      </c>
      <c r="H1382" s="84">
        <f>IFERROR(VLOOKUP(B1382,Заказ!B:Q,5,0),0)</f>
        <v>0</v>
      </c>
      <c r="I1382" s="84">
        <f>IFERROR(VLOOKUP(B1382,Заказ!B:Q,16,0),0)</f>
        <v>0</v>
      </c>
    </row>
    <row r="1383" spans="2:9" x14ac:dyDescent="0.25">
      <c r="B1383" s="84">
        <v>20455</v>
      </c>
      <c r="D1383" s="84" t="str">
        <f t="shared" si="24"/>
        <v/>
      </c>
      <c r="H1383" s="84">
        <f>IFERROR(VLOOKUP(B1383,Заказ!B:Q,5,0),0)</f>
        <v>0</v>
      </c>
      <c r="I1383" s="84">
        <f>IFERROR(VLOOKUP(B1383,Заказ!B:Q,16,0),0)</f>
        <v>0</v>
      </c>
    </row>
    <row r="1384" spans="2:9" x14ac:dyDescent="0.25">
      <c r="B1384" s="84">
        <v>19462</v>
      </c>
      <c r="D1384" s="84" t="str">
        <f t="shared" si="24"/>
        <v/>
      </c>
      <c r="H1384" s="84">
        <f>IFERROR(VLOOKUP(B1384,Заказ!B:Q,5,0),0)</f>
        <v>0</v>
      </c>
      <c r="I1384" s="84">
        <f>IFERROR(VLOOKUP(B1384,Заказ!B:Q,16,0),0)</f>
        <v>0</v>
      </c>
    </row>
    <row r="1385" spans="2:9" x14ac:dyDescent="0.25">
      <c r="B1385" s="84">
        <v>19461</v>
      </c>
      <c r="D1385" s="84" t="str">
        <f t="shared" si="24"/>
        <v/>
      </c>
      <c r="H1385" s="84">
        <f>IFERROR(VLOOKUP(B1385,Заказ!B:Q,5,0),0)</f>
        <v>0</v>
      </c>
      <c r="I1385" s="84">
        <f>IFERROR(VLOOKUP(B1385,Заказ!B:Q,16,0),0)</f>
        <v>0</v>
      </c>
    </row>
    <row r="1386" spans="2:9" x14ac:dyDescent="0.25">
      <c r="B1386" s="84">
        <v>19457</v>
      </c>
      <c r="D1386" s="84" t="str">
        <f t="shared" si="24"/>
        <v/>
      </c>
      <c r="H1386" s="84">
        <f>IFERROR(VLOOKUP(B1386,Заказ!B:Q,5,0),0)</f>
        <v>0</v>
      </c>
      <c r="I1386" s="84">
        <f>IFERROR(VLOOKUP(B1386,Заказ!B:Q,16,0),0)</f>
        <v>0</v>
      </c>
    </row>
    <row r="1387" spans="2:9" x14ac:dyDescent="0.25">
      <c r="B1387" s="84">
        <v>19460</v>
      </c>
      <c r="D1387" s="84" t="str">
        <f t="shared" si="24"/>
        <v/>
      </c>
      <c r="H1387" s="84">
        <f>IFERROR(VLOOKUP(B1387,Заказ!B:Q,5,0),0)</f>
        <v>0</v>
      </c>
      <c r="I1387" s="84">
        <f>IFERROR(VLOOKUP(B1387,Заказ!B:Q,16,0),0)</f>
        <v>0</v>
      </c>
    </row>
    <row r="1388" spans="2:9" x14ac:dyDescent="0.25">
      <c r="B1388" s="84">
        <v>19459</v>
      </c>
      <c r="D1388" s="84" t="str">
        <f t="shared" si="24"/>
        <v/>
      </c>
      <c r="H1388" s="84">
        <f>IFERROR(VLOOKUP(B1388,Заказ!B:Q,5,0),0)</f>
        <v>0</v>
      </c>
      <c r="I1388" s="84">
        <f>IFERROR(VLOOKUP(B1388,Заказ!B:Q,16,0),0)</f>
        <v>0</v>
      </c>
    </row>
    <row r="1389" spans="2:9" x14ac:dyDescent="0.25">
      <c r="B1389" s="84">
        <v>19458</v>
      </c>
      <c r="D1389" s="84" t="str">
        <f t="shared" si="24"/>
        <v/>
      </c>
      <c r="H1389" s="84">
        <f>IFERROR(VLOOKUP(B1389,Заказ!B:Q,5,0),0)</f>
        <v>0</v>
      </c>
      <c r="I1389" s="84">
        <f>IFERROR(VLOOKUP(B1389,Заказ!B:Q,16,0),0)</f>
        <v>0</v>
      </c>
    </row>
    <row r="1390" spans="2:9" x14ac:dyDescent="0.25">
      <c r="B1390" s="84">
        <v>19455</v>
      </c>
      <c r="D1390" s="84" t="str">
        <f t="shared" si="24"/>
        <v/>
      </c>
      <c r="H1390" s="84">
        <f>IFERROR(VLOOKUP(B1390,Заказ!B:Q,5,0),0)</f>
        <v>0</v>
      </c>
      <c r="I1390" s="84">
        <f>IFERROR(VLOOKUP(B1390,Заказ!B:Q,16,0),0)</f>
        <v>0</v>
      </c>
    </row>
    <row r="1391" spans="2:9" x14ac:dyDescent="0.25">
      <c r="B1391" s="84">
        <v>19456</v>
      </c>
      <c r="D1391" s="84" t="str">
        <f t="shared" si="24"/>
        <v/>
      </c>
      <c r="H1391" s="84">
        <f>IFERROR(VLOOKUP(B1391,Заказ!B:Q,5,0),0)</f>
        <v>0</v>
      </c>
      <c r="I1391" s="84">
        <f>IFERROR(VLOOKUP(B1391,Заказ!B:Q,16,0),0)</f>
        <v>0</v>
      </c>
    </row>
    <row r="1392" spans="2:9" x14ac:dyDescent="0.25">
      <c r="B1392" s="84">
        <v>19453</v>
      </c>
      <c r="D1392" s="84" t="str">
        <f t="shared" si="24"/>
        <v/>
      </c>
      <c r="H1392" s="84">
        <f>IFERROR(VLOOKUP(B1392,Заказ!B:Q,5,0),0)</f>
        <v>0</v>
      </c>
      <c r="I1392" s="84">
        <f>IFERROR(VLOOKUP(B1392,Заказ!B:Q,16,0),0)</f>
        <v>0</v>
      </c>
    </row>
    <row r="1393" spans="2:9" x14ac:dyDescent="0.25">
      <c r="B1393" s="84">
        <v>20456</v>
      </c>
      <c r="D1393" s="84" t="str">
        <f t="shared" si="24"/>
        <v/>
      </c>
      <c r="H1393" s="84">
        <f>IFERROR(VLOOKUP(B1393,Заказ!B:Q,5,0),0)</f>
        <v>0</v>
      </c>
      <c r="I1393" s="84">
        <f>IFERROR(VLOOKUP(B1393,Заказ!B:Q,16,0),0)</f>
        <v>0</v>
      </c>
    </row>
    <row r="1394" spans="2:9" x14ac:dyDescent="0.25">
      <c r="B1394" s="84">
        <v>19454</v>
      </c>
      <c r="D1394" s="84" t="str">
        <f t="shared" si="24"/>
        <v/>
      </c>
      <c r="H1394" s="84">
        <f>IFERROR(VLOOKUP(B1394,Заказ!B:Q,5,0),0)</f>
        <v>0</v>
      </c>
      <c r="I1394" s="84">
        <f>IFERROR(VLOOKUP(B1394,Заказ!B:Q,16,0),0)</f>
        <v>0</v>
      </c>
    </row>
    <row r="1395" spans="2:9" x14ac:dyDescent="0.25">
      <c r="B1395" s="84">
        <v>19452</v>
      </c>
      <c r="D1395" s="84" t="str">
        <f t="shared" si="24"/>
        <v/>
      </c>
      <c r="H1395" s="84">
        <f>IFERROR(VLOOKUP(B1395,Заказ!B:Q,5,0),0)</f>
        <v>0</v>
      </c>
      <c r="I1395" s="84">
        <f>IFERROR(VLOOKUP(B1395,Заказ!B:Q,16,0),0)</f>
        <v>0</v>
      </c>
    </row>
    <row r="1396" spans="2:9" x14ac:dyDescent="0.25">
      <c r="B1396" s="84">
        <v>19451</v>
      </c>
      <c r="D1396" s="84" t="str">
        <f t="shared" si="24"/>
        <v/>
      </c>
      <c r="H1396" s="84">
        <f>IFERROR(VLOOKUP(B1396,Заказ!B:Q,5,0),0)</f>
        <v>0</v>
      </c>
      <c r="I1396" s="84">
        <f>IFERROR(VLOOKUP(B1396,Заказ!B:Q,16,0),0)</f>
        <v>0</v>
      </c>
    </row>
    <row r="1397" spans="2:9" x14ac:dyDescent="0.25">
      <c r="B1397" s="84">
        <v>18228</v>
      </c>
      <c r="D1397" s="84" t="str">
        <f t="shared" si="24"/>
        <v/>
      </c>
      <c r="H1397" s="84">
        <f>IFERROR(VLOOKUP(B1397,Заказ!B:Q,5,0),0)</f>
        <v>0</v>
      </c>
      <c r="I1397" s="84">
        <f>IFERROR(VLOOKUP(B1397,Заказ!B:Q,16,0),0)</f>
        <v>0</v>
      </c>
    </row>
    <row r="1398" spans="2:9" x14ac:dyDescent="0.25">
      <c r="B1398" s="84">
        <v>18905</v>
      </c>
      <c r="D1398" s="84" t="str">
        <f t="shared" si="24"/>
        <v/>
      </c>
      <c r="H1398" s="84">
        <f>IFERROR(VLOOKUP(B1398,Заказ!B:Q,5,0),0)</f>
        <v>0</v>
      </c>
      <c r="I1398" s="84">
        <f>IFERROR(VLOOKUP(B1398,Заказ!B:Q,16,0),0)</f>
        <v>0</v>
      </c>
    </row>
    <row r="1399" spans="2:9" x14ac:dyDescent="0.25">
      <c r="B1399" s="84">
        <v>16965</v>
      </c>
      <c r="D1399" s="84" t="str">
        <f t="shared" si="24"/>
        <v/>
      </c>
      <c r="H1399" s="84">
        <f>IFERROR(VLOOKUP(B1399,Заказ!B:Q,5,0),0)</f>
        <v>0</v>
      </c>
      <c r="I1399" s="84">
        <f>IFERROR(VLOOKUP(B1399,Заказ!B:Q,16,0),0)</f>
        <v>0</v>
      </c>
    </row>
    <row r="1400" spans="2:9" x14ac:dyDescent="0.25">
      <c r="B1400" s="84">
        <v>20375</v>
      </c>
      <c r="D1400" s="84" t="str">
        <f t="shared" ref="D1400:D1463" si="25">IFERROR(ROUND(I1400/H1400,2),"")</f>
        <v/>
      </c>
      <c r="H1400" s="84">
        <f>IFERROR(VLOOKUP(B1400,Заказ!B:Q,5,0),0)</f>
        <v>0</v>
      </c>
      <c r="I1400" s="84">
        <f>IFERROR(VLOOKUP(B1400,Заказ!B:Q,16,0),0)</f>
        <v>0</v>
      </c>
    </row>
    <row r="1401" spans="2:9" x14ac:dyDescent="0.25">
      <c r="B1401" s="84">
        <v>16962</v>
      </c>
      <c r="D1401" s="84" t="str">
        <f t="shared" si="25"/>
        <v/>
      </c>
      <c r="H1401" s="84">
        <f>IFERROR(VLOOKUP(B1401,Заказ!B:Q,5,0),0)</f>
        <v>0</v>
      </c>
      <c r="I1401" s="84">
        <f>IFERROR(VLOOKUP(B1401,Заказ!B:Q,16,0),0)</f>
        <v>0</v>
      </c>
    </row>
    <row r="1402" spans="2:9" x14ac:dyDescent="0.25">
      <c r="B1402" s="84">
        <v>21071</v>
      </c>
      <c r="D1402" s="84" t="str">
        <f t="shared" si="25"/>
        <v/>
      </c>
      <c r="H1402" s="84">
        <f>IFERROR(VLOOKUP(B1402,Заказ!B:Q,5,0),0)</f>
        <v>0</v>
      </c>
      <c r="I1402" s="84">
        <f>IFERROR(VLOOKUP(B1402,Заказ!B:Q,16,0),0)</f>
        <v>0</v>
      </c>
    </row>
    <row r="1403" spans="2:9" x14ac:dyDescent="0.25">
      <c r="B1403" s="84">
        <v>21072</v>
      </c>
      <c r="D1403" s="84" t="str">
        <f t="shared" si="25"/>
        <v/>
      </c>
      <c r="H1403" s="84">
        <f>IFERROR(VLOOKUP(B1403,Заказ!B:Q,5,0),0)</f>
        <v>0</v>
      </c>
      <c r="I1403" s="84">
        <f>IFERROR(VLOOKUP(B1403,Заказ!B:Q,16,0),0)</f>
        <v>0</v>
      </c>
    </row>
    <row r="1404" spans="2:9" x14ac:dyDescent="0.25">
      <c r="B1404" s="84">
        <v>20705</v>
      </c>
      <c r="D1404" s="84" t="str">
        <f t="shared" si="25"/>
        <v/>
      </c>
      <c r="H1404" s="84">
        <f>IFERROR(VLOOKUP(B1404,Заказ!B:Q,5,0),0)</f>
        <v>0</v>
      </c>
      <c r="I1404" s="84">
        <f>IFERROR(VLOOKUP(B1404,Заказ!B:Q,16,0),0)</f>
        <v>0</v>
      </c>
    </row>
    <row r="1405" spans="2:9" x14ac:dyDescent="0.25">
      <c r="B1405" s="84">
        <v>20595</v>
      </c>
      <c r="D1405" s="84" t="str">
        <f t="shared" si="25"/>
        <v/>
      </c>
      <c r="H1405" s="84">
        <f>IFERROR(VLOOKUP(B1405,Заказ!B:Q,5,0),0)</f>
        <v>0</v>
      </c>
      <c r="I1405" s="84">
        <f>IFERROR(VLOOKUP(B1405,Заказ!B:Q,16,0),0)</f>
        <v>0</v>
      </c>
    </row>
    <row r="1406" spans="2:9" x14ac:dyDescent="0.25">
      <c r="B1406" s="84">
        <v>20278</v>
      </c>
      <c r="D1406" s="84" t="str">
        <f t="shared" si="25"/>
        <v/>
      </c>
      <c r="H1406" s="84">
        <f>IFERROR(VLOOKUP(B1406,Заказ!B:Q,5,0),0)</f>
        <v>0</v>
      </c>
      <c r="I1406" s="84">
        <f>IFERROR(VLOOKUP(B1406,Заказ!B:Q,16,0),0)</f>
        <v>0</v>
      </c>
    </row>
    <row r="1407" spans="2:9" x14ac:dyDescent="0.25">
      <c r="B1407" s="84">
        <v>16963</v>
      </c>
      <c r="D1407" s="84" t="str">
        <f t="shared" si="25"/>
        <v/>
      </c>
      <c r="H1407" s="84">
        <f>IFERROR(VLOOKUP(B1407,Заказ!B:Q,5,0),0)</f>
        <v>0</v>
      </c>
      <c r="I1407" s="84">
        <f>IFERROR(VLOOKUP(B1407,Заказ!B:Q,16,0),0)</f>
        <v>0</v>
      </c>
    </row>
    <row r="1408" spans="2:9" x14ac:dyDescent="0.25">
      <c r="B1408" s="84">
        <v>20701</v>
      </c>
      <c r="D1408" s="84" t="str">
        <f t="shared" si="25"/>
        <v/>
      </c>
      <c r="H1408" s="84">
        <f>IFERROR(VLOOKUP(B1408,Заказ!B:Q,5,0),0)</f>
        <v>0</v>
      </c>
      <c r="I1408" s="84">
        <f>IFERROR(VLOOKUP(B1408,Заказ!B:Q,16,0),0)</f>
        <v>0</v>
      </c>
    </row>
    <row r="1409" spans="2:9" x14ac:dyDescent="0.25">
      <c r="B1409" s="84">
        <v>16961</v>
      </c>
      <c r="D1409" s="84" t="str">
        <f t="shared" si="25"/>
        <v/>
      </c>
      <c r="H1409" s="84">
        <f>IFERROR(VLOOKUP(B1409,Заказ!B:Q,5,0),0)</f>
        <v>0</v>
      </c>
      <c r="I1409" s="84">
        <f>IFERROR(VLOOKUP(B1409,Заказ!B:Q,16,0),0)</f>
        <v>0</v>
      </c>
    </row>
    <row r="1410" spans="2:9" x14ac:dyDescent="0.25">
      <c r="B1410" s="84">
        <v>20822</v>
      </c>
      <c r="D1410" s="84" t="str">
        <f t="shared" si="25"/>
        <v/>
      </c>
      <c r="H1410" s="84">
        <f>IFERROR(VLOOKUP(B1410,Заказ!B:Q,5,0),0)</f>
        <v>0</v>
      </c>
      <c r="I1410" s="84">
        <f>IFERROR(VLOOKUP(B1410,Заказ!B:Q,16,0),0)</f>
        <v>0</v>
      </c>
    </row>
    <row r="1411" spans="2:9" x14ac:dyDescent="0.25">
      <c r="B1411" s="84">
        <v>18232</v>
      </c>
      <c r="D1411" s="84" t="str">
        <f t="shared" si="25"/>
        <v/>
      </c>
      <c r="H1411" s="84">
        <f>IFERROR(VLOOKUP(B1411,Заказ!B:Q,5,0),0)</f>
        <v>0</v>
      </c>
      <c r="I1411" s="84">
        <f>IFERROR(VLOOKUP(B1411,Заказ!B:Q,16,0),0)</f>
        <v>0</v>
      </c>
    </row>
    <row r="1412" spans="2:9" x14ac:dyDescent="0.25">
      <c r="B1412" s="84">
        <v>20823</v>
      </c>
      <c r="D1412" s="84" t="str">
        <f t="shared" si="25"/>
        <v/>
      </c>
      <c r="H1412" s="84">
        <f>IFERROR(VLOOKUP(B1412,Заказ!B:Q,5,0),0)</f>
        <v>0</v>
      </c>
      <c r="I1412" s="84">
        <f>IFERROR(VLOOKUP(B1412,Заказ!B:Q,16,0),0)</f>
        <v>0</v>
      </c>
    </row>
    <row r="1413" spans="2:9" x14ac:dyDescent="0.25">
      <c r="B1413" s="84">
        <v>16582</v>
      </c>
      <c r="D1413" s="84" t="str">
        <f t="shared" si="25"/>
        <v/>
      </c>
      <c r="H1413" s="84">
        <f>IFERROR(VLOOKUP(B1413,Заказ!B:Q,5,0),0)</f>
        <v>0</v>
      </c>
      <c r="I1413" s="84">
        <f>IFERROR(VLOOKUP(B1413,Заказ!B:Q,16,0),0)</f>
        <v>0</v>
      </c>
    </row>
    <row r="1414" spans="2:9" x14ac:dyDescent="0.25">
      <c r="B1414" s="84">
        <v>19687</v>
      </c>
      <c r="D1414" s="84" t="str">
        <f t="shared" si="25"/>
        <v/>
      </c>
      <c r="H1414" s="84">
        <f>IFERROR(VLOOKUP(B1414,Заказ!B:Q,5,0),0)</f>
        <v>0</v>
      </c>
      <c r="I1414" s="84">
        <f>IFERROR(VLOOKUP(B1414,Заказ!B:Q,16,0),0)</f>
        <v>0</v>
      </c>
    </row>
    <row r="1415" spans="2:9" x14ac:dyDescent="0.25">
      <c r="B1415" s="84">
        <v>16581</v>
      </c>
      <c r="D1415" s="84" t="str">
        <f t="shared" si="25"/>
        <v/>
      </c>
      <c r="H1415" s="84">
        <f>IFERROR(VLOOKUP(B1415,Заказ!B:Q,5,0),0)</f>
        <v>0</v>
      </c>
      <c r="I1415" s="84">
        <f>IFERROR(VLOOKUP(B1415,Заказ!B:Q,16,0),0)</f>
        <v>0</v>
      </c>
    </row>
    <row r="1416" spans="2:9" x14ac:dyDescent="0.25">
      <c r="B1416" s="84">
        <v>16421</v>
      </c>
      <c r="D1416" s="84" t="str">
        <f t="shared" si="25"/>
        <v/>
      </c>
      <c r="H1416" s="84">
        <f>IFERROR(VLOOKUP(B1416,Заказ!B:Q,5,0),0)</f>
        <v>0</v>
      </c>
      <c r="I1416" s="84">
        <f>IFERROR(VLOOKUP(B1416,Заказ!B:Q,16,0),0)</f>
        <v>0</v>
      </c>
    </row>
    <row r="1417" spans="2:9" x14ac:dyDescent="0.25">
      <c r="B1417" s="84">
        <v>21133</v>
      </c>
      <c r="D1417" s="84" t="str">
        <f t="shared" si="25"/>
        <v/>
      </c>
      <c r="H1417" s="84">
        <f>IFERROR(VLOOKUP(B1417,Заказ!B:Q,5,0),0)</f>
        <v>0</v>
      </c>
      <c r="I1417" s="84">
        <f>IFERROR(VLOOKUP(B1417,Заказ!B:Q,16,0),0)</f>
        <v>0</v>
      </c>
    </row>
    <row r="1418" spans="2:9" x14ac:dyDescent="0.25">
      <c r="B1418" s="84">
        <v>21134</v>
      </c>
      <c r="D1418" s="84" t="str">
        <f t="shared" si="25"/>
        <v/>
      </c>
      <c r="H1418" s="84">
        <f>IFERROR(VLOOKUP(B1418,Заказ!B:Q,5,0),0)</f>
        <v>0</v>
      </c>
      <c r="I1418" s="84">
        <f>IFERROR(VLOOKUP(B1418,Заказ!B:Q,16,0),0)</f>
        <v>0</v>
      </c>
    </row>
    <row r="1419" spans="2:9" x14ac:dyDescent="0.25">
      <c r="B1419" s="84">
        <v>19861</v>
      </c>
      <c r="D1419" s="84" t="str">
        <f t="shared" si="25"/>
        <v/>
      </c>
      <c r="H1419" s="84">
        <f>IFERROR(VLOOKUP(B1419,Заказ!B:Q,5,0),0)</f>
        <v>0</v>
      </c>
      <c r="I1419" s="84">
        <f>IFERROR(VLOOKUP(B1419,Заказ!B:Q,16,0),0)</f>
        <v>0</v>
      </c>
    </row>
    <row r="1420" spans="2:9" x14ac:dyDescent="0.25">
      <c r="B1420" s="84">
        <v>19688</v>
      </c>
      <c r="D1420" s="84" t="str">
        <f t="shared" si="25"/>
        <v/>
      </c>
      <c r="H1420" s="84">
        <f>IFERROR(VLOOKUP(B1420,Заказ!B:Q,5,0),0)</f>
        <v>0</v>
      </c>
      <c r="I1420" s="84">
        <f>IFERROR(VLOOKUP(B1420,Заказ!B:Q,16,0),0)</f>
        <v>0</v>
      </c>
    </row>
    <row r="1421" spans="2:9" x14ac:dyDescent="0.25">
      <c r="B1421" s="84">
        <v>21135</v>
      </c>
      <c r="D1421" s="84" t="str">
        <f t="shared" si="25"/>
        <v/>
      </c>
      <c r="H1421" s="84">
        <f>IFERROR(VLOOKUP(B1421,Заказ!B:Q,5,0),0)</f>
        <v>0</v>
      </c>
      <c r="I1421" s="84">
        <f>IFERROR(VLOOKUP(B1421,Заказ!B:Q,16,0),0)</f>
        <v>0</v>
      </c>
    </row>
    <row r="1422" spans="2:9" x14ac:dyDescent="0.25">
      <c r="B1422" s="84">
        <v>19689</v>
      </c>
      <c r="D1422" s="84" t="str">
        <f t="shared" si="25"/>
        <v/>
      </c>
      <c r="H1422" s="84">
        <f>IFERROR(VLOOKUP(B1422,Заказ!B:Q,5,0),0)</f>
        <v>0</v>
      </c>
      <c r="I1422" s="84">
        <f>IFERROR(VLOOKUP(B1422,Заказ!B:Q,16,0),0)</f>
        <v>0</v>
      </c>
    </row>
    <row r="1423" spans="2:9" x14ac:dyDescent="0.25">
      <c r="B1423" s="84">
        <v>16330</v>
      </c>
      <c r="D1423" s="84" t="str">
        <f t="shared" si="25"/>
        <v/>
      </c>
      <c r="H1423" s="84">
        <f>IFERROR(VLOOKUP(B1423,Заказ!B:Q,5,0),0)</f>
        <v>0</v>
      </c>
      <c r="I1423" s="84">
        <f>IFERROR(VLOOKUP(B1423,Заказ!B:Q,16,0),0)</f>
        <v>0</v>
      </c>
    </row>
    <row r="1424" spans="2:9" x14ac:dyDescent="0.25">
      <c r="B1424" s="84">
        <v>16329</v>
      </c>
      <c r="D1424" s="84" t="str">
        <f t="shared" si="25"/>
        <v/>
      </c>
      <c r="H1424" s="84">
        <f>IFERROR(VLOOKUP(B1424,Заказ!B:Q,5,0),0)</f>
        <v>0</v>
      </c>
      <c r="I1424" s="84">
        <f>IFERROR(VLOOKUP(B1424,Заказ!B:Q,16,0),0)</f>
        <v>0</v>
      </c>
    </row>
    <row r="1425" spans="2:9" x14ac:dyDescent="0.25">
      <c r="B1425" s="84">
        <v>16332</v>
      </c>
      <c r="D1425" s="84" t="str">
        <f t="shared" si="25"/>
        <v/>
      </c>
      <c r="H1425" s="84">
        <f>IFERROR(VLOOKUP(B1425,Заказ!B:Q,5,0),0)</f>
        <v>0</v>
      </c>
      <c r="I1425" s="84">
        <f>IFERROR(VLOOKUP(B1425,Заказ!B:Q,16,0),0)</f>
        <v>0</v>
      </c>
    </row>
    <row r="1426" spans="2:9" x14ac:dyDescent="0.25">
      <c r="B1426" s="84">
        <v>16345</v>
      </c>
      <c r="D1426" s="84" t="str">
        <f t="shared" si="25"/>
        <v/>
      </c>
      <c r="H1426" s="84">
        <f>IFERROR(VLOOKUP(B1426,Заказ!B:Q,5,0),0)</f>
        <v>0</v>
      </c>
      <c r="I1426" s="84">
        <f>IFERROR(VLOOKUP(B1426,Заказ!B:Q,16,0),0)</f>
        <v>0</v>
      </c>
    </row>
    <row r="1427" spans="2:9" x14ac:dyDescent="0.25">
      <c r="B1427" s="84">
        <v>16333</v>
      </c>
      <c r="D1427" s="84" t="str">
        <f t="shared" si="25"/>
        <v/>
      </c>
      <c r="H1427" s="84">
        <f>IFERROR(VLOOKUP(B1427,Заказ!B:Q,5,0),0)</f>
        <v>0</v>
      </c>
      <c r="I1427" s="84">
        <f>IFERROR(VLOOKUP(B1427,Заказ!B:Q,16,0),0)</f>
        <v>0</v>
      </c>
    </row>
    <row r="1428" spans="2:9" x14ac:dyDescent="0.25">
      <c r="B1428" s="84">
        <v>18230</v>
      </c>
      <c r="D1428" s="84" t="str">
        <f t="shared" si="25"/>
        <v/>
      </c>
      <c r="H1428" s="84">
        <f>IFERROR(VLOOKUP(B1428,Заказ!B:Q,5,0),0)</f>
        <v>0</v>
      </c>
      <c r="I1428" s="84">
        <f>IFERROR(VLOOKUP(B1428,Заказ!B:Q,16,0),0)</f>
        <v>0</v>
      </c>
    </row>
    <row r="1429" spans="2:9" x14ac:dyDescent="0.25">
      <c r="B1429" s="84">
        <v>16347</v>
      </c>
      <c r="D1429" s="84" t="str">
        <f t="shared" si="25"/>
        <v/>
      </c>
      <c r="H1429" s="84">
        <f>IFERROR(VLOOKUP(B1429,Заказ!B:Q,5,0),0)</f>
        <v>0</v>
      </c>
      <c r="I1429" s="84">
        <f>IFERROR(VLOOKUP(B1429,Заказ!B:Q,16,0),0)</f>
        <v>0</v>
      </c>
    </row>
    <row r="1430" spans="2:9" x14ac:dyDescent="0.25">
      <c r="B1430" s="84">
        <v>17598</v>
      </c>
      <c r="D1430" s="84" t="str">
        <f t="shared" si="25"/>
        <v/>
      </c>
      <c r="H1430" s="84">
        <f>IFERROR(VLOOKUP(B1430,Заказ!B:Q,5,0),0)</f>
        <v>0</v>
      </c>
      <c r="I1430" s="84">
        <f>IFERROR(VLOOKUP(B1430,Заказ!B:Q,16,0),0)</f>
        <v>0</v>
      </c>
    </row>
    <row r="1431" spans="2:9" x14ac:dyDescent="0.25">
      <c r="B1431" s="84">
        <v>19862</v>
      </c>
      <c r="D1431" s="84" t="str">
        <f t="shared" si="25"/>
        <v/>
      </c>
      <c r="H1431" s="84">
        <f>IFERROR(VLOOKUP(B1431,Заказ!B:Q,5,0),0)</f>
        <v>0</v>
      </c>
      <c r="I1431" s="84">
        <f>IFERROR(VLOOKUP(B1431,Заказ!B:Q,16,0),0)</f>
        <v>0</v>
      </c>
    </row>
    <row r="1432" spans="2:9" x14ac:dyDescent="0.25">
      <c r="B1432" s="84">
        <v>18775</v>
      </c>
      <c r="D1432" s="84" t="str">
        <f t="shared" si="25"/>
        <v/>
      </c>
      <c r="H1432" s="84">
        <f>IFERROR(VLOOKUP(B1432,Заказ!B:Q,5,0),0)</f>
        <v>0</v>
      </c>
      <c r="I1432" s="84">
        <f>IFERROR(VLOOKUP(B1432,Заказ!B:Q,16,0),0)</f>
        <v>0</v>
      </c>
    </row>
    <row r="1433" spans="2:9" x14ac:dyDescent="0.25">
      <c r="B1433" s="84">
        <v>18776</v>
      </c>
      <c r="D1433" s="84" t="str">
        <f t="shared" si="25"/>
        <v/>
      </c>
      <c r="H1433" s="84">
        <f>IFERROR(VLOOKUP(B1433,Заказ!B:Q,5,0),0)</f>
        <v>0</v>
      </c>
      <c r="I1433" s="84">
        <f>IFERROR(VLOOKUP(B1433,Заказ!B:Q,16,0),0)</f>
        <v>0</v>
      </c>
    </row>
    <row r="1434" spans="2:9" x14ac:dyDescent="0.25">
      <c r="B1434" s="84">
        <v>19685</v>
      </c>
      <c r="D1434" s="84" t="str">
        <f t="shared" si="25"/>
        <v/>
      </c>
      <c r="H1434" s="84">
        <f>IFERROR(VLOOKUP(B1434,Заказ!B:Q,5,0),0)</f>
        <v>0</v>
      </c>
      <c r="I1434" s="84">
        <f>IFERROR(VLOOKUP(B1434,Заказ!B:Q,16,0),0)</f>
        <v>0</v>
      </c>
    </row>
    <row r="1435" spans="2:9" x14ac:dyDescent="0.25">
      <c r="B1435" s="84">
        <v>17926</v>
      </c>
      <c r="D1435" s="84" t="str">
        <f t="shared" si="25"/>
        <v/>
      </c>
      <c r="H1435" s="84">
        <f>IFERROR(VLOOKUP(B1435,Заказ!B:Q,5,0),0)</f>
        <v>0</v>
      </c>
      <c r="I1435" s="84">
        <f>IFERROR(VLOOKUP(B1435,Заказ!B:Q,16,0),0)</f>
        <v>0</v>
      </c>
    </row>
    <row r="1436" spans="2:9" x14ac:dyDescent="0.25">
      <c r="B1436" s="84">
        <v>17505</v>
      </c>
      <c r="D1436" s="84" t="str">
        <f t="shared" si="25"/>
        <v/>
      </c>
      <c r="H1436" s="84">
        <f>IFERROR(VLOOKUP(B1436,Заказ!B:Q,5,0),0)</f>
        <v>0</v>
      </c>
      <c r="I1436" s="84">
        <f>IFERROR(VLOOKUP(B1436,Заказ!B:Q,16,0),0)</f>
        <v>0</v>
      </c>
    </row>
    <row r="1437" spans="2:9" x14ac:dyDescent="0.25">
      <c r="B1437" s="84">
        <v>19199</v>
      </c>
      <c r="D1437" s="84" t="str">
        <f t="shared" si="25"/>
        <v/>
      </c>
      <c r="H1437" s="84">
        <f>IFERROR(VLOOKUP(B1437,Заказ!B:Q,5,0),0)</f>
        <v>0</v>
      </c>
      <c r="I1437" s="84">
        <f>IFERROR(VLOOKUP(B1437,Заказ!B:Q,16,0),0)</f>
        <v>0</v>
      </c>
    </row>
    <row r="1438" spans="2:9" x14ac:dyDescent="0.25">
      <c r="B1438" s="84">
        <v>16569</v>
      </c>
      <c r="D1438" s="84" t="str">
        <f t="shared" si="25"/>
        <v/>
      </c>
      <c r="H1438" s="84">
        <f>IFERROR(VLOOKUP(B1438,Заказ!B:Q,5,0),0)</f>
        <v>0</v>
      </c>
      <c r="I1438" s="84">
        <f>IFERROR(VLOOKUP(B1438,Заказ!B:Q,16,0),0)</f>
        <v>0</v>
      </c>
    </row>
    <row r="1439" spans="2:9" x14ac:dyDescent="0.25">
      <c r="B1439" s="84">
        <v>16568</v>
      </c>
      <c r="D1439" s="84" t="str">
        <f t="shared" si="25"/>
        <v/>
      </c>
      <c r="H1439" s="84">
        <f>IFERROR(VLOOKUP(B1439,Заказ!B:Q,5,0),0)</f>
        <v>0</v>
      </c>
      <c r="I1439" s="84">
        <f>IFERROR(VLOOKUP(B1439,Заказ!B:Q,16,0),0)</f>
        <v>0</v>
      </c>
    </row>
    <row r="1440" spans="2:9" x14ac:dyDescent="0.25">
      <c r="B1440" s="84">
        <v>16567</v>
      </c>
      <c r="D1440" s="84" t="str">
        <f t="shared" si="25"/>
        <v/>
      </c>
      <c r="H1440" s="84">
        <f>IFERROR(VLOOKUP(B1440,Заказ!B:Q,5,0),0)</f>
        <v>0</v>
      </c>
      <c r="I1440" s="84">
        <f>IFERROR(VLOOKUP(B1440,Заказ!B:Q,16,0),0)</f>
        <v>0</v>
      </c>
    </row>
    <row r="1441" spans="2:9" x14ac:dyDescent="0.25">
      <c r="B1441" s="84">
        <v>16571</v>
      </c>
      <c r="D1441" s="84" t="str">
        <f t="shared" si="25"/>
        <v/>
      </c>
      <c r="H1441" s="84">
        <f>IFERROR(VLOOKUP(B1441,Заказ!B:Q,5,0),0)</f>
        <v>0</v>
      </c>
      <c r="I1441" s="84">
        <f>IFERROR(VLOOKUP(B1441,Заказ!B:Q,16,0),0)</f>
        <v>0</v>
      </c>
    </row>
    <row r="1442" spans="2:9" x14ac:dyDescent="0.25">
      <c r="B1442" s="84">
        <v>18734</v>
      </c>
      <c r="D1442" s="84" t="str">
        <f t="shared" si="25"/>
        <v/>
      </c>
      <c r="H1442" s="84">
        <f>IFERROR(VLOOKUP(B1442,Заказ!B:Q,5,0),0)</f>
        <v>0</v>
      </c>
      <c r="I1442" s="84">
        <f>IFERROR(VLOOKUP(B1442,Заказ!B:Q,16,0),0)</f>
        <v>0</v>
      </c>
    </row>
    <row r="1443" spans="2:9" x14ac:dyDescent="0.25">
      <c r="B1443" s="84">
        <v>16331</v>
      </c>
      <c r="D1443" s="84" t="str">
        <f t="shared" si="25"/>
        <v/>
      </c>
      <c r="H1443" s="84">
        <f>IFERROR(VLOOKUP(B1443,Заказ!B:Q,5,0),0)</f>
        <v>0</v>
      </c>
      <c r="I1443" s="84">
        <f>IFERROR(VLOOKUP(B1443,Заказ!B:Q,16,0),0)</f>
        <v>0</v>
      </c>
    </row>
    <row r="1444" spans="2:9" x14ac:dyDescent="0.25">
      <c r="B1444" s="84">
        <v>17133</v>
      </c>
      <c r="D1444" s="84" t="str">
        <f t="shared" si="25"/>
        <v/>
      </c>
      <c r="H1444" s="84">
        <f>IFERROR(VLOOKUP(B1444,Заказ!B:Q,5,0),0)</f>
        <v>0</v>
      </c>
      <c r="I1444" s="84">
        <f>IFERROR(VLOOKUP(B1444,Заказ!B:Q,16,0),0)</f>
        <v>0</v>
      </c>
    </row>
    <row r="1445" spans="2:9" x14ac:dyDescent="0.25">
      <c r="B1445" s="84">
        <v>18098</v>
      </c>
      <c r="D1445" s="84" t="str">
        <f t="shared" si="25"/>
        <v/>
      </c>
      <c r="H1445" s="84">
        <f>IFERROR(VLOOKUP(B1445,Заказ!B:Q,5,0),0)</f>
        <v>0</v>
      </c>
      <c r="I1445" s="84">
        <f>IFERROR(VLOOKUP(B1445,Заказ!B:Q,16,0),0)</f>
        <v>0</v>
      </c>
    </row>
    <row r="1446" spans="2:9" x14ac:dyDescent="0.25">
      <c r="B1446" s="84">
        <v>18097</v>
      </c>
      <c r="D1446" s="84" t="str">
        <f t="shared" si="25"/>
        <v/>
      </c>
      <c r="H1446" s="84">
        <f>IFERROR(VLOOKUP(B1446,Заказ!B:Q,5,0),0)</f>
        <v>0</v>
      </c>
      <c r="I1446" s="84">
        <f>IFERROR(VLOOKUP(B1446,Заказ!B:Q,16,0),0)</f>
        <v>0</v>
      </c>
    </row>
    <row r="1447" spans="2:9" x14ac:dyDescent="0.25">
      <c r="B1447" s="84">
        <v>16794</v>
      </c>
      <c r="D1447" s="84" t="str">
        <f t="shared" si="25"/>
        <v/>
      </c>
      <c r="H1447" s="84">
        <f>IFERROR(VLOOKUP(B1447,Заказ!B:Q,5,0),0)</f>
        <v>0</v>
      </c>
      <c r="I1447" s="84">
        <f>IFERROR(VLOOKUP(B1447,Заказ!B:Q,16,0),0)</f>
        <v>0</v>
      </c>
    </row>
    <row r="1448" spans="2:9" x14ac:dyDescent="0.25">
      <c r="B1448" s="84">
        <v>16793</v>
      </c>
      <c r="D1448" s="84" t="str">
        <f t="shared" si="25"/>
        <v/>
      </c>
      <c r="H1448" s="84">
        <f>IFERROR(VLOOKUP(B1448,Заказ!B:Q,5,0),0)</f>
        <v>0</v>
      </c>
      <c r="I1448" s="84">
        <f>IFERROR(VLOOKUP(B1448,Заказ!B:Q,16,0),0)</f>
        <v>0</v>
      </c>
    </row>
    <row r="1449" spans="2:9" x14ac:dyDescent="0.25">
      <c r="B1449" s="84">
        <v>16334</v>
      </c>
      <c r="D1449" s="84" t="str">
        <f t="shared" si="25"/>
        <v/>
      </c>
      <c r="H1449" s="84">
        <f>IFERROR(VLOOKUP(B1449,Заказ!B:Q,5,0),0)</f>
        <v>0</v>
      </c>
      <c r="I1449" s="84">
        <f>IFERROR(VLOOKUP(B1449,Заказ!B:Q,16,0),0)</f>
        <v>0</v>
      </c>
    </row>
    <row r="1450" spans="2:9" x14ac:dyDescent="0.25">
      <c r="B1450" s="84">
        <v>21409</v>
      </c>
      <c r="D1450" s="84" t="str">
        <f t="shared" si="25"/>
        <v/>
      </c>
      <c r="H1450" s="84">
        <f>IFERROR(VLOOKUP(B1450,Заказ!B:Q,5,0),0)</f>
        <v>0</v>
      </c>
      <c r="I1450" s="84">
        <f>IFERROR(VLOOKUP(B1450,Заказ!B:Q,16,0),0)</f>
        <v>0</v>
      </c>
    </row>
    <row r="1451" spans="2:9" x14ac:dyDescent="0.25">
      <c r="B1451" s="84">
        <v>21410</v>
      </c>
      <c r="D1451" s="84" t="str">
        <f t="shared" si="25"/>
        <v/>
      </c>
      <c r="H1451" s="84">
        <f>IFERROR(VLOOKUP(B1451,Заказ!B:Q,5,0),0)</f>
        <v>0</v>
      </c>
      <c r="I1451" s="84">
        <f>IFERROR(VLOOKUP(B1451,Заказ!B:Q,16,0),0)</f>
        <v>0</v>
      </c>
    </row>
    <row r="1452" spans="2:9" x14ac:dyDescent="0.25">
      <c r="B1452" s="84">
        <v>21411</v>
      </c>
      <c r="D1452" s="84" t="str">
        <f t="shared" si="25"/>
        <v/>
      </c>
      <c r="H1452" s="84">
        <f>IFERROR(VLOOKUP(B1452,Заказ!B:Q,5,0),0)</f>
        <v>0</v>
      </c>
      <c r="I1452" s="84">
        <f>IFERROR(VLOOKUP(B1452,Заказ!B:Q,16,0),0)</f>
        <v>0</v>
      </c>
    </row>
    <row r="1453" spans="2:9" x14ac:dyDescent="0.25">
      <c r="B1453" s="84">
        <v>17843</v>
      </c>
      <c r="D1453" s="84" t="str">
        <f t="shared" si="25"/>
        <v/>
      </c>
      <c r="H1453" s="84">
        <f>IFERROR(VLOOKUP(B1453,Заказ!B:Q,5,0),0)</f>
        <v>0</v>
      </c>
      <c r="I1453" s="84">
        <f>IFERROR(VLOOKUP(B1453,Заказ!B:Q,16,0),0)</f>
        <v>0</v>
      </c>
    </row>
    <row r="1454" spans="2:9" x14ac:dyDescent="0.25">
      <c r="B1454" s="84">
        <v>21032</v>
      </c>
      <c r="D1454" s="84" t="str">
        <f t="shared" si="25"/>
        <v/>
      </c>
      <c r="H1454" s="84">
        <f>IFERROR(VLOOKUP(B1454,Заказ!B:Q,5,0),0)</f>
        <v>0</v>
      </c>
      <c r="I1454" s="84">
        <f>IFERROR(VLOOKUP(B1454,Заказ!B:Q,16,0),0)</f>
        <v>0</v>
      </c>
    </row>
    <row r="1455" spans="2:9" x14ac:dyDescent="0.25">
      <c r="B1455" s="84">
        <v>21033</v>
      </c>
      <c r="D1455" s="84" t="str">
        <f t="shared" si="25"/>
        <v/>
      </c>
      <c r="H1455" s="84">
        <f>IFERROR(VLOOKUP(B1455,Заказ!B:Q,5,0),0)</f>
        <v>0</v>
      </c>
      <c r="I1455" s="84">
        <f>IFERROR(VLOOKUP(B1455,Заказ!B:Q,16,0),0)</f>
        <v>0</v>
      </c>
    </row>
    <row r="1456" spans="2:9" x14ac:dyDescent="0.25">
      <c r="B1456" s="84">
        <v>21028</v>
      </c>
      <c r="D1456" s="84" t="str">
        <f t="shared" si="25"/>
        <v/>
      </c>
      <c r="H1456" s="84">
        <f>IFERROR(VLOOKUP(B1456,Заказ!B:Q,5,0),0)</f>
        <v>0</v>
      </c>
      <c r="I1456" s="84">
        <f>IFERROR(VLOOKUP(B1456,Заказ!B:Q,16,0),0)</f>
        <v>0</v>
      </c>
    </row>
    <row r="1457" spans="2:9" x14ac:dyDescent="0.25">
      <c r="B1457" s="84">
        <v>21029</v>
      </c>
      <c r="D1457" s="84" t="str">
        <f t="shared" si="25"/>
        <v/>
      </c>
      <c r="H1457" s="84">
        <f>IFERROR(VLOOKUP(B1457,Заказ!B:Q,5,0),0)</f>
        <v>0</v>
      </c>
      <c r="I1457" s="84">
        <f>IFERROR(VLOOKUP(B1457,Заказ!B:Q,16,0),0)</f>
        <v>0</v>
      </c>
    </row>
    <row r="1458" spans="2:9" x14ac:dyDescent="0.25">
      <c r="B1458" s="84">
        <v>21030</v>
      </c>
      <c r="D1458" s="84" t="str">
        <f t="shared" si="25"/>
        <v/>
      </c>
      <c r="H1458" s="84">
        <f>IFERROR(VLOOKUP(B1458,Заказ!B:Q,5,0),0)</f>
        <v>0</v>
      </c>
      <c r="I1458" s="84">
        <f>IFERROR(VLOOKUP(B1458,Заказ!B:Q,16,0),0)</f>
        <v>0</v>
      </c>
    </row>
    <row r="1459" spans="2:9" x14ac:dyDescent="0.25">
      <c r="B1459" s="84">
        <v>21031</v>
      </c>
      <c r="D1459" s="84" t="str">
        <f t="shared" si="25"/>
        <v/>
      </c>
      <c r="H1459" s="84">
        <f>IFERROR(VLOOKUP(B1459,Заказ!B:Q,5,0),0)</f>
        <v>0</v>
      </c>
      <c r="I1459" s="84">
        <f>IFERROR(VLOOKUP(B1459,Заказ!B:Q,16,0),0)</f>
        <v>0</v>
      </c>
    </row>
    <row r="1460" spans="2:9" x14ac:dyDescent="0.25">
      <c r="B1460" s="84">
        <v>21233</v>
      </c>
      <c r="D1460" s="84" t="str">
        <f t="shared" si="25"/>
        <v/>
      </c>
      <c r="H1460" s="84">
        <f>IFERROR(VLOOKUP(B1460,Заказ!B:Q,5,0),0)</f>
        <v>0</v>
      </c>
      <c r="I1460" s="84">
        <f>IFERROR(VLOOKUP(B1460,Заказ!B:Q,16,0),0)</f>
        <v>0</v>
      </c>
    </row>
    <row r="1461" spans="2:9" x14ac:dyDescent="0.25">
      <c r="B1461" s="84">
        <v>17728</v>
      </c>
      <c r="D1461" s="84" t="str">
        <f t="shared" si="25"/>
        <v/>
      </c>
      <c r="H1461" s="84">
        <f>IFERROR(VLOOKUP(B1461,Заказ!B:Q,5,0),0)</f>
        <v>0</v>
      </c>
      <c r="I1461" s="84">
        <f>IFERROR(VLOOKUP(B1461,Заказ!B:Q,16,0),0)</f>
        <v>0</v>
      </c>
    </row>
    <row r="1462" spans="2:9" x14ac:dyDescent="0.25">
      <c r="B1462" s="84">
        <v>17734</v>
      </c>
      <c r="D1462" s="84" t="str">
        <f t="shared" si="25"/>
        <v/>
      </c>
      <c r="H1462" s="84">
        <f>IFERROR(VLOOKUP(B1462,Заказ!B:Q,5,0),0)</f>
        <v>0</v>
      </c>
      <c r="I1462" s="84">
        <f>IFERROR(VLOOKUP(B1462,Заказ!B:Q,16,0),0)</f>
        <v>0</v>
      </c>
    </row>
    <row r="1463" spans="2:9" x14ac:dyDescent="0.25">
      <c r="B1463" s="84">
        <v>17730</v>
      </c>
      <c r="D1463" s="84" t="str">
        <f t="shared" si="25"/>
        <v/>
      </c>
      <c r="H1463" s="84">
        <f>IFERROR(VLOOKUP(B1463,Заказ!B:Q,5,0),0)</f>
        <v>0</v>
      </c>
      <c r="I1463" s="84">
        <f>IFERROR(VLOOKUP(B1463,Заказ!B:Q,16,0),0)</f>
        <v>0</v>
      </c>
    </row>
    <row r="1464" spans="2:9" x14ac:dyDescent="0.25">
      <c r="B1464" s="84">
        <v>17731</v>
      </c>
      <c r="D1464" s="84" t="str">
        <f t="shared" ref="D1464:D1537" si="26">IFERROR(ROUND(I1464/H1464,2),"")</f>
        <v/>
      </c>
      <c r="H1464" s="84">
        <f>IFERROR(VLOOKUP(B1464,Заказ!B:Q,5,0),0)</f>
        <v>0</v>
      </c>
      <c r="I1464" s="84">
        <f>IFERROR(VLOOKUP(B1464,Заказ!B:Q,16,0),0)</f>
        <v>0</v>
      </c>
    </row>
    <row r="1465" spans="2:9" x14ac:dyDescent="0.25">
      <c r="B1465" s="84">
        <v>19120</v>
      </c>
      <c r="D1465" s="84" t="str">
        <f t="shared" si="26"/>
        <v/>
      </c>
      <c r="H1465" s="84">
        <f>IFERROR(VLOOKUP(B1465,Заказ!B:Q,5,0),0)</f>
        <v>0</v>
      </c>
      <c r="I1465" s="84">
        <f>IFERROR(VLOOKUP(B1465,Заказ!B:Q,16,0),0)</f>
        <v>0</v>
      </c>
    </row>
    <row r="1466" spans="2:9" x14ac:dyDescent="0.25">
      <c r="B1466" s="84">
        <v>18801</v>
      </c>
      <c r="D1466" s="84" t="str">
        <f t="shared" si="26"/>
        <v/>
      </c>
      <c r="H1466" s="84">
        <f>IFERROR(VLOOKUP(B1466,Заказ!B:Q,5,0),0)</f>
        <v>0</v>
      </c>
      <c r="I1466" s="84">
        <f>IFERROR(VLOOKUP(B1466,Заказ!B:Q,16,0),0)</f>
        <v>0</v>
      </c>
    </row>
    <row r="1467" spans="2:9" x14ac:dyDescent="0.25">
      <c r="B1467" s="84">
        <v>18836</v>
      </c>
      <c r="D1467" s="84" t="str">
        <f t="shared" si="26"/>
        <v/>
      </c>
      <c r="H1467" s="84">
        <f>IFERROR(VLOOKUP(B1467,Заказ!B:Q,5,0),0)</f>
        <v>0</v>
      </c>
      <c r="I1467" s="84">
        <f>IFERROR(VLOOKUP(B1467,Заказ!B:Q,16,0),0)</f>
        <v>0</v>
      </c>
    </row>
    <row r="1468" spans="2:9" x14ac:dyDescent="0.25">
      <c r="B1468" s="84">
        <v>20318</v>
      </c>
      <c r="D1468" s="84" t="str">
        <f t="shared" si="26"/>
        <v/>
      </c>
      <c r="H1468" s="84">
        <f>IFERROR(VLOOKUP(B1468,Заказ!B:Q,5,0),0)</f>
        <v>0</v>
      </c>
      <c r="I1468" s="84">
        <f>IFERROR(VLOOKUP(B1468,Заказ!B:Q,16,0),0)</f>
        <v>0</v>
      </c>
    </row>
    <row r="1469" spans="2:9" x14ac:dyDescent="0.25">
      <c r="B1469" s="84">
        <v>20760</v>
      </c>
      <c r="D1469" s="84" t="str">
        <f t="shared" si="26"/>
        <v/>
      </c>
      <c r="H1469" s="84">
        <f>IFERROR(VLOOKUP(B1469,Заказ!B:Q,5,0),0)</f>
        <v>0</v>
      </c>
      <c r="I1469" s="84">
        <f>IFERROR(VLOOKUP(B1469,Заказ!B:Q,16,0),0)</f>
        <v>0</v>
      </c>
    </row>
    <row r="1470" spans="2:9" x14ac:dyDescent="0.25">
      <c r="B1470" s="84">
        <v>17735</v>
      </c>
      <c r="D1470" s="84" t="str">
        <f t="shared" si="26"/>
        <v/>
      </c>
      <c r="H1470" s="84">
        <f>IFERROR(VLOOKUP(B1470,Заказ!B:Q,5,0),0)</f>
        <v>0</v>
      </c>
      <c r="I1470" s="84">
        <f>IFERROR(VLOOKUP(B1470,Заказ!B:Q,16,0),0)</f>
        <v>0</v>
      </c>
    </row>
    <row r="1471" spans="2:9" x14ac:dyDescent="0.25">
      <c r="B1471" s="84">
        <v>19640</v>
      </c>
      <c r="D1471" s="84" t="str">
        <f t="shared" si="26"/>
        <v/>
      </c>
      <c r="H1471" s="84">
        <f>IFERROR(VLOOKUP(B1471,Заказ!B:Q,5,0),0)</f>
        <v>0</v>
      </c>
      <c r="I1471" s="84">
        <f>IFERROR(VLOOKUP(B1471,Заказ!B:Q,16,0),0)</f>
        <v>0</v>
      </c>
    </row>
    <row r="1472" spans="2:9" x14ac:dyDescent="0.25">
      <c r="B1472" s="84">
        <v>19642</v>
      </c>
      <c r="D1472" s="84" t="str">
        <f t="shared" si="26"/>
        <v/>
      </c>
      <c r="H1472" s="84">
        <f>IFERROR(VLOOKUP(B1472,Заказ!B:Q,5,0),0)</f>
        <v>0</v>
      </c>
      <c r="I1472" s="84">
        <f>IFERROR(VLOOKUP(B1472,Заказ!B:Q,16,0),0)</f>
        <v>0</v>
      </c>
    </row>
    <row r="1473" spans="2:9" x14ac:dyDescent="0.25">
      <c r="B1473" s="84">
        <v>19639</v>
      </c>
      <c r="D1473" s="84" t="str">
        <f t="shared" si="26"/>
        <v/>
      </c>
      <c r="H1473" s="84">
        <f>IFERROR(VLOOKUP(B1473,Заказ!B:Q,5,0),0)</f>
        <v>0</v>
      </c>
      <c r="I1473" s="84">
        <f>IFERROR(VLOOKUP(B1473,Заказ!B:Q,16,0),0)</f>
        <v>0</v>
      </c>
    </row>
    <row r="1474" spans="2:9" x14ac:dyDescent="0.25">
      <c r="B1474" s="84">
        <v>19645</v>
      </c>
      <c r="D1474" s="84" t="str">
        <f t="shared" si="26"/>
        <v/>
      </c>
      <c r="H1474" s="84">
        <f>IFERROR(VLOOKUP(B1474,Заказ!B:Q,5,0),0)</f>
        <v>0</v>
      </c>
      <c r="I1474" s="84">
        <f>IFERROR(VLOOKUP(B1474,Заказ!B:Q,16,0),0)</f>
        <v>0</v>
      </c>
    </row>
    <row r="1475" spans="2:9" x14ac:dyDescent="0.25">
      <c r="B1475" s="84">
        <v>19643</v>
      </c>
      <c r="D1475" s="84" t="str">
        <f t="shared" si="26"/>
        <v/>
      </c>
      <c r="H1475" s="84">
        <f>IFERROR(VLOOKUP(B1475,Заказ!B:Q,5,0),0)</f>
        <v>0</v>
      </c>
      <c r="I1475" s="84">
        <f>IFERROR(VLOOKUP(B1475,Заказ!B:Q,16,0),0)</f>
        <v>0</v>
      </c>
    </row>
    <row r="1476" spans="2:9" x14ac:dyDescent="0.25">
      <c r="B1476" s="84">
        <v>19641</v>
      </c>
      <c r="D1476" s="84" t="str">
        <f t="shared" si="26"/>
        <v/>
      </c>
      <c r="H1476" s="84">
        <f>IFERROR(VLOOKUP(B1476,Заказ!B:Q,5,0),0)</f>
        <v>0</v>
      </c>
      <c r="I1476" s="84">
        <f>IFERROR(VLOOKUP(B1476,Заказ!B:Q,16,0),0)</f>
        <v>0</v>
      </c>
    </row>
    <row r="1477" spans="2:9" x14ac:dyDescent="0.25">
      <c r="B1477" s="84">
        <v>19644</v>
      </c>
      <c r="D1477" s="84" t="str">
        <f t="shared" si="26"/>
        <v/>
      </c>
      <c r="H1477" s="84">
        <f>IFERROR(VLOOKUP(B1477,Заказ!B:Q,5,0),0)</f>
        <v>0</v>
      </c>
      <c r="I1477" s="84">
        <f>IFERROR(VLOOKUP(B1477,Заказ!B:Q,16,0),0)</f>
        <v>0</v>
      </c>
    </row>
    <row r="1478" spans="2:9" x14ac:dyDescent="0.25">
      <c r="B1478" s="84">
        <v>15674</v>
      </c>
      <c r="D1478" s="84" t="str">
        <f t="shared" si="26"/>
        <v/>
      </c>
      <c r="H1478" s="84">
        <f>IFERROR(VLOOKUP(B1478,Заказ!B:Q,5,0),0)</f>
        <v>0</v>
      </c>
      <c r="I1478" s="84">
        <f>IFERROR(VLOOKUP(B1478,Заказ!B:Q,16,0),0)</f>
        <v>0</v>
      </c>
    </row>
    <row r="1479" spans="2:9" x14ac:dyDescent="0.25">
      <c r="B1479" s="84">
        <v>15675</v>
      </c>
      <c r="D1479" s="84" t="str">
        <f t="shared" si="26"/>
        <v/>
      </c>
      <c r="H1479" s="84">
        <f>IFERROR(VLOOKUP(B1479,Заказ!B:Q,5,0),0)</f>
        <v>0</v>
      </c>
      <c r="I1479" s="84">
        <f>IFERROR(VLOOKUP(B1479,Заказ!B:Q,16,0),0)</f>
        <v>0</v>
      </c>
    </row>
    <row r="1480" spans="2:9" x14ac:dyDescent="0.25">
      <c r="B1480" s="84">
        <v>15671</v>
      </c>
      <c r="D1480" s="84" t="str">
        <f t="shared" si="26"/>
        <v/>
      </c>
      <c r="H1480" s="84">
        <f>IFERROR(VLOOKUP(B1480,Заказ!B:Q,5,0),0)</f>
        <v>0</v>
      </c>
      <c r="I1480" s="84">
        <f>IFERROR(VLOOKUP(B1480,Заказ!B:Q,16,0),0)</f>
        <v>0</v>
      </c>
    </row>
    <row r="1481" spans="2:9" x14ac:dyDescent="0.25">
      <c r="B1481" s="84">
        <v>15672</v>
      </c>
      <c r="D1481" s="84" t="str">
        <f t="shared" si="26"/>
        <v/>
      </c>
      <c r="H1481" s="84">
        <f>IFERROR(VLOOKUP(B1481,Заказ!B:Q,5,0),0)</f>
        <v>0</v>
      </c>
      <c r="I1481" s="84">
        <f>IFERROR(VLOOKUP(B1481,Заказ!B:Q,16,0),0)</f>
        <v>0</v>
      </c>
    </row>
    <row r="1482" spans="2:9" x14ac:dyDescent="0.25">
      <c r="B1482" s="84">
        <v>20988</v>
      </c>
      <c r="D1482" s="84" t="str">
        <f t="shared" si="26"/>
        <v/>
      </c>
      <c r="H1482" s="84">
        <f>IFERROR(VLOOKUP(B1482,Заказ!B:Q,5,0),0)</f>
        <v>0</v>
      </c>
      <c r="I1482" s="84">
        <f>IFERROR(VLOOKUP(B1482,Заказ!B:Q,16,0),0)</f>
        <v>0</v>
      </c>
    </row>
    <row r="1483" spans="2:9" x14ac:dyDescent="0.25">
      <c r="B1483" s="84">
        <v>20989</v>
      </c>
      <c r="D1483" s="84" t="str">
        <f t="shared" si="26"/>
        <v/>
      </c>
      <c r="H1483" s="84">
        <f>IFERROR(VLOOKUP(B1483,Заказ!B:Q,5,0),0)</f>
        <v>0</v>
      </c>
      <c r="I1483" s="84">
        <f>IFERROR(VLOOKUP(B1483,Заказ!B:Q,16,0),0)</f>
        <v>0</v>
      </c>
    </row>
    <row r="1484" spans="2:9" x14ac:dyDescent="0.25">
      <c r="B1484" s="84">
        <v>20990</v>
      </c>
      <c r="D1484" s="84" t="str">
        <f t="shared" si="26"/>
        <v/>
      </c>
      <c r="H1484" s="84">
        <f>IFERROR(VLOOKUP(B1484,Заказ!B:Q,5,0),0)</f>
        <v>0</v>
      </c>
      <c r="I1484" s="84">
        <f>IFERROR(VLOOKUP(B1484,Заказ!B:Q,16,0),0)</f>
        <v>0</v>
      </c>
    </row>
    <row r="1485" spans="2:9" x14ac:dyDescent="0.25">
      <c r="B1485" s="84">
        <v>15673</v>
      </c>
      <c r="D1485" s="84" t="str">
        <f t="shared" si="26"/>
        <v/>
      </c>
      <c r="H1485" s="84">
        <f>IFERROR(VLOOKUP(B1485,Заказ!B:Q,5,0),0)</f>
        <v>0</v>
      </c>
      <c r="I1485" s="84">
        <f>IFERROR(VLOOKUP(B1485,Заказ!B:Q,16,0),0)</f>
        <v>0</v>
      </c>
    </row>
    <row r="1486" spans="2:9" x14ac:dyDescent="0.25">
      <c r="B1486" s="84">
        <v>17750</v>
      </c>
      <c r="D1486" s="84" t="str">
        <f t="shared" si="26"/>
        <v/>
      </c>
      <c r="H1486" s="84">
        <f>IFERROR(VLOOKUP(B1486,Заказ!B:Q,5,0),0)</f>
        <v>0</v>
      </c>
      <c r="I1486" s="84">
        <f>IFERROR(VLOOKUP(B1486,Заказ!B:Q,16,0),0)</f>
        <v>0</v>
      </c>
    </row>
    <row r="1487" spans="2:9" x14ac:dyDescent="0.25">
      <c r="B1487" s="84">
        <v>17749</v>
      </c>
      <c r="D1487" s="84" t="str">
        <f t="shared" si="26"/>
        <v/>
      </c>
      <c r="H1487" s="84">
        <f>IFERROR(VLOOKUP(B1487,Заказ!B:Q,5,0),0)</f>
        <v>0</v>
      </c>
      <c r="I1487" s="84">
        <f>IFERROR(VLOOKUP(B1487,Заказ!B:Q,16,0),0)</f>
        <v>0</v>
      </c>
    </row>
    <row r="1488" spans="2:9" x14ac:dyDescent="0.25">
      <c r="B1488" s="84">
        <v>13593</v>
      </c>
      <c r="D1488" s="84" t="str">
        <f t="shared" si="26"/>
        <v/>
      </c>
      <c r="H1488" s="84">
        <f>IFERROR(VLOOKUP(B1488,Заказ!B:Q,5,0),0)</f>
        <v>0</v>
      </c>
      <c r="I1488" s="84">
        <f>IFERROR(VLOOKUP(B1488,Заказ!B:Q,16,0),0)</f>
        <v>0</v>
      </c>
    </row>
    <row r="1489" spans="2:9" x14ac:dyDescent="0.25">
      <c r="B1489" s="84">
        <v>13415</v>
      </c>
      <c r="D1489" s="84" t="str">
        <f t="shared" si="26"/>
        <v/>
      </c>
      <c r="H1489" s="84">
        <f>IFERROR(VLOOKUP(B1489,Заказ!B:Q,5,0),0)</f>
        <v>0</v>
      </c>
      <c r="I1489" s="84">
        <f>IFERROR(VLOOKUP(B1489,Заказ!B:Q,16,0),0)</f>
        <v>0</v>
      </c>
    </row>
    <row r="1490" spans="2:9" x14ac:dyDescent="0.25">
      <c r="B1490" s="84">
        <v>13413</v>
      </c>
      <c r="D1490" s="84" t="str">
        <f t="shared" si="26"/>
        <v/>
      </c>
      <c r="H1490" s="84">
        <f>IFERROR(VLOOKUP(B1490,Заказ!B:Q,5,0),0)</f>
        <v>0</v>
      </c>
      <c r="I1490" s="84">
        <f>IFERROR(VLOOKUP(B1490,Заказ!B:Q,16,0),0)</f>
        <v>0</v>
      </c>
    </row>
    <row r="1491" spans="2:9" x14ac:dyDescent="0.25">
      <c r="B1491" s="84">
        <v>13414</v>
      </c>
      <c r="D1491" s="84" t="str">
        <f t="shared" si="26"/>
        <v/>
      </c>
      <c r="H1491" s="84">
        <f>IFERROR(VLOOKUP(B1491,Заказ!B:Q,5,0),0)</f>
        <v>0</v>
      </c>
      <c r="I1491" s="84">
        <f>IFERROR(VLOOKUP(B1491,Заказ!B:Q,16,0),0)</f>
        <v>0</v>
      </c>
    </row>
    <row r="1492" spans="2:9" x14ac:dyDescent="0.25">
      <c r="B1492" s="84">
        <v>21159</v>
      </c>
      <c r="D1492" s="84" t="str">
        <f t="shared" si="26"/>
        <v/>
      </c>
      <c r="H1492" s="84">
        <f>IFERROR(VLOOKUP(B1492,Заказ!B:Q,5,0),0)</f>
        <v>0</v>
      </c>
      <c r="I1492" s="84">
        <f>IFERROR(VLOOKUP(B1492,Заказ!B:Q,16,0),0)</f>
        <v>0</v>
      </c>
    </row>
    <row r="1493" spans="2:9" x14ac:dyDescent="0.25">
      <c r="B1493" s="84">
        <v>21160</v>
      </c>
      <c r="D1493" s="84" t="str">
        <f t="shared" si="26"/>
        <v/>
      </c>
      <c r="H1493" s="84">
        <f>IFERROR(VLOOKUP(B1493,Заказ!B:Q,5,0),0)</f>
        <v>0</v>
      </c>
      <c r="I1493" s="84">
        <f>IFERROR(VLOOKUP(B1493,Заказ!B:Q,16,0),0)</f>
        <v>0</v>
      </c>
    </row>
    <row r="1494" spans="2:9" x14ac:dyDescent="0.25">
      <c r="B1494" s="84">
        <v>21101</v>
      </c>
      <c r="D1494" s="84" t="str">
        <f t="shared" si="26"/>
        <v/>
      </c>
      <c r="H1494" s="84">
        <f>IFERROR(VLOOKUP(B1494,Заказ!B:Q,5,0),0)</f>
        <v>0</v>
      </c>
      <c r="I1494" s="84">
        <f>IFERROR(VLOOKUP(B1494,Заказ!B:Q,16,0),0)</f>
        <v>0</v>
      </c>
    </row>
    <row r="1495" spans="2:9" x14ac:dyDescent="0.25">
      <c r="B1495" s="84">
        <v>21102</v>
      </c>
      <c r="D1495" s="84" t="str">
        <f t="shared" si="26"/>
        <v/>
      </c>
      <c r="H1495" s="84">
        <f>IFERROR(VLOOKUP(B1495,Заказ!B:Q,5,0),0)</f>
        <v>0</v>
      </c>
      <c r="I1495" s="84">
        <f>IFERROR(VLOOKUP(B1495,Заказ!B:Q,16,0),0)</f>
        <v>0</v>
      </c>
    </row>
    <row r="1496" spans="2:9" x14ac:dyDescent="0.25">
      <c r="B1496" s="84">
        <v>20876</v>
      </c>
      <c r="D1496" s="84" t="str">
        <f t="shared" si="26"/>
        <v/>
      </c>
      <c r="H1496" s="84">
        <f>IFERROR(VLOOKUP(B1496,Заказ!B:Q,5,0),0)</f>
        <v>0</v>
      </c>
      <c r="I1496" s="84">
        <f>IFERROR(VLOOKUP(B1496,Заказ!B:Q,16,0),0)</f>
        <v>0</v>
      </c>
    </row>
    <row r="1497" spans="2:9" x14ac:dyDescent="0.25">
      <c r="B1497" s="84">
        <v>20877</v>
      </c>
      <c r="D1497" s="84" t="str">
        <f t="shared" si="26"/>
        <v/>
      </c>
      <c r="H1497" s="84">
        <f>IFERROR(VLOOKUP(B1497,Заказ!B:Q,5,0),0)</f>
        <v>0</v>
      </c>
      <c r="I1497" s="84">
        <f>IFERROR(VLOOKUP(B1497,Заказ!B:Q,16,0),0)</f>
        <v>0</v>
      </c>
    </row>
    <row r="1498" spans="2:9" x14ac:dyDescent="0.25">
      <c r="B1498" s="84">
        <v>19579</v>
      </c>
      <c r="D1498" s="84" t="str">
        <f t="shared" si="26"/>
        <v/>
      </c>
      <c r="H1498" s="84">
        <f>IFERROR(VLOOKUP(B1498,Заказ!B:Q,5,0),0)</f>
        <v>0</v>
      </c>
      <c r="I1498" s="84">
        <f>IFERROR(VLOOKUP(B1498,Заказ!B:Q,16,0),0)</f>
        <v>0</v>
      </c>
    </row>
    <row r="1499" spans="2:9" x14ac:dyDescent="0.25">
      <c r="B1499" s="84">
        <v>19580</v>
      </c>
      <c r="D1499" s="84" t="str">
        <f t="shared" si="26"/>
        <v/>
      </c>
      <c r="H1499" s="84">
        <f>IFERROR(VLOOKUP(B1499,Заказ!B:Q,5,0),0)</f>
        <v>0</v>
      </c>
      <c r="I1499" s="84">
        <f>IFERROR(VLOOKUP(B1499,Заказ!B:Q,16,0),0)</f>
        <v>0</v>
      </c>
    </row>
    <row r="1500" spans="2:9" x14ac:dyDescent="0.25">
      <c r="B1500" s="84">
        <v>19581</v>
      </c>
      <c r="D1500" s="84" t="str">
        <f t="shared" si="26"/>
        <v/>
      </c>
      <c r="H1500" s="84">
        <f>IFERROR(VLOOKUP(B1500,Заказ!B:Q,5,0),0)</f>
        <v>0</v>
      </c>
      <c r="I1500" s="84">
        <f>IFERROR(VLOOKUP(B1500,Заказ!B:Q,16,0),0)</f>
        <v>0</v>
      </c>
    </row>
    <row r="1501" spans="2:9" x14ac:dyDescent="0.25">
      <c r="B1501" s="84">
        <v>19582</v>
      </c>
      <c r="D1501" s="84" t="str">
        <f t="shared" si="26"/>
        <v/>
      </c>
      <c r="H1501" s="84">
        <f>IFERROR(VLOOKUP(B1501,Заказ!B:Q,5,0),0)</f>
        <v>0</v>
      </c>
      <c r="I1501" s="84">
        <f>IFERROR(VLOOKUP(B1501,Заказ!B:Q,16,0),0)</f>
        <v>0</v>
      </c>
    </row>
    <row r="1502" spans="2:9" x14ac:dyDescent="0.25">
      <c r="B1502" s="84">
        <v>21363</v>
      </c>
      <c r="D1502" s="84" t="str">
        <f t="shared" si="26"/>
        <v/>
      </c>
      <c r="H1502" s="84">
        <f>IFERROR(VLOOKUP(B1502,Заказ!B:Q,5,0),0)</f>
        <v>0</v>
      </c>
      <c r="I1502" s="84">
        <f>IFERROR(VLOOKUP(B1502,Заказ!B:Q,16,0),0)</f>
        <v>0</v>
      </c>
    </row>
    <row r="1503" spans="2:9" x14ac:dyDescent="0.25">
      <c r="B1503" s="84">
        <v>21362</v>
      </c>
      <c r="D1503" s="84" t="str">
        <f t="shared" si="26"/>
        <v/>
      </c>
      <c r="H1503" s="84">
        <f>IFERROR(VLOOKUP(B1503,Заказ!B:Q,5,0),0)</f>
        <v>0</v>
      </c>
      <c r="I1503" s="84">
        <f>IFERROR(VLOOKUP(B1503,Заказ!B:Q,16,0),0)</f>
        <v>0</v>
      </c>
    </row>
    <row r="1504" spans="2:9" x14ac:dyDescent="0.25">
      <c r="B1504" s="84">
        <v>21365</v>
      </c>
      <c r="D1504" s="84" t="str">
        <f t="shared" si="26"/>
        <v/>
      </c>
      <c r="H1504" s="84">
        <f>IFERROR(VLOOKUP(B1504,Заказ!B:Q,5,0),0)</f>
        <v>0</v>
      </c>
      <c r="I1504" s="84">
        <f>IFERROR(VLOOKUP(B1504,Заказ!B:Q,16,0),0)</f>
        <v>0</v>
      </c>
    </row>
    <row r="1505" spans="2:9" x14ac:dyDescent="0.25">
      <c r="B1505" s="84">
        <v>21364</v>
      </c>
      <c r="D1505" s="84" t="str">
        <f t="shared" si="26"/>
        <v/>
      </c>
      <c r="H1505" s="84">
        <f>IFERROR(VLOOKUP(B1505,Заказ!B:Q,5,0),0)</f>
        <v>0</v>
      </c>
      <c r="I1505" s="84">
        <f>IFERROR(VLOOKUP(B1505,Заказ!B:Q,16,0),0)</f>
        <v>0</v>
      </c>
    </row>
    <row r="1506" spans="2:9" x14ac:dyDescent="0.25">
      <c r="B1506" s="84">
        <v>19583</v>
      </c>
      <c r="D1506" s="84" t="str">
        <f t="shared" si="26"/>
        <v/>
      </c>
      <c r="H1506" s="84">
        <f>IFERROR(VLOOKUP(B1506,Заказ!B:Q,5,0),0)</f>
        <v>0</v>
      </c>
      <c r="I1506" s="84">
        <f>IFERROR(VLOOKUP(B1506,Заказ!B:Q,16,0),0)</f>
        <v>0</v>
      </c>
    </row>
    <row r="1507" spans="2:9" x14ac:dyDescent="0.25">
      <c r="B1507" s="84">
        <v>20878</v>
      </c>
      <c r="D1507" s="84" t="str">
        <f t="shared" si="26"/>
        <v/>
      </c>
      <c r="H1507" s="84">
        <f>IFERROR(VLOOKUP(B1507,Заказ!B:Q,5,0),0)</f>
        <v>0</v>
      </c>
      <c r="I1507" s="84">
        <f>IFERROR(VLOOKUP(B1507,Заказ!B:Q,16,0),0)</f>
        <v>0</v>
      </c>
    </row>
    <row r="1508" spans="2:9" x14ac:dyDescent="0.25">
      <c r="B1508" s="84">
        <v>20879</v>
      </c>
      <c r="D1508" s="84" t="str">
        <f t="shared" si="26"/>
        <v/>
      </c>
      <c r="H1508" s="84">
        <f>IFERROR(VLOOKUP(B1508,Заказ!B:Q,5,0),0)</f>
        <v>0</v>
      </c>
      <c r="I1508" s="84">
        <f>IFERROR(VLOOKUP(B1508,Заказ!B:Q,16,0),0)</f>
        <v>0</v>
      </c>
    </row>
    <row r="1509" spans="2:9" x14ac:dyDescent="0.25">
      <c r="B1509" s="84">
        <v>20880</v>
      </c>
      <c r="D1509" s="84" t="str">
        <f t="shared" si="26"/>
        <v/>
      </c>
      <c r="H1509" s="84">
        <f>IFERROR(VLOOKUP(B1509,Заказ!B:Q,5,0),0)</f>
        <v>0</v>
      </c>
      <c r="I1509" s="84">
        <f>IFERROR(VLOOKUP(B1509,Заказ!B:Q,16,0),0)</f>
        <v>0</v>
      </c>
    </row>
    <row r="1510" spans="2:9" x14ac:dyDescent="0.25">
      <c r="B1510" s="84">
        <v>19584</v>
      </c>
      <c r="D1510" s="84" t="str">
        <f t="shared" si="26"/>
        <v/>
      </c>
      <c r="H1510" s="84">
        <f>IFERROR(VLOOKUP(B1510,Заказ!B:Q,5,0),0)</f>
        <v>0</v>
      </c>
      <c r="I1510" s="84">
        <f>IFERROR(VLOOKUP(B1510,Заказ!B:Q,16,0),0)</f>
        <v>0</v>
      </c>
    </row>
    <row r="1511" spans="2:9" x14ac:dyDescent="0.25">
      <c r="B1511" s="84">
        <v>18630</v>
      </c>
      <c r="D1511" s="84" t="str">
        <f t="shared" si="26"/>
        <v/>
      </c>
      <c r="H1511" s="84">
        <f>IFERROR(VLOOKUP(B1511,Заказ!B:Q,5,0),0)</f>
        <v>0</v>
      </c>
      <c r="I1511" s="84">
        <f>IFERROR(VLOOKUP(B1511,Заказ!B:Q,16,0),0)</f>
        <v>0</v>
      </c>
    </row>
    <row r="1512" spans="2:9" x14ac:dyDescent="0.25">
      <c r="B1512" s="84">
        <v>12512</v>
      </c>
      <c r="D1512" s="84" t="str">
        <f t="shared" si="26"/>
        <v/>
      </c>
      <c r="H1512" s="84">
        <f>IFERROR(VLOOKUP(B1512,Заказ!B:Q,5,0),0)</f>
        <v>0</v>
      </c>
      <c r="I1512" s="84">
        <f>IFERROR(VLOOKUP(B1512,Заказ!B:Q,16,0),0)</f>
        <v>0</v>
      </c>
    </row>
    <row r="1513" spans="2:9" x14ac:dyDescent="0.25">
      <c r="B1513" s="84">
        <v>18629</v>
      </c>
      <c r="D1513" s="84" t="str">
        <f t="shared" si="26"/>
        <v/>
      </c>
      <c r="H1513" s="84">
        <f>IFERROR(VLOOKUP(B1513,Заказ!B:Q,5,0),0)</f>
        <v>0</v>
      </c>
      <c r="I1513" s="84">
        <f>IFERROR(VLOOKUP(B1513,Заказ!B:Q,16,0),0)</f>
        <v>0</v>
      </c>
    </row>
    <row r="1514" spans="2:9" x14ac:dyDescent="0.25">
      <c r="B1514" s="84">
        <v>18631</v>
      </c>
      <c r="D1514" s="84" t="str">
        <f t="shared" si="26"/>
        <v/>
      </c>
      <c r="H1514" s="84">
        <f>IFERROR(VLOOKUP(B1514,Заказ!B:Q,5,0),0)</f>
        <v>0</v>
      </c>
      <c r="I1514" s="84">
        <f>IFERROR(VLOOKUP(B1514,Заказ!B:Q,16,0),0)</f>
        <v>0</v>
      </c>
    </row>
    <row r="1515" spans="2:9" x14ac:dyDescent="0.25">
      <c r="B1515" s="84">
        <v>15897</v>
      </c>
      <c r="D1515" s="84" t="str">
        <f t="shared" si="26"/>
        <v/>
      </c>
      <c r="H1515" s="84">
        <f>IFERROR(VLOOKUP(B1515,Заказ!B:Q,5,0),0)</f>
        <v>0</v>
      </c>
      <c r="I1515" s="84">
        <f>IFERROR(VLOOKUP(B1515,Заказ!B:Q,16,0),0)</f>
        <v>0</v>
      </c>
    </row>
    <row r="1516" spans="2:9" x14ac:dyDescent="0.25">
      <c r="B1516" s="84">
        <v>21199</v>
      </c>
      <c r="D1516" s="84" t="str">
        <f t="shared" si="26"/>
        <v/>
      </c>
      <c r="H1516" s="84">
        <f>IFERROR(VLOOKUP(B1516,Заказ!B:Q,5,0),0)</f>
        <v>0</v>
      </c>
      <c r="I1516" s="84">
        <f>IFERROR(VLOOKUP(B1516,Заказ!B:Q,16,0),0)</f>
        <v>0</v>
      </c>
    </row>
    <row r="1517" spans="2:9" x14ac:dyDescent="0.25">
      <c r="B1517" s="84">
        <v>21161</v>
      </c>
      <c r="D1517" s="84" t="str">
        <f t="shared" si="26"/>
        <v/>
      </c>
      <c r="H1517" s="84">
        <f>IFERROR(VLOOKUP(B1517,Заказ!B:Q,5,0),0)</f>
        <v>0</v>
      </c>
      <c r="I1517" s="84">
        <f>IFERROR(VLOOKUP(B1517,Заказ!B:Q,16,0),0)</f>
        <v>0</v>
      </c>
    </row>
    <row r="1518" spans="2:9" x14ac:dyDescent="0.25">
      <c r="B1518" s="84">
        <v>21162</v>
      </c>
      <c r="D1518" s="84" t="str">
        <f t="shared" si="26"/>
        <v/>
      </c>
      <c r="H1518" s="84">
        <f>IFERROR(VLOOKUP(B1518,Заказ!B:Q,5,0),0)</f>
        <v>0</v>
      </c>
      <c r="I1518" s="84">
        <f>IFERROR(VLOOKUP(B1518,Заказ!B:Q,16,0),0)</f>
        <v>0</v>
      </c>
    </row>
    <row r="1519" spans="2:9" x14ac:dyDescent="0.25">
      <c r="B1519" s="84">
        <v>21218</v>
      </c>
      <c r="D1519" s="84" t="str">
        <f t="shared" si="26"/>
        <v/>
      </c>
      <c r="H1519" s="84">
        <f>IFERROR(VLOOKUP(B1519,Заказ!B:Q,5,0),0)</f>
        <v>0</v>
      </c>
      <c r="I1519" s="84">
        <f>IFERROR(VLOOKUP(B1519,Заказ!B:Q,16,0),0)</f>
        <v>0</v>
      </c>
    </row>
    <row r="1520" spans="2:9" x14ac:dyDescent="0.25">
      <c r="B1520" s="84">
        <v>21180</v>
      </c>
      <c r="D1520" s="84" t="str">
        <f t="shared" si="26"/>
        <v/>
      </c>
      <c r="H1520" s="84">
        <f>IFERROR(VLOOKUP(B1520,Заказ!B:Q,5,0),0)</f>
        <v>0</v>
      </c>
      <c r="I1520" s="84">
        <f>IFERROR(VLOOKUP(B1520,Заказ!B:Q,16,0),0)</f>
        <v>0</v>
      </c>
    </row>
    <row r="1521" spans="2:9" x14ac:dyDescent="0.25">
      <c r="B1521" s="84">
        <v>21290</v>
      </c>
      <c r="D1521" s="84" t="str">
        <f t="shared" si="26"/>
        <v/>
      </c>
      <c r="H1521" s="84">
        <f>IFERROR(VLOOKUP(B1521,Заказ!B:Q,5,0),0)</f>
        <v>0</v>
      </c>
      <c r="I1521" s="84">
        <f>IFERROR(VLOOKUP(B1521,Заказ!B:Q,16,0),0)</f>
        <v>0</v>
      </c>
    </row>
    <row r="1522" spans="2:9" x14ac:dyDescent="0.25">
      <c r="B1522" s="84">
        <v>20252</v>
      </c>
      <c r="D1522" s="84" t="str">
        <f t="shared" si="26"/>
        <v/>
      </c>
      <c r="H1522" s="84">
        <f>IFERROR(VLOOKUP(B1522,Заказ!B:Q,5,0),0)</f>
        <v>0</v>
      </c>
      <c r="I1522" s="84">
        <f>IFERROR(VLOOKUP(B1522,Заказ!B:Q,16,0),0)</f>
        <v>0</v>
      </c>
    </row>
    <row r="1523" spans="2:9" x14ac:dyDescent="0.25">
      <c r="B1523" s="84">
        <v>16743</v>
      </c>
      <c r="D1523" s="84" t="str">
        <f t="shared" si="26"/>
        <v/>
      </c>
      <c r="H1523" s="84">
        <f>IFERROR(VLOOKUP(B1523,Заказ!B:Q,5,0),0)</f>
        <v>0</v>
      </c>
      <c r="I1523" s="84">
        <f>IFERROR(VLOOKUP(B1523,Заказ!B:Q,16,0),0)</f>
        <v>0</v>
      </c>
    </row>
    <row r="1524" spans="2:9" x14ac:dyDescent="0.25">
      <c r="B1524" s="84">
        <v>18632</v>
      </c>
      <c r="D1524" s="84" t="str">
        <f t="shared" si="26"/>
        <v/>
      </c>
      <c r="H1524" s="84">
        <f>IFERROR(VLOOKUP(B1524,Заказ!B:Q,5,0),0)</f>
        <v>0</v>
      </c>
      <c r="I1524" s="84">
        <f>IFERROR(VLOOKUP(B1524,Заказ!B:Q,16,0),0)</f>
        <v>0</v>
      </c>
    </row>
    <row r="1525" spans="2:9" x14ac:dyDescent="0.25">
      <c r="B1525" s="84">
        <v>18633</v>
      </c>
      <c r="D1525" s="84" t="str">
        <f t="shared" si="26"/>
        <v/>
      </c>
      <c r="H1525" s="84">
        <f>IFERROR(VLOOKUP(B1525,Заказ!B:Q,5,0),0)</f>
        <v>0</v>
      </c>
      <c r="I1525" s="84">
        <f>IFERROR(VLOOKUP(B1525,Заказ!B:Q,16,0),0)</f>
        <v>0</v>
      </c>
    </row>
    <row r="1526" spans="2:9" x14ac:dyDescent="0.25">
      <c r="B1526" s="84">
        <v>18618</v>
      </c>
      <c r="D1526" s="84" t="str">
        <f t="shared" si="26"/>
        <v/>
      </c>
      <c r="H1526" s="84">
        <f>IFERROR(VLOOKUP(B1526,Заказ!B:Q,5,0),0)</f>
        <v>0</v>
      </c>
      <c r="I1526" s="84">
        <f>IFERROR(VLOOKUP(B1526,Заказ!B:Q,16,0),0)</f>
        <v>0</v>
      </c>
    </row>
    <row r="1527" spans="2:9" x14ac:dyDescent="0.25">
      <c r="B1527" s="84">
        <v>18634</v>
      </c>
      <c r="D1527" s="84" t="str">
        <f t="shared" si="26"/>
        <v/>
      </c>
      <c r="H1527" s="84">
        <f>IFERROR(VLOOKUP(B1527,Заказ!B:Q,5,0),0)</f>
        <v>0</v>
      </c>
      <c r="I1527" s="84">
        <f>IFERROR(VLOOKUP(B1527,Заказ!B:Q,16,0),0)</f>
        <v>0</v>
      </c>
    </row>
    <row r="1528" spans="2:9" x14ac:dyDescent="0.25">
      <c r="B1528" s="84">
        <v>19630</v>
      </c>
      <c r="D1528" s="84" t="str">
        <f t="shared" si="26"/>
        <v/>
      </c>
      <c r="H1528" s="84">
        <f>IFERROR(VLOOKUP(B1528,Заказ!B:Q,5,0),0)</f>
        <v>0</v>
      </c>
      <c r="I1528" s="84">
        <f>IFERROR(VLOOKUP(B1528,Заказ!B:Q,16,0),0)</f>
        <v>0</v>
      </c>
    </row>
    <row r="1529" spans="2:9" x14ac:dyDescent="0.25">
      <c r="B1529" s="84">
        <v>19631</v>
      </c>
      <c r="D1529" s="84" t="str">
        <f t="shared" si="26"/>
        <v/>
      </c>
      <c r="H1529" s="84">
        <f>IFERROR(VLOOKUP(B1529,Заказ!B:Q,5,0),0)</f>
        <v>0</v>
      </c>
      <c r="I1529" s="84">
        <f>IFERROR(VLOOKUP(B1529,Заказ!B:Q,16,0),0)</f>
        <v>0</v>
      </c>
    </row>
    <row r="1530" spans="2:9" x14ac:dyDescent="0.25">
      <c r="B1530" s="84">
        <v>21354</v>
      </c>
      <c r="D1530" s="84" t="str">
        <f t="shared" si="26"/>
        <v/>
      </c>
      <c r="H1530" s="84">
        <f>IFERROR(VLOOKUP(B1530,Заказ!B:Q,5,0),0)</f>
        <v>0</v>
      </c>
      <c r="I1530" s="84">
        <f>IFERROR(VLOOKUP(B1530,Заказ!B:Q,16,0),0)</f>
        <v>0</v>
      </c>
    </row>
    <row r="1531" spans="2:9" x14ac:dyDescent="0.25">
      <c r="B1531" s="84">
        <v>20896</v>
      </c>
      <c r="D1531" s="84" t="str">
        <f t="shared" si="26"/>
        <v/>
      </c>
      <c r="H1531" s="84">
        <f>IFERROR(VLOOKUP(B1531,Заказ!B:Q,5,0),0)</f>
        <v>0</v>
      </c>
      <c r="I1531" s="84">
        <f>IFERROR(VLOOKUP(B1531,Заказ!B:Q,16,0),0)</f>
        <v>0</v>
      </c>
    </row>
    <row r="1532" spans="2:9" x14ac:dyDescent="0.25">
      <c r="B1532" s="84">
        <v>20460</v>
      </c>
      <c r="D1532" s="84" t="str">
        <f t="shared" si="26"/>
        <v/>
      </c>
      <c r="H1532" s="84">
        <f>IFERROR(VLOOKUP(B1532,Заказ!B:Q,5,0),0)</f>
        <v>0</v>
      </c>
      <c r="I1532" s="84">
        <f>IFERROR(VLOOKUP(B1532,Заказ!B:Q,16,0),0)</f>
        <v>0</v>
      </c>
    </row>
    <row r="1533" spans="2:9" x14ac:dyDescent="0.25">
      <c r="B1533" s="84">
        <v>20459</v>
      </c>
      <c r="D1533" s="84" t="str">
        <f t="shared" si="26"/>
        <v/>
      </c>
      <c r="H1533" s="84">
        <f>IFERROR(VLOOKUP(B1533,Заказ!B:Q,5,0),0)</f>
        <v>0</v>
      </c>
      <c r="I1533" s="84">
        <f>IFERROR(VLOOKUP(B1533,Заказ!B:Q,16,0),0)</f>
        <v>0</v>
      </c>
    </row>
    <row r="1534" spans="2:9" x14ac:dyDescent="0.25">
      <c r="B1534" s="84">
        <v>20895</v>
      </c>
      <c r="D1534" s="84" t="str">
        <f t="shared" si="26"/>
        <v/>
      </c>
      <c r="H1534" s="84">
        <f>IFERROR(VLOOKUP(B1534,Заказ!B:Q,5,0),0)</f>
        <v>0</v>
      </c>
      <c r="I1534" s="84">
        <f>IFERROR(VLOOKUP(B1534,Заказ!B:Q,16,0),0)</f>
        <v>0</v>
      </c>
    </row>
    <row r="1535" spans="2:9" x14ac:dyDescent="0.25">
      <c r="B1535" s="84">
        <v>16912</v>
      </c>
      <c r="D1535" s="84" t="str">
        <f t="shared" si="26"/>
        <v/>
      </c>
      <c r="H1535" s="84">
        <f>IFERROR(VLOOKUP(B1535,Заказ!B:Q,5,0),0)</f>
        <v>0</v>
      </c>
      <c r="I1535" s="84">
        <f>IFERROR(VLOOKUP(B1535,Заказ!B:Q,16,0),0)</f>
        <v>0</v>
      </c>
    </row>
    <row r="1536" spans="2:9" x14ac:dyDescent="0.25">
      <c r="B1536" s="84">
        <v>19070</v>
      </c>
      <c r="D1536" s="84" t="str">
        <f t="shared" si="26"/>
        <v/>
      </c>
      <c r="H1536" s="84">
        <f>IFERROR(VLOOKUP(B1536,Заказ!B:Q,5,0),0)</f>
        <v>0</v>
      </c>
      <c r="I1536" s="84">
        <f>IFERROR(VLOOKUP(B1536,Заказ!B:Q,16,0),0)</f>
        <v>0</v>
      </c>
    </row>
    <row r="1537" spans="2:9" x14ac:dyDescent="0.25">
      <c r="B1537" s="84">
        <v>19014</v>
      </c>
      <c r="D1537" s="84" t="str">
        <f t="shared" si="26"/>
        <v/>
      </c>
      <c r="H1537" s="84">
        <f>IFERROR(VLOOKUP(B1537,Заказ!B:Q,5,0),0)</f>
        <v>0</v>
      </c>
      <c r="I1537" s="84">
        <f>IFERROR(VLOOKUP(B1537,Заказ!B:Q,16,0),0)</f>
        <v>0</v>
      </c>
    </row>
    <row r="1538" spans="2:9" x14ac:dyDescent="0.25">
      <c r="B1538" s="84">
        <v>16913</v>
      </c>
      <c r="D1538" s="84" t="str">
        <f t="shared" ref="D1538:D1601" si="27">IFERROR(ROUND(I1538/H1538,2),"")</f>
        <v/>
      </c>
      <c r="H1538" s="84">
        <f>IFERROR(VLOOKUP(B1538,Заказ!B:Q,5,0),0)</f>
        <v>0</v>
      </c>
      <c r="I1538" s="84">
        <f>IFERROR(VLOOKUP(B1538,Заказ!B:Q,16,0),0)</f>
        <v>0</v>
      </c>
    </row>
    <row r="1539" spans="2:9" x14ac:dyDescent="0.25">
      <c r="B1539" s="84">
        <v>16914</v>
      </c>
      <c r="D1539" s="84" t="str">
        <f t="shared" si="27"/>
        <v/>
      </c>
      <c r="H1539" s="84">
        <f>IFERROR(VLOOKUP(B1539,Заказ!B:Q,5,0),0)</f>
        <v>0</v>
      </c>
      <c r="I1539" s="84">
        <f>IFERROR(VLOOKUP(B1539,Заказ!B:Q,16,0),0)</f>
        <v>0</v>
      </c>
    </row>
    <row r="1540" spans="2:9" x14ac:dyDescent="0.25">
      <c r="B1540" s="84">
        <v>16911</v>
      </c>
      <c r="D1540" s="84" t="str">
        <f t="shared" si="27"/>
        <v/>
      </c>
      <c r="H1540" s="84">
        <f>IFERROR(VLOOKUP(B1540,Заказ!B:Q,5,0),0)</f>
        <v>0</v>
      </c>
      <c r="I1540" s="84">
        <f>IFERROR(VLOOKUP(B1540,Заказ!B:Q,16,0),0)</f>
        <v>0</v>
      </c>
    </row>
    <row r="1541" spans="2:9" x14ac:dyDescent="0.25">
      <c r="B1541" s="84">
        <v>13774</v>
      </c>
      <c r="D1541" s="84" t="str">
        <f t="shared" si="27"/>
        <v/>
      </c>
      <c r="H1541" s="84">
        <f>IFERROR(VLOOKUP(B1541,Заказ!B:Q,5,0),0)</f>
        <v>0</v>
      </c>
      <c r="I1541" s="84">
        <f>IFERROR(VLOOKUP(B1541,Заказ!B:Q,16,0),0)</f>
        <v>0</v>
      </c>
    </row>
    <row r="1542" spans="2:9" x14ac:dyDescent="0.25">
      <c r="B1542" s="84">
        <v>15522</v>
      </c>
      <c r="D1542" s="84" t="str">
        <f t="shared" si="27"/>
        <v/>
      </c>
      <c r="H1542" s="84">
        <f>IFERROR(VLOOKUP(B1542,Заказ!B:Q,5,0),0)</f>
        <v>0</v>
      </c>
      <c r="I1542" s="84">
        <f>IFERROR(VLOOKUP(B1542,Заказ!B:Q,16,0),0)</f>
        <v>0</v>
      </c>
    </row>
    <row r="1543" spans="2:9" x14ac:dyDescent="0.25">
      <c r="B1543" s="84">
        <v>19942</v>
      </c>
      <c r="D1543" s="84" t="str">
        <f t="shared" si="27"/>
        <v/>
      </c>
      <c r="H1543" s="84">
        <f>IFERROR(VLOOKUP(B1543,Заказ!B:Q,5,0),0)</f>
        <v>0</v>
      </c>
      <c r="I1543" s="84">
        <f>IFERROR(VLOOKUP(B1543,Заказ!B:Q,16,0),0)</f>
        <v>0</v>
      </c>
    </row>
    <row r="1544" spans="2:9" x14ac:dyDescent="0.25">
      <c r="B1544" s="84">
        <v>12628</v>
      </c>
      <c r="D1544" s="84" t="str">
        <f t="shared" si="27"/>
        <v/>
      </c>
      <c r="H1544" s="84">
        <f>IFERROR(VLOOKUP(B1544,Заказ!B:Q,5,0),0)</f>
        <v>0</v>
      </c>
      <c r="I1544" s="84">
        <f>IFERROR(VLOOKUP(B1544,Заказ!B:Q,16,0),0)</f>
        <v>0</v>
      </c>
    </row>
    <row r="1545" spans="2:9" x14ac:dyDescent="0.25">
      <c r="B1545" s="84">
        <v>13385</v>
      </c>
      <c r="D1545" s="84" t="str">
        <f t="shared" si="27"/>
        <v/>
      </c>
      <c r="H1545" s="84">
        <f>IFERROR(VLOOKUP(B1545,Заказ!B:Q,5,0),0)</f>
        <v>0</v>
      </c>
      <c r="I1545" s="84">
        <f>IFERROR(VLOOKUP(B1545,Заказ!B:Q,16,0),0)</f>
        <v>0</v>
      </c>
    </row>
    <row r="1546" spans="2:9" x14ac:dyDescent="0.25">
      <c r="B1546" s="84">
        <v>12457</v>
      </c>
      <c r="D1546" s="84" t="str">
        <f t="shared" si="27"/>
        <v/>
      </c>
      <c r="H1546" s="84">
        <f>IFERROR(VLOOKUP(B1546,Заказ!B:Q,5,0),0)</f>
        <v>0</v>
      </c>
      <c r="I1546" s="84">
        <f>IFERROR(VLOOKUP(B1546,Заказ!B:Q,16,0),0)</f>
        <v>0</v>
      </c>
    </row>
    <row r="1547" spans="2:9" x14ac:dyDescent="0.25">
      <c r="B1547" s="84">
        <v>16715</v>
      </c>
      <c r="D1547" s="84" t="str">
        <f t="shared" si="27"/>
        <v/>
      </c>
      <c r="H1547" s="84">
        <f>IFERROR(VLOOKUP(B1547,Заказ!B:Q,5,0),0)</f>
        <v>0</v>
      </c>
      <c r="I1547" s="84">
        <f>IFERROR(VLOOKUP(B1547,Заказ!B:Q,16,0),0)</f>
        <v>0</v>
      </c>
    </row>
    <row r="1548" spans="2:9" x14ac:dyDescent="0.25">
      <c r="B1548" s="84">
        <v>12550</v>
      </c>
      <c r="D1548" s="84" t="str">
        <f t="shared" si="27"/>
        <v/>
      </c>
      <c r="H1548" s="84">
        <f>IFERROR(VLOOKUP(B1548,Заказ!B:Q,5,0),0)</f>
        <v>0</v>
      </c>
      <c r="I1548" s="84">
        <f>IFERROR(VLOOKUP(B1548,Заказ!B:Q,16,0),0)</f>
        <v>0</v>
      </c>
    </row>
    <row r="1549" spans="2:9" x14ac:dyDescent="0.25">
      <c r="B1549" s="84">
        <v>19477</v>
      </c>
      <c r="D1549" s="84" t="str">
        <f t="shared" si="27"/>
        <v/>
      </c>
      <c r="H1549" s="84">
        <f>IFERROR(VLOOKUP(B1549,Заказ!B:Q,5,0),0)</f>
        <v>0</v>
      </c>
      <c r="I1549" s="84">
        <f>IFERROR(VLOOKUP(B1549,Заказ!B:Q,16,0),0)</f>
        <v>0</v>
      </c>
    </row>
    <row r="1550" spans="2:9" x14ac:dyDescent="0.25">
      <c r="B1550" s="84">
        <v>16717</v>
      </c>
      <c r="D1550" s="84" t="str">
        <f t="shared" si="27"/>
        <v/>
      </c>
      <c r="H1550" s="84">
        <f>IFERROR(VLOOKUP(B1550,Заказ!B:Q,5,0),0)</f>
        <v>0</v>
      </c>
      <c r="I1550" s="84">
        <f>IFERROR(VLOOKUP(B1550,Заказ!B:Q,16,0),0)</f>
        <v>0</v>
      </c>
    </row>
    <row r="1551" spans="2:9" x14ac:dyDescent="0.25">
      <c r="B1551" s="84">
        <v>12510</v>
      </c>
      <c r="D1551" s="84" t="str">
        <f t="shared" si="27"/>
        <v/>
      </c>
      <c r="H1551" s="84">
        <f>IFERROR(VLOOKUP(B1551,Заказ!B:Q,5,0),0)</f>
        <v>0</v>
      </c>
      <c r="I1551" s="84">
        <f>IFERROR(VLOOKUP(B1551,Заказ!B:Q,16,0),0)</f>
        <v>0</v>
      </c>
    </row>
    <row r="1552" spans="2:9" x14ac:dyDescent="0.25">
      <c r="B1552" s="84">
        <v>17553</v>
      </c>
      <c r="D1552" s="84" t="str">
        <f t="shared" si="27"/>
        <v/>
      </c>
      <c r="H1552" s="84">
        <f>IFERROR(VLOOKUP(B1552,Заказ!B:Q,5,0),0)</f>
        <v>0</v>
      </c>
      <c r="I1552" s="84">
        <f>IFERROR(VLOOKUP(B1552,Заказ!B:Q,16,0),0)</f>
        <v>0</v>
      </c>
    </row>
    <row r="1553" spans="2:9" x14ac:dyDescent="0.25">
      <c r="B1553" s="84">
        <v>12552</v>
      </c>
      <c r="D1553" s="84" t="str">
        <f t="shared" si="27"/>
        <v/>
      </c>
      <c r="H1553" s="84">
        <f>IFERROR(VLOOKUP(B1553,Заказ!B:Q,5,0),0)</f>
        <v>0</v>
      </c>
      <c r="I1553" s="84">
        <f>IFERROR(VLOOKUP(B1553,Заказ!B:Q,16,0),0)</f>
        <v>0</v>
      </c>
    </row>
    <row r="1554" spans="2:9" x14ac:dyDescent="0.25">
      <c r="B1554" s="84">
        <v>13066</v>
      </c>
      <c r="D1554" s="84" t="str">
        <f t="shared" si="27"/>
        <v/>
      </c>
      <c r="H1554" s="84">
        <f>IFERROR(VLOOKUP(B1554,Заказ!B:Q,5,0),0)</f>
        <v>0</v>
      </c>
      <c r="I1554" s="84">
        <f>IFERROR(VLOOKUP(B1554,Заказ!B:Q,16,0),0)</f>
        <v>0</v>
      </c>
    </row>
    <row r="1555" spans="2:9" x14ac:dyDescent="0.25">
      <c r="B1555" s="84">
        <v>12455</v>
      </c>
      <c r="D1555" s="84" t="str">
        <f t="shared" si="27"/>
        <v/>
      </c>
      <c r="H1555" s="84">
        <f>IFERROR(VLOOKUP(B1555,Заказ!B:Q,5,0),0)</f>
        <v>0</v>
      </c>
      <c r="I1555" s="84">
        <f>IFERROR(VLOOKUP(B1555,Заказ!B:Q,16,0),0)</f>
        <v>0</v>
      </c>
    </row>
    <row r="1556" spans="2:9" x14ac:dyDescent="0.25">
      <c r="B1556" s="84">
        <v>17098</v>
      </c>
      <c r="D1556" s="84" t="str">
        <f t="shared" si="27"/>
        <v/>
      </c>
      <c r="H1556" s="84">
        <f>IFERROR(VLOOKUP(B1556,Заказ!B:Q,5,0),0)</f>
        <v>0</v>
      </c>
      <c r="I1556" s="84">
        <f>IFERROR(VLOOKUP(B1556,Заказ!B:Q,16,0),0)</f>
        <v>0</v>
      </c>
    </row>
    <row r="1557" spans="2:9" x14ac:dyDescent="0.25">
      <c r="B1557" s="84">
        <v>12551</v>
      </c>
      <c r="D1557" s="84" t="str">
        <f t="shared" si="27"/>
        <v/>
      </c>
      <c r="H1557" s="84">
        <f>IFERROR(VLOOKUP(B1557,Заказ!B:Q,5,0),0)</f>
        <v>0</v>
      </c>
      <c r="I1557" s="84">
        <f>IFERROR(VLOOKUP(B1557,Заказ!B:Q,16,0),0)</f>
        <v>0</v>
      </c>
    </row>
    <row r="1558" spans="2:9" x14ac:dyDescent="0.25">
      <c r="B1558" s="84">
        <v>12627</v>
      </c>
      <c r="D1558" s="84" t="str">
        <f t="shared" si="27"/>
        <v/>
      </c>
      <c r="H1558" s="84">
        <f>IFERROR(VLOOKUP(B1558,Заказ!B:Q,5,0),0)</f>
        <v>0</v>
      </c>
      <c r="I1558" s="84">
        <f>IFERROR(VLOOKUP(B1558,Заказ!B:Q,16,0),0)</f>
        <v>0</v>
      </c>
    </row>
    <row r="1559" spans="2:9" x14ac:dyDescent="0.25">
      <c r="B1559" s="84">
        <v>12509</v>
      </c>
      <c r="D1559" s="84" t="str">
        <f t="shared" si="27"/>
        <v/>
      </c>
      <c r="H1559" s="84">
        <f>IFERROR(VLOOKUP(B1559,Заказ!B:Q,5,0),0)</f>
        <v>0</v>
      </c>
      <c r="I1559" s="84">
        <f>IFERROR(VLOOKUP(B1559,Заказ!B:Q,16,0),0)</f>
        <v>0</v>
      </c>
    </row>
    <row r="1560" spans="2:9" x14ac:dyDescent="0.25">
      <c r="B1560" s="84">
        <v>12511</v>
      </c>
      <c r="D1560" s="84" t="str">
        <f t="shared" si="27"/>
        <v/>
      </c>
      <c r="H1560" s="84">
        <f>IFERROR(VLOOKUP(B1560,Заказ!B:Q,5,0),0)</f>
        <v>0</v>
      </c>
      <c r="I1560" s="84">
        <f>IFERROR(VLOOKUP(B1560,Заказ!B:Q,16,0),0)</f>
        <v>0</v>
      </c>
    </row>
    <row r="1561" spans="2:9" x14ac:dyDescent="0.25">
      <c r="B1561" s="84">
        <v>12456</v>
      </c>
      <c r="D1561" s="84" t="str">
        <f t="shared" si="27"/>
        <v/>
      </c>
      <c r="H1561" s="84">
        <f>IFERROR(VLOOKUP(B1561,Заказ!B:Q,5,0),0)</f>
        <v>0</v>
      </c>
      <c r="I1561" s="84">
        <f>IFERROR(VLOOKUP(B1561,Заказ!B:Q,16,0),0)</f>
        <v>0</v>
      </c>
    </row>
    <row r="1562" spans="2:9" x14ac:dyDescent="0.25">
      <c r="B1562" s="84">
        <v>12578</v>
      </c>
      <c r="D1562" s="84" t="str">
        <f t="shared" si="27"/>
        <v/>
      </c>
      <c r="H1562" s="84">
        <f>IFERROR(VLOOKUP(B1562,Заказ!B:Q,5,0),0)</f>
        <v>0</v>
      </c>
      <c r="I1562" s="84">
        <f>IFERROR(VLOOKUP(B1562,Заказ!B:Q,16,0),0)</f>
        <v>0</v>
      </c>
    </row>
    <row r="1563" spans="2:9" x14ac:dyDescent="0.25">
      <c r="B1563" s="84">
        <v>12458</v>
      </c>
      <c r="D1563" s="84" t="str">
        <f t="shared" si="27"/>
        <v/>
      </c>
      <c r="H1563" s="84">
        <f>IFERROR(VLOOKUP(B1563,Заказ!B:Q,5,0),0)</f>
        <v>0</v>
      </c>
      <c r="I1563" s="84">
        <f>IFERROR(VLOOKUP(B1563,Заказ!B:Q,16,0),0)</f>
        <v>0</v>
      </c>
    </row>
    <row r="1564" spans="2:9" x14ac:dyDescent="0.25">
      <c r="B1564" s="84">
        <v>19476</v>
      </c>
      <c r="D1564" s="84" t="str">
        <f t="shared" si="27"/>
        <v/>
      </c>
      <c r="H1564" s="84">
        <f>IFERROR(VLOOKUP(B1564,Заказ!B:Q,5,0),0)</f>
        <v>0</v>
      </c>
      <c r="I1564" s="84">
        <f>IFERROR(VLOOKUP(B1564,Заказ!B:Q,16,0),0)</f>
        <v>0</v>
      </c>
    </row>
    <row r="1565" spans="2:9" x14ac:dyDescent="0.25">
      <c r="B1565" s="84">
        <v>12588</v>
      </c>
      <c r="D1565" s="84" t="str">
        <f t="shared" si="27"/>
        <v/>
      </c>
      <c r="H1565" s="84">
        <f>IFERROR(VLOOKUP(B1565,Заказ!B:Q,5,0),0)</f>
        <v>0</v>
      </c>
      <c r="I1565" s="84">
        <f>IFERROR(VLOOKUP(B1565,Заказ!B:Q,16,0),0)</f>
        <v>0</v>
      </c>
    </row>
    <row r="1566" spans="2:9" x14ac:dyDescent="0.25">
      <c r="B1566" s="84">
        <v>13065</v>
      </c>
      <c r="D1566" s="84" t="str">
        <f t="shared" si="27"/>
        <v/>
      </c>
      <c r="H1566" s="84">
        <f>IFERROR(VLOOKUP(B1566,Заказ!B:Q,5,0),0)</f>
        <v>0</v>
      </c>
      <c r="I1566" s="84">
        <f>IFERROR(VLOOKUP(B1566,Заказ!B:Q,16,0),0)</f>
        <v>0</v>
      </c>
    </row>
    <row r="1567" spans="2:9" x14ac:dyDescent="0.25">
      <c r="B1567" s="84">
        <v>17097</v>
      </c>
      <c r="D1567" s="84" t="str">
        <f t="shared" si="27"/>
        <v/>
      </c>
      <c r="H1567" s="84">
        <f>IFERROR(VLOOKUP(B1567,Заказ!B:Q,5,0),0)</f>
        <v>0</v>
      </c>
      <c r="I1567" s="84">
        <f>IFERROR(VLOOKUP(B1567,Заказ!B:Q,16,0),0)</f>
        <v>0</v>
      </c>
    </row>
    <row r="1568" spans="2:9" x14ac:dyDescent="0.25">
      <c r="B1568" s="84">
        <v>16714</v>
      </c>
      <c r="D1568" s="84" t="str">
        <f t="shared" si="27"/>
        <v/>
      </c>
      <c r="H1568" s="84">
        <f>IFERROR(VLOOKUP(B1568,Заказ!B:Q,5,0),0)</f>
        <v>0</v>
      </c>
      <c r="I1568" s="84">
        <f>IFERROR(VLOOKUP(B1568,Заказ!B:Q,16,0),0)</f>
        <v>0</v>
      </c>
    </row>
    <row r="1569" spans="2:9" x14ac:dyDescent="0.25">
      <c r="B1569" s="84">
        <v>17552</v>
      </c>
      <c r="D1569" s="84" t="str">
        <f t="shared" si="27"/>
        <v/>
      </c>
      <c r="H1569" s="84">
        <f>IFERROR(VLOOKUP(B1569,Заказ!B:Q,5,0),0)</f>
        <v>0</v>
      </c>
      <c r="I1569" s="84">
        <f>IFERROR(VLOOKUP(B1569,Заказ!B:Q,16,0),0)</f>
        <v>0</v>
      </c>
    </row>
    <row r="1570" spans="2:9" x14ac:dyDescent="0.25">
      <c r="B1570" s="84">
        <v>16716</v>
      </c>
      <c r="D1570" s="84" t="str">
        <f t="shared" si="27"/>
        <v/>
      </c>
      <c r="H1570" s="84">
        <f>IFERROR(VLOOKUP(B1570,Заказ!B:Q,5,0),0)</f>
        <v>0</v>
      </c>
      <c r="I1570" s="84">
        <f>IFERROR(VLOOKUP(B1570,Заказ!B:Q,16,0),0)</f>
        <v>0</v>
      </c>
    </row>
    <row r="1571" spans="2:9" x14ac:dyDescent="0.25">
      <c r="B1571" s="84">
        <v>14436</v>
      </c>
      <c r="D1571" s="84" t="str">
        <f t="shared" si="27"/>
        <v/>
      </c>
      <c r="H1571" s="84">
        <f>IFERROR(VLOOKUP(B1571,Заказ!B:Q,5,0),0)</f>
        <v>0</v>
      </c>
      <c r="I1571" s="84">
        <f>IFERROR(VLOOKUP(B1571,Заказ!B:Q,16,0),0)</f>
        <v>0</v>
      </c>
    </row>
    <row r="1572" spans="2:9" x14ac:dyDescent="0.25">
      <c r="B1572" s="84">
        <v>19941</v>
      </c>
      <c r="D1572" s="84" t="str">
        <f t="shared" si="27"/>
        <v/>
      </c>
      <c r="H1572" s="84">
        <f>IFERROR(VLOOKUP(B1572,Заказ!B:Q,5,0),0)</f>
        <v>0</v>
      </c>
      <c r="I1572" s="84">
        <f>IFERROR(VLOOKUP(B1572,Заказ!B:Q,16,0),0)</f>
        <v>0</v>
      </c>
    </row>
    <row r="1573" spans="2:9" x14ac:dyDescent="0.25">
      <c r="B1573" s="84">
        <v>13239</v>
      </c>
      <c r="D1573" s="84" t="str">
        <f t="shared" si="27"/>
        <v/>
      </c>
      <c r="H1573" s="84">
        <f>IFERROR(VLOOKUP(B1573,Заказ!B:Q,5,0),0)</f>
        <v>0</v>
      </c>
      <c r="I1573" s="84">
        <f>IFERROR(VLOOKUP(B1573,Заказ!B:Q,16,0),0)</f>
        <v>0</v>
      </c>
    </row>
    <row r="1574" spans="2:9" x14ac:dyDescent="0.25">
      <c r="B1574" s="84">
        <v>13775</v>
      </c>
      <c r="D1574" s="84" t="str">
        <f t="shared" si="27"/>
        <v/>
      </c>
      <c r="H1574" s="84">
        <f>IFERROR(VLOOKUP(B1574,Заказ!B:Q,5,0),0)</f>
        <v>0</v>
      </c>
      <c r="I1574" s="84">
        <f>IFERROR(VLOOKUP(B1574,Заказ!B:Q,16,0),0)</f>
        <v>0</v>
      </c>
    </row>
    <row r="1575" spans="2:9" x14ac:dyDescent="0.25">
      <c r="B1575" s="84">
        <v>13776</v>
      </c>
      <c r="D1575" s="84" t="str">
        <f t="shared" si="27"/>
        <v/>
      </c>
      <c r="H1575" s="84">
        <f>IFERROR(VLOOKUP(B1575,Заказ!B:Q,5,0),0)</f>
        <v>0</v>
      </c>
      <c r="I1575" s="84">
        <f>IFERROR(VLOOKUP(B1575,Заказ!B:Q,16,0),0)</f>
        <v>0</v>
      </c>
    </row>
    <row r="1576" spans="2:9" x14ac:dyDescent="0.25">
      <c r="B1576" s="84">
        <v>15036</v>
      </c>
      <c r="D1576" s="84" t="str">
        <f t="shared" si="27"/>
        <v/>
      </c>
      <c r="H1576" s="84">
        <f>IFERROR(VLOOKUP(B1576,Заказ!B:Q,5,0),0)</f>
        <v>0</v>
      </c>
      <c r="I1576" s="84">
        <f>IFERROR(VLOOKUP(B1576,Заказ!B:Q,16,0),0)</f>
        <v>0</v>
      </c>
    </row>
    <row r="1577" spans="2:9" x14ac:dyDescent="0.25">
      <c r="B1577" s="84">
        <v>17751</v>
      </c>
      <c r="D1577" s="84" t="str">
        <f t="shared" si="27"/>
        <v/>
      </c>
      <c r="H1577" s="84">
        <f>IFERROR(VLOOKUP(B1577,Заказ!B:Q,5,0),0)</f>
        <v>0</v>
      </c>
      <c r="I1577" s="84">
        <f>IFERROR(VLOOKUP(B1577,Заказ!B:Q,16,0),0)</f>
        <v>0</v>
      </c>
    </row>
    <row r="1578" spans="2:9" x14ac:dyDescent="0.25">
      <c r="B1578" s="84">
        <v>17871</v>
      </c>
      <c r="D1578" s="84" t="str">
        <f t="shared" si="27"/>
        <v/>
      </c>
      <c r="H1578" s="84">
        <f>IFERROR(VLOOKUP(B1578,Заказ!B:Q,5,0),0)</f>
        <v>0</v>
      </c>
      <c r="I1578" s="84">
        <f>IFERROR(VLOOKUP(B1578,Заказ!B:Q,16,0),0)</f>
        <v>0</v>
      </c>
    </row>
    <row r="1579" spans="2:9" x14ac:dyDescent="0.25">
      <c r="B1579" s="84">
        <v>19010</v>
      </c>
      <c r="D1579" s="84" t="str">
        <f t="shared" si="27"/>
        <v/>
      </c>
      <c r="H1579" s="84">
        <f>IFERROR(VLOOKUP(B1579,Заказ!B:Q,5,0),0)</f>
        <v>0</v>
      </c>
      <c r="I1579" s="84">
        <f>IFERROR(VLOOKUP(B1579,Заказ!B:Q,16,0),0)</f>
        <v>0</v>
      </c>
    </row>
    <row r="1580" spans="2:9" x14ac:dyDescent="0.25">
      <c r="B1580" s="84">
        <v>20128</v>
      </c>
      <c r="D1580" s="84" t="str">
        <f t="shared" si="27"/>
        <v/>
      </c>
      <c r="H1580" s="84">
        <f>IFERROR(VLOOKUP(B1580,Заказ!B:Q,5,0),0)</f>
        <v>0</v>
      </c>
      <c r="I1580" s="84">
        <f>IFERROR(VLOOKUP(B1580,Заказ!B:Q,16,0),0)</f>
        <v>0</v>
      </c>
    </row>
    <row r="1581" spans="2:9" x14ac:dyDescent="0.25">
      <c r="B1581" s="84">
        <v>19072</v>
      </c>
      <c r="D1581" s="84" t="str">
        <f t="shared" si="27"/>
        <v/>
      </c>
      <c r="H1581" s="84">
        <f>IFERROR(VLOOKUP(B1581,Заказ!B:Q,5,0),0)</f>
        <v>0</v>
      </c>
      <c r="I1581" s="84">
        <f>IFERROR(VLOOKUP(B1581,Заказ!B:Q,16,0),0)</f>
        <v>0</v>
      </c>
    </row>
    <row r="1582" spans="2:9" x14ac:dyDescent="0.25">
      <c r="B1582" s="84">
        <v>19073</v>
      </c>
      <c r="D1582" s="84" t="str">
        <f t="shared" si="27"/>
        <v/>
      </c>
      <c r="H1582" s="84">
        <f>IFERROR(VLOOKUP(B1582,Заказ!B:Q,5,0),0)</f>
        <v>0</v>
      </c>
      <c r="I1582" s="84">
        <f>IFERROR(VLOOKUP(B1582,Заказ!B:Q,16,0),0)</f>
        <v>0</v>
      </c>
    </row>
    <row r="1583" spans="2:9" x14ac:dyDescent="0.25">
      <c r="B1583" s="84">
        <v>21270</v>
      </c>
      <c r="D1583" s="84" t="str">
        <f t="shared" si="27"/>
        <v/>
      </c>
      <c r="H1583" s="84">
        <f>IFERROR(VLOOKUP(B1583,Заказ!B:Q,5,0),0)</f>
        <v>0</v>
      </c>
      <c r="I1583" s="84">
        <f>IFERROR(VLOOKUP(B1583,Заказ!B:Q,16,0),0)</f>
        <v>0</v>
      </c>
    </row>
    <row r="1584" spans="2:9" x14ac:dyDescent="0.25">
      <c r="B1584" s="84">
        <v>19531</v>
      </c>
      <c r="D1584" s="84" t="str">
        <f t="shared" si="27"/>
        <v/>
      </c>
      <c r="H1584" s="84">
        <f>IFERROR(VLOOKUP(B1584,Заказ!B:Q,5,0),0)</f>
        <v>0</v>
      </c>
      <c r="I1584" s="84">
        <f>IFERROR(VLOOKUP(B1584,Заказ!B:Q,16,0),0)</f>
        <v>0</v>
      </c>
    </row>
    <row r="1585" spans="2:9" x14ac:dyDescent="0.25">
      <c r="B1585" s="84">
        <v>19586</v>
      </c>
      <c r="D1585" s="84" t="str">
        <f t="shared" si="27"/>
        <v/>
      </c>
      <c r="H1585" s="84">
        <f>IFERROR(VLOOKUP(B1585,Заказ!B:Q,5,0),0)</f>
        <v>0</v>
      </c>
      <c r="I1585" s="84">
        <f>IFERROR(VLOOKUP(B1585,Заказ!B:Q,16,0),0)</f>
        <v>0</v>
      </c>
    </row>
    <row r="1586" spans="2:9" x14ac:dyDescent="0.25">
      <c r="B1586" s="84">
        <v>21070</v>
      </c>
      <c r="D1586" s="84" t="str">
        <f t="shared" si="27"/>
        <v/>
      </c>
      <c r="H1586" s="84">
        <f>IFERROR(VLOOKUP(B1586,Заказ!B:Q,5,0),0)</f>
        <v>0</v>
      </c>
      <c r="I1586" s="84">
        <f>IFERROR(VLOOKUP(B1586,Заказ!B:Q,16,0),0)</f>
        <v>0</v>
      </c>
    </row>
    <row r="1587" spans="2:9" x14ac:dyDescent="0.25">
      <c r="B1587" s="84">
        <v>19532</v>
      </c>
      <c r="D1587" s="84" t="str">
        <f t="shared" si="27"/>
        <v/>
      </c>
      <c r="H1587" s="84">
        <f>IFERROR(VLOOKUP(B1587,Заказ!B:Q,5,0),0)</f>
        <v>0</v>
      </c>
      <c r="I1587" s="84">
        <f>IFERROR(VLOOKUP(B1587,Заказ!B:Q,16,0),0)</f>
        <v>0</v>
      </c>
    </row>
    <row r="1588" spans="2:9" x14ac:dyDescent="0.25">
      <c r="B1588" s="84">
        <v>19587</v>
      </c>
      <c r="D1588" s="84" t="str">
        <f t="shared" si="27"/>
        <v/>
      </c>
      <c r="H1588" s="84">
        <f>IFERROR(VLOOKUP(B1588,Заказ!B:Q,5,0),0)</f>
        <v>0</v>
      </c>
      <c r="I1588" s="84">
        <f>IFERROR(VLOOKUP(B1588,Заказ!B:Q,16,0),0)</f>
        <v>0</v>
      </c>
    </row>
    <row r="1589" spans="2:9" x14ac:dyDescent="0.25">
      <c r="B1589" s="84">
        <v>19071</v>
      </c>
      <c r="D1589" s="84" t="str">
        <f t="shared" si="27"/>
        <v/>
      </c>
      <c r="H1589" s="84">
        <f>IFERROR(VLOOKUP(B1589,Заказ!B:Q,5,0),0)</f>
        <v>0</v>
      </c>
      <c r="I1589" s="84">
        <f>IFERROR(VLOOKUP(B1589,Заказ!B:Q,16,0),0)</f>
        <v>0</v>
      </c>
    </row>
    <row r="1590" spans="2:9" x14ac:dyDescent="0.25">
      <c r="B1590" s="84">
        <v>19013</v>
      </c>
      <c r="D1590" s="84" t="str">
        <f t="shared" si="27"/>
        <v/>
      </c>
      <c r="H1590" s="84">
        <f>IFERROR(VLOOKUP(B1590,Заказ!B:Q,5,0),0)</f>
        <v>0</v>
      </c>
      <c r="I1590" s="84">
        <f>IFERROR(VLOOKUP(B1590,Заказ!B:Q,16,0),0)</f>
        <v>0</v>
      </c>
    </row>
    <row r="1591" spans="2:9" x14ac:dyDescent="0.25">
      <c r="B1591" s="84">
        <v>20577</v>
      </c>
      <c r="D1591" s="84" t="str">
        <f t="shared" si="27"/>
        <v/>
      </c>
      <c r="H1591" s="84">
        <f>IFERROR(VLOOKUP(B1591,Заказ!B:Q,5,0),0)</f>
        <v>0</v>
      </c>
      <c r="I1591" s="84">
        <f>IFERROR(VLOOKUP(B1591,Заказ!B:Q,16,0),0)</f>
        <v>0</v>
      </c>
    </row>
    <row r="1592" spans="2:9" x14ac:dyDescent="0.25">
      <c r="B1592" s="84">
        <v>20612</v>
      </c>
      <c r="D1592" s="84" t="str">
        <f t="shared" si="27"/>
        <v/>
      </c>
      <c r="H1592" s="84">
        <f>IFERROR(VLOOKUP(B1592,Заказ!B:Q,5,0),0)</f>
        <v>0</v>
      </c>
      <c r="I1592" s="84">
        <f>IFERROR(VLOOKUP(B1592,Заказ!B:Q,16,0),0)</f>
        <v>0</v>
      </c>
    </row>
    <row r="1593" spans="2:9" x14ac:dyDescent="0.25">
      <c r="B1593" s="84">
        <v>20575</v>
      </c>
      <c r="D1593" s="84" t="str">
        <f t="shared" si="27"/>
        <v/>
      </c>
      <c r="H1593" s="84">
        <f>IFERROR(VLOOKUP(B1593,Заказ!B:Q,5,0),0)</f>
        <v>0</v>
      </c>
      <c r="I1593" s="84">
        <f>IFERROR(VLOOKUP(B1593,Заказ!B:Q,16,0),0)</f>
        <v>0</v>
      </c>
    </row>
    <row r="1594" spans="2:9" x14ac:dyDescent="0.25">
      <c r="B1594" s="84">
        <v>20894</v>
      </c>
      <c r="D1594" s="84" t="str">
        <f t="shared" si="27"/>
        <v/>
      </c>
      <c r="H1594" s="84">
        <f>IFERROR(VLOOKUP(B1594,Заказ!B:Q,5,0),0)</f>
        <v>0</v>
      </c>
      <c r="I1594" s="84">
        <f>IFERROR(VLOOKUP(B1594,Заказ!B:Q,16,0),0)</f>
        <v>0</v>
      </c>
    </row>
    <row r="1595" spans="2:9" x14ac:dyDescent="0.25">
      <c r="B1595" s="84">
        <v>20574</v>
      </c>
      <c r="D1595" s="84" t="str">
        <f t="shared" si="27"/>
        <v/>
      </c>
      <c r="H1595" s="84">
        <f>IFERROR(VLOOKUP(B1595,Заказ!B:Q,5,0),0)</f>
        <v>0</v>
      </c>
      <c r="I1595" s="84">
        <f>IFERROR(VLOOKUP(B1595,Заказ!B:Q,16,0),0)</f>
        <v>0</v>
      </c>
    </row>
    <row r="1596" spans="2:9" x14ac:dyDescent="0.25">
      <c r="B1596" s="84">
        <v>20578</v>
      </c>
      <c r="D1596" s="84" t="str">
        <f t="shared" si="27"/>
        <v/>
      </c>
      <c r="H1596" s="84">
        <f>IFERROR(VLOOKUP(B1596,Заказ!B:Q,5,0),0)</f>
        <v>0</v>
      </c>
      <c r="I1596" s="84">
        <f>IFERROR(VLOOKUP(B1596,Заказ!B:Q,16,0),0)</f>
        <v>0</v>
      </c>
    </row>
    <row r="1597" spans="2:9" x14ac:dyDescent="0.25">
      <c r="B1597" s="84">
        <v>20579</v>
      </c>
      <c r="D1597" s="84" t="str">
        <f t="shared" si="27"/>
        <v/>
      </c>
      <c r="H1597" s="84">
        <f>IFERROR(VLOOKUP(B1597,Заказ!B:Q,5,0),0)</f>
        <v>0</v>
      </c>
      <c r="I1597" s="84">
        <f>IFERROR(VLOOKUP(B1597,Заказ!B:Q,16,0),0)</f>
        <v>0</v>
      </c>
    </row>
    <row r="1598" spans="2:9" x14ac:dyDescent="0.25">
      <c r="B1598" s="84">
        <v>20580</v>
      </c>
      <c r="D1598" s="84" t="str">
        <f t="shared" si="27"/>
        <v/>
      </c>
      <c r="H1598" s="84">
        <f>IFERROR(VLOOKUP(B1598,Заказ!B:Q,5,0),0)</f>
        <v>0</v>
      </c>
      <c r="I1598" s="84">
        <f>IFERROR(VLOOKUP(B1598,Заказ!B:Q,16,0),0)</f>
        <v>0</v>
      </c>
    </row>
    <row r="1599" spans="2:9" x14ac:dyDescent="0.25">
      <c r="B1599" s="84">
        <v>20588</v>
      </c>
      <c r="D1599" s="84" t="str">
        <f t="shared" si="27"/>
        <v/>
      </c>
      <c r="H1599" s="84">
        <f>IFERROR(VLOOKUP(B1599,Заказ!B:Q,5,0),0)</f>
        <v>0</v>
      </c>
      <c r="I1599" s="84">
        <f>IFERROR(VLOOKUP(B1599,Заказ!B:Q,16,0),0)</f>
        <v>0</v>
      </c>
    </row>
    <row r="1600" spans="2:9" x14ac:dyDescent="0.25">
      <c r="B1600" s="84">
        <v>21041</v>
      </c>
      <c r="D1600" s="84" t="str">
        <f t="shared" si="27"/>
        <v/>
      </c>
      <c r="H1600" s="84">
        <f>IFERROR(VLOOKUP(B1600,Заказ!B:Q,5,0),0)</f>
        <v>0</v>
      </c>
      <c r="I1600" s="84">
        <f>IFERROR(VLOOKUP(B1600,Заказ!B:Q,16,0),0)</f>
        <v>0</v>
      </c>
    </row>
    <row r="1601" spans="2:9" x14ac:dyDescent="0.25">
      <c r="B1601" s="84">
        <v>20874</v>
      </c>
      <c r="D1601" s="84" t="str">
        <f t="shared" si="27"/>
        <v/>
      </c>
      <c r="H1601" s="84">
        <f>IFERROR(VLOOKUP(B1601,Заказ!B:Q,5,0),0)</f>
        <v>0</v>
      </c>
      <c r="I1601" s="84">
        <f>IFERROR(VLOOKUP(B1601,Заказ!B:Q,16,0),0)</f>
        <v>0</v>
      </c>
    </row>
    <row r="1602" spans="2:9" x14ac:dyDescent="0.25">
      <c r="B1602" s="84">
        <v>20651</v>
      </c>
      <c r="D1602" s="84" t="str">
        <f t="shared" ref="D1602:D1656" si="28">IFERROR(ROUND(I1602/H1602,2),"")</f>
        <v/>
      </c>
      <c r="H1602" s="84">
        <f>IFERROR(VLOOKUP(B1602,Заказ!B:Q,5,0),0)</f>
        <v>0</v>
      </c>
      <c r="I1602" s="84">
        <f>IFERROR(VLOOKUP(B1602,Заказ!B:Q,16,0),0)</f>
        <v>0</v>
      </c>
    </row>
    <row r="1603" spans="2:9" x14ac:dyDescent="0.25">
      <c r="B1603" s="84">
        <v>20700</v>
      </c>
      <c r="D1603" s="84" t="str">
        <f t="shared" si="28"/>
        <v/>
      </c>
      <c r="H1603" s="84">
        <f>IFERROR(VLOOKUP(B1603,Заказ!B:Q,5,0),0)</f>
        <v>0</v>
      </c>
      <c r="I1603" s="84">
        <f>IFERROR(VLOOKUP(B1603,Заказ!B:Q,16,0),0)</f>
        <v>0</v>
      </c>
    </row>
    <row r="1604" spans="2:9" x14ac:dyDescent="0.25">
      <c r="B1604" s="84">
        <v>20652</v>
      </c>
      <c r="D1604" s="84" t="str">
        <f t="shared" si="28"/>
        <v/>
      </c>
      <c r="H1604" s="84">
        <f>IFERROR(VLOOKUP(B1604,Заказ!B:Q,5,0),0)</f>
        <v>0</v>
      </c>
      <c r="I1604" s="84">
        <f>IFERROR(VLOOKUP(B1604,Заказ!B:Q,16,0),0)</f>
        <v>0</v>
      </c>
    </row>
    <row r="1605" spans="2:9" x14ac:dyDescent="0.25">
      <c r="B1605" s="84">
        <v>20653</v>
      </c>
      <c r="D1605" s="84" t="str">
        <f t="shared" si="28"/>
        <v/>
      </c>
      <c r="H1605" s="84">
        <f>IFERROR(VLOOKUP(B1605,Заказ!B:Q,5,0),0)</f>
        <v>0</v>
      </c>
      <c r="I1605" s="84">
        <f>IFERROR(VLOOKUP(B1605,Заказ!B:Q,16,0),0)</f>
        <v>0</v>
      </c>
    </row>
    <row r="1606" spans="2:9" x14ac:dyDescent="0.25">
      <c r="B1606" s="84">
        <v>20654</v>
      </c>
      <c r="D1606" s="84" t="str">
        <f t="shared" si="28"/>
        <v/>
      </c>
      <c r="H1606" s="84">
        <f>IFERROR(VLOOKUP(B1606,Заказ!B:Q,5,0),0)</f>
        <v>0</v>
      </c>
      <c r="I1606" s="84">
        <f>IFERROR(VLOOKUP(B1606,Заказ!B:Q,16,0),0)</f>
        <v>0</v>
      </c>
    </row>
    <row r="1607" spans="2:9" x14ac:dyDescent="0.25">
      <c r="B1607" s="84">
        <v>20655</v>
      </c>
      <c r="D1607" s="84" t="str">
        <f t="shared" si="28"/>
        <v/>
      </c>
      <c r="H1607" s="84">
        <f>IFERROR(VLOOKUP(B1607,Заказ!B:Q,5,0),0)</f>
        <v>0</v>
      </c>
      <c r="I1607" s="84">
        <f>IFERROR(VLOOKUP(B1607,Заказ!B:Q,16,0),0)</f>
        <v>0</v>
      </c>
    </row>
    <row r="1608" spans="2:9" x14ac:dyDescent="0.25">
      <c r="B1608" s="84">
        <v>21527</v>
      </c>
      <c r="D1608" s="84" t="str">
        <f t="shared" si="28"/>
        <v/>
      </c>
      <c r="H1608" s="84">
        <f>IFERROR(VLOOKUP(B1608,Заказ!B:Q,5,0),0)</f>
        <v>0</v>
      </c>
      <c r="I1608" s="84">
        <f>IFERROR(VLOOKUP(B1608,Заказ!B:Q,16,0),0)</f>
        <v>0</v>
      </c>
    </row>
    <row r="1609" spans="2:9" x14ac:dyDescent="0.25">
      <c r="B1609" s="84">
        <v>21524</v>
      </c>
      <c r="D1609" s="84" t="str">
        <f t="shared" si="28"/>
        <v/>
      </c>
      <c r="H1609" s="84">
        <f>IFERROR(VLOOKUP(B1609,Заказ!B:Q,5,0),0)</f>
        <v>0</v>
      </c>
      <c r="I1609" s="84">
        <f>IFERROR(VLOOKUP(B1609,Заказ!B:Q,16,0),0)</f>
        <v>0</v>
      </c>
    </row>
    <row r="1610" spans="2:9" x14ac:dyDescent="0.25">
      <c r="B1610" s="84">
        <v>21528</v>
      </c>
      <c r="D1610" s="84" t="str">
        <f t="shared" si="28"/>
        <v/>
      </c>
      <c r="H1610" s="84">
        <f>IFERROR(VLOOKUP(B1610,Заказ!B:Q,5,0),0)</f>
        <v>0</v>
      </c>
      <c r="I1610" s="84">
        <f>IFERROR(VLOOKUP(B1610,Заказ!B:Q,16,0),0)</f>
        <v>0</v>
      </c>
    </row>
    <row r="1611" spans="2:9" x14ac:dyDescent="0.25">
      <c r="B1611" s="84">
        <v>20742</v>
      </c>
      <c r="D1611" s="84" t="str">
        <f t="shared" si="28"/>
        <v/>
      </c>
      <c r="H1611" s="84">
        <f>IFERROR(VLOOKUP(B1611,Заказ!B:Q,5,0),0)</f>
        <v>0</v>
      </c>
      <c r="I1611" s="84">
        <f>IFERROR(VLOOKUP(B1611,Заказ!B:Q,16,0),0)</f>
        <v>0</v>
      </c>
    </row>
    <row r="1612" spans="2:9" x14ac:dyDescent="0.25">
      <c r="B1612" s="84">
        <v>20743</v>
      </c>
      <c r="D1612" s="84" t="str">
        <f t="shared" si="28"/>
        <v/>
      </c>
      <c r="H1612" s="84">
        <f>IFERROR(VLOOKUP(B1612,Заказ!B:Q,5,0),0)</f>
        <v>0</v>
      </c>
      <c r="I1612" s="84">
        <f>IFERROR(VLOOKUP(B1612,Заказ!B:Q,16,0),0)</f>
        <v>0</v>
      </c>
    </row>
    <row r="1613" spans="2:9" x14ac:dyDescent="0.25">
      <c r="B1613" s="84">
        <v>20745</v>
      </c>
      <c r="D1613" s="84" t="str">
        <f t="shared" si="28"/>
        <v/>
      </c>
      <c r="H1613" s="84">
        <f>IFERROR(VLOOKUP(B1613,Заказ!B:Q,5,0),0)</f>
        <v>0</v>
      </c>
      <c r="I1613" s="84">
        <f>IFERROR(VLOOKUP(B1613,Заказ!B:Q,16,0),0)</f>
        <v>0</v>
      </c>
    </row>
    <row r="1614" spans="2:9" x14ac:dyDescent="0.25">
      <c r="B1614" s="84">
        <v>20744</v>
      </c>
      <c r="D1614" s="84" t="str">
        <f t="shared" si="28"/>
        <v/>
      </c>
      <c r="H1614" s="84">
        <f>IFERROR(VLOOKUP(B1614,Заказ!B:Q,5,0),0)</f>
        <v>0</v>
      </c>
      <c r="I1614" s="84">
        <f>IFERROR(VLOOKUP(B1614,Заказ!B:Q,16,0),0)</f>
        <v>0</v>
      </c>
    </row>
    <row r="1615" spans="2:9" x14ac:dyDescent="0.25">
      <c r="B1615" s="84">
        <v>20738</v>
      </c>
      <c r="D1615" s="84" t="str">
        <f t="shared" si="28"/>
        <v/>
      </c>
      <c r="H1615" s="84">
        <f>IFERROR(VLOOKUP(B1615,Заказ!B:Q,5,0),0)</f>
        <v>0</v>
      </c>
      <c r="I1615" s="84">
        <f>IFERROR(VLOOKUP(B1615,Заказ!B:Q,16,0),0)</f>
        <v>0</v>
      </c>
    </row>
    <row r="1616" spans="2:9" x14ac:dyDescent="0.25">
      <c r="B1616" s="84">
        <v>20739</v>
      </c>
      <c r="D1616" s="84" t="str">
        <f t="shared" si="28"/>
        <v/>
      </c>
      <c r="H1616" s="84">
        <f>IFERROR(VLOOKUP(B1616,Заказ!B:Q,5,0),0)</f>
        <v>0</v>
      </c>
      <c r="I1616" s="84">
        <f>IFERROR(VLOOKUP(B1616,Заказ!B:Q,16,0),0)</f>
        <v>0</v>
      </c>
    </row>
    <row r="1617" spans="2:9" x14ac:dyDescent="0.25">
      <c r="B1617" s="84">
        <v>20740</v>
      </c>
      <c r="D1617" s="84" t="str">
        <f t="shared" si="28"/>
        <v/>
      </c>
      <c r="H1617" s="84">
        <f>IFERROR(VLOOKUP(B1617,Заказ!B:Q,5,0),0)</f>
        <v>0</v>
      </c>
      <c r="I1617" s="84">
        <f>IFERROR(VLOOKUP(B1617,Заказ!B:Q,16,0),0)</f>
        <v>0</v>
      </c>
    </row>
    <row r="1618" spans="2:9" x14ac:dyDescent="0.25">
      <c r="B1618" s="84">
        <v>20741</v>
      </c>
      <c r="D1618" s="84" t="str">
        <f t="shared" si="28"/>
        <v/>
      </c>
      <c r="H1618" s="84">
        <f>IFERROR(VLOOKUP(B1618,Заказ!B:Q,5,0),0)</f>
        <v>0</v>
      </c>
      <c r="I1618" s="84">
        <f>IFERROR(VLOOKUP(B1618,Заказ!B:Q,16,0),0)</f>
        <v>0</v>
      </c>
    </row>
    <row r="1619" spans="2:9" x14ac:dyDescent="0.25">
      <c r="B1619" s="84">
        <v>21195</v>
      </c>
      <c r="D1619" s="84" t="str">
        <f t="shared" si="28"/>
        <v/>
      </c>
      <c r="H1619" s="84">
        <f>IFERROR(VLOOKUP(B1619,Заказ!B:Q,5,0),0)</f>
        <v>0</v>
      </c>
      <c r="I1619" s="84">
        <f>IFERROR(VLOOKUP(B1619,Заказ!B:Q,16,0),0)</f>
        <v>0</v>
      </c>
    </row>
    <row r="1620" spans="2:9" x14ac:dyDescent="0.25">
      <c r="B1620" s="84">
        <v>21197</v>
      </c>
      <c r="D1620" s="84" t="str">
        <f t="shared" si="28"/>
        <v/>
      </c>
      <c r="H1620" s="84">
        <f>IFERROR(VLOOKUP(B1620,Заказ!B:Q,5,0),0)</f>
        <v>0</v>
      </c>
      <c r="I1620" s="84">
        <f>IFERROR(VLOOKUP(B1620,Заказ!B:Q,16,0),0)</f>
        <v>0</v>
      </c>
    </row>
    <row r="1621" spans="2:9" x14ac:dyDescent="0.25">
      <c r="B1621" s="84">
        <v>21196</v>
      </c>
      <c r="D1621" s="84" t="str">
        <f t="shared" si="28"/>
        <v/>
      </c>
      <c r="H1621" s="84">
        <f>IFERROR(VLOOKUP(B1621,Заказ!B:Q,5,0),0)</f>
        <v>0</v>
      </c>
      <c r="I1621" s="84">
        <f>IFERROR(VLOOKUP(B1621,Заказ!B:Q,16,0),0)</f>
        <v>0</v>
      </c>
    </row>
    <row r="1622" spans="2:9" x14ac:dyDescent="0.25">
      <c r="B1622" s="84">
        <v>20981</v>
      </c>
      <c r="D1622" s="84" t="str">
        <f t="shared" si="28"/>
        <v/>
      </c>
      <c r="H1622" s="84">
        <f>IFERROR(VLOOKUP(B1622,Заказ!B:Q,5,0),0)</f>
        <v>0</v>
      </c>
      <c r="I1622" s="84">
        <f>IFERROR(VLOOKUP(B1622,Заказ!B:Q,16,0),0)</f>
        <v>0</v>
      </c>
    </row>
    <row r="1623" spans="2:9" x14ac:dyDescent="0.25">
      <c r="B1623" s="84">
        <v>20984</v>
      </c>
      <c r="D1623" s="84" t="str">
        <f t="shared" si="28"/>
        <v/>
      </c>
      <c r="H1623" s="84">
        <f>IFERROR(VLOOKUP(B1623,Заказ!B:Q,5,0),0)</f>
        <v>0</v>
      </c>
      <c r="I1623" s="84">
        <f>IFERROR(VLOOKUP(B1623,Заказ!B:Q,16,0),0)</f>
        <v>0</v>
      </c>
    </row>
    <row r="1624" spans="2:9" x14ac:dyDescent="0.25">
      <c r="B1624" s="84">
        <v>20982</v>
      </c>
      <c r="D1624" s="84" t="str">
        <f t="shared" si="28"/>
        <v/>
      </c>
      <c r="H1624" s="84">
        <f>IFERROR(VLOOKUP(B1624,Заказ!B:Q,5,0),0)</f>
        <v>0</v>
      </c>
      <c r="I1624" s="84">
        <f>IFERROR(VLOOKUP(B1624,Заказ!B:Q,16,0),0)</f>
        <v>0</v>
      </c>
    </row>
    <row r="1625" spans="2:9" x14ac:dyDescent="0.25">
      <c r="B1625" s="84">
        <v>20985</v>
      </c>
      <c r="D1625" s="84" t="str">
        <f t="shared" si="28"/>
        <v/>
      </c>
      <c r="H1625" s="84">
        <f>IFERROR(VLOOKUP(B1625,Заказ!B:Q,5,0),0)</f>
        <v>0</v>
      </c>
      <c r="I1625" s="84">
        <f>IFERROR(VLOOKUP(B1625,Заказ!B:Q,16,0),0)</f>
        <v>0</v>
      </c>
    </row>
    <row r="1626" spans="2:9" x14ac:dyDescent="0.25">
      <c r="B1626" s="84">
        <v>20986</v>
      </c>
      <c r="D1626" s="84" t="str">
        <f t="shared" si="28"/>
        <v/>
      </c>
      <c r="H1626" s="84">
        <f>IFERROR(VLOOKUP(B1626,Заказ!B:Q,5,0),0)</f>
        <v>0</v>
      </c>
      <c r="I1626" s="84">
        <f>IFERROR(VLOOKUP(B1626,Заказ!B:Q,16,0),0)</f>
        <v>0</v>
      </c>
    </row>
    <row r="1627" spans="2:9" x14ac:dyDescent="0.25">
      <c r="B1627" s="84">
        <v>20857</v>
      </c>
      <c r="D1627" s="84" t="str">
        <f t="shared" si="28"/>
        <v/>
      </c>
      <c r="H1627" s="84">
        <f>IFERROR(VLOOKUP(B1627,Заказ!B:Q,5,0),0)</f>
        <v>0</v>
      </c>
      <c r="I1627" s="84">
        <f>IFERROR(VLOOKUP(B1627,Заказ!B:Q,16,0),0)</f>
        <v>0</v>
      </c>
    </row>
    <row r="1628" spans="2:9" x14ac:dyDescent="0.25">
      <c r="B1628" s="84">
        <v>20858</v>
      </c>
      <c r="D1628" s="84" t="str">
        <f t="shared" si="28"/>
        <v/>
      </c>
      <c r="H1628" s="84">
        <f>IFERROR(VLOOKUP(B1628,Заказ!B:Q,5,0),0)</f>
        <v>0</v>
      </c>
      <c r="I1628" s="84">
        <f>IFERROR(VLOOKUP(B1628,Заказ!B:Q,16,0),0)</f>
        <v>0</v>
      </c>
    </row>
    <row r="1629" spans="2:9" x14ac:dyDescent="0.25">
      <c r="B1629" s="84">
        <v>20860</v>
      </c>
      <c r="D1629" s="84" t="str">
        <f t="shared" si="28"/>
        <v/>
      </c>
      <c r="H1629" s="84">
        <f>IFERROR(VLOOKUP(B1629,Заказ!B:Q,5,0),0)</f>
        <v>0</v>
      </c>
      <c r="I1629" s="84">
        <f>IFERROR(VLOOKUP(B1629,Заказ!B:Q,16,0),0)</f>
        <v>0</v>
      </c>
    </row>
    <row r="1630" spans="2:9" x14ac:dyDescent="0.25">
      <c r="B1630" s="84">
        <v>20859</v>
      </c>
      <c r="D1630" s="84" t="str">
        <f t="shared" si="28"/>
        <v/>
      </c>
      <c r="H1630" s="84">
        <f>IFERROR(VLOOKUP(B1630,Заказ!B:Q,5,0),0)</f>
        <v>0</v>
      </c>
      <c r="I1630" s="84">
        <f>IFERROR(VLOOKUP(B1630,Заказ!B:Q,16,0),0)</f>
        <v>0</v>
      </c>
    </row>
    <row r="1631" spans="2:9" x14ac:dyDescent="0.25">
      <c r="B1631" s="84">
        <v>20861</v>
      </c>
      <c r="D1631" s="84" t="str">
        <f t="shared" si="28"/>
        <v/>
      </c>
      <c r="H1631" s="84">
        <f>IFERROR(VLOOKUP(B1631,Заказ!B:Q,5,0),0)</f>
        <v>0</v>
      </c>
      <c r="I1631" s="84">
        <f>IFERROR(VLOOKUP(B1631,Заказ!B:Q,16,0),0)</f>
        <v>0</v>
      </c>
    </row>
    <row r="1632" spans="2:9" x14ac:dyDescent="0.25">
      <c r="B1632" s="84">
        <v>15948</v>
      </c>
      <c r="D1632" s="84" t="str">
        <f t="shared" si="28"/>
        <v/>
      </c>
      <c r="H1632" s="84">
        <f>IFERROR(VLOOKUP(B1632,Заказ!B:Q,5,0),0)</f>
        <v>0</v>
      </c>
      <c r="I1632" s="84">
        <f>IFERROR(VLOOKUP(B1632,Заказ!B:Q,16,0),0)</f>
        <v>0</v>
      </c>
    </row>
    <row r="1633" spans="2:9" x14ac:dyDescent="0.25">
      <c r="B1633" s="84">
        <v>16701</v>
      </c>
      <c r="D1633" s="84" t="str">
        <f t="shared" si="28"/>
        <v/>
      </c>
      <c r="H1633" s="84">
        <f>IFERROR(VLOOKUP(B1633,Заказ!B:Q,5,0),0)</f>
        <v>0</v>
      </c>
      <c r="I1633" s="84">
        <f>IFERROR(VLOOKUP(B1633,Заказ!B:Q,16,0),0)</f>
        <v>0</v>
      </c>
    </row>
    <row r="1634" spans="2:9" x14ac:dyDescent="0.25">
      <c r="B1634" s="84">
        <v>16702</v>
      </c>
      <c r="D1634" s="84" t="str">
        <f t="shared" si="28"/>
        <v/>
      </c>
      <c r="H1634" s="84">
        <f>IFERROR(VLOOKUP(B1634,Заказ!B:Q,5,0),0)</f>
        <v>0</v>
      </c>
      <c r="I1634" s="84">
        <f>IFERROR(VLOOKUP(B1634,Заказ!B:Q,16,0),0)</f>
        <v>0</v>
      </c>
    </row>
    <row r="1635" spans="2:9" x14ac:dyDescent="0.25">
      <c r="B1635" s="84">
        <v>15946</v>
      </c>
      <c r="D1635" s="84" t="str">
        <f t="shared" si="28"/>
        <v/>
      </c>
      <c r="H1635" s="84">
        <f>IFERROR(VLOOKUP(B1635,Заказ!B:Q,5,0),0)</f>
        <v>0</v>
      </c>
      <c r="I1635" s="84">
        <f>IFERROR(VLOOKUP(B1635,Заказ!B:Q,16,0),0)</f>
        <v>0</v>
      </c>
    </row>
    <row r="1636" spans="2:9" x14ac:dyDescent="0.25">
      <c r="B1636" s="84">
        <v>15949</v>
      </c>
      <c r="D1636" s="84" t="str">
        <f t="shared" si="28"/>
        <v/>
      </c>
      <c r="H1636" s="84">
        <f>IFERROR(VLOOKUP(B1636,Заказ!B:Q,5,0),0)</f>
        <v>0</v>
      </c>
      <c r="I1636" s="84">
        <f>IFERROR(VLOOKUP(B1636,Заказ!B:Q,16,0),0)</f>
        <v>0</v>
      </c>
    </row>
    <row r="1637" spans="2:9" x14ac:dyDescent="0.25">
      <c r="B1637" s="84">
        <v>16550</v>
      </c>
      <c r="D1637" s="84" t="str">
        <f t="shared" si="28"/>
        <v/>
      </c>
      <c r="H1637" s="84">
        <f>IFERROR(VLOOKUP(B1637,Заказ!B:Q,5,0),0)</f>
        <v>0</v>
      </c>
      <c r="I1637" s="84">
        <f>IFERROR(VLOOKUP(B1637,Заказ!B:Q,16,0),0)</f>
        <v>0</v>
      </c>
    </row>
    <row r="1638" spans="2:9" x14ac:dyDescent="0.25">
      <c r="B1638" s="84">
        <v>15951</v>
      </c>
      <c r="D1638" s="84" t="str">
        <f t="shared" si="28"/>
        <v/>
      </c>
      <c r="H1638" s="84">
        <f>IFERROR(VLOOKUP(B1638,Заказ!B:Q,5,0),0)</f>
        <v>0</v>
      </c>
      <c r="I1638" s="84">
        <f>IFERROR(VLOOKUP(B1638,Заказ!B:Q,16,0),0)</f>
        <v>0</v>
      </c>
    </row>
    <row r="1639" spans="2:9" x14ac:dyDescent="0.25">
      <c r="B1639" s="84">
        <v>15947</v>
      </c>
      <c r="D1639" s="84" t="str">
        <f t="shared" si="28"/>
        <v/>
      </c>
      <c r="H1639" s="84">
        <f>IFERROR(VLOOKUP(B1639,Заказ!B:Q,5,0),0)</f>
        <v>0</v>
      </c>
      <c r="I1639" s="84">
        <f>IFERROR(VLOOKUP(B1639,Заказ!B:Q,16,0),0)</f>
        <v>0</v>
      </c>
    </row>
    <row r="1640" spans="2:9" x14ac:dyDescent="0.25">
      <c r="B1640" s="84">
        <v>16703</v>
      </c>
      <c r="D1640" s="84" t="str">
        <f t="shared" si="28"/>
        <v/>
      </c>
      <c r="H1640" s="84">
        <f>IFERROR(VLOOKUP(B1640,Заказ!B:Q,5,0),0)</f>
        <v>0</v>
      </c>
      <c r="I1640" s="84">
        <f>IFERROR(VLOOKUP(B1640,Заказ!B:Q,16,0),0)</f>
        <v>0</v>
      </c>
    </row>
    <row r="1641" spans="2:9" x14ac:dyDescent="0.25">
      <c r="B1641" s="84">
        <v>19667</v>
      </c>
      <c r="D1641" s="84" t="str">
        <f t="shared" si="28"/>
        <v/>
      </c>
      <c r="H1641" s="84">
        <f>IFERROR(VLOOKUP(B1641,Заказ!B:Q,5,0),0)</f>
        <v>0</v>
      </c>
      <c r="I1641" s="84">
        <f>IFERROR(VLOOKUP(B1641,Заказ!B:Q,16,0),0)</f>
        <v>0</v>
      </c>
    </row>
    <row r="1642" spans="2:9" x14ac:dyDescent="0.25">
      <c r="B1642" s="84">
        <v>19666</v>
      </c>
      <c r="D1642" s="84" t="str">
        <f t="shared" si="28"/>
        <v/>
      </c>
      <c r="H1642" s="84">
        <f>IFERROR(VLOOKUP(B1642,Заказ!B:Q,5,0),0)</f>
        <v>0</v>
      </c>
      <c r="I1642" s="84">
        <f>IFERROR(VLOOKUP(B1642,Заказ!B:Q,16,0),0)</f>
        <v>0</v>
      </c>
    </row>
    <row r="1643" spans="2:9" x14ac:dyDescent="0.25">
      <c r="B1643" s="84">
        <v>19664</v>
      </c>
      <c r="D1643" s="84" t="str">
        <f t="shared" si="28"/>
        <v/>
      </c>
      <c r="H1643" s="84">
        <f>IFERROR(VLOOKUP(B1643,Заказ!B:Q,5,0),0)</f>
        <v>0</v>
      </c>
      <c r="I1643" s="84">
        <f>IFERROR(VLOOKUP(B1643,Заказ!B:Q,16,0),0)</f>
        <v>0</v>
      </c>
    </row>
    <row r="1644" spans="2:9" x14ac:dyDescent="0.25">
      <c r="B1644" s="84">
        <v>19665</v>
      </c>
      <c r="D1644" s="84" t="str">
        <f t="shared" si="28"/>
        <v/>
      </c>
      <c r="H1644" s="84">
        <f>IFERROR(VLOOKUP(B1644,Заказ!B:Q,5,0),0)</f>
        <v>0</v>
      </c>
      <c r="I1644" s="84">
        <f>IFERROR(VLOOKUP(B1644,Заказ!B:Q,16,0),0)</f>
        <v>0</v>
      </c>
    </row>
    <row r="1645" spans="2:9" x14ac:dyDescent="0.25">
      <c r="B1645" s="84">
        <v>19668</v>
      </c>
      <c r="D1645" s="84" t="str">
        <f t="shared" si="28"/>
        <v/>
      </c>
      <c r="H1645" s="84">
        <f>IFERROR(VLOOKUP(B1645,Заказ!B:Q,5,0),0)</f>
        <v>0</v>
      </c>
      <c r="I1645" s="84">
        <f>IFERROR(VLOOKUP(B1645,Заказ!B:Q,16,0),0)</f>
        <v>0</v>
      </c>
    </row>
    <row r="1646" spans="2:9" x14ac:dyDescent="0.25">
      <c r="B1646" s="84">
        <v>19669</v>
      </c>
      <c r="D1646" s="84" t="str">
        <f t="shared" si="28"/>
        <v/>
      </c>
      <c r="H1646" s="84">
        <f>IFERROR(VLOOKUP(B1646,Заказ!B:Q,5,0),0)</f>
        <v>0</v>
      </c>
      <c r="I1646" s="84">
        <f>IFERROR(VLOOKUP(B1646,Заказ!B:Q,16,0),0)</f>
        <v>0</v>
      </c>
    </row>
    <row r="1647" spans="2:9" x14ac:dyDescent="0.25">
      <c r="B1647" s="84">
        <v>19670</v>
      </c>
      <c r="D1647" s="84" t="str">
        <f t="shared" si="28"/>
        <v/>
      </c>
      <c r="H1647" s="84">
        <f>IFERROR(VLOOKUP(B1647,Заказ!B:Q,5,0),0)</f>
        <v>0</v>
      </c>
      <c r="I1647" s="84">
        <f>IFERROR(VLOOKUP(B1647,Заказ!B:Q,16,0),0)</f>
        <v>0</v>
      </c>
    </row>
    <row r="1648" spans="2:9" x14ac:dyDescent="0.25">
      <c r="B1648" s="84">
        <v>15305</v>
      </c>
      <c r="D1648" s="84" t="str">
        <f t="shared" si="28"/>
        <v/>
      </c>
      <c r="H1648" s="84">
        <f>IFERROR(VLOOKUP(B1648,Заказ!B:Q,5,0),0)</f>
        <v>0</v>
      </c>
      <c r="I1648" s="84">
        <f>IFERROR(VLOOKUP(B1648,Заказ!B:Q,16,0),0)</f>
        <v>0</v>
      </c>
    </row>
    <row r="1649" spans="2:9" x14ac:dyDescent="0.25">
      <c r="B1649" s="84">
        <v>15306</v>
      </c>
      <c r="D1649" s="84" t="str">
        <f t="shared" si="28"/>
        <v/>
      </c>
      <c r="H1649" s="84">
        <f>IFERROR(VLOOKUP(B1649,Заказ!B:Q,5,0),0)</f>
        <v>0</v>
      </c>
      <c r="I1649" s="84">
        <f>IFERROR(VLOOKUP(B1649,Заказ!B:Q,16,0),0)</f>
        <v>0</v>
      </c>
    </row>
    <row r="1650" spans="2:9" x14ac:dyDescent="0.25">
      <c r="B1650" s="84">
        <v>15298</v>
      </c>
      <c r="D1650" s="84" t="str">
        <f t="shared" si="28"/>
        <v/>
      </c>
      <c r="H1650" s="84">
        <f>IFERROR(VLOOKUP(B1650,Заказ!B:Q,5,0),0)</f>
        <v>0</v>
      </c>
      <c r="I1650" s="84">
        <f>IFERROR(VLOOKUP(B1650,Заказ!B:Q,16,0),0)</f>
        <v>0</v>
      </c>
    </row>
    <row r="1651" spans="2:9" x14ac:dyDescent="0.25">
      <c r="B1651" s="84">
        <v>15308</v>
      </c>
      <c r="D1651" s="84" t="str">
        <f t="shared" si="28"/>
        <v/>
      </c>
      <c r="H1651" s="84">
        <f>IFERROR(VLOOKUP(B1651,Заказ!B:Q,5,0),0)</f>
        <v>0</v>
      </c>
      <c r="I1651" s="84">
        <f>IFERROR(VLOOKUP(B1651,Заказ!B:Q,16,0),0)</f>
        <v>0</v>
      </c>
    </row>
    <row r="1652" spans="2:9" x14ac:dyDescent="0.25">
      <c r="B1652" s="84">
        <v>16364</v>
      </c>
      <c r="D1652" s="84" t="str">
        <f t="shared" si="28"/>
        <v/>
      </c>
      <c r="H1652" s="84">
        <f>IFERROR(VLOOKUP(B1652,Заказ!B:Q,5,0),0)</f>
        <v>0</v>
      </c>
      <c r="I1652" s="84">
        <f>IFERROR(VLOOKUP(B1652,Заказ!B:Q,16,0),0)</f>
        <v>0</v>
      </c>
    </row>
    <row r="1653" spans="2:9" x14ac:dyDescent="0.25">
      <c r="B1653" s="84">
        <v>15307</v>
      </c>
      <c r="D1653" s="84" t="str">
        <f t="shared" si="28"/>
        <v/>
      </c>
      <c r="H1653" s="84">
        <f>IFERROR(VLOOKUP(B1653,Заказ!B:Q,5,0),0)</f>
        <v>0</v>
      </c>
      <c r="I1653" s="84">
        <f>IFERROR(VLOOKUP(B1653,Заказ!B:Q,16,0),0)</f>
        <v>0</v>
      </c>
    </row>
    <row r="1654" spans="2:9" x14ac:dyDescent="0.25">
      <c r="B1654" s="84">
        <v>16365</v>
      </c>
      <c r="D1654" s="84" t="str">
        <f t="shared" si="28"/>
        <v/>
      </c>
      <c r="H1654" s="84">
        <f>IFERROR(VLOOKUP(B1654,Заказ!B:Q,5,0),0)</f>
        <v>0</v>
      </c>
      <c r="I1654" s="84">
        <f>IFERROR(VLOOKUP(B1654,Заказ!B:Q,16,0),0)</f>
        <v>0</v>
      </c>
    </row>
    <row r="1655" spans="2:9" x14ac:dyDescent="0.25">
      <c r="B1655" s="84">
        <v>16366</v>
      </c>
      <c r="D1655" s="84" t="str">
        <f t="shared" si="28"/>
        <v/>
      </c>
      <c r="H1655" s="84">
        <f>IFERROR(VLOOKUP(B1655,Заказ!B:Q,5,0),0)</f>
        <v>0</v>
      </c>
      <c r="I1655" s="84">
        <f>IFERROR(VLOOKUP(B1655,Заказ!B:Q,16,0),0)</f>
        <v>0</v>
      </c>
    </row>
    <row r="1656" spans="2:9" x14ac:dyDescent="0.25">
      <c r="B1656" s="84">
        <v>15304</v>
      </c>
      <c r="D1656" s="84" t="str">
        <f t="shared" si="28"/>
        <v/>
      </c>
      <c r="H1656" s="84">
        <f>IFERROR(VLOOKUP(B1656,Заказ!B:Q,5,0),0)</f>
        <v>0</v>
      </c>
      <c r="I1656" s="84">
        <f>IFERROR(VLOOKUP(B1656,Заказ!B:Q,16,0),0)</f>
        <v>0</v>
      </c>
    </row>
    <row r="1657" spans="2:9" x14ac:dyDescent="0.25">
      <c r="B1657" s="84">
        <v>20756</v>
      </c>
      <c r="D1657" s="84" t="str">
        <f t="shared" ref="D1657:D1705" si="29">IFERROR(ROUND(I1657/H1657,2),"")</f>
        <v/>
      </c>
      <c r="H1657" s="84">
        <f>IFERROR(VLOOKUP(B1657,Заказ!B:Q,5,0),0)</f>
        <v>0</v>
      </c>
      <c r="I1657" s="84">
        <f>IFERROR(VLOOKUP(B1657,Заказ!B:Q,16,0),0)</f>
        <v>0</v>
      </c>
    </row>
    <row r="1658" spans="2:9" x14ac:dyDescent="0.25">
      <c r="B1658" s="84">
        <v>20755</v>
      </c>
      <c r="D1658" s="84" t="str">
        <f t="shared" si="29"/>
        <v/>
      </c>
      <c r="H1658" s="84">
        <f>IFERROR(VLOOKUP(B1658,Заказ!B:Q,5,0),0)</f>
        <v>0</v>
      </c>
      <c r="I1658" s="84">
        <f>IFERROR(VLOOKUP(B1658,Заказ!B:Q,16,0),0)</f>
        <v>0</v>
      </c>
    </row>
    <row r="1659" spans="2:9" x14ac:dyDescent="0.25">
      <c r="B1659" s="84">
        <v>20757</v>
      </c>
      <c r="D1659" s="84" t="str">
        <f t="shared" si="29"/>
        <v/>
      </c>
      <c r="H1659" s="84">
        <f>IFERROR(VLOOKUP(B1659,Заказ!B:Q,5,0),0)</f>
        <v>0</v>
      </c>
      <c r="I1659" s="84">
        <f>IFERROR(VLOOKUP(B1659,Заказ!B:Q,16,0),0)</f>
        <v>0</v>
      </c>
    </row>
    <row r="1660" spans="2:9" x14ac:dyDescent="0.25">
      <c r="B1660" s="84">
        <v>20758</v>
      </c>
      <c r="D1660" s="84" t="str">
        <f t="shared" si="29"/>
        <v/>
      </c>
      <c r="H1660" s="84">
        <f>IFERROR(VLOOKUP(B1660,Заказ!B:Q,5,0),0)</f>
        <v>0</v>
      </c>
      <c r="I1660" s="84">
        <f>IFERROR(VLOOKUP(B1660,Заказ!B:Q,16,0),0)</f>
        <v>0</v>
      </c>
    </row>
    <row r="1661" spans="2:9" x14ac:dyDescent="0.25">
      <c r="B1661" s="84">
        <v>20766</v>
      </c>
      <c r="D1661" s="84" t="str">
        <f t="shared" si="29"/>
        <v/>
      </c>
      <c r="H1661" s="84">
        <f>IFERROR(VLOOKUP(B1661,Заказ!B:Q,5,0),0)</f>
        <v>0</v>
      </c>
      <c r="I1661" s="84">
        <f>IFERROR(VLOOKUP(B1661,Заказ!B:Q,16,0),0)</f>
        <v>0</v>
      </c>
    </row>
    <row r="1662" spans="2:9" x14ac:dyDescent="0.25">
      <c r="B1662" s="84">
        <v>20761</v>
      </c>
      <c r="D1662" s="84" t="str">
        <f t="shared" si="29"/>
        <v/>
      </c>
      <c r="H1662" s="84">
        <f>IFERROR(VLOOKUP(B1662,Заказ!B:Q,5,0),0)</f>
        <v>0</v>
      </c>
      <c r="I1662" s="84">
        <f>IFERROR(VLOOKUP(B1662,Заказ!B:Q,16,0),0)</f>
        <v>0</v>
      </c>
    </row>
    <row r="1663" spans="2:9" x14ac:dyDescent="0.25">
      <c r="B1663" s="84">
        <v>20762</v>
      </c>
      <c r="D1663" s="84" t="str">
        <f t="shared" si="29"/>
        <v/>
      </c>
      <c r="H1663" s="84">
        <f>IFERROR(VLOOKUP(B1663,Заказ!B:Q,5,0),0)</f>
        <v>0</v>
      </c>
      <c r="I1663" s="84">
        <f>IFERROR(VLOOKUP(B1663,Заказ!B:Q,16,0),0)</f>
        <v>0</v>
      </c>
    </row>
    <row r="1664" spans="2:9" x14ac:dyDescent="0.25">
      <c r="B1664" s="84">
        <v>20759</v>
      </c>
      <c r="D1664" s="84" t="str">
        <f t="shared" si="29"/>
        <v/>
      </c>
      <c r="H1664" s="84">
        <f>IFERROR(VLOOKUP(B1664,Заказ!B:Q,5,0),0)</f>
        <v>0</v>
      </c>
      <c r="I1664" s="84">
        <f>IFERROR(VLOOKUP(B1664,Заказ!B:Q,16,0),0)</f>
        <v>0</v>
      </c>
    </row>
    <row r="1665" spans="2:9" x14ac:dyDescent="0.25">
      <c r="B1665" s="84">
        <v>20763</v>
      </c>
      <c r="D1665" s="84" t="str">
        <f t="shared" si="29"/>
        <v/>
      </c>
      <c r="H1665" s="84">
        <f>IFERROR(VLOOKUP(B1665,Заказ!B:Q,5,0),0)</f>
        <v>0</v>
      </c>
      <c r="I1665" s="84">
        <f>IFERROR(VLOOKUP(B1665,Заказ!B:Q,16,0),0)</f>
        <v>0</v>
      </c>
    </row>
    <row r="1666" spans="2:9" x14ac:dyDescent="0.25">
      <c r="B1666" s="84">
        <v>20767</v>
      </c>
      <c r="D1666" s="84" t="str">
        <f t="shared" si="29"/>
        <v/>
      </c>
      <c r="H1666" s="84">
        <f>IFERROR(VLOOKUP(B1666,Заказ!B:Q,5,0),0)</f>
        <v>0</v>
      </c>
      <c r="I1666" s="84">
        <f>IFERROR(VLOOKUP(B1666,Заказ!B:Q,16,0),0)</f>
        <v>0</v>
      </c>
    </row>
    <row r="1667" spans="2:9" x14ac:dyDescent="0.25">
      <c r="B1667" s="84">
        <v>20764</v>
      </c>
      <c r="D1667" s="84" t="str">
        <f t="shared" si="29"/>
        <v/>
      </c>
      <c r="H1667" s="84">
        <f>IFERROR(VLOOKUP(B1667,Заказ!B:Q,5,0),0)</f>
        <v>0</v>
      </c>
      <c r="I1667" s="84">
        <f>IFERROR(VLOOKUP(B1667,Заказ!B:Q,16,0),0)</f>
        <v>0</v>
      </c>
    </row>
    <row r="1668" spans="2:9" x14ac:dyDescent="0.25">
      <c r="B1668" s="84">
        <v>20765</v>
      </c>
      <c r="D1668" s="84" t="str">
        <f t="shared" si="29"/>
        <v/>
      </c>
      <c r="H1668" s="84">
        <f>IFERROR(VLOOKUP(B1668,Заказ!B:Q,5,0),0)</f>
        <v>0</v>
      </c>
      <c r="I1668" s="84">
        <f>IFERROR(VLOOKUP(B1668,Заказ!B:Q,16,0),0)</f>
        <v>0</v>
      </c>
    </row>
    <row r="1669" spans="2:9" x14ac:dyDescent="0.25">
      <c r="B1669" s="84">
        <v>16018</v>
      </c>
      <c r="D1669" s="84" t="str">
        <f t="shared" si="29"/>
        <v/>
      </c>
      <c r="H1669" s="84">
        <f>IFERROR(VLOOKUP(B1669,Заказ!B:Q,5,0),0)</f>
        <v>0</v>
      </c>
      <c r="I1669" s="84">
        <f>IFERROR(VLOOKUP(B1669,Заказ!B:Q,16,0),0)</f>
        <v>0</v>
      </c>
    </row>
    <row r="1670" spans="2:9" x14ac:dyDescent="0.25">
      <c r="B1670" s="84">
        <v>16017</v>
      </c>
      <c r="D1670" s="84" t="str">
        <f t="shared" si="29"/>
        <v/>
      </c>
      <c r="H1670" s="84">
        <f>IFERROR(VLOOKUP(B1670,Заказ!B:Q,5,0),0)</f>
        <v>0</v>
      </c>
      <c r="I1670" s="84">
        <f>IFERROR(VLOOKUP(B1670,Заказ!B:Q,16,0),0)</f>
        <v>0</v>
      </c>
    </row>
    <row r="1671" spans="2:9" x14ac:dyDescent="0.25">
      <c r="B1671" s="84">
        <v>16016</v>
      </c>
      <c r="D1671" s="84" t="str">
        <f t="shared" si="29"/>
        <v/>
      </c>
      <c r="H1671" s="84">
        <f>IFERROR(VLOOKUP(B1671,Заказ!B:Q,5,0),0)</f>
        <v>0</v>
      </c>
      <c r="I1671" s="84">
        <f>IFERROR(VLOOKUP(B1671,Заказ!B:Q,16,0),0)</f>
        <v>0</v>
      </c>
    </row>
    <row r="1672" spans="2:9" x14ac:dyDescent="0.25">
      <c r="B1672" s="84">
        <v>16015</v>
      </c>
      <c r="D1672" s="84" t="str">
        <f t="shared" si="29"/>
        <v/>
      </c>
      <c r="H1672" s="84">
        <f>IFERROR(VLOOKUP(B1672,Заказ!B:Q,5,0),0)</f>
        <v>0</v>
      </c>
      <c r="I1672" s="84">
        <f>IFERROR(VLOOKUP(B1672,Заказ!B:Q,16,0),0)</f>
        <v>0</v>
      </c>
    </row>
    <row r="1673" spans="2:9" x14ac:dyDescent="0.25">
      <c r="B1673" s="84">
        <v>18320</v>
      </c>
      <c r="D1673" s="84" t="str">
        <f t="shared" si="29"/>
        <v/>
      </c>
      <c r="H1673" s="84">
        <f>IFERROR(VLOOKUP(B1673,Заказ!B:Q,5,0),0)</f>
        <v>0</v>
      </c>
      <c r="I1673" s="84">
        <f>IFERROR(VLOOKUP(B1673,Заказ!B:Q,16,0),0)</f>
        <v>0</v>
      </c>
    </row>
    <row r="1674" spans="2:9" x14ac:dyDescent="0.25">
      <c r="B1674" s="84">
        <v>16208</v>
      </c>
      <c r="D1674" s="84" t="str">
        <f t="shared" si="29"/>
        <v/>
      </c>
      <c r="H1674" s="84">
        <f>IFERROR(VLOOKUP(B1674,Заказ!B:Q,5,0),0)</f>
        <v>0</v>
      </c>
      <c r="I1674" s="84">
        <f>IFERROR(VLOOKUP(B1674,Заказ!B:Q,16,0),0)</f>
        <v>0</v>
      </c>
    </row>
    <row r="1675" spans="2:9" x14ac:dyDescent="0.25">
      <c r="B1675" s="84">
        <v>16020</v>
      </c>
      <c r="D1675" s="84" t="str">
        <f t="shared" si="29"/>
        <v/>
      </c>
      <c r="H1675" s="84">
        <f>IFERROR(VLOOKUP(B1675,Заказ!B:Q,5,0),0)</f>
        <v>0</v>
      </c>
      <c r="I1675" s="84">
        <f>IFERROR(VLOOKUP(B1675,Заказ!B:Q,16,0),0)</f>
        <v>0</v>
      </c>
    </row>
    <row r="1676" spans="2:9" x14ac:dyDescent="0.25">
      <c r="B1676" s="84">
        <v>20594</v>
      </c>
      <c r="D1676" s="84" t="str">
        <f t="shared" si="29"/>
        <v/>
      </c>
      <c r="H1676" s="84">
        <f>IFERROR(VLOOKUP(B1676,Заказ!B:Q,5,0),0)</f>
        <v>0</v>
      </c>
      <c r="I1676" s="84">
        <f>IFERROR(VLOOKUP(B1676,Заказ!B:Q,16,0),0)</f>
        <v>0</v>
      </c>
    </row>
    <row r="1677" spans="2:9" x14ac:dyDescent="0.25">
      <c r="B1677" s="84">
        <v>19145</v>
      </c>
      <c r="D1677" s="84" t="str">
        <f t="shared" si="29"/>
        <v/>
      </c>
      <c r="H1677" s="84">
        <f>IFERROR(VLOOKUP(B1677,Заказ!B:Q,5,0),0)</f>
        <v>0</v>
      </c>
      <c r="I1677" s="84">
        <f>IFERROR(VLOOKUP(B1677,Заказ!B:Q,16,0),0)</f>
        <v>0</v>
      </c>
    </row>
    <row r="1678" spans="2:9" x14ac:dyDescent="0.25">
      <c r="B1678" s="84">
        <v>18538</v>
      </c>
      <c r="D1678" s="84" t="str">
        <f t="shared" si="29"/>
        <v/>
      </c>
      <c r="H1678" s="84">
        <f>IFERROR(VLOOKUP(B1678,Заказ!B:Q,5,0),0)</f>
        <v>0</v>
      </c>
      <c r="I1678" s="84">
        <f>IFERROR(VLOOKUP(B1678,Заказ!B:Q,16,0),0)</f>
        <v>0</v>
      </c>
    </row>
    <row r="1679" spans="2:9" x14ac:dyDescent="0.25">
      <c r="B1679" s="84">
        <v>20030</v>
      </c>
      <c r="D1679" s="84" t="str">
        <f t="shared" si="29"/>
        <v/>
      </c>
      <c r="H1679" s="84">
        <f>IFERROR(VLOOKUP(B1679,Заказ!B:Q,5,0),0)</f>
        <v>0</v>
      </c>
      <c r="I1679" s="84">
        <f>IFERROR(VLOOKUP(B1679,Заказ!B:Q,16,0),0)</f>
        <v>0</v>
      </c>
    </row>
    <row r="1680" spans="2:9" x14ac:dyDescent="0.25">
      <c r="B1680" s="84">
        <v>21141</v>
      </c>
      <c r="D1680" s="84" t="str">
        <f t="shared" si="29"/>
        <v/>
      </c>
      <c r="H1680" s="84">
        <f>IFERROR(VLOOKUP(B1680,Заказ!B:Q,5,0),0)</f>
        <v>0</v>
      </c>
      <c r="I1680" s="84">
        <f>IFERROR(VLOOKUP(B1680,Заказ!B:Q,16,0),0)</f>
        <v>0</v>
      </c>
    </row>
    <row r="1681" spans="2:9" x14ac:dyDescent="0.25">
      <c r="B1681" s="84">
        <v>21130</v>
      </c>
      <c r="D1681" s="84" t="str">
        <f t="shared" si="29"/>
        <v/>
      </c>
      <c r="H1681" s="84">
        <f>IFERROR(VLOOKUP(B1681,Заказ!B:Q,5,0),0)</f>
        <v>0</v>
      </c>
      <c r="I1681" s="84">
        <f>IFERROR(VLOOKUP(B1681,Заказ!B:Q,16,0),0)</f>
        <v>0</v>
      </c>
    </row>
    <row r="1682" spans="2:9" x14ac:dyDescent="0.25">
      <c r="B1682" s="84">
        <v>18424</v>
      </c>
      <c r="D1682" s="84" t="str">
        <f t="shared" si="29"/>
        <v/>
      </c>
      <c r="H1682" s="84">
        <f>IFERROR(VLOOKUP(B1682,Заказ!B:Q,5,0),0)</f>
        <v>0</v>
      </c>
      <c r="I1682" s="84">
        <f>IFERROR(VLOOKUP(B1682,Заказ!B:Q,16,0),0)</f>
        <v>0</v>
      </c>
    </row>
    <row r="1683" spans="2:9" x14ac:dyDescent="0.25">
      <c r="B1683" s="84">
        <v>18423</v>
      </c>
      <c r="D1683" s="84" t="str">
        <f t="shared" si="29"/>
        <v/>
      </c>
      <c r="H1683" s="84">
        <f>IFERROR(VLOOKUP(B1683,Заказ!B:Q,5,0),0)</f>
        <v>0</v>
      </c>
      <c r="I1683" s="84">
        <f>IFERROR(VLOOKUP(B1683,Заказ!B:Q,16,0),0)</f>
        <v>0</v>
      </c>
    </row>
    <row r="1684" spans="2:9" x14ac:dyDescent="0.25">
      <c r="B1684" s="84">
        <v>18857</v>
      </c>
      <c r="D1684" s="84" t="str">
        <f t="shared" si="29"/>
        <v/>
      </c>
      <c r="H1684" s="84">
        <f>IFERROR(VLOOKUP(B1684,Заказ!B:Q,5,0),0)</f>
        <v>0</v>
      </c>
      <c r="I1684" s="84">
        <f>IFERROR(VLOOKUP(B1684,Заказ!B:Q,16,0),0)</f>
        <v>0</v>
      </c>
    </row>
    <row r="1685" spans="2:9" x14ac:dyDescent="0.25">
      <c r="B1685" s="84">
        <v>18426</v>
      </c>
      <c r="D1685" s="84" t="str">
        <f t="shared" si="29"/>
        <v/>
      </c>
      <c r="H1685" s="84">
        <f>IFERROR(VLOOKUP(B1685,Заказ!B:Q,5,0),0)</f>
        <v>0</v>
      </c>
      <c r="I1685" s="84">
        <f>IFERROR(VLOOKUP(B1685,Заказ!B:Q,16,0),0)</f>
        <v>0</v>
      </c>
    </row>
    <row r="1686" spans="2:9" x14ac:dyDescent="0.25">
      <c r="B1686" s="84">
        <v>18425</v>
      </c>
      <c r="D1686" s="84" t="str">
        <f t="shared" si="29"/>
        <v/>
      </c>
      <c r="H1686" s="84">
        <f>IFERROR(VLOOKUP(B1686,Заказ!B:Q,5,0),0)</f>
        <v>0</v>
      </c>
      <c r="I1686" s="84">
        <f>IFERROR(VLOOKUP(B1686,Заказ!B:Q,16,0),0)</f>
        <v>0</v>
      </c>
    </row>
    <row r="1687" spans="2:9" x14ac:dyDescent="0.25">
      <c r="B1687" s="84">
        <v>18427</v>
      </c>
      <c r="D1687" s="84" t="str">
        <f t="shared" si="29"/>
        <v/>
      </c>
      <c r="H1687" s="84">
        <f>IFERROR(VLOOKUP(B1687,Заказ!B:Q,5,0),0)</f>
        <v>0</v>
      </c>
      <c r="I1687" s="84">
        <f>IFERROR(VLOOKUP(B1687,Заказ!B:Q,16,0),0)</f>
        <v>0</v>
      </c>
    </row>
    <row r="1688" spans="2:9" x14ac:dyDescent="0.25">
      <c r="B1688" s="84">
        <v>20935</v>
      </c>
      <c r="D1688" s="84" t="str">
        <f t="shared" si="29"/>
        <v/>
      </c>
      <c r="H1688" s="84">
        <f>IFERROR(VLOOKUP(B1688,Заказ!B:Q,5,0),0)</f>
        <v>0</v>
      </c>
      <c r="I1688" s="84">
        <f>IFERROR(VLOOKUP(B1688,Заказ!B:Q,16,0),0)</f>
        <v>0</v>
      </c>
    </row>
    <row r="1689" spans="2:9" x14ac:dyDescent="0.25">
      <c r="B1689" s="84">
        <v>20473</v>
      </c>
      <c r="D1689" s="84" t="str">
        <f t="shared" si="29"/>
        <v/>
      </c>
      <c r="H1689" s="84">
        <f>IFERROR(VLOOKUP(B1689,Заказ!B:Q,5,0),0)</f>
        <v>0</v>
      </c>
      <c r="I1689" s="84">
        <f>IFERROR(VLOOKUP(B1689,Заказ!B:Q,16,0),0)</f>
        <v>0</v>
      </c>
    </row>
    <row r="1690" spans="2:9" x14ac:dyDescent="0.25">
      <c r="B1690" s="84">
        <v>20476</v>
      </c>
      <c r="D1690" s="84" t="str">
        <f t="shared" si="29"/>
        <v/>
      </c>
      <c r="H1690" s="84">
        <f>IFERROR(VLOOKUP(B1690,Заказ!B:Q,5,0),0)</f>
        <v>0</v>
      </c>
      <c r="I1690" s="84">
        <f>IFERROR(VLOOKUP(B1690,Заказ!B:Q,16,0),0)</f>
        <v>0</v>
      </c>
    </row>
    <row r="1691" spans="2:9" x14ac:dyDescent="0.25">
      <c r="B1691" s="84">
        <v>20474</v>
      </c>
      <c r="D1691" s="84" t="str">
        <f t="shared" si="29"/>
        <v/>
      </c>
      <c r="H1691" s="84">
        <f>IFERROR(VLOOKUP(B1691,Заказ!B:Q,5,0),0)</f>
        <v>0</v>
      </c>
      <c r="I1691" s="84">
        <f>IFERROR(VLOOKUP(B1691,Заказ!B:Q,16,0),0)</f>
        <v>0</v>
      </c>
    </row>
    <row r="1692" spans="2:9" x14ac:dyDescent="0.25">
      <c r="B1692" s="84">
        <v>20475</v>
      </c>
      <c r="D1692" s="84" t="str">
        <f t="shared" si="29"/>
        <v/>
      </c>
      <c r="H1692" s="84">
        <f>IFERROR(VLOOKUP(B1692,Заказ!B:Q,5,0),0)</f>
        <v>0</v>
      </c>
      <c r="I1692" s="84">
        <f>IFERROR(VLOOKUP(B1692,Заказ!B:Q,16,0),0)</f>
        <v>0</v>
      </c>
    </row>
    <row r="1693" spans="2:9" x14ac:dyDescent="0.25">
      <c r="B1693" s="84">
        <v>17907</v>
      </c>
      <c r="D1693" s="84" t="str">
        <f t="shared" si="29"/>
        <v/>
      </c>
      <c r="H1693" s="84">
        <f>IFERROR(VLOOKUP(B1693,Заказ!B:Q,5,0),0)</f>
        <v>0</v>
      </c>
      <c r="I1693" s="84">
        <f>IFERROR(VLOOKUP(B1693,Заказ!B:Q,16,0),0)</f>
        <v>0</v>
      </c>
    </row>
    <row r="1694" spans="2:9" x14ac:dyDescent="0.25">
      <c r="B1694" s="84">
        <v>18461</v>
      </c>
      <c r="D1694" s="84" t="str">
        <f t="shared" si="29"/>
        <v/>
      </c>
      <c r="H1694" s="84">
        <f>IFERROR(VLOOKUP(B1694,Заказ!B:Q,5,0),0)</f>
        <v>0</v>
      </c>
      <c r="I1694" s="84">
        <f>IFERROR(VLOOKUP(B1694,Заказ!B:Q,16,0),0)</f>
        <v>0</v>
      </c>
    </row>
    <row r="1695" spans="2:9" x14ac:dyDescent="0.25">
      <c r="B1695" s="84">
        <v>18855</v>
      </c>
      <c r="D1695" s="84" t="str">
        <f t="shared" si="29"/>
        <v/>
      </c>
      <c r="H1695" s="84">
        <f>IFERROR(VLOOKUP(B1695,Заказ!B:Q,5,0),0)</f>
        <v>0</v>
      </c>
      <c r="I1695" s="84">
        <f>IFERROR(VLOOKUP(B1695,Заказ!B:Q,16,0),0)</f>
        <v>0</v>
      </c>
    </row>
    <row r="1696" spans="2:9" x14ac:dyDescent="0.25">
      <c r="B1696" s="84">
        <v>18856</v>
      </c>
      <c r="D1696" s="84" t="str">
        <f t="shared" si="29"/>
        <v/>
      </c>
      <c r="H1696" s="84">
        <f>IFERROR(VLOOKUP(B1696,Заказ!B:Q,5,0),0)</f>
        <v>0</v>
      </c>
      <c r="I1696" s="84">
        <f>IFERROR(VLOOKUP(B1696,Заказ!B:Q,16,0),0)</f>
        <v>0</v>
      </c>
    </row>
    <row r="1697" spans="2:9" x14ac:dyDescent="0.25">
      <c r="B1697" s="84">
        <v>17314</v>
      </c>
      <c r="D1697" s="84" t="str">
        <f t="shared" si="29"/>
        <v/>
      </c>
      <c r="H1697" s="84">
        <f>IFERROR(VLOOKUP(B1697,Заказ!B:Q,5,0),0)</f>
        <v>0</v>
      </c>
      <c r="I1697" s="84">
        <f>IFERROR(VLOOKUP(B1697,Заказ!B:Q,16,0),0)</f>
        <v>0</v>
      </c>
    </row>
    <row r="1698" spans="2:9" x14ac:dyDescent="0.25">
      <c r="B1698" s="84">
        <v>17311</v>
      </c>
      <c r="D1698" s="84" t="str">
        <f t="shared" si="29"/>
        <v/>
      </c>
      <c r="H1698" s="84">
        <f>IFERROR(VLOOKUP(B1698,Заказ!B:Q,5,0),0)</f>
        <v>0</v>
      </c>
      <c r="I1698" s="84">
        <f>IFERROR(VLOOKUP(B1698,Заказ!B:Q,16,0),0)</f>
        <v>0</v>
      </c>
    </row>
    <row r="1699" spans="2:9" x14ac:dyDescent="0.25">
      <c r="B1699" s="84">
        <v>17310</v>
      </c>
      <c r="D1699" s="84" t="str">
        <f t="shared" si="29"/>
        <v/>
      </c>
      <c r="H1699" s="84">
        <f>IFERROR(VLOOKUP(B1699,Заказ!B:Q,5,0),0)</f>
        <v>0</v>
      </c>
      <c r="I1699" s="84">
        <f>IFERROR(VLOOKUP(B1699,Заказ!B:Q,16,0),0)</f>
        <v>0</v>
      </c>
    </row>
    <row r="1700" spans="2:9" x14ac:dyDescent="0.25">
      <c r="B1700" s="84">
        <v>14866</v>
      </c>
      <c r="D1700" s="84" t="str">
        <f t="shared" si="29"/>
        <v/>
      </c>
      <c r="H1700" s="84">
        <f>IFERROR(VLOOKUP(B1700,Заказ!B:Q,5,0),0)</f>
        <v>0</v>
      </c>
      <c r="I1700" s="84">
        <f>IFERROR(VLOOKUP(B1700,Заказ!B:Q,16,0),0)</f>
        <v>0</v>
      </c>
    </row>
    <row r="1701" spans="2:9" x14ac:dyDescent="0.25">
      <c r="B1701" s="84">
        <v>14867</v>
      </c>
      <c r="D1701" s="84" t="str">
        <f t="shared" si="29"/>
        <v/>
      </c>
      <c r="H1701" s="84">
        <f>IFERROR(VLOOKUP(B1701,Заказ!B:Q,5,0),0)</f>
        <v>0</v>
      </c>
      <c r="I1701" s="84">
        <f>IFERROR(VLOOKUP(B1701,Заказ!B:Q,16,0),0)</f>
        <v>0</v>
      </c>
    </row>
    <row r="1702" spans="2:9" x14ac:dyDescent="0.25">
      <c r="B1702" s="84">
        <v>13094</v>
      </c>
      <c r="D1702" s="84" t="str">
        <f t="shared" si="29"/>
        <v/>
      </c>
      <c r="H1702" s="84">
        <f>IFERROR(VLOOKUP(B1702,Заказ!B:Q,5,0),0)</f>
        <v>0</v>
      </c>
      <c r="I1702" s="84">
        <f>IFERROR(VLOOKUP(B1702,Заказ!B:Q,16,0),0)</f>
        <v>0</v>
      </c>
    </row>
    <row r="1703" spans="2:9" x14ac:dyDescent="0.25">
      <c r="B1703" s="84">
        <v>16223</v>
      </c>
      <c r="D1703" s="84" t="str">
        <f t="shared" si="29"/>
        <v/>
      </c>
      <c r="H1703" s="84">
        <f>IFERROR(VLOOKUP(B1703,Заказ!B:Q,5,0),0)</f>
        <v>0</v>
      </c>
      <c r="I1703" s="84">
        <f>IFERROR(VLOOKUP(B1703,Заказ!B:Q,16,0),0)</f>
        <v>0</v>
      </c>
    </row>
    <row r="1704" spans="2:9" x14ac:dyDescent="0.25">
      <c r="B1704" s="84">
        <v>16219</v>
      </c>
      <c r="D1704" s="84" t="str">
        <f t="shared" si="29"/>
        <v/>
      </c>
      <c r="H1704" s="84">
        <f>IFERROR(VLOOKUP(B1704,Заказ!B:Q,5,0),0)</f>
        <v>0</v>
      </c>
      <c r="I1704" s="84">
        <f>IFERROR(VLOOKUP(B1704,Заказ!B:Q,16,0),0)</f>
        <v>0</v>
      </c>
    </row>
    <row r="1705" spans="2:9" x14ac:dyDescent="0.25">
      <c r="B1705" s="84">
        <v>16221</v>
      </c>
      <c r="D1705" s="84" t="str">
        <f t="shared" si="29"/>
        <v/>
      </c>
      <c r="H1705" s="84">
        <f>IFERROR(VLOOKUP(B1705,Заказ!B:Q,5,0),0)</f>
        <v>0</v>
      </c>
      <c r="I1705" s="84">
        <f>IFERROR(VLOOKUP(B1705,Заказ!B:Q,16,0),0)</f>
        <v>0</v>
      </c>
    </row>
    <row r="1706" spans="2:9" x14ac:dyDescent="0.25">
      <c r="B1706" s="84">
        <v>16220</v>
      </c>
      <c r="D1706" s="84" t="str">
        <f t="shared" ref="D1706:D1769" si="30">IFERROR(ROUND(I1706/H1706,2),"")</f>
        <v/>
      </c>
      <c r="H1706" s="84">
        <f>IFERROR(VLOOKUP(B1706,Заказ!B:Q,5,0),0)</f>
        <v>0</v>
      </c>
      <c r="I1706" s="84">
        <f>IFERROR(VLOOKUP(B1706,Заказ!B:Q,16,0),0)</f>
        <v>0</v>
      </c>
    </row>
    <row r="1707" spans="2:9" x14ac:dyDescent="0.25">
      <c r="B1707" s="84">
        <v>15837</v>
      </c>
      <c r="D1707" s="84" t="str">
        <f t="shared" si="30"/>
        <v/>
      </c>
      <c r="H1707" s="84">
        <f>IFERROR(VLOOKUP(B1707,Заказ!B:Q,5,0),0)</f>
        <v>0</v>
      </c>
      <c r="I1707" s="84">
        <f>IFERROR(VLOOKUP(B1707,Заказ!B:Q,16,0),0)</f>
        <v>0</v>
      </c>
    </row>
    <row r="1708" spans="2:9" x14ac:dyDescent="0.25">
      <c r="B1708" s="84">
        <v>15838</v>
      </c>
      <c r="D1708" s="84" t="str">
        <f t="shared" si="30"/>
        <v/>
      </c>
      <c r="H1708" s="84">
        <f>IFERROR(VLOOKUP(B1708,Заказ!B:Q,5,0),0)</f>
        <v>0</v>
      </c>
      <c r="I1708" s="84">
        <f>IFERROR(VLOOKUP(B1708,Заказ!B:Q,16,0),0)</f>
        <v>0</v>
      </c>
    </row>
    <row r="1709" spans="2:9" x14ac:dyDescent="0.25">
      <c r="B1709" s="84">
        <v>15839</v>
      </c>
      <c r="D1709" s="84" t="str">
        <f t="shared" si="30"/>
        <v/>
      </c>
      <c r="H1709" s="84">
        <f>IFERROR(VLOOKUP(B1709,Заказ!B:Q,5,0),0)</f>
        <v>0</v>
      </c>
      <c r="I1709" s="84">
        <f>IFERROR(VLOOKUP(B1709,Заказ!B:Q,16,0),0)</f>
        <v>0</v>
      </c>
    </row>
    <row r="1710" spans="2:9" x14ac:dyDescent="0.25">
      <c r="B1710" s="84">
        <v>20862</v>
      </c>
      <c r="D1710" s="84" t="str">
        <f t="shared" si="30"/>
        <v/>
      </c>
      <c r="H1710" s="84">
        <f>IFERROR(VLOOKUP(B1710,Заказ!B:Q,5,0),0)</f>
        <v>0</v>
      </c>
      <c r="I1710" s="84">
        <f>IFERROR(VLOOKUP(B1710,Заказ!B:Q,16,0),0)</f>
        <v>0</v>
      </c>
    </row>
    <row r="1711" spans="2:9" x14ac:dyDescent="0.25">
      <c r="B1711" s="84">
        <v>19564</v>
      </c>
      <c r="D1711" s="84" t="str">
        <f t="shared" si="30"/>
        <v/>
      </c>
      <c r="H1711" s="84">
        <f>IFERROR(VLOOKUP(B1711,Заказ!B:Q,5,0),0)</f>
        <v>0</v>
      </c>
      <c r="I1711" s="84">
        <f>IFERROR(VLOOKUP(B1711,Заказ!B:Q,16,0),0)</f>
        <v>0</v>
      </c>
    </row>
    <row r="1712" spans="2:9" x14ac:dyDescent="0.25">
      <c r="B1712" s="84">
        <v>20487</v>
      </c>
      <c r="D1712" s="84" t="str">
        <f t="shared" si="30"/>
        <v/>
      </c>
      <c r="H1712" s="84">
        <f>IFERROR(VLOOKUP(B1712,Заказ!B:Q,5,0),0)</f>
        <v>0</v>
      </c>
      <c r="I1712" s="84">
        <f>IFERROR(VLOOKUP(B1712,Заказ!B:Q,16,0),0)</f>
        <v>0</v>
      </c>
    </row>
    <row r="1713" spans="2:9" x14ac:dyDescent="0.25">
      <c r="B1713" s="84">
        <v>20488</v>
      </c>
      <c r="D1713" s="84" t="str">
        <f t="shared" si="30"/>
        <v/>
      </c>
      <c r="H1713" s="84">
        <f>IFERROR(VLOOKUP(B1713,Заказ!B:Q,5,0),0)</f>
        <v>0</v>
      </c>
      <c r="I1713" s="84">
        <f>IFERROR(VLOOKUP(B1713,Заказ!B:Q,16,0),0)</f>
        <v>0</v>
      </c>
    </row>
    <row r="1714" spans="2:9" x14ac:dyDescent="0.25">
      <c r="B1714" s="84">
        <v>20965</v>
      </c>
      <c r="D1714" s="84" t="str">
        <f t="shared" si="30"/>
        <v/>
      </c>
      <c r="H1714" s="84">
        <f>IFERROR(VLOOKUP(B1714,Заказ!B:Q,5,0),0)</f>
        <v>0</v>
      </c>
      <c r="I1714" s="84">
        <f>IFERROR(VLOOKUP(B1714,Заказ!B:Q,16,0),0)</f>
        <v>0</v>
      </c>
    </row>
    <row r="1715" spans="2:9" x14ac:dyDescent="0.25">
      <c r="B1715" s="84">
        <v>19565</v>
      </c>
      <c r="D1715" s="84" t="str">
        <f t="shared" si="30"/>
        <v/>
      </c>
      <c r="H1715" s="84">
        <f>IFERROR(VLOOKUP(B1715,Заказ!B:Q,5,0),0)</f>
        <v>0</v>
      </c>
      <c r="I1715" s="84">
        <f>IFERROR(VLOOKUP(B1715,Заказ!B:Q,16,0),0)</f>
        <v>0</v>
      </c>
    </row>
    <row r="1716" spans="2:9" x14ac:dyDescent="0.25">
      <c r="B1716" s="84">
        <v>19567</v>
      </c>
      <c r="D1716" s="84" t="str">
        <f t="shared" si="30"/>
        <v/>
      </c>
      <c r="H1716" s="84">
        <f>IFERROR(VLOOKUP(B1716,Заказ!B:Q,5,0),0)</f>
        <v>0</v>
      </c>
      <c r="I1716" s="84">
        <f>IFERROR(VLOOKUP(B1716,Заказ!B:Q,16,0),0)</f>
        <v>0</v>
      </c>
    </row>
    <row r="1717" spans="2:9" x14ac:dyDescent="0.25">
      <c r="B1717" s="84">
        <v>19566</v>
      </c>
      <c r="D1717" s="84" t="str">
        <f t="shared" si="30"/>
        <v/>
      </c>
      <c r="H1717" s="84">
        <f>IFERROR(VLOOKUP(B1717,Заказ!B:Q,5,0),0)</f>
        <v>0</v>
      </c>
      <c r="I1717" s="84">
        <f>IFERROR(VLOOKUP(B1717,Заказ!B:Q,16,0),0)</f>
        <v>0</v>
      </c>
    </row>
    <row r="1718" spans="2:9" x14ac:dyDescent="0.25">
      <c r="B1718" s="84">
        <v>20731</v>
      </c>
      <c r="D1718" s="84" t="str">
        <f t="shared" si="30"/>
        <v/>
      </c>
      <c r="H1718" s="84">
        <f>IFERROR(VLOOKUP(B1718,Заказ!B:Q,5,0),0)</f>
        <v>0</v>
      </c>
      <c r="I1718" s="84">
        <f>IFERROR(VLOOKUP(B1718,Заказ!B:Q,16,0),0)</f>
        <v>0</v>
      </c>
    </row>
    <row r="1719" spans="2:9" x14ac:dyDescent="0.25">
      <c r="B1719" s="84">
        <v>20489</v>
      </c>
      <c r="D1719" s="84" t="str">
        <f t="shared" si="30"/>
        <v/>
      </c>
      <c r="H1719" s="84">
        <f>IFERROR(VLOOKUP(B1719,Заказ!B:Q,5,0),0)</f>
        <v>0</v>
      </c>
      <c r="I1719" s="84">
        <f>IFERROR(VLOOKUP(B1719,Заказ!B:Q,16,0),0)</f>
        <v>0</v>
      </c>
    </row>
    <row r="1720" spans="2:9" x14ac:dyDescent="0.25">
      <c r="B1720" s="84">
        <v>20490</v>
      </c>
      <c r="D1720" s="84" t="str">
        <f t="shared" si="30"/>
        <v/>
      </c>
      <c r="H1720" s="84">
        <f>IFERROR(VLOOKUP(B1720,Заказ!B:Q,5,0),0)</f>
        <v>0</v>
      </c>
      <c r="I1720" s="84">
        <f>IFERROR(VLOOKUP(B1720,Заказ!B:Q,16,0),0)</f>
        <v>0</v>
      </c>
    </row>
    <row r="1721" spans="2:9" x14ac:dyDescent="0.25">
      <c r="B1721" s="84">
        <v>20492</v>
      </c>
      <c r="D1721" s="84" t="str">
        <f t="shared" si="30"/>
        <v/>
      </c>
      <c r="H1721" s="84">
        <f>IFERROR(VLOOKUP(B1721,Заказ!B:Q,5,0),0)</f>
        <v>0</v>
      </c>
      <c r="I1721" s="84">
        <f>IFERROR(VLOOKUP(B1721,Заказ!B:Q,16,0),0)</f>
        <v>0</v>
      </c>
    </row>
    <row r="1722" spans="2:9" x14ac:dyDescent="0.25">
      <c r="B1722" s="84">
        <v>20493</v>
      </c>
      <c r="D1722" s="84" t="str">
        <f t="shared" si="30"/>
        <v/>
      </c>
      <c r="H1722" s="84">
        <f>IFERROR(VLOOKUP(B1722,Заказ!B:Q,5,0),0)</f>
        <v>0</v>
      </c>
      <c r="I1722" s="84">
        <f>IFERROR(VLOOKUP(B1722,Заказ!B:Q,16,0),0)</f>
        <v>0</v>
      </c>
    </row>
    <row r="1723" spans="2:9" x14ac:dyDescent="0.25">
      <c r="B1723" s="84">
        <v>13834</v>
      </c>
      <c r="D1723" s="84" t="str">
        <f t="shared" si="30"/>
        <v/>
      </c>
      <c r="H1723" s="84">
        <f>IFERROR(VLOOKUP(B1723,Заказ!B:Q,5,0),0)</f>
        <v>0</v>
      </c>
      <c r="I1723" s="84">
        <f>IFERROR(VLOOKUP(B1723,Заказ!B:Q,16,0),0)</f>
        <v>0</v>
      </c>
    </row>
    <row r="1724" spans="2:9" x14ac:dyDescent="0.25">
      <c r="B1724" s="84">
        <v>15463</v>
      </c>
      <c r="D1724" s="84" t="str">
        <f t="shared" si="30"/>
        <v/>
      </c>
      <c r="H1724" s="84">
        <f>IFERROR(VLOOKUP(B1724,Заказ!B:Q,5,0),0)</f>
        <v>0</v>
      </c>
      <c r="I1724" s="84">
        <f>IFERROR(VLOOKUP(B1724,Заказ!B:Q,16,0),0)</f>
        <v>0</v>
      </c>
    </row>
    <row r="1725" spans="2:9" x14ac:dyDescent="0.25">
      <c r="B1725" s="84">
        <v>13378</v>
      </c>
      <c r="D1725" s="84" t="str">
        <f t="shared" si="30"/>
        <v/>
      </c>
      <c r="H1725" s="84">
        <f>IFERROR(VLOOKUP(B1725,Заказ!B:Q,5,0),0)</f>
        <v>0</v>
      </c>
      <c r="I1725" s="84">
        <f>IFERROR(VLOOKUP(B1725,Заказ!B:Q,16,0),0)</f>
        <v>0</v>
      </c>
    </row>
    <row r="1726" spans="2:9" x14ac:dyDescent="0.25">
      <c r="B1726" s="84">
        <v>13276</v>
      </c>
      <c r="D1726" s="84" t="str">
        <f t="shared" si="30"/>
        <v/>
      </c>
      <c r="H1726" s="84">
        <f>IFERROR(VLOOKUP(B1726,Заказ!B:Q,5,0),0)</f>
        <v>0</v>
      </c>
      <c r="I1726" s="84">
        <f>IFERROR(VLOOKUP(B1726,Заказ!B:Q,16,0),0)</f>
        <v>0</v>
      </c>
    </row>
    <row r="1727" spans="2:9" x14ac:dyDescent="0.25">
      <c r="B1727" s="84">
        <v>14220</v>
      </c>
      <c r="D1727" s="84" t="str">
        <f t="shared" si="30"/>
        <v/>
      </c>
      <c r="H1727" s="84">
        <f>IFERROR(VLOOKUP(B1727,Заказ!B:Q,5,0),0)</f>
        <v>0</v>
      </c>
      <c r="I1727" s="84">
        <f>IFERROR(VLOOKUP(B1727,Заказ!B:Q,16,0),0)</f>
        <v>0</v>
      </c>
    </row>
    <row r="1728" spans="2:9" x14ac:dyDescent="0.25">
      <c r="B1728" s="84">
        <v>14590</v>
      </c>
      <c r="D1728" s="84" t="str">
        <f t="shared" si="30"/>
        <v/>
      </c>
      <c r="H1728" s="84">
        <f>IFERROR(VLOOKUP(B1728,Заказ!B:Q,5,0),0)</f>
        <v>0</v>
      </c>
      <c r="I1728" s="84">
        <f>IFERROR(VLOOKUP(B1728,Заказ!B:Q,16,0),0)</f>
        <v>0</v>
      </c>
    </row>
    <row r="1729" spans="2:9" x14ac:dyDescent="0.25">
      <c r="B1729" s="84">
        <v>13721</v>
      </c>
      <c r="D1729" s="84" t="str">
        <f t="shared" si="30"/>
        <v/>
      </c>
      <c r="H1729" s="84">
        <f>IFERROR(VLOOKUP(B1729,Заказ!B:Q,5,0),0)</f>
        <v>0</v>
      </c>
      <c r="I1729" s="84">
        <f>IFERROR(VLOOKUP(B1729,Заказ!B:Q,16,0),0)</f>
        <v>0</v>
      </c>
    </row>
    <row r="1730" spans="2:9" x14ac:dyDescent="0.25">
      <c r="B1730" s="84">
        <v>13275</v>
      </c>
      <c r="D1730" s="84" t="str">
        <f t="shared" si="30"/>
        <v/>
      </c>
      <c r="H1730" s="84">
        <f>IFERROR(VLOOKUP(B1730,Заказ!B:Q,5,0),0)</f>
        <v>0</v>
      </c>
      <c r="I1730" s="84">
        <f>IFERROR(VLOOKUP(B1730,Заказ!B:Q,16,0),0)</f>
        <v>0</v>
      </c>
    </row>
    <row r="1731" spans="2:9" x14ac:dyDescent="0.25">
      <c r="B1731" s="84">
        <v>14221</v>
      </c>
      <c r="D1731" s="84" t="str">
        <f t="shared" si="30"/>
        <v/>
      </c>
      <c r="H1731" s="84">
        <f>IFERROR(VLOOKUP(B1731,Заказ!B:Q,5,0),0)</f>
        <v>0</v>
      </c>
      <c r="I1731" s="84">
        <f>IFERROR(VLOOKUP(B1731,Заказ!B:Q,16,0),0)</f>
        <v>0</v>
      </c>
    </row>
    <row r="1732" spans="2:9" x14ac:dyDescent="0.25">
      <c r="B1732" s="84">
        <v>15461</v>
      </c>
      <c r="D1732" s="84" t="str">
        <f t="shared" si="30"/>
        <v/>
      </c>
      <c r="H1732" s="84">
        <f>IFERROR(VLOOKUP(B1732,Заказ!B:Q,5,0),0)</f>
        <v>0</v>
      </c>
      <c r="I1732" s="84">
        <f>IFERROR(VLOOKUP(B1732,Заказ!B:Q,16,0),0)</f>
        <v>0</v>
      </c>
    </row>
    <row r="1733" spans="2:9" x14ac:dyDescent="0.25">
      <c r="B1733" s="84">
        <v>15791</v>
      </c>
      <c r="D1733" s="84" t="str">
        <f t="shared" si="30"/>
        <v/>
      </c>
      <c r="H1733" s="84">
        <f>IFERROR(VLOOKUP(B1733,Заказ!B:Q,5,0),0)</f>
        <v>0</v>
      </c>
      <c r="I1733" s="84">
        <f>IFERROR(VLOOKUP(B1733,Заказ!B:Q,16,0),0)</f>
        <v>0</v>
      </c>
    </row>
    <row r="1734" spans="2:9" x14ac:dyDescent="0.25">
      <c r="B1734" s="84">
        <v>14948</v>
      </c>
      <c r="D1734" s="84" t="str">
        <f t="shared" si="30"/>
        <v/>
      </c>
      <c r="H1734" s="84">
        <f>IFERROR(VLOOKUP(B1734,Заказ!B:Q,5,0),0)</f>
        <v>0</v>
      </c>
      <c r="I1734" s="84">
        <f>IFERROR(VLOOKUP(B1734,Заказ!B:Q,16,0),0)</f>
        <v>0</v>
      </c>
    </row>
    <row r="1735" spans="2:9" x14ac:dyDescent="0.25">
      <c r="B1735" s="84">
        <v>13101</v>
      </c>
      <c r="D1735" s="84" t="str">
        <f t="shared" si="30"/>
        <v/>
      </c>
      <c r="H1735" s="84">
        <f>IFERROR(VLOOKUP(B1735,Заказ!B:Q,5,0),0)</f>
        <v>0</v>
      </c>
      <c r="I1735" s="84">
        <f>IFERROR(VLOOKUP(B1735,Заказ!B:Q,16,0),0)</f>
        <v>0</v>
      </c>
    </row>
    <row r="1736" spans="2:9" x14ac:dyDescent="0.25">
      <c r="B1736" s="84">
        <v>13099</v>
      </c>
      <c r="D1736" s="84" t="str">
        <f t="shared" si="30"/>
        <v/>
      </c>
      <c r="H1736" s="84">
        <f>IFERROR(VLOOKUP(B1736,Заказ!B:Q,5,0),0)</f>
        <v>0</v>
      </c>
      <c r="I1736" s="84">
        <f>IFERROR(VLOOKUP(B1736,Заказ!B:Q,16,0),0)</f>
        <v>0</v>
      </c>
    </row>
    <row r="1737" spans="2:9" x14ac:dyDescent="0.25">
      <c r="B1737" s="84">
        <v>13098</v>
      </c>
      <c r="D1737" s="84" t="str">
        <f t="shared" si="30"/>
        <v/>
      </c>
      <c r="H1737" s="84">
        <f>IFERROR(VLOOKUP(B1737,Заказ!B:Q,5,0),0)</f>
        <v>0</v>
      </c>
      <c r="I1737" s="84">
        <f>IFERROR(VLOOKUP(B1737,Заказ!B:Q,16,0),0)</f>
        <v>0</v>
      </c>
    </row>
    <row r="1738" spans="2:9" x14ac:dyDescent="0.25">
      <c r="B1738" s="84">
        <v>13376</v>
      </c>
      <c r="D1738" s="84" t="str">
        <f t="shared" si="30"/>
        <v/>
      </c>
      <c r="H1738" s="84">
        <f>IFERROR(VLOOKUP(B1738,Заказ!B:Q,5,0),0)</f>
        <v>0</v>
      </c>
      <c r="I1738" s="84">
        <f>IFERROR(VLOOKUP(B1738,Заказ!B:Q,16,0),0)</f>
        <v>0</v>
      </c>
    </row>
    <row r="1739" spans="2:9" x14ac:dyDescent="0.25">
      <c r="B1739" s="84">
        <v>14513</v>
      </c>
      <c r="D1739" s="84" t="str">
        <f t="shared" si="30"/>
        <v/>
      </c>
      <c r="H1739" s="84">
        <f>IFERROR(VLOOKUP(B1739,Заказ!B:Q,5,0),0)</f>
        <v>0</v>
      </c>
      <c r="I1739" s="84">
        <f>IFERROR(VLOOKUP(B1739,Заказ!B:Q,16,0),0)</f>
        <v>0</v>
      </c>
    </row>
    <row r="1740" spans="2:9" x14ac:dyDescent="0.25">
      <c r="B1740" s="84">
        <v>13100</v>
      </c>
      <c r="D1740" s="84" t="str">
        <f t="shared" si="30"/>
        <v/>
      </c>
      <c r="H1740" s="84">
        <f>IFERROR(VLOOKUP(B1740,Заказ!B:Q,5,0),0)</f>
        <v>0</v>
      </c>
      <c r="I1740" s="84">
        <f>IFERROR(VLOOKUP(B1740,Заказ!B:Q,16,0),0)</f>
        <v>0</v>
      </c>
    </row>
    <row r="1741" spans="2:9" x14ac:dyDescent="0.25">
      <c r="B1741" s="84">
        <v>13833</v>
      </c>
      <c r="D1741" s="84" t="str">
        <f t="shared" si="30"/>
        <v/>
      </c>
      <c r="H1741" s="84">
        <f>IFERROR(VLOOKUP(B1741,Заказ!B:Q,5,0),0)</f>
        <v>0</v>
      </c>
      <c r="I1741" s="84">
        <f>IFERROR(VLOOKUP(B1741,Заказ!B:Q,16,0),0)</f>
        <v>0</v>
      </c>
    </row>
    <row r="1742" spans="2:9" x14ac:dyDescent="0.25">
      <c r="B1742" s="84">
        <v>13096</v>
      </c>
      <c r="D1742" s="84" t="str">
        <f t="shared" si="30"/>
        <v/>
      </c>
      <c r="H1742" s="84">
        <f>IFERROR(VLOOKUP(B1742,Заказ!B:Q,5,0),0)</f>
        <v>0</v>
      </c>
      <c r="I1742" s="84">
        <f>IFERROR(VLOOKUP(B1742,Заказ!B:Q,16,0),0)</f>
        <v>0</v>
      </c>
    </row>
    <row r="1743" spans="2:9" x14ac:dyDescent="0.25">
      <c r="B1743" s="84">
        <v>13097</v>
      </c>
      <c r="D1743" s="84" t="str">
        <f t="shared" si="30"/>
        <v/>
      </c>
      <c r="H1743" s="84">
        <f>IFERROR(VLOOKUP(B1743,Заказ!B:Q,5,0),0)</f>
        <v>0</v>
      </c>
      <c r="I1743" s="84">
        <f>IFERROR(VLOOKUP(B1743,Заказ!B:Q,16,0),0)</f>
        <v>0</v>
      </c>
    </row>
    <row r="1744" spans="2:9" x14ac:dyDescent="0.25">
      <c r="B1744" s="84">
        <v>20299</v>
      </c>
      <c r="D1744" s="84" t="str">
        <f t="shared" si="30"/>
        <v/>
      </c>
      <c r="H1744" s="84">
        <f>IFERROR(VLOOKUP(B1744,Заказ!B:Q,5,0),0)</f>
        <v>0</v>
      </c>
      <c r="I1744" s="84">
        <f>IFERROR(VLOOKUP(B1744,Заказ!B:Q,16,0),0)</f>
        <v>0</v>
      </c>
    </row>
    <row r="1745" spans="2:9" x14ac:dyDescent="0.25">
      <c r="B1745" s="84">
        <v>20302</v>
      </c>
      <c r="D1745" s="84" t="str">
        <f t="shared" si="30"/>
        <v/>
      </c>
      <c r="H1745" s="84">
        <f>IFERROR(VLOOKUP(B1745,Заказ!B:Q,5,0),0)</f>
        <v>0</v>
      </c>
      <c r="I1745" s="84">
        <f>IFERROR(VLOOKUP(B1745,Заказ!B:Q,16,0),0)</f>
        <v>0</v>
      </c>
    </row>
    <row r="1746" spans="2:9" x14ac:dyDescent="0.25">
      <c r="B1746" s="84">
        <v>20303</v>
      </c>
      <c r="D1746" s="84" t="str">
        <f t="shared" si="30"/>
        <v/>
      </c>
      <c r="H1746" s="84">
        <f>IFERROR(VLOOKUP(B1746,Заказ!B:Q,5,0),0)</f>
        <v>0</v>
      </c>
      <c r="I1746" s="84">
        <f>IFERROR(VLOOKUP(B1746,Заказ!B:Q,16,0),0)</f>
        <v>0</v>
      </c>
    </row>
    <row r="1747" spans="2:9" x14ac:dyDescent="0.25">
      <c r="B1747" s="84">
        <v>20300</v>
      </c>
      <c r="D1747" s="84" t="str">
        <f t="shared" si="30"/>
        <v/>
      </c>
      <c r="H1747" s="84">
        <f>IFERROR(VLOOKUP(B1747,Заказ!B:Q,5,0),0)</f>
        <v>0</v>
      </c>
      <c r="I1747" s="84">
        <f>IFERROR(VLOOKUP(B1747,Заказ!B:Q,16,0),0)</f>
        <v>0</v>
      </c>
    </row>
    <row r="1748" spans="2:9" x14ac:dyDescent="0.25">
      <c r="B1748" s="84">
        <v>20301</v>
      </c>
      <c r="D1748" s="84" t="str">
        <f t="shared" si="30"/>
        <v/>
      </c>
      <c r="H1748" s="84">
        <f>IFERROR(VLOOKUP(B1748,Заказ!B:Q,5,0),0)</f>
        <v>0</v>
      </c>
      <c r="I1748" s="84">
        <f>IFERROR(VLOOKUP(B1748,Заказ!B:Q,16,0),0)</f>
        <v>0</v>
      </c>
    </row>
    <row r="1749" spans="2:9" x14ac:dyDescent="0.25">
      <c r="B1749" s="84">
        <v>20298</v>
      </c>
      <c r="D1749" s="84" t="str">
        <f t="shared" si="30"/>
        <v/>
      </c>
      <c r="H1749" s="84">
        <f>IFERROR(VLOOKUP(B1749,Заказ!B:Q,5,0),0)</f>
        <v>0</v>
      </c>
      <c r="I1749" s="84">
        <f>IFERROR(VLOOKUP(B1749,Заказ!B:Q,16,0),0)</f>
        <v>0</v>
      </c>
    </row>
    <row r="1750" spans="2:9" x14ac:dyDescent="0.25">
      <c r="B1750" s="84">
        <v>20341</v>
      </c>
      <c r="D1750" s="84" t="str">
        <f t="shared" si="30"/>
        <v/>
      </c>
      <c r="H1750" s="84">
        <f>IFERROR(VLOOKUP(B1750,Заказ!B:Q,5,0),0)</f>
        <v>0</v>
      </c>
      <c r="I1750" s="84">
        <f>IFERROR(VLOOKUP(B1750,Заказ!B:Q,16,0),0)</f>
        <v>0</v>
      </c>
    </row>
    <row r="1751" spans="2:9" x14ac:dyDescent="0.25">
      <c r="B1751" s="84">
        <v>20343</v>
      </c>
      <c r="D1751" s="84" t="str">
        <f t="shared" si="30"/>
        <v/>
      </c>
      <c r="H1751" s="84">
        <f>IFERROR(VLOOKUP(B1751,Заказ!B:Q,5,0),0)</f>
        <v>0</v>
      </c>
      <c r="I1751" s="84">
        <f>IFERROR(VLOOKUP(B1751,Заказ!B:Q,16,0),0)</f>
        <v>0</v>
      </c>
    </row>
    <row r="1752" spans="2:9" x14ac:dyDescent="0.25">
      <c r="B1752" s="84">
        <v>20344</v>
      </c>
      <c r="D1752" s="84" t="str">
        <f t="shared" si="30"/>
        <v/>
      </c>
      <c r="H1752" s="84">
        <f>IFERROR(VLOOKUP(B1752,Заказ!B:Q,5,0),0)</f>
        <v>0</v>
      </c>
      <c r="I1752" s="84">
        <f>IFERROR(VLOOKUP(B1752,Заказ!B:Q,16,0),0)</f>
        <v>0</v>
      </c>
    </row>
    <row r="1753" spans="2:9" x14ac:dyDescent="0.25">
      <c r="B1753" s="84">
        <v>20346</v>
      </c>
      <c r="D1753" s="84" t="str">
        <f t="shared" si="30"/>
        <v/>
      </c>
      <c r="H1753" s="84">
        <f>IFERROR(VLOOKUP(B1753,Заказ!B:Q,5,0),0)</f>
        <v>0</v>
      </c>
      <c r="I1753" s="84">
        <f>IFERROR(VLOOKUP(B1753,Заказ!B:Q,16,0),0)</f>
        <v>0</v>
      </c>
    </row>
    <row r="1754" spans="2:9" x14ac:dyDescent="0.25">
      <c r="B1754" s="84">
        <v>20345</v>
      </c>
      <c r="D1754" s="84" t="str">
        <f t="shared" si="30"/>
        <v/>
      </c>
      <c r="H1754" s="84">
        <f>IFERROR(VLOOKUP(B1754,Заказ!B:Q,5,0),0)</f>
        <v>0</v>
      </c>
      <c r="I1754" s="84">
        <f>IFERROR(VLOOKUP(B1754,Заказ!B:Q,16,0),0)</f>
        <v>0</v>
      </c>
    </row>
    <row r="1755" spans="2:9" x14ac:dyDescent="0.25">
      <c r="B1755" s="84">
        <v>20342</v>
      </c>
      <c r="D1755" s="84" t="str">
        <f t="shared" si="30"/>
        <v/>
      </c>
      <c r="H1755" s="84">
        <f>IFERROR(VLOOKUP(B1755,Заказ!B:Q,5,0),0)</f>
        <v>0</v>
      </c>
      <c r="I1755" s="84">
        <f>IFERROR(VLOOKUP(B1755,Заказ!B:Q,16,0),0)</f>
        <v>0</v>
      </c>
    </row>
    <row r="1756" spans="2:9" x14ac:dyDescent="0.25">
      <c r="B1756" s="84">
        <v>20673</v>
      </c>
      <c r="D1756" s="84" t="str">
        <f t="shared" si="30"/>
        <v/>
      </c>
      <c r="H1756" s="84">
        <f>IFERROR(VLOOKUP(B1756,Заказ!B:Q,5,0),0)</f>
        <v>0</v>
      </c>
      <c r="I1756" s="84">
        <f>IFERROR(VLOOKUP(B1756,Заказ!B:Q,16,0),0)</f>
        <v>0</v>
      </c>
    </row>
    <row r="1757" spans="2:9" x14ac:dyDescent="0.25">
      <c r="B1757" s="84">
        <v>20671</v>
      </c>
      <c r="D1757" s="84" t="str">
        <f t="shared" si="30"/>
        <v/>
      </c>
      <c r="H1757" s="84">
        <f>IFERROR(VLOOKUP(B1757,Заказ!B:Q,5,0),0)</f>
        <v>0</v>
      </c>
      <c r="I1757" s="84">
        <f>IFERROR(VLOOKUP(B1757,Заказ!B:Q,16,0),0)</f>
        <v>0</v>
      </c>
    </row>
    <row r="1758" spans="2:9" x14ac:dyDescent="0.25">
      <c r="B1758" s="84">
        <v>20672</v>
      </c>
      <c r="D1758" s="84" t="str">
        <f t="shared" si="30"/>
        <v/>
      </c>
      <c r="H1758" s="84">
        <f>IFERROR(VLOOKUP(B1758,Заказ!B:Q,5,0),0)</f>
        <v>0</v>
      </c>
      <c r="I1758" s="84">
        <f>IFERROR(VLOOKUP(B1758,Заказ!B:Q,16,0),0)</f>
        <v>0</v>
      </c>
    </row>
    <row r="1759" spans="2:9" x14ac:dyDescent="0.25">
      <c r="B1759" s="84">
        <v>20680</v>
      </c>
      <c r="D1759" s="84" t="str">
        <f t="shared" si="30"/>
        <v/>
      </c>
      <c r="H1759" s="84">
        <f>IFERROR(VLOOKUP(B1759,Заказ!B:Q,5,0),0)</f>
        <v>0</v>
      </c>
      <c r="I1759" s="84">
        <f>IFERROR(VLOOKUP(B1759,Заказ!B:Q,16,0),0)</f>
        <v>0</v>
      </c>
    </row>
    <row r="1760" spans="2:9" x14ac:dyDescent="0.25">
      <c r="B1760" s="84">
        <v>20681</v>
      </c>
      <c r="D1760" s="84" t="str">
        <f t="shared" si="30"/>
        <v/>
      </c>
      <c r="H1760" s="84">
        <f>IFERROR(VLOOKUP(B1760,Заказ!B:Q,5,0),0)</f>
        <v>0</v>
      </c>
      <c r="I1760" s="84">
        <f>IFERROR(VLOOKUP(B1760,Заказ!B:Q,16,0),0)</f>
        <v>0</v>
      </c>
    </row>
    <row r="1761" spans="2:9" x14ac:dyDescent="0.25">
      <c r="B1761" s="84">
        <v>20679</v>
      </c>
      <c r="D1761" s="84" t="str">
        <f t="shared" si="30"/>
        <v/>
      </c>
      <c r="H1761" s="84">
        <f>IFERROR(VLOOKUP(B1761,Заказ!B:Q,5,0),0)</f>
        <v>0</v>
      </c>
      <c r="I1761" s="84">
        <f>IFERROR(VLOOKUP(B1761,Заказ!B:Q,16,0),0)</f>
        <v>0</v>
      </c>
    </row>
    <row r="1762" spans="2:9" x14ac:dyDescent="0.25">
      <c r="B1762" s="84">
        <v>19955</v>
      </c>
      <c r="D1762" s="84" t="str">
        <f t="shared" si="30"/>
        <v/>
      </c>
      <c r="H1762" s="84">
        <f>IFERROR(VLOOKUP(B1762,Заказ!B:Q,5,0),0)</f>
        <v>0</v>
      </c>
      <c r="I1762" s="84">
        <f>IFERROR(VLOOKUP(B1762,Заказ!B:Q,16,0),0)</f>
        <v>0</v>
      </c>
    </row>
    <row r="1763" spans="2:9" x14ac:dyDescent="0.25">
      <c r="B1763" s="84">
        <v>20616</v>
      </c>
      <c r="D1763" s="84" t="str">
        <f t="shared" si="30"/>
        <v/>
      </c>
      <c r="H1763" s="84">
        <f>IFERROR(VLOOKUP(B1763,Заказ!B:Q,5,0),0)</f>
        <v>0</v>
      </c>
      <c r="I1763" s="84">
        <f>IFERROR(VLOOKUP(B1763,Заказ!B:Q,16,0),0)</f>
        <v>0</v>
      </c>
    </row>
    <row r="1764" spans="2:9" x14ac:dyDescent="0.25">
      <c r="B1764" s="84">
        <v>19950</v>
      </c>
      <c r="D1764" s="84" t="str">
        <f t="shared" si="30"/>
        <v/>
      </c>
      <c r="H1764" s="84">
        <f>IFERROR(VLOOKUP(B1764,Заказ!B:Q,5,0),0)</f>
        <v>0</v>
      </c>
      <c r="I1764" s="84">
        <f>IFERROR(VLOOKUP(B1764,Заказ!B:Q,16,0),0)</f>
        <v>0</v>
      </c>
    </row>
    <row r="1765" spans="2:9" x14ac:dyDescent="0.25">
      <c r="B1765" s="84">
        <v>19952</v>
      </c>
      <c r="D1765" s="84" t="str">
        <f t="shared" si="30"/>
        <v/>
      </c>
      <c r="H1765" s="84">
        <f>IFERROR(VLOOKUP(B1765,Заказ!B:Q,5,0),0)</f>
        <v>0</v>
      </c>
      <c r="I1765" s="84">
        <f>IFERROR(VLOOKUP(B1765,Заказ!B:Q,16,0),0)</f>
        <v>0</v>
      </c>
    </row>
    <row r="1766" spans="2:9" x14ac:dyDescent="0.25">
      <c r="B1766" s="84">
        <v>19953</v>
      </c>
      <c r="D1766" s="84" t="str">
        <f t="shared" si="30"/>
        <v/>
      </c>
      <c r="H1766" s="84">
        <f>IFERROR(VLOOKUP(B1766,Заказ!B:Q,5,0),0)</f>
        <v>0</v>
      </c>
      <c r="I1766" s="84">
        <f>IFERROR(VLOOKUP(B1766,Заказ!B:Q,16,0),0)</f>
        <v>0</v>
      </c>
    </row>
    <row r="1767" spans="2:9" x14ac:dyDescent="0.25">
      <c r="B1767" s="84">
        <v>19954</v>
      </c>
      <c r="D1767" s="84" t="str">
        <f t="shared" si="30"/>
        <v/>
      </c>
      <c r="H1767" s="84">
        <f>IFERROR(VLOOKUP(B1767,Заказ!B:Q,5,0),0)</f>
        <v>0</v>
      </c>
      <c r="I1767" s="84">
        <f>IFERROR(VLOOKUP(B1767,Заказ!B:Q,16,0),0)</f>
        <v>0</v>
      </c>
    </row>
    <row r="1768" spans="2:9" x14ac:dyDescent="0.25">
      <c r="B1768" s="84">
        <v>20676</v>
      </c>
      <c r="D1768" s="84" t="str">
        <f t="shared" si="30"/>
        <v/>
      </c>
      <c r="H1768" s="84">
        <f>IFERROR(VLOOKUP(B1768,Заказ!B:Q,5,0),0)</f>
        <v>0</v>
      </c>
      <c r="I1768" s="84">
        <f>IFERROR(VLOOKUP(B1768,Заказ!B:Q,16,0),0)</f>
        <v>0</v>
      </c>
    </row>
    <row r="1769" spans="2:9" x14ac:dyDescent="0.25">
      <c r="B1769" s="84">
        <v>20678</v>
      </c>
      <c r="D1769" s="84" t="str">
        <f t="shared" si="30"/>
        <v/>
      </c>
      <c r="H1769" s="84">
        <f>IFERROR(VLOOKUP(B1769,Заказ!B:Q,5,0),0)</f>
        <v>0</v>
      </c>
      <c r="I1769" s="84">
        <f>IFERROR(VLOOKUP(B1769,Заказ!B:Q,16,0),0)</f>
        <v>0</v>
      </c>
    </row>
    <row r="1770" spans="2:9" x14ac:dyDescent="0.25">
      <c r="B1770" s="84">
        <v>20677</v>
      </c>
      <c r="D1770" s="84" t="str">
        <f t="shared" ref="D1770:D1833" si="31">IFERROR(ROUND(I1770/H1770,2),"")</f>
        <v/>
      </c>
      <c r="H1770" s="84">
        <f>IFERROR(VLOOKUP(B1770,Заказ!B:Q,5,0),0)</f>
        <v>0</v>
      </c>
      <c r="I1770" s="84">
        <f>IFERROR(VLOOKUP(B1770,Заказ!B:Q,16,0),0)</f>
        <v>0</v>
      </c>
    </row>
    <row r="1771" spans="2:9" x14ac:dyDescent="0.25">
      <c r="B1771" s="84">
        <v>19951</v>
      </c>
      <c r="D1771" s="84" t="str">
        <f t="shared" si="31"/>
        <v/>
      </c>
      <c r="H1771" s="84">
        <f>IFERROR(VLOOKUP(B1771,Заказ!B:Q,5,0),0)</f>
        <v>0</v>
      </c>
      <c r="I1771" s="84">
        <f>IFERROR(VLOOKUP(B1771,Заказ!B:Q,16,0),0)</f>
        <v>0</v>
      </c>
    </row>
    <row r="1772" spans="2:9" x14ac:dyDescent="0.25">
      <c r="B1772" s="84">
        <v>19956</v>
      </c>
      <c r="D1772" s="84" t="str">
        <f t="shared" si="31"/>
        <v/>
      </c>
      <c r="H1772" s="84">
        <f>IFERROR(VLOOKUP(B1772,Заказ!B:Q,5,0),0)</f>
        <v>0</v>
      </c>
      <c r="I1772" s="84">
        <f>IFERROR(VLOOKUP(B1772,Заказ!B:Q,16,0),0)</f>
        <v>0</v>
      </c>
    </row>
    <row r="1773" spans="2:9" x14ac:dyDescent="0.25">
      <c r="B1773" s="84">
        <v>19957</v>
      </c>
      <c r="D1773" s="84" t="str">
        <f t="shared" si="31"/>
        <v/>
      </c>
      <c r="H1773" s="84">
        <f>IFERROR(VLOOKUP(B1773,Заказ!B:Q,5,0),0)</f>
        <v>0</v>
      </c>
      <c r="I1773" s="84">
        <f>IFERROR(VLOOKUP(B1773,Заказ!B:Q,16,0),0)</f>
        <v>0</v>
      </c>
    </row>
    <row r="1774" spans="2:9" x14ac:dyDescent="0.25">
      <c r="B1774" s="84">
        <v>19896</v>
      </c>
      <c r="D1774" s="84" t="str">
        <f t="shared" si="31"/>
        <v/>
      </c>
      <c r="H1774" s="84">
        <f>IFERROR(VLOOKUP(B1774,Заказ!B:Q,5,0),0)</f>
        <v>0</v>
      </c>
      <c r="I1774" s="84">
        <f>IFERROR(VLOOKUP(B1774,Заказ!B:Q,16,0),0)</f>
        <v>0</v>
      </c>
    </row>
    <row r="1775" spans="2:9" x14ac:dyDescent="0.25">
      <c r="B1775" s="84">
        <v>20674</v>
      </c>
      <c r="D1775" s="84" t="str">
        <f t="shared" si="31"/>
        <v/>
      </c>
      <c r="H1775" s="84">
        <f>IFERROR(VLOOKUP(B1775,Заказ!B:Q,5,0),0)</f>
        <v>0</v>
      </c>
      <c r="I1775" s="84">
        <f>IFERROR(VLOOKUP(B1775,Заказ!B:Q,16,0),0)</f>
        <v>0</v>
      </c>
    </row>
    <row r="1776" spans="2:9" x14ac:dyDescent="0.25">
      <c r="B1776" s="84">
        <v>19897</v>
      </c>
      <c r="D1776" s="84" t="str">
        <f t="shared" si="31"/>
        <v/>
      </c>
      <c r="H1776" s="84">
        <f>IFERROR(VLOOKUP(B1776,Заказ!B:Q,5,0),0)</f>
        <v>0</v>
      </c>
      <c r="I1776" s="84">
        <f>IFERROR(VLOOKUP(B1776,Заказ!B:Q,16,0),0)</f>
        <v>0</v>
      </c>
    </row>
    <row r="1777" spans="2:9" x14ac:dyDescent="0.25">
      <c r="B1777" s="84">
        <v>20675</v>
      </c>
      <c r="D1777" s="84" t="str">
        <f t="shared" si="31"/>
        <v/>
      </c>
      <c r="H1777" s="84">
        <f>IFERROR(VLOOKUP(B1777,Заказ!B:Q,5,0),0)</f>
        <v>0</v>
      </c>
      <c r="I1777" s="84">
        <f>IFERROR(VLOOKUP(B1777,Заказ!B:Q,16,0),0)</f>
        <v>0</v>
      </c>
    </row>
    <row r="1778" spans="2:9" x14ac:dyDescent="0.25">
      <c r="B1778" s="84">
        <v>20615</v>
      </c>
      <c r="D1778" s="84" t="str">
        <f t="shared" si="31"/>
        <v/>
      </c>
      <c r="H1778" s="84">
        <f>IFERROR(VLOOKUP(B1778,Заказ!B:Q,5,0),0)</f>
        <v>0</v>
      </c>
      <c r="I1778" s="84">
        <f>IFERROR(VLOOKUP(B1778,Заказ!B:Q,16,0),0)</f>
        <v>0</v>
      </c>
    </row>
    <row r="1779" spans="2:9" x14ac:dyDescent="0.25">
      <c r="B1779" s="84">
        <v>19909</v>
      </c>
      <c r="D1779" s="84" t="str">
        <f t="shared" si="31"/>
        <v/>
      </c>
      <c r="H1779" s="84">
        <f>IFERROR(VLOOKUP(B1779,Заказ!B:Q,5,0),0)</f>
        <v>0</v>
      </c>
      <c r="I1779" s="84">
        <f>IFERROR(VLOOKUP(B1779,Заказ!B:Q,16,0),0)</f>
        <v>0</v>
      </c>
    </row>
    <row r="1780" spans="2:9" x14ac:dyDescent="0.25">
      <c r="B1780" s="84">
        <v>19907</v>
      </c>
      <c r="D1780" s="84" t="str">
        <f t="shared" si="31"/>
        <v/>
      </c>
      <c r="H1780" s="84">
        <f>IFERROR(VLOOKUP(B1780,Заказ!B:Q,5,0),0)</f>
        <v>0</v>
      </c>
      <c r="I1780" s="84">
        <f>IFERROR(VLOOKUP(B1780,Заказ!B:Q,16,0),0)</f>
        <v>0</v>
      </c>
    </row>
    <row r="1781" spans="2:9" x14ac:dyDescent="0.25">
      <c r="B1781" s="84">
        <v>19908</v>
      </c>
      <c r="D1781" s="84" t="str">
        <f t="shared" si="31"/>
        <v/>
      </c>
      <c r="H1781" s="84">
        <f>IFERROR(VLOOKUP(B1781,Заказ!B:Q,5,0),0)</f>
        <v>0</v>
      </c>
      <c r="I1781" s="84">
        <f>IFERROR(VLOOKUP(B1781,Заказ!B:Q,16,0),0)</f>
        <v>0</v>
      </c>
    </row>
    <row r="1782" spans="2:9" x14ac:dyDescent="0.25">
      <c r="B1782" s="84">
        <v>19905</v>
      </c>
      <c r="D1782" s="84" t="str">
        <f t="shared" si="31"/>
        <v/>
      </c>
      <c r="H1782" s="84">
        <f>IFERROR(VLOOKUP(B1782,Заказ!B:Q,5,0),0)</f>
        <v>0</v>
      </c>
      <c r="I1782" s="84">
        <f>IFERROR(VLOOKUP(B1782,Заказ!B:Q,16,0),0)</f>
        <v>0</v>
      </c>
    </row>
    <row r="1783" spans="2:9" x14ac:dyDescent="0.25">
      <c r="B1783" s="84">
        <v>19906</v>
      </c>
      <c r="D1783" s="84" t="str">
        <f t="shared" si="31"/>
        <v/>
      </c>
      <c r="H1783" s="84">
        <f>IFERROR(VLOOKUP(B1783,Заказ!B:Q,5,0),0)</f>
        <v>0</v>
      </c>
      <c r="I1783" s="84">
        <f>IFERROR(VLOOKUP(B1783,Заказ!B:Q,16,0),0)</f>
        <v>0</v>
      </c>
    </row>
    <row r="1784" spans="2:9" x14ac:dyDescent="0.25">
      <c r="B1784" s="84">
        <v>19910</v>
      </c>
      <c r="D1784" s="84" t="str">
        <f t="shared" si="31"/>
        <v/>
      </c>
      <c r="H1784" s="84">
        <f>IFERROR(VLOOKUP(B1784,Заказ!B:Q,5,0),0)</f>
        <v>0</v>
      </c>
      <c r="I1784" s="84">
        <f>IFERROR(VLOOKUP(B1784,Заказ!B:Q,16,0),0)</f>
        <v>0</v>
      </c>
    </row>
    <row r="1785" spans="2:9" x14ac:dyDescent="0.25">
      <c r="B1785" s="84">
        <v>19911</v>
      </c>
      <c r="D1785" s="84" t="str">
        <f t="shared" si="31"/>
        <v/>
      </c>
      <c r="H1785" s="84">
        <f>IFERROR(VLOOKUP(B1785,Заказ!B:Q,5,0),0)</f>
        <v>0</v>
      </c>
      <c r="I1785" s="84">
        <f>IFERROR(VLOOKUP(B1785,Заказ!B:Q,16,0),0)</f>
        <v>0</v>
      </c>
    </row>
    <row r="1786" spans="2:9" x14ac:dyDescent="0.25">
      <c r="B1786" s="84">
        <v>19901</v>
      </c>
      <c r="D1786" s="84" t="str">
        <f t="shared" si="31"/>
        <v/>
      </c>
      <c r="H1786" s="84">
        <f>IFERROR(VLOOKUP(B1786,Заказ!B:Q,5,0),0)</f>
        <v>0</v>
      </c>
      <c r="I1786" s="84">
        <f>IFERROR(VLOOKUP(B1786,Заказ!B:Q,16,0),0)</f>
        <v>0</v>
      </c>
    </row>
    <row r="1787" spans="2:9" x14ac:dyDescent="0.25">
      <c r="B1787" s="84">
        <v>19902</v>
      </c>
      <c r="D1787" s="84" t="str">
        <f t="shared" si="31"/>
        <v/>
      </c>
      <c r="H1787" s="84">
        <f>IFERROR(VLOOKUP(B1787,Заказ!B:Q,5,0),0)</f>
        <v>0</v>
      </c>
      <c r="I1787" s="84">
        <f>IFERROR(VLOOKUP(B1787,Заказ!B:Q,16,0),0)</f>
        <v>0</v>
      </c>
    </row>
    <row r="1788" spans="2:9" x14ac:dyDescent="0.25">
      <c r="B1788" s="84">
        <v>19903</v>
      </c>
      <c r="D1788" s="84" t="str">
        <f t="shared" si="31"/>
        <v/>
      </c>
      <c r="H1788" s="84">
        <f>IFERROR(VLOOKUP(B1788,Заказ!B:Q,5,0),0)</f>
        <v>0</v>
      </c>
      <c r="I1788" s="84">
        <f>IFERROR(VLOOKUP(B1788,Заказ!B:Q,16,0),0)</f>
        <v>0</v>
      </c>
    </row>
    <row r="1789" spans="2:9" x14ac:dyDescent="0.25">
      <c r="B1789" s="84">
        <v>19904</v>
      </c>
      <c r="D1789" s="84" t="str">
        <f t="shared" si="31"/>
        <v/>
      </c>
      <c r="H1789" s="84">
        <f>IFERROR(VLOOKUP(B1789,Заказ!B:Q,5,0),0)</f>
        <v>0</v>
      </c>
      <c r="I1789" s="84">
        <f>IFERROR(VLOOKUP(B1789,Заказ!B:Q,16,0),0)</f>
        <v>0</v>
      </c>
    </row>
    <row r="1790" spans="2:9" x14ac:dyDescent="0.25">
      <c r="B1790" s="84">
        <v>20151</v>
      </c>
      <c r="D1790" s="84" t="str">
        <f t="shared" si="31"/>
        <v/>
      </c>
      <c r="H1790" s="84">
        <f>IFERROR(VLOOKUP(B1790,Заказ!B:Q,5,0),0)</f>
        <v>0</v>
      </c>
      <c r="I1790" s="84">
        <f>IFERROR(VLOOKUP(B1790,Заказ!B:Q,16,0),0)</f>
        <v>0</v>
      </c>
    </row>
    <row r="1791" spans="2:9" x14ac:dyDescent="0.25">
      <c r="B1791" s="84">
        <v>20153</v>
      </c>
      <c r="D1791" s="84" t="str">
        <f t="shared" si="31"/>
        <v/>
      </c>
      <c r="H1791" s="84">
        <f>IFERROR(VLOOKUP(B1791,Заказ!B:Q,5,0),0)</f>
        <v>0</v>
      </c>
      <c r="I1791" s="84">
        <f>IFERROR(VLOOKUP(B1791,Заказ!B:Q,16,0),0)</f>
        <v>0</v>
      </c>
    </row>
    <row r="1792" spans="2:9" x14ac:dyDescent="0.25">
      <c r="B1792" s="84">
        <v>20867</v>
      </c>
      <c r="D1792" s="84" t="str">
        <f t="shared" si="31"/>
        <v/>
      </c>
      <c r="H1792" s="84">
        <f>IFERROR(VLOOKUP(B1792,Заказ!B:Q,5,0),0)</f>
        <v>0</v>
      </c>
      <c r="I1792" s="84">
        <f>IFERROR(VLOOKUP(B1792,Заказ!B:Q,16,0),0)</f>
        <v>0</v>
      </c>
    </row>
    <row r="1793" spans="2:9" x14ac:dyDescent="0.25">
      <c r="B1793" s="84">
        <v>18130</v>
      </c>
      <c r="D1793" s="84" t="str">
        <f t="shared" si="31"/>
        <v/>
      </c>
      <c r="H1793" s="84">
        <f>IFERROR(VLOOKUP(B1793,Заказ!B:Q,5,0),0)</f>
        <v>0</v>
      </c>
      <c r="I1793" s="84">
        <f>IFERROR(VLOOKUP(B1793,Заказ!B:Q,16,0),0)</f>
        <v>0</v>
      </c>
    </row>
    <row r="1794" spans="2:9" x14ac:dyDescent="0.25">
      <c r="B1794" s="84">
        <v>18131</v>
      </c>
      <c r="D1794" s="84" t="str">
        <f t="shared" si="31"/>
        <v/>
      </c>
      <c r="H1794" s="84">
        <f>IFERROR(VLOOKUP(B1794,Заказ!B:Q,5,0),0)</f>
        <v>0</v>
      </c>
      <c r="I1794" s="84">
        <f>IFERROR(VLOOKUP(B1794,Заказ!B:Q,16,0),0)</f>
        <v>0</v>
      </c>
    </row>
    <row r="1795" spans="2:9" x14ac:dyDescent="0.25">
      <c r="B1795" s="84">
        <v>18133</v>
      </c>
      <c r="D1795" s="84" t="str">
        <f t="shared" si="31"/>
        <v/>
      </c>
      <c r="H1795" s="84">
        <f>IFERROR(VLOOKUP(B1795,Заказ!B:Q,5,0),0)</f>
        <v>0</v>
      </c>
      <c r="I1795" s="84">
        <f>IFERROR(VLOOKUP(B1795,Заказ!B:Q,16,0),0)</f>
        <v>0</v>
      </c>
    </row>
    <row r="1796" spans="2:9" x14ac:dyDescent="0.25">
      <c r="B1796" s="84">
        <v>18132</v>
      </c>
      <c r="D1796" s="84" t="str">
        <f t="shared" si="31"/>
        <v/>
      </c>
      <c r="H1796" s="84">
        <f>IFERROR(VLOOKUP(B1796,Заказ!B:Q,5,0),0)</f>
        <v>0</v>
      </c>
      <c r="I1796" s="84">
        <f>IFERROR(VLOOKUP(B1796,Заказ!B:Q,16,0),0)</f>
        <v>0</v>
      </c>
    </row>
    <row r="1797" spans="2:9" x14ac:dyDescent="0.25">
      <c r="B1797" s="84">
        <v>15258</v>
      </c>
      <c r="D1797" s="84" t="str">
        <f t="shared" si="31"/>
        <v/>
      </c>
      <c r="H1797" s="84">
        <f>IFERROR(VLOOKUP(B1797,Заказ!B:Q,5,0),0)</f>
        <v>0</v>
      </c>
      <c r="I1797" s="84">
        <f>IFERROR(VLOOKUP(B1797,Заказ!B:Q,16,0),0)</f>
        <v>0</v>
      </c>
    </row>
    <row r="1798" spans="2:9" x14ac:dyDescent="0.25">
      <c r="B1798" s="84">
        <v>15259</v>
      </c>
      <c r="D1798" s="84" t="str">
        <f t="shared" si="31"/>
        <v/>
      </c>
      <c r="H1798" s="84">
        <f>IFERROR(VLOOKUP(B1798,Заказ!B:Q,5,0),0)</f>
        <v>0</v>
      </c>
      <c r="I1798" s="84">
        <f>IFERROR(VLOOKUP(B1798,Заказ!B:Q,16,0),0)</f>
        <v>0</v>
      </c>
    </row>
    <row r="1799" spans="2:9" x14ac:dyDescent="0.25">
      <c r="B1799" s="84">
        <v>15260</v>
      </c>
      <c r="D1799" s="84" t="str">
        <f t="shared" si="31"/>
        <v/>
      </c>
      <c r="H1799" s="84">
        <f>IFERROR(VLOOKUP(B1799,Заказ!B:Q,5,0),0)</f>
        <v>0</v>
      </c>
      <c r="I1799" s="84">
        <f>IFERROR(VLOOKUP(B1799,Заказ!B:Q,16,0),0)</f>
        <v>0</v>
      </c>
    </row>
    <row r="1800" spans="2:9" x14ac:dyDescent="0.25">
      <c r="B1800" s="84">
        <v>15935</v>
      </c>
      <c r="D1800" s="84" t="str">
        <f t="shared" si="31"/>
        <v/>
      </c>
      <c r="H1800" s="84">
        <f>IFERROR(VLOOKUP(B1800,Заказ!B:Q,5,0),0)</f>
        <v>0</v>
      </c>
      <c r="I1800" s="84">
        <f>IFERROR(VLOOKUP(B1800,Заказ!B:Q,16,0),0)</f>
        <v>0</v>
      </c>
    </row>
    <row r="1801" spans="2:9" x14ac:dyDescent="0.25">
      <c r="B1801" s="84">
        <v>15256</v>
      </c>
      <c r="D1801" s="84" t="str">
        <f t="shared" si="31"/>
        <v/>
      </c>
      <c r="H1801" s="84">
        <f>IFERROR(VLOOKUP(B1801,Заказ!B:Q,5,0),0)</f>
        <v>0</v>
      </c>
      <c r="I1801" s="84">
        <f>IFERROR(VLOOKUP(B1801,Заказ!B:Q,16,0),0)</f>
        <v>0</v>
      </c>
    </row>
    <row r="1802" spans="2:9" x14ac:dyDescent="0.25">
      <c r="B1802" s="84">
        <v>15257</v>
      </c>
      <c r="D1802" s="84" t="str">
        <f t="shared" si="31"/>
        <v/>
      </c>
      <c r="H1802" s="84">
        <f>IFERROR(VLOOKUP(B1802,Заказ!B:Q,5,0),0)</f>
        <v>0</v>
      </c>
      <c r="I1802" s="84">
        <f>IFERROR(VLOOKUP(B1802,Заказ!B:Q,16,0),0)</f>
        <v>0</v>
      </c>
    </row>
    <row r="1803" spans="2:9" x14ac:dyDescent="0.25">
      <c r="B1803" s="84">
        <v>15255</v>
      </c>
      <c r="D1803" s="84" t="str">
        <f t="shared" si="31"/>
        <v/>
      </c>
      <c r="H1803" s="84">
        <f>IFERROR(VLOOKUP(B1803,Заказ!B:Q,5,0),0)</f>
        <v>0</v>
      </c>
      <c r="I1803" s="84">
        <f>IFERROR(VLOOKUP(B1803,Заказ!B:Q,16,0),0)</f>
        <v>0</v>
      </c>
    </row>
    <row r="1804" spans="2:9" x14ac:dyDescent="0.25">
      <c r="B1804" s="84">
        <v>15261</v>
      </c>
      <c r="D1804" s="84" t="str">
        <f t="shared" si="31"/>
        <v/>
      </c>
      <c r="H1804" s="84">
        <f>IFERROR(VLOOKUP(B1804,Заказ!B:Q,5,0),0)</f>
        <v>0</v>
      </c>
      <c r="I1804" s="84">
        <f>IFERROR(VLOOKUP(B1804,Заказ!B:Q,16,0),0)</f>
        <v>0</v>
      </c>
    </row>
    <row r="1805" spans="2:9" x14ac:dyDescent="0.25">
      <c r="B1805" s="84">
        <v>16189</v>
      </c>
      <c r="D1805" s="84" t="str">
        <f t="shared" si="31"/>
        <v/>
      </c>
      <c r="H1805" s="84">
        <f>IFERROR(VLOOKUP(B1805,Заказ!B:Q,5,0),0)</f>
        <v>0</v>
      </c>
      <c r="I1805" s="84">
        <f>IFERROR(VLOOKUP(B1805,Заказ!B:Q,16,0),0)</f>
        <v>0</v>
      </c>
    </row>
    <row r="1806" spans="2:9" x14ac:dyDescent="0.25">
      <c r="B1806" s="84">
        <v>15931</v>
      </c>
      <c r="D1806" s="84" t="str">
        <f t="shared" si="31"/>
        <v/>
      </c>
      <c r="H1806" s="84">
        <f>IFERROR(VLOOKUP(B1806,Заказ!B:Q,5,0),0)</f>
        <v>0</v>
      </c>
      <c r="I1806" s="84">
        <f>IFERROR(VLOOKUP(B1806,Заказ!B:Q,16,0),0)</f>
        <v>0</v>
      </c>
    </row>
    <row r="1807" spans="2:9" x14ac:dyDescent="0.25">
      <c r="B1807" s="84">
        <v>18274</v>
      </c>
      <c r="D1807" s="84" t="str">
        <f t="shared" si="31"/>
        <v/>
      </c>
      <c r="H1807" s="84">
        <f>IFERROR(VLOOKUP(B1807,Заказ!B:Q,5,0),0)</f>
        <v>0</v>
      </c>
      <c r="I1807" s="84">
        <f>IFERROR(VLOOKUP(B1807,Заказ!B:Q,16,0),0)</f>
        <v>0</v>
      </c>
    </row>
    <row r="1808" spans="2:9" x14ac:dyDescent="0.25">
      <c r="B1808" s="84">
        <v>19480</v>
      </c>
      <c r="D1808" s="84" t="str">
        <f t="shared" si="31"/>
        <v/>
      </c>
      <c r="H1808" s="84">
        <f>IFERROR(VLOOKUP(B1808,Заказ!B:Q,5,0),0)</f>
        <v>0</v>
      </c>
      <c r="I1808" s="84">
        <f>IFERROR(VLOOKUP(B1808,Заказ!B:Q,16,0),0)</f>
        <v>0</v>
      </c>
    </row>
    <row r="1809" spans="2:9" x14ac:dyDescent="0.25">
      <c r="B1809" s="84">
        <v>19481</v>
      </c>
      <c r="D1809" s="84" t="str">
        <f t="shared" si="31"/>
        <v/>
      </c>
      <c r="H1809" s="84">
        <f>IFERROR(VLOOKUP(B1809,Заказ!B:Q,5,0),0)</f>
        <v>0</v>
      </c>
      <c r="I1809" s="84">
        <f>IFERROR(VLOOKUP(B1809,Заказ!B:Q,16,0),0)</f>
        <v>0</v>
      </c>
    </row>
    <row r="1810" spans="2:9" x14ac:dyDescent="0.25">
      <c r="B1810" s="84">
        <v>19482</v>
      </c>
      <c r="D1810" s="84" t="str">
        <f t="shared" si="31"/>
        <v/>
      </c>
      <c r="H1810" s="84">
        <f>IFERROR(VLOOKUP(B1810,Заказ!B:Q,5,0),0)</f>
        <v>0</v>
      </c>
      <c r="I1810" s="84">
        <f>IFERROR(VLOOKUP(B1810,Заказ!B:Q,16,0),0)</f>
        <v>0</v>
      </c>
    </row>
    <row r="1811" spans="2:9" x14ac:dyDescent="0.25">
      <c r="B1811" s="84">
        <v>19483</v>
      </c>
      <c r="D1811" s="84" t="str">
        <f t="shared" si="31"/>
        <v/>
      </c>
      <c r="H1811" s="84">
        <f>IFERROR(VLOOKUP(B1811,Заказ!B:Q,5,0),0)</f>
        <v>0</v>
      </c>
      <c r="I1811" s="84">
        <f>IFERROR(VLOOKUP(B1811,Заказ!B:Q,16,0),0)</f>
        <v>0</v>
      </c>
    </row>
    <row r="1812" spans="2:9" x14ac:dyDescent="0.25">
      <c r="B1812" s="84">
        <v>19484</v>
      </c>
      <c r="D1812" s="84" t="str">
        <f t="shared" si="31"/>
        <v/>
      </c>
      <c r="H1812" s="84">
        <f>IFERROR(VLOOKUP(B1812,Заказ!B:Q,5,0),0)</f>
        <v>0</v>
      </c>
      <c r="I1812" s="84">
        <f>IFERROR(VLOOKUP(B1812,Заказ!B:Q,16,0),0)</f>
        <v>0</v>
      </c>
    </row>
    <row r="1813" spans="2:9" x14ac:dyDescent="0.25">
      <c r="B1813" s="84">
        <v>18275</v>
      </c>
      <c r="D1813" s="84" t="str">
        <f t="shared" si="31"/>
        <v/>
      </c>
      <c r="H1813" s="84">
        <f>IFERROR(VLOOKUP(B1813,Заказ!B:Q,5,0),0)</f>
        <v>0</v>
      </c>
      <c r="I1813" s="84">
        <f>IFERROR(VLOOKUP(B1813,Заказ!B:Q,16,0),0)</f>
        <v>0</v>
      </c>
    </row>
    <row r="1814" spans="2:9" x14ac:dyDescent="0.25">
      <c r="B1814" s="84">
        <v>18277</v>
      </c>
      <c r="D1814" s="84" t="str">
        <f t="shared" si="31"/>
        <v/>
      </c>
      <c r="H1814" s="84">
        <f>IFERROR(VLOOKUP(B1814,Заказ!B:Q,5,0),0)</f>
        <v>0</v>
      </c>
      <c r="I1814" s="84">
        <f>IFERROR(VLOOKUP(B1814,Заказ!B:Q,16,0),0)</f>
        <v>0</v>
      </c>
    </row>
    <row r="1815" spans="2:9" x14ac:dyDescent="0.25">
      <c r="B1815" s="84">
        <v>18276</v>
      </c>
      <c r="D1815" s="84" t="str">
        <f t="shared" si="31"/>
        <v/>
      </c>
      <c r="H1815" s="84">
        <f>IFERROR(VLOOKUP(B1815,Заказ!B:Q,5,0),0)</f>
        <v>0</v>
      </c>
      <c r="I1815" s="84">
        <f>IFERROR(VLOOKUP(B1815,Заказ!B:Q,16,0),0)</f>
        <v>0</v>
      </c>
    </row>
    <row r="1816" spans="2:9" x14ac:dyDescent="0.25">
      <c r="B1816" s="84">
        <v>21201</v>
      </c>
      <c r="D1816" s="84" t="str">
        <f t="shared" si="31"/>
        <v/>
      </c>
      <c r="H1816" s="84">
        <f>IFERROR(VLOOKUP(B1816,Заказ!B:Q,5,0),0)</f>
        <v>0</v>
      </c>
      <c r="I1816" s="84">
        <f>IFERROR(VLOOKUP(B1816,Заказ!B:Q,16,0),0)</f>
        <v>0</v>
      </c>
    </row>
    <row r="1817" spans="2:9" x14ac:dyDescent="0.25">
      <c r="B1817" s="84">
        <v>21191</v>
      </c>
      <c r="D1817" s="84" t="str">
        <f t="shared" si="31"/>
        <v/>
      </c>
      <c r="H1817" s="84">
        <f>IFERROR(VLOOKUP(B1817,Заказ!B:Q,5,0),0)</f>
        <v>0</v>
      </c>
      <c r="I1817" s="84">
        <f>IFERROR(VLOOKUP(B1817,Заказ!B:Q,16,0),0)</f>
        <v>0</v>
      </c>
    </row>
    <row r="1818" spans="2:9" x14ac:dyDescent="0.25">
      <c r="B1818" s="84">
        <v>13315</v>
      </c>
      <c r="D1818" s="84" t="str">
        <f t="shared" si="31"/>
        <v/>
      </c>
      <c r="H1818" s="84">
        <f>IFERROR(VLOOKUP(B1818,Заказ!B:Q,5,0),0)</f>
        <v>0</v>
      </c>
      <c r="I1818" s="84">
        <f>IFERROR(VLOOKUP(B1818,Заказ!B:Q,16,0),0)</f>
        <v>0</v>
      </c>
    </row>
    <row r="1819" spans="2:9" x14ac:dyDescent="0.25">
      <c r="B1819" s="84">
        <v>13316</v>
      </c>
      <c r="D1819" s="84" t="str">
        <f t="shared" si="31"/>
        <v/>
      </c>
      <c r="H1819" s="84">
        <f>IFERROR(VLOOKUP(B1819,Заказ!B:Q,5,0),0)</f>
        <v>0</v>
      </c>
      <c r="I1819" s="84">
        <f>IFERROR(VLOOKUP(B1819,Заказ!B:Q,16,0),0)</f>
        <v>0</v>
      </c>
    </row>
    <row r="1820" spans="2:9" x14ac:dyDescent="0.25">
      <c r="B1820" s="84">
        <v>13793</v>
      </c>
      <c r="D1820" s="84" t="str">
        <f t="shared" si="31"/>
        <v/>
      </c>
      <c r="H1820" s="84">
        <f>IFERROR(VLOOKUP(B1820,Заказ!B:Q,5,0),0)</f>
        <v>0</v>
      </c>
      <c r="I1820" s="84">
        <f>IFERROR(VLOOKUP(B1820,Заказ!B:Q,16,0),0)</f>
        <v>0</v>
      </c>
    </row>
    <row r="1821" spans="2:9" x14ac:dyDescent="0.25">
      <c r="B1821" s="84">
        <v>13794</v>
      </c>
      <c r="D1821" s="84" t="str">
        <f t="shared" si="31"/>
        <v/>
      </c>
      <c r="H1821" s="84">
        <f>IFERROR(VLOOKUP(B1821,Заказ!B:Q,5,0),0)</f>
        <v>0</v>
      </c>
      <c r="I1821" s="84">
        <f>IFERROR(VLOOKUP(B1821,Заказ!B:Q,16,0),0)</f>
        <v>0</v>
      </c>
    </row>
    <row r="1822" spans="2:9" x14ac:dyDescent="0.25">
      <c r="B1822" s="84">
        <v>13795</v>
      </c>
      <c r="D1822" s="84" t="str">
        <f t="shared" si="31"/>
        <v/>
      </c>
      <c r="H1822" s="84">
        <f>IFERROR(VLOOKUP(B1822,Заказ!B:Q,5,0),0)</f>
        <v>0</v>
      </c>
      <c r="I1822" s="84">
        <f>IFERROR(VLOOKUP(B1822,Заказ!B:Q,16,0),0)</f>
        <v>0</v>
      </c>
    </row>
    <row r="1823" spans="2:9" x14ac:dyDescent="0.25">
      <c r="B1823" s="84">
        <v>14993</v>
      </c>
      <c r="D1823" s="84" t="str">
        <f t="shared" si="31"/>
        <v/>
      </c>
      <c r="H1823" s="84">
        <f>IFERROR(VLOOKUP(B1823,Заказ!B:Q,5,0),0)</f>
        <v>0</v>
      </c>
      <c r="I1823" s="84">
        <f>IFERROR(VLOOKUP(B1823,Заказ!B:Q,16,0),0)</f>
        <v>0</v>
      </c>
    </row>
    <row r="1824" spans="2:9" x14ac:dyDescent="0.25">
      <c r="B1824" s="84">
        <v>17842</v>
      </c>
      <c r="D1824" s="84" t="str">
        <f t="shared" si="31"/>
        <v/>
      </c>
      <c r="H1824" s="84">
        <f>IFERROR(VLOOKUP(B1824,Заказ!B:Q,5,0),0)</f>
        <v>0</v>
      </c>
      <c r="I1824" s="84">
        <f>IFERROR(VLOOKUP(B1824,Заказ!B:Q,16,0),0)</f>
        <v>0</v>
      </c>
    </row>
    <row r="1825" spans="2:9" x14ac:dyDescent="0.25">
      <c r="B1825" s="84">
        <v>13796</v>
      </c>
      <c r="D1825" s="84" t="str">
        <f t="shared" si="31"/>
        <v/>
      </c>
      <c r="H1825" s="84">
        <f>IFERROR(VLOOKUP(B1825,Заказ!B:Q,5,0),0)</f>
        <v>0</v>
      </c>
      <c r="I1825" s="84">
        <f>IFERROR(VLOOKUP(B1825,Заказ!B:Q,16,0),0)</f>
        <v>0</v>
      </c>
    </row>
    <row r="1826" spans="2:9" x14ac:dyDescent="0.25">
      <c r="B1826" s="84">
        <v>19866</v>
      </c>
      <c r="D1826" s="84" t="str">
        <f t="shared" si="31"/>
        <v/>
      </c>
      <c r="H1826" s="84">
        <f>IFERROR(VLOOKUP(B1826,Заказ!B:Q,5,0),0)</f>
        <v>0</v>
      </c>
      <c r="I1826" s="84">
        <f>IFERROR(VLOOKUP(B1826,Заказ!B:Q,16,0),0)</f>
        <v>0</v>
      </c>
    </row>
    <row r="1827" spans="2:9" x14ac:dyDescent="0.25">
      <c r="B1827" s="84">
        <v>19867</v>
      </c>
      <c r="D1827" s="84" t="str">
        <f t="shared" si="31"/>
        <v/>
      </c>
      <c r="H1827" s="84">
        <f>IFERROR(VLOOKUP(B1827,Заказ!B:Q,5,0),0)</f>
        <v>0</v>
      </c>
      <c r="I1827" s="84">
        <f>IFERROR(VLOOKUP(B1827,Заказ!B:Q,16,0),0)</f>
        <v>0</v>
      </c>
    </row>
    <row r="1828" spans="2:9" x14ac:dyDescent="0.25">
      <c r="B1828" s="84">
        <v>11424</v>
      </c>
      <c r="D1828" s="84" t="str">
        <f t="shared" si="31"/>
        <v/>
      </c>
      <c r="H1828" s="84">
        <f>IFERROR(VLOOKUP(B1828,Заказ!B:Q,5,0),0)</f>
        <v>0</v>
      </c>
      <c r="I1828" s="84">
        <f>IFERROR(VLOOKUP(B1828,Заказ!B:Q,16,0),0)</f>
        <v>0</v>
      </c>
    </row>
    <row r="1829" spans="2:9" x14ac:dyDescent="0.25">
      <c r="B1829" s="84">
        <v>10937</v>
      </c>
      <c r="D1829" s="84" t="str">
        <f t="shared" si="31"/>
        <v/>
      </c>
      <c r="H1829" s="84">
        <f>IFERROR(VLOOKUP(B1829,Заказ!B:Q,5,0),0)</f>
        <v>0</v>
      </c>
      <c r="I1829" s="84">
        <f>IFERROR(VLOOKUP(B1829,Заказ!B:Q,16,0),0)</f>
        <v>0</v>
      </c>
    </row>
    <row r="1830" spans="2:9" x14ac:dyDescent="0.25">
      <c r="B1830" s="84">
        <v>20784</v>
      </c>
      <c r="D1830" s="84" t="str">
        <f t="shared" si="31"/>
        <v/>
      </c>
      <c r="H1830" s="84">
        <f>IFERROR(VLOOKUP(B1830,Заказ!B:Q,5,0),0)</f>
        <v>0</v>
      </c>
      <c r="I1830" s="84">
        <f>IFERROR(VLOOKUP(B1830,Заказ!B:Q,16,0),0)</f>
        <v>0</v>
      </c>
    </row>
    <row r="1831" spans="2:9" x14ac:dyDescent="0.25">
      <c r="B1831" s="84">
        <v>20785</v>
      </c>
      <c r="D1831" s="84" t="str">
        <f t="shared" si="31"/>
        <v/>
      </c>
      <c r="H1831" s="84">
        <f>IFERROR(VLOOKUP(B1831,Заказ!B:Q,5,0),0)</f>
        <v>0</v>
      </c>
      <c r="I1831" s="84">
        <f>IFERROR(VLOOKUP(B1831,Заказ!B:Q,16,0),0)</f>
        <v>0</v>
      </c>
    </row>
    <row r="1832" spans="2:9" x14ac:dyDescent="0.25">
      <c r="B1832" s="84">
        <v>20786</v>
      </c>
      <c r="D1832" s="84" t="str">
        <f t="shared" si="31"/>
        <v/>
      </c>
      <c r="H1832" s="84">
        <f>IFERROR(VLOOKUP(B1832,Заказ!B:Q,5,0),0)</f>
        <v>0</v>
      </c>
      <c r="I1832" s="84">
        <f>IFERROR(VLOOKUP(B1832,Заказ!B:Q,16,0),0)</f>
        <v>0</v>
      </c>
    </row>
    <row r="1833" spans="2:9" x14ac:dyDescent="0.25">
      <c r="B1833" s="84">
        <v>20787</v>
      </c>
      <c r="D1833" s="84" t="str">
        <f t="shared" si="31"/>
        <v/>
      </c>
      <c r="H1833" s="84">
        <f>IFERROR(VLOOKUP(B1833,Заказ!B:Q,5,0),0)</f>
        <v>0</v>
      </c>
      <c r="I1833" s="84">
        <f>IFERROR(VLOOKUP(B1833,Заказ!B:Q,16,0),0)</f>
        <v>0</v>
      </c>
    </row>
    <row r="1834" spans="2:9" x14ac:dyDescent="0.25">
      <c r="B1834" s="84">
        <v>20788</v>
      </c>
      <c r="D1834" s="84" t="str">
        <f t="shared" ref="D1834:D1897" si="32">IFERROR(ROUND(I1834/H1834,2),"")</f>
        <v/>
      </c>
      <c r="H1834" s="84">
        <f>IFERROR(VLOOKUP(B1834,Заказ!B:Q,5,0),0)</f>
        <v>0</v>
      </c>
      <c r="I1834" s="84">
        <f>IFERROR(VLOOKUP(B1834,Заказ!B:Q,16,0),0)</f>
        <v>0</v>
      </c>
    </row>
    <row r="1835" spans="2:9" x14ac:dyDescent="0.25">
      <c r="B1835" s="84">
        <v>21230</v>
      </c>
      <c r="D1835" s="84" t="str">
        <f t="shared" si="32"/>
        <v/>
      </c>
      <c r="H1835" s="84">
        <f>IFERROR(VLOOKUP(B1835,Заказ!B:Q,5,0),0)</f>
        <v>0</v>
      </c>
      <c r="I1835" s="84">
        <f>IFERROR(VLOOKUP(B1835,Заказ!B:Q,16,0),0)</f>
        <v>0</v>
      </c>
    </row>
    <row r="1836" spans="2:9" x14ac:dyDescent="0.25">
      <c r="B1836" s="84">
        <v>20789</v>
      </c>
      <c r="D1836" s="84" t="str">
        <f t="shared" si="32"/>
        <v/>
      </c>
      <c r="H1836" s="84">
        <f>IFERROR(VLOOKUP(B1836,Заказ!B:Q,5,0),0)</f>
        <v>0</v>
      </c>
      <c r="I1836" s="84">
        <f>IFERROR(VLOOKUP(B1836,Заказ!B:Q,16,0),0)</f>
        <v>0</v>
      </c>
    </row>
    <row r="1837" spans="2:9" x14ac:dyDescent="0.25">
      <c r="B1837" s="84">
        <v>21089</v>
      </c>
      <c r="D1837" s="84" t="str">
        <f t="shared" si="32"/>
        <v/>
      </c>
      <c r="H1837" s="84">
        <f>IFERROR(VLOOKUP(B1837,Заказ!B:Q,5,0),0)</f>
        <v>0</v>
      </c>
      <c r="I1837" s="84">
        <f>IFERROR(VLOOKUP(B1837,Заказ!B:Q,16,0),0)</f>
        <v>0</v>
      </c>
    </row>
    <row r="1838" spans="2:9" x14ac:dyDescent="0.25">
      <c r="B1838" s="84">
        <v>21192</v>
      </c>
      <c r="D1838" s="84" t="str">
        <f t="shared" si="32"/>
        <v/>
      </c>
      <c r="H1838" s="84">
        <f>IFERROR(VLOOKUP(B1838,Заказ!B:Q,5,0),0)</f>
        <v>0</v>
      </c>
      <c r="I1838" s="84">
        <f>IFERROR(VLOOKUP(B1838,Заказ!B:Q,16,0),0)</f>
        <v>0</v>
      </c>
    </row>
    <row r="1839" spans="2:9" x14ac:dyDescent="0.25">
      <c r="B1839" s="84">
        <v>16188</v>
      </c>
      <c r="D1839" s="84" t="str">
        <f t="shared" si="32"/>
        <v/>
      </c>
      <c r="H1839" s="84">
        <f>IFERROR(VLOOKUP(B1839,Заказ!B:Q,5,0),0)</f>
        <v>0</v>
      </c>
      <c r="I1839" s="84">
        <f>IFERROR(VLOOKUP(B1839,Заказ!B:Q,16,0),0)</f>
        <v>0</v>
      </c>
    </row>
    <row r="1840" spans="2:9" x14ac:dyDescent="0.25">
      <c r="B1840" s="84">
        <v>10931</v>
      </c>
      <c r="D1840" s="84" t="str">
        <f t="shared" si="32"/>
        <v/>
      </c>
      <c r="H1840" s="84">
        <f>IFERROR(VLOOKUP(B1840,Заказ!B:Q,5,0),0)</f>
        <v>0</v>
      </c>
      <c r="I1840" s="84">
        <f>IFERROR(VLOOKUP(B1840,Заказ!B:Q,16,0),0)</f>
        <v>0</v>
      </c>
    </row>
    <row r="1841" spans="2:9" x14ac:dyDescent="0.25">
      <c r="B1841" s="84">
        <v>10930</v>
      </c>
      <c r="D1841" s="84" t="str">
        <f t="shared" si="32"/>
        <v/>
      </c>
      <c r="H1841" s="84">
        <f>IFERROR(VLOOKUP(B1841,Заказ!B:Q,5,0),0)</f>
        <v>0</v>
      </c>
      <c r="I1841" s="84">
        <f>IFERROR(VLOOKUP(B1841,Заказ!B:Q,16,0),0)</f>
        <v>0</v>
      </c>
    </row>
    <row r="1842" spans="2:9" x14ac:dyDescent="0.25">
      <c r="B1842" s="84">
        <v>14949</v>
      </c>
      <c r="D1842" s="84" t="str">
        <f t="shared" si="32"/>
        <v/>
      </c>
      <c r="H1842" s="84">
        <f>IFERROR(VLOOKUP(B1842,Заказ!B:Q,5,0),0)</f>
        <v>0</v>
      </c>
      <c r="I1842" s="84">
        <f>IFERROR(VLOOKUP(B1842,Заказ!B:Q,16,0),0)</f>
        <v>0</v>
      </c>
    </row>
    <row r="1843" spans="2:9" x14ac:dyDescent="0.25">
      <c r="B1843" s="84">
        <v>10929</v>
      </c>
      <c r="D1843" s="84" t="str">
        <f t="shared" si="32"/>
        <v/>
      </c>
      <c r="H1843" s="84">
        <f>IFERROR(VLOOKUP(B1843,Заказ!B:Q,5,0),0)</f>
        <v>0</v>
      </c>
      <c r="I1843" s="84">
        <f>IFERROR(VLOOKUP(B1843,Заказ!B:Q,16,0),0)</f>
        <v>0</v>
      </c>
    </row>
    <row r="1844" spans="2:9" x14ac:dyDescent="0.25">
      <c r="B1844" s="84">
        <v>13313</v>
      </c>
      <c r="D1844" s="84" t="str">
        <f t="shared" si="32"/>
        <v/>
      </c>
      <c r="H1844" s="84">
        <f>IFERROR(VLOOKUP(B1844,Заказ!B:Q,5,0),0)</f>
        <v>0</v>
      </c>
      <c r="I1844" s="84">
        <f>IFERROR(VLOOKUP(B1844,Заказ!B:Q,16,0),0)</f>
        <v>0</v>
      </c>
    </row>
    <row r="1845" spans="2:9" x14ac:dyDescent="0.25">
      <c r="B1845" s="84">
        <v>14619</v>
      </c>
      <c r="D1845" s="84" t="str">
        <f t="shared" si="32"/>
        <v/>
      </c>
      <c r="H1845" s="84">
        <f>IFERROR(VLOOKUP(B1845,Заказ!B:Q,5,0),0)</f>
        <v>0</v>
      </c>
      <c r="I1845" s="84">
        <f>IFERROR(VLOOKUP(B1845,Заказ!B:Q,16,0),0)</f>
        <v>0</v>
      </c>
    </row>
    <row r="1846" spans="2:9" x14ac:dyDescent="0.25">
      <c r="B1846" s="84">
        <v>16200</v>
      </c>
      <c r="D1846" s="84" t="str">
        <f t="shared" si="32"/>
        <v/>
      </c>
      <c r="H1846" s="84">
        <f>IFERROR(VLOOKUP(B1846,Заказ!B:Q,5,0),0)</f>
        <v>0</v>
      </c>
      <c r="I1846" s="84">
        <f>IFERROR(VLOOKUP(B1846,Заказ!B:Q,16,0),0)</f>
        <v>0</v>
      </c>
    </row>
    <row r="1847" spans="2:9" x14ac:dyDescent="0.25">
      <c r="B1847" s="84">
        <v>15957</v>
      </c>
      <c r="D1847" s="84" t="str">
        <f t="shared" si="32"/>
        <v/>
      </c>
      <c r="H1847" s="84">
        <f>IFERROR(VLOOKUP(B1847,Заказ!B:Q,5,0),0)</f>
        <v>0</v>
      </c>
      <c r="I1847" s="84">
        <f>IFERROR(VLOOKUP(B1847,Заказ!B:Q,16,0),0)</f>
        <v>0</v>
      </c>
    </row>
    <row r="1848" spans="2:9" x14ac:dyDescent="0.25">
      <c r="B1848" s="84">
        <v>20149</v>
      </c>
      <c r="D1848" s="84" t="str">
        <f t="shared" si="32"/>
        <v/>
      </c>
      <c r="H1848" s="84">
        <f>IFERROR(VLOOKUP(B1848,Заказ!B:Q,5,0),0)</f>
        <v>0</v>
      </c>
      <c r="I1848" s="84">
        <f>IFERROR(VLOOKUP(B1848,Заказ!B:Q,16,0),0)</f>
        <v>0</v>
      </c>
    </row>
    <row r="1849" spans="2:9" x14ac:dyDescent="0.25">
      <c r="B1849" s="84">
        <v>20162</v>
      </c>
      <c r="D1849" s="84" t="str">
        <f t="shared" si="32"/>
        <v/>
      </c>
      <c r="H1849" s="84">
        <f>IFERROR(VLOOKUP(B1849,Заказ!B:Q,5,0),0)</f>
        <v>0</v>
      </c>
      <c r="I1849" s="84">
        <f>IFERROR(VLOOKUP(B1849,Заказ!B:Q,16,0),0)</f>
        <v>0</v>
      </c>
    </row>
    <row r="1850" spans="2:9" x14ac:dyDescent="0.25">
      <c r="B1850" s="84">
        <v>15998</v>
      </c>
      <c r="D1850" s="84" t="str">
        <f t="shared" si="32"/>
        <v/>
      </c>
      <c r="H1850" s="84">
        <f>IFERROR(VLOOKUP(B1850,Заказ!B:Q,5,0),0)</f>
        <v>0</v>
      </c>
      <c r="I1850" s="84">
        <f>IFERROR(VLOOKUP(B1850,Заказ!B:Q,16,0),0)</f>
        <v>0</v>
      </c>
    </row>
    <row r="1851" spans="2:9" x14ac:dyDescent="0.25">
      <c r="B1851" s="84">
        <v>15999</v>
      </c>
      <c r="D1851" s="84" t="str">
        <f t="shared" si="32"/>
        <v/>
      </c>
      <c r="H1851" s="84">
        <f>IFERROR(VLOOKUP(B1851,Заказ!B:Q,5,0),0)</f>
        <v>0</v>
      </c>
      <c r="I1851" s="84">
        <f>IFERROR(VLOOKUP(B1851,Заказ!B:Q,16,0),0)</f>
        <v>0</v>
      </c>
    </row>
    <row r="1852" spans="2:9" x14ac:dyDescent="0.25">
      <c r="B1852" s="84">
        <v>18013</v>
      </c>
      <c r="D1852" s="84" t="str">
        <f t="shared" si="32"/>
        <v/>
      </c>
      <c r="H1852" s="84">
        <f>IFERROR(VLOOKUP(B1852,Заказ!B:Q,5,0),0)</f>
        <v>0</v>
      </c>
      <c r="I1852" s="84">
        <f>IFERROR(VLOOKUP(B1852,Заказ!B:Q,16,0),0)</f>
        <v>0</v>
      </c>
    </row>
    <row r="1853" spans="2:9" x14ac:dyDescent="0.25">
      <c r="B1853" s="84">
        <v>20790</v>
      </c>
      <c r="D1853" s="84" t="str">
        <f t="shared" si="32"/>
        <v/>
      </c>
      <c r="H1853" s="84">
        <f>IFERROR(VLOOKUP(B1853,Заказ!B:Q,5,0),0)</f>
        <v>0</v>
      </c>
      <c r="I1853" s="84">
        <f>IFERROR(VLOOKUP(B1853,Заказ!B:Q,16,0),0)</f>
        <v>0</v>
      </c>
    </row>
    <row r="1854" spans="2:9" x14ac:dyDescent="0.25">
      <c r="B1854" s="84">
        <v>20791</v>
      </c>
      <c r="D1854" s="84" t="str">
        <f t="shared" si="32"/>
        <v/>
      </c>
      <c r="H1854" s="84">
        <f>IFERROR(VLOOKUP(B1854,Заказ!B:Q,5,0),0)</f>
        <v>0</v>
      </c>
      <c r="I1854" s="84">
        <f>IFERROR(VLOOKUP(B1854,Заказ!B:Q,16,0),0)</f>
        <v>0</v>
      </c>
    </row>
    <row r="1855" spans="2:9" x14ac:dyDescent="0.25">
      <c r="B1855" s="84">
        <v>20792</v>
      </c>
      <c r="D1855" s="84" t="str">
        <f t="shared" si="32"/>
        <v/>
      </c>
      <c r="H1855" s="84">
        <f>IFERROR(VLOOKUP(B1855,Заказ!B:Q,5,0),0)</f>
        <v>0</v>
      </c>
      <c r="I1855" s="84">
        <f>IFERROR(VLOOKUP(B1855,Заказ!B:Q,16,0),0)</f>
        <v>0</v>
      </c>
    </row>
    <row r="1856" spans="2:9" x14ac:dyDescent="0.25">
      <c r="B1856" s="84">
        <v>20793</v>
      </c>
      <c r="D1856" s="84" t="str">
        <f t="shared" si="32"/>
        <v/>
      </c>
      <c r="H1856" s="84">
        <f>IFERROR(VLOOKUP(B1856,Заказ!B:Q,5,0),0)</f>
        <v>0</v>
      </c>
      <c r="I1856" s="84">
        <f>IFERROR(VLOOKUP(B1856,Заказ!B:Q,16,0),0)</f>
        <v>0</v>
      </c>
    </row>
    <row r="1857" spans="2:9" x14ac:dyDescent="0.25">
      <c r="B1857" s="84">
        <v>21295</v>
      </c>
      <c r="D1857" s="84" t="str">
        <f t="shared" si="32"/>
        <v/>
      </c>
      <c r="H1857" s="84">
        <f>IFERROR(VLOOKUP(B1857,Заказ!B:Q,5,0),0)</f>
        <v>0</v>
      </c>
      <c r="I1857" s="84">
        <f>IFERROR(VLOOKUP(B1857,Заказ!B:Q,16,0),0)</f>
        <v>0</v>
      </c>
    </row>
    <row r="1858" spans="2:9" x14ac:dyDescent="0.25">
      <c r="B1858" s="84">
        <v>21296</v>
      </c>
      <c r="D1858" s="84" t="str">
        <f t="shared" si="32"/>
        <v/>
      </c>
      <c r="H1858" s="84">
        <f>IFERROR(VLOOKUP(B1858,Заказ!B:Q,5,0),0)</f>
        <v>0</v>
      </c>
      <c r="I1858" s="84">
        <f>IFERROR(VLOOKUP(B1858,Заказ!B:Q,16,0),0)</f>
        <v>0</v>
      </c>
    </row>
    <row r="1859" spans="2:9" x14ac:dyDescent="0.25">
      <c r="B1859" s="84">
        <v>21297</v>
      </c>
      <c r="D1859" s="84" t="str">
        <f t="shared" si="32"/>
        <v/>
      </c>
      <c r="H1859" s="84">
        <f>IFERROR(VLOOKUP(B1859,Заказ!B:Q,5,0),0)</f>
        <v>0</v>
      </c>
      <c r="I1859" s="84">
        <f>IFERROR(VLOOKUP(B1859,Заказ!B:Q,16,0),0)</f>
        <v>0</v>
      </c>
    </row>
    <row r="1860" spans="2:9" x14ac:dyDescent="0.25">
      <c r="B1860" s="84">
        <v>21298</v>
      </c>
      <c r="D1860" s="84" t="str">
        <f t="shared" si="32"/>
        <v/>
      </c>
      <c r="H1860" s="84">
        <f>IFERROR(VLOOKUP(B1860,Заказ!B:Q,5,0),0)</f>
        <v>0</v>
      </c>
      <c r="I1860" s="84">
        <f>IFERROR(VLOOKUP(B1860,Заказ!B:Q,16,0),0)</f>
        <v>0</v>
      </c>
    </row>
    <row r="1861" spans="2:9" x14ac:dyDescent="0.25">
      <c r="B1861" s="84">
        <v>21299</v>
      </c>
      <c r="D1861" s="84" t="str">
        <f t="shared" si="32"/>
        <v/>
      </c>
      <c r="H1861" s="84">
        <f>IFERROR(VLOOKUP(B1861,Заказ!B:Q,5,0),0)</f>
        <v>0</v>
      </c>
      <c r="I1861" s="84">
        <f>IFERROR(VLOOKUP(B1861,Заказ!B:Q,16,0),0)</f>
        <v>0</v>
      </c>
    </row>
    <row r="1862" spans="2:9" x14ac:dyDescent="0.25">
      <c r="B1862" s="84">
        <v>21300</v>
      </c>
      <c r="D1862" s="84" t="str">
        <f t="shared" si="32"/>
        <v/>
      </c>
      <c r="H1862" s="84">
        <f>IFERROR(VLOOKUP(B1862,Заказ!B:Q,5,0),0)</f>
        <v>0</v>
      </c>
      <c r="I1862" s="84">
        <f>IFERROR(VLOOKUP(B1862,Заказ!B:Q,16,0),0)</f>
        <v>0</v>
      </c>
    </row>
    <row r="1863" spans="2:9" x14ac:dyDescent="0.25">
      <c r="B1863" s="84">
        <v>21293</v>
      </c>
      <c r="D1863" s="84" t="str">
        <f t="shared" si="32"/>
        <v/>
      </c>
      <c r="H1863" s="84">
        <f>IFERROR(VLOOKUP(B1863,Заказ!B:Q,5,0),0)</f>
        <v>0</v>
      </c>
      <c r="I1863" s="84">
        <f>IFERROR(VLOOKUP(B1863,Заказ!B:Q,16,0),0)</f>
        <v>0</v>
      </c>
    </row>
    <row r="1864" spans="2:9" x14ac:dyDescent="0.25">
      <c r="B1864" s="84">
        <v>21294</v>
      </c>
      <c r="D1864" s="84" t="str">
        <f t="shared" si="32"/>
        <v/>
      </c>
      <c r="H1864" s="84">
        <f>IFERROR(VLOOKUP(B1864,Заказ!B:Q,5,0),0)</f>
        <v>0</v>
      </c>
      <c r="I1864" s="84">
        <f>IFERROR(VLOOKUP(B1864,Заказ!B:Q,16,0),0)</f>
        <v>0</v>
      </c>
    </row>
    <row r="1865" spans="2:9" x14ac:dyDescent="0.25">
      <c r="B1865" s="84">
        <v>21292</v>
      </c>
      <c r="D1865" s="84" t="str">
        <f t="shared" si="32"/>
        <v/>
      </c>
      <c r="H1865" s="84">
        <f>IFERROR(VLOOKUP(B1865,Заказ!B:Q,5,0),0)</f>
        <v>0</v>
      </c>
      <c r="I1865" s="84">
        <f>IFERROR(VLOOKUP(B1865,Заказ!B:Q,16,0),0)</f>
        <v>0</v>
      </c>
    </row>
    <row r="1866" spans="2:9" x14ac:dyDescent="0.25">
      <c r="B1866" s="84">
        <v>21490</v>
      </c>
      <c r="D1866" s="84" t="str">
        <f t="shared" si="32"/>
        <v/>
      </c>
      <c r="H1866" s="84">
        <f>IFERROR(VLOOKUP(B1866,Заказ!B:Q,5,0),0)</f>
        <v>0</v>
      </c>
      <c r="I1866" s="84">
        <f>IFERROR(VLOOKUP(B1866,Заказ!B:Q,16,0),0)</f>
        <v>0</v>
      </c>
    </row>
    <row r="1867" spans="2:9" x14ac:dyDescent="0.25">
      <c r="B1867" s="84">
        <v>17891</v>
      </c>
      <c r="D1867" s="84" t="str">
        <f t="shared" si="32"/>
        <v/>
      </c>
      <c r="H1867" s="84">
        <f>IFERROR(VLOOKUP(B1867,Заказ!B:Q,5,0),0)</f>
        <v>0</v>
      </c>
      <c r="I1867" s="84">
        <f>IFERROR(VLOOKUP(B1867,Заказ!B:Q,16,0),0)</f>
        <v>0</v>
      </c>
    </row>
    <row r="1868" spans="2:9" x14ac:dyDescent="0.25">
      <c r="B1868" s="84">
        <v>17890</v>
      </c>
      <c r="D1868" s="84" t="str">
        <f t="shared" si="32"/>
        <v/>
      </c>
      <c r="H1868" s="84">
        <f>IFERROR(VLOOKUP(B1868,Заказ!B:Q,5,0),0)</f>
        <v>0</v>
      </c>
      <c r="I1868" s="84">
        <f>IFERROR(VLOOKUP(B1868,Заказ!B:Q,16,0),0)</f>
        <v>0</v>
      </c>
    </row>
    <row r="1869" spans="2:9" x14ac:dyDescent="0.25">
      <c r="B1869" s="84">
        <v>17892</v>
      </c>
      <c r="D1869" s="84" t="str">
        <f t="shared" si="32"/>
        <v/>
      </c>
      <c r="H1869" s="84">
        <f>IFERROR(VLOOKUP(B1869,Заказ!B:Q,5,0),0)</f>
        <v>0</v>
      </c>
      <c r="I1869" s="84">
        <f>IFERROR(VLOOKUP(B1869,Заказ!B:Q,16,0),0)</f>
        <v>0</v>
      </c>
    </row>
    <row r="1870" spans="2:9" x14ac:dyDescent="0.25">
      <c r="B1870" s="84">
        <v>17888</v>
      </c>
      <c r="D1870" s="84" t="str">
        <f t="shared" si="32"/>
        <v/>
      </c>
      <c r="H1870" s="84">
        <f>IFERROR(VLOOKUP(B1870,Заказ!B:Q,5,0),0)</f>
        <v>0</v>
      </c>
      <c r="I1870" s="84">
        <f>IFERROR(VLOOKUP(B1870,Заказ!B:Q,16,0),0)</f>
        <v>0</v>
      </c>
    </row>
    <row r="1871" spans="2:9" x14ac:dyDescent="0.25">
      <c r="B1871" s="84">
        <v>17894</v>
      </c>
      <c r="D1871" s="84" t="str">
        <f t="shared" si="32"/>
        <v/>
      </c>
      <c r="H1871" s="84">
        <f>IFERROR(VLOOKUP(B1871,Заказ!B:Q,5,0),0)</f>
        <v>0</v>
      </c>
      <c r="I1871" s="84">
        <f>IFERROR(VLOOKUP(B1871,Заказ!B:Q,16,0),0)</f>
        <v>0</v>
      </c>
    </row>
    <row r="1872" spans="2:9" x14ac:dyDescent="0.25">
      <c r="B1872" s="84">
        <v>17893</v>
      </c>
      <c r="D1872" s="84" t="str">
        <f t="shared" si="32"/>
        <v/>
      </c>
      <c r="H1872" s="84">
        <f>IFERROR(VLOOKUP(B1872,Заказ!B:Q,5,0),0)</f>
        <v>0</v>
      </c>
      <c r="I1872" s="84">
        <f>IFERROR(VLOOKUP(B1872,Заказ!B:Q,16,0),0)</f>
        <v>0</v>
      </c>
    </row>
    <row r="1873" spans="2:9" x14ac:dyDescent="0.25">
      <c r="B1873" s="84">
        <v>17895</v>
      </c>
      <c r="D1873" s="84" t="str">
        <f t="shared" si="32"/>
        <v/>
      </c>
      <c r="H1873" s="84">
        <f>IFERROR(VLOOKUP(B1873,Заказ!B:Q,5,0),0)</f>
        <v>0</v>
      </c>
      <c r="I1873" s="84">
        <f>IFERROR(VLOOKUP(B1873,Заказ!B:Q,16,0),0)</f>
        <v>0</v>
      </c>
    </row>
    <row r="1874" spans="2:9" x14ac:dyDescent="0.25">
      <c r="B1874" s="84">
        <v>14521</v>
      </c>
      <c r="D1874" s="84" t="str">
        <f t="shared" si="32"/>
        <v/>
      </c>
      <c r="H1874" s="84">
        <f>IFERROR(VLOOKUP(B1874,Заказ!B:Q,5,0),0)</f>
        <v>0</v>
      </c>
      <c r="I1874" s="84">
        <f>IFERROR(VLOOKUP(B1874,Заказ!B:Q,16,0),0)</f>
        <v>0</v>
      </c>
    </row>
    <row r="1875" spans="2:9" x14ac:dyDescent="0.25">
      <c r="B1875" s="84">
        <v>14522</v>
      </c>
      <c r="D1875" s="84" t="str">
        <f t="shared" si="32"/>
        <v/>
      </c>
      <c r="H1875" s="84">
        <f>IFERROR(VLOOKUP(B1875,Заказ!B:Q,5,0),0)</f>
        <v>0</v>
      </c>
      <c r="I1875" s="84">
        <f>IFERROR(VLOOKUP(B1875,Заказ!B:Q,16,0),0)</f>
        <v>0</v>
      </c>
    </row>
    <row r="1876" spans="2:9" x14ac:dyDescent="0.25">
      <c r="B1876" s="84">
        <v>14527</v>
      </c>
      <c r="D1876" s="84" t="str">
        <f t="shared" si="32"/>
        <v/>
      </c>
      <c r="H1876" s="84">
        <f>IFERROR(VLOOKUP(B1876,Заказ!B:Q,5,0),0)</f>
        <v>0</v>
      </c>
      <c r="I1876" s="84">
        <f>IFERROR(VLOOKUP(B1876,Заказ!B:Q,16,0),0)</f>
        <v>0</v>
      </c>
    </row>
    <row r="1877" spans="2:9" x14ac:dyDescent="0.25">
      <c r="B1877" s="84">
        <v>14528</v>
      </c>
      <c r="D1877" s="84" t="str">
        <f t="shared" si="32"/>
        <v/>
      </c>
      <c r="H1877" s="84">
        <f>IFERROR(VLOOKUP(B1877,Заказ!B:Q,5,0),0)</f>
        <v>0</v>
      </c>
      <c r="I1877" s="84">
        <f>IFERROR(VLOOKUP(B1877,Заказ!B:Q,16,0),0)</f>
        <v>0</v>
      </c>
    </row>
    <row r="1878" spans="2:9" x14ac:dyDescent="0.25">
      <c r="B1878" s="84">
        <v>41529</v>
      </c>
      <c r="D1878" s="84" t="str">
        <f t="shared" si="32"/>
        <v/>
      </c>
      <c r="H1878" s="84">
        <f>IFERROR(VLOOKUP(B1878,Заказ!B:Q,5,0),0)</f>
        <v>0</v>
      </c>
      <c r="I1878" s="84">
        <f>IFERROR(VLOOKUP(B1878,Заказ!B:Q,16,0),0)</f>
        <v>0</v>
      </c>
    </row>
    <row r="1879" spans="2:9" x14ac:dyDescent="0.25">
      <c r="B1879" s="84">
        <v>15516</v>
      </c>
      <c r="D1879" s="84" t="str">
        <f t="shared" si="32"/>
        <v/>
      </c>
      <c r="H1879" s="84">
        <f>IFERROR(VLOOKUP(B1879,Заказ!B:Q,5,0),0)</f>
        <v>0</v>
      </c>
      <c r="I1879" s="84">
        <f>IFERROR(VLOOKUP(B1879,Заказ!B:Q,16,0),0)</f>
        <v>0</v>
      </c>
    </row>
    <row r="1880" spans="2:9" x14ac:dyDescent="0.25">
      <c r="B1880" s="84">
        <v>14517</v>
      </c>
      <c r="D1880" s="84" t="str">
        <f t="shared" si="32"/>
        <v/>
      </c>
      <c r="H1880" s="84">
        <f>IFERROR(VLOOKUP(B1880,Заказ!B:Q,5,0),0)</f>
        <v>0</v>
      </c>
      <c r="I1880" s="84">
        <f>IFERROR(VLOOKUP(B1880,Заказ!B:Q,16,0),0)</f>
        <v>0</v>
      </c>
    </row>
    <row r="1881" spans="2:9" x14ac:dyDescent="0.25">
      <c r="B1881" s="84">
        <v>14518</v>
      </c>
      <c r="D1881" s="84" t="str">
        <f t="shared" si="32"/>
        <v/>
      </c>
      <c r="H1881" s="84">
        <f>IFERROR(VLOOKUP(B1881,Заказ!B:Q,5,0),0)</f>
        <v>0</v>
      </c>
      <c r="I1881" s="84">
        <f>IFERROR(VLOOKUP(B1881,Заказ!B:Q,16,0),0)</f>
        <v>0</v>
      </c>
    </row>
    <row r="1882" spans="2:9" x14ac:dyDescent="0.25">
      <c r="B1882" s="84">
        <v>14519</v>
      </c>
      <c r="D1882" s="84" t="str">
        <f t="shared" si="32"/>
        <v/>
      </c>
      <c r="H1882" s="84">
        <f>IFERROR(VLOOKUP(B1882,Заказ!B:Q,5,0),0)</f>
        <v>0</v>
      </c>
      <c r="I1882" s="84">
        <f>IFERROR(VLOOKUP(B1882,Заказ!B:Q,16,0),0)</f>
        <v>0</v>
      </c>
    </row>
    <row r="1883" spans="2:9" x14ac:dyDescent="0.25">
      <c r="B1883" s="84">
        <v>14520</v>
      </c>
      <c r="D1883" s="84" t="str">
        <f t="shared" si="32"/>
        <v/>
      </c>
      <c r="H1883" s="84">
        <f>IFERROR(VLOOKUP(B1883,Заказ!B:Q,5,0),0)</f>
        <v>0</v>
      </c>
      <c r="I1883" s="84">
        <f>IFERROR(VLOOKUP(B1883,Заказ!B:Q,16,0),0)</f>
        <v>0</v>
      </c>
    </row>
    <row r="1884" spans="2:9" x14ac:dyDescent="0.25">
      <c r="B1884" s="84">
        <v>14531</v>
      </c>
      <c r="D1884" s="84" t="str">
        <f t="shared" si="32"/>
        <v/>
      </c>
      <c r="H1884" s="84">
        <f>IFERROR(VLOOKUP(B1884,Заказ!B:Q,5,0),0)</f>
        <v>0</v>
      </c>
      <c r="I1884" s="84">
        <f>IFERROR(VLOOKUP(B1884,Заказ!B:Q,16,0),0)</f>
        <v>0</v>
      </c>
    </row>
    <row r="1885" spans="2:9" x14ac:dyDescent="0.25">
      <c r="B1885" s="84">
        <v>14530</v>
      </c>
      <c r="D1885" s="84" t="str">
        <f t="shared" si="32"/>
        <v/>
      </c>
      <c r="H1885" s="84">
        <f>IFERROR(VLOOKUP(B1885,Заказ!B:Q,5,0),0)</f>
        <v>0</v>
      </c>
      <c r="I1885" s="84">
        <f>IFERROR(VLOOKUP(B1885,Заказ!B:Q,16,0),0)</f>
        <v>0</v>
      </c>
    </row>
    <row r="1886" spans="2:9" x14ac:dyDescent="0.25">
      <c r="B1886" s="84">
        <v>14523</v>
      </c>
      <c r="D1886" s="84" t="str">
        <f t="shared" si="32"/>
        <v/>
      </c>
      <c r="H1886" s="84">
        <f>IFERROR(VLOOKUP(B1886,Заказ!B:Q,5,0),0)</f>
        <v>0</v>
      </c>
      <c r="I1886" s="84">
        <f>IFERROR(VLOOKUP(B1886,Заказ!B:Q,16,0),0)</f>
        <v>0</v>
      </c>
    </row>
    <row r="1887" spans="2:9" x14ac:dyDescent="0.25">
      <c r="B1887" s="84">
        <v>14524</v>
      </c>
      <c r="D1887" s="84" t="str">
        <f t="shared" si="32"/>
        <v/>
      </c>
      <c r="H1887" s="84">
        <f>IFERROR(VLOOKUP(B1887,Заказ!B:Q,5,0),0)</f>
        <v>0</v>
      </c>
      <c r="I1887" s="84">
        <f>IFERROR(VLOOKUP(B1887,Заказ!B:Q,16,0),0)</f>
        <v>0</v>
      </c>
    </row>
    <row r="1888" spans="2:9" x14ac:dyDescent="0.25">
      <c r="B1888" s="84">
        <v>14525</v>
      </c>
      <c r="D1888" s="84" t="str">
        <f t="shared" si="32"/>
        <v/>
      </c>
      <c r="H1888" s="84">
        <f>IFERROR(VLOOKUP(B1888,Заказ!B:Q,5,0),0)</f>
        <v>0</v>
      </c>
      <c r="I1888" s="84">
        <f>IFERROR(VLOOKUP(B1888,Заказ!B:Q,16,0),0)</f>
        <v>0</v>
      </c>
    </row>
    <row r="1889" spans="2:9" x14ac:dyDescent="0.25">
      <c r="B1889" s="84">
        <v>14526</v>
      </c>
      <c r="D1889" s="84" t="str">
        <f t="shared" si="32"/>
        <v/>
      </c>
      <c r="H1889" s="84">
        <f>IFERROR(VLOOKUP(B1889,Заказ!B:Q,5,0),0)</f>
        <v>0</v>
      </c>
      <c r="I1889" s="84">
        <f>IFERROR(VLOOKUP(B1889,Заказ!B:Q,16,0),0)</f>
        <v>0</v>
      </c>
    </row>
    <row r="1890" spans="2:9" x14ac:dyDescent="0.25">
      <c r="B1890" s="84">
        <v>20583</v>
      </c>
      <c r="D1890" s="84" t="str">
        <f t="shared" si="32"/>
        <v/>
      </c>
      <c r="H1890" s="84">
        <f>IFERROR(VLOOKUP(B1890,Заказ!B:Q,5,0),0)</f>
        <v>0</v>
      </c>
      <c r="I1890" s="84">
        <f>IFERROR(VLOOKUP(B1890,Заказ!B:Q,16,0),0)</f>
        <v>0</v>
      </c>
    </row>
    <row r="1891" spans="2:9" x14ac:dyDescent="0.25">
      <c r="B1891" s="84">
        <v>20582</v>
      </c>
      <c r="D1891" s="84" t="str">
        <f t="shared" si="32"/>
        <v/>
      </c>
      <c r="H1891" s="84">
        <f>IFERROR(VLOOKUP(B1891,Заказ!B:Q,5,0),0)</f>
        <v>0</v>
      </c>
      <c r="I1891" s="84">
        <f>IFERROR(VLOOKUP(B1891,Заказ!B:Q,16,0),0)</f>
        <v>0</v>
      </c>
    </row>
    <row r="1892" spans="2:9" x14ac:dyDescent="0.25">
      <c r="B1892" s="84">
        <v>20598</v>
      </c>
      <c r="D1892" s="84" t="str">
        <f t="shared" si="32"/>
        <v/>
      </c>
      <c r="H1892" s="84">
        <f>IFERROR(VLOOKUP(B1892,Заказ!B:Q,5,0),0)</f>
        <v>0</v>
      </c>
      <c r="I1892" s="84">
        <f>IFERROR(VLOOKUP(B1892,Заказ!B:Q,16,0),0)</f>
        <v>0</v>
      </c>
    </row>
    <row r="1893" spans="2:9" x14ac:dyDescent="0.25">
      <c r="B1893" s="84">
        <v>20097</v>
      </c>
      <c r="D1893" s="84" t="str">
        <f t="shared" si="32"/>
        <v/>
      </c>
      <c r="H1893" s="84">
        <f>IFERROR(VLOOKUP(B1893,Заказ!B:Q,5,0),0)</f>
        <v>0</v>
      </c>
      <c r="I1893" s="84">
        <f>IFERROR(VLOOKUP(B1893,Заказ!B:Q,16,0),0)</f>
        <v>0</v>
      </c>
    </row>
    <row r="1894" spans="2:9" x14ac:dyDescent="0.25">
      <c r="B1894" s="84">
        <v>20096</v>
      </c>
      <c r="D1894" s="84" t="str">
        <f t="shared" si="32"/>
        <v/>
      </c>
      <c r="H1894" s="84">
        <f>IFERROR(VLOOKUP(B1894,Заказ!B:Q,5,0),0)</f>
        <v>0</v>
      </c>
      <c r="I1894" s="84">
        <f>IFERROR(VLOOKUP(B1894,Заказ!B:Q,16,0),0)</f>
        <v>0</v>
      </c>
    </row>
    <row r="1895" spans="2:9" x14ac:dyDescent="0.25">
      <c r="B1895" s="84">
        <v>20101</v>
      </c>
      <c r="D1895" s="84" t="str">
        <f t="shared" si="32"/>
        <v/>
      </c>
      <c r="H1895" s="84">
        <f>IFERROR(VLOOKUP(B1895,Заказ!B:Q,5,0),0)</f>
        <v>0</v>
      </c>
      <c r="I1895" s="84">
        <f>IFERROR(VLOOKUP(B1895,Заказ!B:Q,16,0),0)</f>
        <v>0</v>
      </c>
    </row>
    <row r="1896" spans="2:9" x14ac:dyDescent="0.25">
      <c r="B1896" s="84">
        <v>20098</v>
      </c>
      <c r="D1896" s="84" t="str">
        <f t="shared" si="32"/>
        <v/>
      </c>
      <c r="H1896" s="84">
        <f>IFERROR(VLOOKUP(B1896,Заказ!B:Q,5,0),0)</f>
        <v>0</v>
      </c>
      <c r="I1896" s="84">
        <f>IFERROR(VLOOKUP(B1896,Заказ!B:Q,16,0),0)</f>
        <v>0</v>
      </c>
    </row>
    <row r="1897" spans="2:9" x14ac:dyDescent="0.25">
      <c r="B1897" s="84">
        <v>20099</v>
      </c>
      <c r="D1897" s="84" t="str">
        <f t="shared" si="32"/>
        <v/>
      </c>
      <c r="H1897" s="84">
        <f>IFERROR(VLOOKUP(B1897,Заказ!B:Q,5,0),0)</f>
        <v>0</v>
      </c>
      <c r="I1897" s="84">
        <f>IFERROR(VLOOKUP(B1897,Заказ!B:Q,16,0),0)</f>
        <v>0</v>
      </c>
    </row>
    <row r="1898" spans="2:9" x14ac:dyDescent="0.25">
      <c r="B1898" s="84">
        <v>20597</v>
      </c>
      <c r="D1898" s="84" t="str">
        <f t="shared" ref="D1898:D1961" si="33">IFERROR(ROUND(I1898/H1898,2),"")</f>
        <v/>
      </c>
      <c r="H1898" s="84">
        <f>IFERROR(VLOOKUP(B1898,Заказ!B:Q,5,0),0)</f>
        <v>0</v>
      </c>
      <c r="I1898" s="84">
        <f>IFERROR(VLOOKUP(B1898,Заказ!B:Q,16,0),0)</f>
        <v>0</v>
      </c>
    </row>
    <row r="1899" spans="2:9" x14ac:dyDescent="0.25">
      <c r="B1899" s="84">
        <v>20102</v>
      </c>
      <c r="D1899" s="84" t="str">
        <f t="shared" si="33"/>
        <v/>
      </c>
      <c r="H1899" s="84">
        <f>IFERROR(VLOOKUP(B1899,Заказ!B:Q,5,0),0)</f>
        <v>0</v>
      </c>
      <c r="I1899" s="84">
        <f>IFERROR(VLOOKUP(B1899,Заказ!B:Q,16,0),0)</f>
        <v>0</v>
      </c>
    </row>
    <row r="1900" spans="2:9" x14ac:dyDescent="0.25">
      <c r="B1900" s="84">
        <v>20322</v>
      </c>
      <c r="D1900" s="84" t="str">
        <f t="shared" si="33"/>
        <v/>
      </c>
      <c r="H1900" s="84">
        <f>IFERROR(VLOOKUP(B1900,Заказ!B:Q,5,0),0)</f>
        <v>0</v>
      </c>
      <c r="I1900" s="84">
        <f>IFERROR(VLOOKUP(B1900,Заказ!B:Q,16,0),0)</f>
        <v>0</v>
      </c>
    </row>
    <row r="1901" spans="2:9" x14ac:dyDescent="0.25">
      <c r="B1901" s="84">
        <v>21518</v>
      </c>
      <c r="D1901" s="84" t="str">
        <f t="shared" si="33"/>
        <v/>
      </c>
      <c r="H1901" s="84">
        <f>IFERROR(VLOOKUP(B1901,Заказ!B:Q,5,0),0)</f>
        <v>0</v>
      </c>
      <c r="I1901" s="84">
        <f>IFERROR(VLOOKUP(B1901,Заказ!B:Q,16,0),0)</f>
        <v>0</v>
      </c>
    </row>
    <row r="1902" spans="2:9" x14ac:dyDescent="0.25">
      <c r="B1902" s="84">
        <v>21520</v>
      </c>
      <c r="D1902" s="84" t="str">
        <f t="shared" si="33"/>
        <v/>
      </c>
      <c r="H1902" s="84">
        <f>IFERROR(VLOOKUP(B1902,Заказ!B:Q,5,0),0)</f>
        <v>0</v>
      </c>
      <c r="I1902" s="84">
        <f>IFERROR(VLOOKUP(B1902,Заказ!B:Q,16,0),0)</f>
        <v>0</v>
      </c>
    </row>
    <row r="1903" spans="2:9" x14ac:dyDescent="0.25">
      <c r="B1903" s="84">
        <v>21519</v>
      </c>
      <c r="D1903" s="84" t="str">
        <f t="shared" si="33"/>
        <v/>
      </c>
      <c r="H1903" s="84">
        <f>IFERROR(VLOOKUP(B1903,Заказ!B:Q,5,0),0)</f>
        <v>0</v>
      </c>
      <c r="I1903" s="84">
        <f>IFERROR(VLOOKUP(B1903,Заказ!B:Q,16,0),0)</f>
        <v>0</v>
      </c>
    </row>
    <row r="1904" spans="2:9" x14ac:dyDescent="0.25">
      <c r="B1904" s="84">
        <v>20599</v>
      </c>
      <c r="D1904" s="84" t="str">
        <f t="shared" si="33"/>
        <v/>
      </c>
      <c r="H1904" s="84">
        <f>IFERROR(VLOOKUP(B1904,Заказ!B:Q,5,0),0)</f>
        <v>0</v>
      </c>
      <c r="I1904" s="84">
        <f>IFERROR(VLOOKUP(B1904,Заказ!B:Q,16,0),0)</f>
        <v>0</v>
      </c>
    </row>
    <row r="1905" spans="2:9" x14ac:dyDescent="0.25">
      <c r="B1905" s="84">
        <v>20095</v>
      </c>
      <c r="D1905" s="84" t="str">
        <f t="shared" si="33"/>
        <v/>
      </c>
      <c r="H1905" s="84">
        <f>IFERROR(VLOOKUP(B1905,Заказ!B:Q,5,0),0)</f>
        <v>0</v>
      </c>
      <c r="I1905" s="84">
        <f>IFERROR(VLOOKUP(B1905,Заказ!B:Q,16,0),0)</f>
        <v>0</v>
      </c>
    </row>
    <row r="1906" spans="2:9" x14ac:dyDescent="0.25">
      <c r="B1906" s="84">
        <v>20094</v>
      </c>
      <c r="D1906" s="84" t="str">
        <f t="shared" si="33"/>
        <v/>
      </c>
      <c r="H1906" s="84">
        <f>IFERROR(VLOOKUP(B1906,Заказ!B:Q,5,0),0)</f>
        <v>0</v>
      </c>
      <c r="I1906" s="84">
        <f>IFERROR(VLOOKUP(B1906,Заказ!B:Q,16,0),0)</f>
        <v>0</v>
      </c>
    </row>
    <row r="1907" spans="2:9" x14ac:dyDescent="0.25">
      <c r="B1907" s="84">
        <v>20103</v>
      </c>
      <c r="D1907" s="84" t="str">
        <f t="shared" si="33"/>
        <v/>
      </c>
      <c r="H1907" s="84">
        <f>IFERROR(VLOOKUP(B1907,Заказ!B:Q,5,0),0)</f>
        <v>0</v>
      </c>
      <c r="I1907" s="84">
        <f>IFERROR(VLOOKUP(B1907,Заказ!B:Q,16,0),0)</f>
        <v>0</v>
      </c>
    </row>
    <row r="1908" spans="2:9" x14ac:dyDescent="0.25">
      <c r="B1908" s="84">
        <v>21405</v>
      </c>
      <c r="D1908" s="84" t="str">
        <f t="shared" si="33"/>
        <v/>
      </c>
      <c r="H1908" s="84">
        <f>IFERROR(VLOOKUP(B1908,Заказ!B:Q,5,0),0)</f>
        <v>0</v>
      </c>
      <c r="I1908" s="84">
        <f>IFERROR(VLOOKUP(B1908,Заказ!B:Q,16,0),0)</f>
        <v>0</v>
      </c>
    </row>
    <row r="1909" spans="2:9" x14ac:dyDescent="0.25">
      <c r="B1909" s="84">
        <v>21132</v>
      </c>
      <c r="D1909" s="84" t="str">
        <f t="shared" si="33"/>
        <v/>
      </c>
      <c r="H1909" s="84">
        <f>IFERROR(VLOOKUP(B1909,Заказ!B:Q,5,0),0)</f>
        <v>0</v>
      </c>
      <c r="I1909" s="84">
        <f>IFERROR(VLOOKUP(B1909,Заказ!B:Q,16,0),0)</f>
        <v>0</v>
      </c>
    </row>
    <row r="1910" spans="2:9" x14ac:dyDescent="0.25">
      <c r="B1910" s="84">
        <v>21220</v>
      </c>
      <c r="D1910" s="84" t="str">
        <f t="shared" si="33"/>
        <v/>
      </c>
      <c r="H1910" s="84">
        <f>IFERROR(VLOOKUP(B1910,Заказ!B:Q,5,0),0)</f>
        <v>0</v>
      </c>
      <c r="I1910" s="84">
        <f>IFERROR(VLOOKUP(B1910,Заказ!B:Q,16,0),0)</f>
        <v>0</v>
      </c>
    </row>
    <row r="1911" spans="2:9" x14ac:dyDescent="0.25">
      <c r="B1911" s="84">
        <v>17917</v>
      </c>
      <c r="D1911" s="84" t="str">
        <f t="shared" si="33"/>
        <v/>
      </c>
      <c r="H1911" s="84">
        <f>IFERROR(VLOOKUP(B1911,Заказ!B:Q,5,0),0)</f>
        <v>0</v>
      </c>
      <c r="I1911" s="84">
        <f>IFERROR(VLOOKUP(B1911,Заказ!B:Q,16,0),0)</f>
        <v>0</v>
      </c>
    </row>
    <row r="1912" spans="2:9" x14ac:dyDescent="0.25">
      <c r="B1912" s="84">
        <v>17921</v>
      </c>
      <c r="D1912" s="84" t="str">
        <f t="shared" si="33"/>
        <v/>
      </c>
      <c r="H1912" s="84">
        <f>IFERROR(VLOOKUP(B1912,Заказ!B:Q,5,0),0)</f>
        <v>0</v>
      </c>
      <c r="I1912" s="84">
        <f>IFERROR(VLOOKUP(B1912,Заказ!B:Q,16,0),0)</f>
        <v>0</v>
      </c>
    </row>
    <row r="1913" spans="2:9" x14ac:dyDescent="0.25">
      <c r="B1913" s="84">
        <v>17919</v>
      </c>
      <c r="D1913" s="84" t="str">
        <f t="shared" si="33"/>
        <v/>
      </c>
      <c r="H1913" s="84">
        <f>IFERROR(VLOOKUP(B1913,Заказ!B:Q,5,0),0)</f>
        <v>0</v>
      </c>
      <c r="I1913" s="84">
        <f>IFERROR(VLOOKUP(B1913,Заказ!B:Q,16,0),0)</f>
        <v>0</v>
      </c>
    </row>
    <row r="1914" spans="2:9" x14ac:dyDescent="0.25">
      <c r="B1914" s="84">
        <v>17918</v>
      </c>
      <c r="D1914" s="84" t="str">
        <f t="shared" si="33"/>
        <v/>
      </c>
      <c r="H1914" s="84">
        <f>IFERROR(VLOOKUP(B1914,Заказ!B:Q,5,0),0)</f>
        <v>0</v>
      </c>
      <c r="I1914" s="84">
        <f>IFERROR(VLOOKUP(B1914,Заказ!B:Q,16,0),0)</f>
        <v>0</v>
      </c>
    </row>
    <row r="1915" spans="2:9" x14ac:dyDescent="0.25">
      <c r="B1915" s="84">
        <v>17920</v>
      </c>
      <c r="D1915" s="84" t="str">
        <f t="shared" si="33"/>
        <v/>
      </c>
      <c r="H1915" s="84">
        <f>IFERROR(VLOOKUP(B1915,Заказ!B:Q,5,0),0)</f>
        <v>0</v>
      </c>
      <c r="I1915" s="84">
        <f>IFERROR(VLOOKUP(B1915,Заказ!B:Q,16,0),0)</f>
        <v>0</v>
      </c>
    </row>
    <row r="1916" spans="2:9" x14ac:dyDescent="0.25">
      <c r="B1916" s="84">
        <v>17605</v>
      </c>
      <c r="D1916" s="84" t="str">
        <f t="shared" si="33"/>
        <v/>
      </c>
      <c r="H1916" s="84">
        <f>IFERROR(VLOOKUP(B1916,Заказ!B:Q,5,0),0)</f>
        <v>0</v>
      </c>
      <c r="I1916" s="84">
        <f>IFERROR(VLOOKUP(B1916,Заказ!B:Q,16,0),0)</f>
        <v>0</v>
      </c>
    </row>
    <row r="1917" spans="2:9" x14ac:dyDescent="0.25">
      <c r="B1917" s="84">
        <v>15972</v>
      </c>
      <c r="D1917" s="84" t="str">
        <f t="shared" si="33"/>
        <v/>
      </c>
      <c r="H1917" s="84">
        <f>IFERROR(VLOOKUP(B1917,Заказ!B:Q,5,0),0)</f>
        <v>0</v>
      </c>
      <c r="I1917" s="84">
        <f>IFERROR(VLOOKUP(B1917,Заказ!B:Q,16,0),0)</f>
        <v>0</v>
      </c>
    </row>
    <row r="1918" spans="2:9" x14ac:dyDescent="0.25">
      <c r="B1918" s="84">
        <v>15973</v>
      </c>
      <c r="D1918" s="84" t="str">
        <f t="shared" si="33"/>
        <v/>
      </c>
      <c r="H1918" s="84">
        <f>IFERROR(VLOOKUP(B1918,Заказ!B:Q,5,0),0)</f>
        <v>0</v>
      </c>
      <c r="I1918" s="84">
        <f>IFERROR(VLOOKUP(B1918,Заказ!B:Q,16,0),0)</f>
        <v>0</v>
      </c>
    </row>
    <row r="1919" spans="2:9" x14ac:dyDescent="0.25">
      <c r="B1919" s="84">
        <v>16060</v>
      </c>
      <c r="D1919" s="84" t="str">
        <f t="shared" si="33"/>
        <v/>
      </c>
      <c r="H1919" s="84">
        <f>IFERROR(VLOOKUP(B1919,Заказ!B:Q,5,0),0)</f>
        <v>0</v>
      </c>
      <c r="I1919" s="84">
        <f>IFERROR(VLOOKUP(B1919,Заказ!B:Q,16,0),0)</f>
        <v>0</v>
      </c>
    </row>
    <row r="1920" spans="2:9" x14ac:dyDescent="0.25">
      <c r="B1920" s="84">
        <v>15975</v>
      </c>
      <c r="D1920" s="84" t="str">
        <f t="shared" si="33"/>
        <v/>
      </c>
      <c r="H1920" s="84">
        <f>IFERROR(VLOOKUP(B1920,Заказ!B:Q,5,0),0)</f>
        <v>0</v>
      </c>
      <c r="I1920" s="84">
        <f>IFERROR(VLOOKUP(B1920,Заказ!B:Q,16,0),0)</f>
        <v>0</v>
      </c>
    </row>
    <row r="1921" spans="2:9" x14ac:dyDescent="0.25">
      <c r="B1921" s="84">
        <v>15974</v>
      </c>
      <c r="D1921" s="84" t="str">
        <f t="shared" si="33"/>
        <v/>
      </c>
      <c r="H1921" s="84">
        <f>IFERROR(VLOOKUP(B1921,Заказ!B:Q,5,0),0)</f>
        <v>0</v>
      </c>
      <c r="I1921" s="84">
        <f>IFERROR(VLOOKUP(B1921,Заказ!B:Q,16,0),0)</f>
        <v>0</v>
      </c>
    </row>
    <row r="1922" spans="2:9" x14ac:dyDescent="0.25">
      <c r="B1922" s="84">
        <v>15907</v>
      </c>
      <c r="D1922" s="84" t="str">
        <f t="shared" si="33"/>
        <v/>
      </c>
      <c r="H1922" s="84">
        <f>IFERROR(VLOOKUP(B1922,Заказ!B:Q,5,0),0)</f>
        <v>0</v>
      </c>
      <c r="I1922" s="84">
        <f>IFERROR(VLOOKUP(B1922,Заказ!B:Q,16,0),0)</f>
        <v>0</v>
      </c>
    </row>
    <row r="1923" spans="2:9" x14ac:dyDescent="0.25">
      <c r="B1923" s="84">
        <v>15909</v>
      </c>
      <c r="D1923" s="84" t="str">
        <f t="shared" si="33"/>
        <v/>
      </c>
      <c r="H1923" s="84">
        <f>IFERROR(VLOOKUP(B1923,Заказ!B:Q,5,0),0)</f>
        <v>0</v>
      </c>
      <c r="I1923" s="84">
        <f>IFERROR(VLOOKUP(B1923,Заказ!B:Q,16,0),0)</f>
        <v>0</v>
      </c>
    </row>
    <row r="1924" spans="2:9" x14ac:dyDescent="0.25">
      <c r="B1924" s="84">
        <v>15910</v>
      </c>
      <c r="D1924" s="84" t="str">
        <f t="shared" si="33"/>
        <v/>
      </c>
      <c r="H1924" s="84">
        <f>IFERROR(VLOOKUP(B1924,Заказ!B:Q,5,0),0)</f>
        <v>0</v>
      </c>
      <c r="I1924" s="84">
        <f>IFERROR(VLOOKUP(B1924,Заказ!B:Q,16,0),0)</f>
        <v>0</v>
      </c>
    </row>
    <row r="1925" spans="2:9" x14ac:dyDescent="0.25">
      <c r="B1925" s="84">
        <v>15908</v>
      </c>
      <c r="D1925" s="84" t="str">
        <f t="shared" si="33"/>
        <v/>
      </c>
      <c r="H1925" s="84">
        <f>IFERROR(VLOOKUP(B1925,Заказ!B:Q,5,0),0)</f>
        <v>0</v>
      </c>
      <c r="I1925" s="84">
        <f>IFERROR(VLOOKUP(B1925,Заказ!B:Q,16,0),0)</f>
        <v>0</v>
      </c>
    </row>
    <row r="1926" spans="2:9" x14ac:dyDescent="0.25">
      <c r="B1926" s="84">
        <v>15906</v>
      </c>
      <c r="D1926" s="84" t="str">
        <f t="shared" si="33"/>
        <v/>
      </c>
      <c r="H1926" s="84">
        <f>IFERROR(VLOOKUP(B1926,Заказ!B:Q,5,0),0)</f>
        <v>0</v>
      </c>
      <c r="I1926" s="84">
        <f>IFERROR(VLOOKUP(B1926,Заказ!B:Q,16,0),0)</f>
        <v>0</v>
      </c>
    </row>
    <row r="1927" spans="2:9" x14ac:dyDescent="0.25">
      <c r="B1927" s="84">
        <v>16469</v>
      </c>
      <c r="D1927" s="84" t="str">
        <f t="shared" si="33"/>
        <v/>
      </c>
      <c r="H1927" s="84">
        <f>IFERROR(VLOOKUP(B1927,Заказ!B:Q,5,0),0)</f>
        <v>0</v>
      </c>
      <c r="I1927" s="84">
        <f>IFERROR(VLOOKUP(B1927,Заказ!B:Q,16,0),0)</f>
        <v>0</v>
      </c>
    </row>
    <row r="1928" spans="2:9" x14ac:dyDescent="0.25">
      <c r="B1928" s="84">
        <v>16470</v>
      </c>
      <c r="D1928" s="84" t="str">
        <f t="shared" si="33"/>
        <v/>
      </c>
      <c r="H1928" s="84">
        <f>IFERROR(VLOOKUP(B1928,Заказ!B:Q,5,0),0)</f>
        <v>0</v>
      </c>
      <c r="I1928" s="84">
        <f>IFERROR(VLOOKUP(B1928,Заказ!B:Q,16,0),0)</f>
        <v>0</v>
      </c>
    </row>
    <row r="1929" spans="2:9" x14ac:dyDescent="0.25">
      <c r="B1929" s="84">
        <v>16472</v>
      </c>
      <c r="D1929" s="84" t="str">
        <f t="shared" si="33"/>
        <v/>
      </c>
      <c r="H1929" s="84">
        <f>IFERROR(VLOOKUP(B1929,Заказ!B:Q,5,0),0)</f>
        <v>0</v>
      </c>
      <c r="I1929" s="84">
        <f>IFERROR(VLOOKUP(B1929,Заказ!B:Q,16,0),0)</f>
        <v>0</v>
      </c>
    </row>
    <row r="1930" spans="2:9" x14ac:dyDescent="0.25">
      <c r="B1930" s="84">
        <v>16471</v>
      </c>
      <c r="D1930" s="84" t="str">
        <f t="shared" si="33"/>
        <v/>
      </c>
      <c r="H1930" s="84">
        <f>IFERROR(VLOOKUP(B1930,Заказ!B:Q,5,0),0)</f>
        <v>0</v>
      </c>
      <c r="I1930" s="84">
        <f>IFERROR(VLOOKUP(B1930,Заказ!B:Q,16,0),0)</f>
        <v>0</v>
      </c>
    </row>
    <row r="1931" spans="2:9" x14ac:dyDescent="0.25">
      <c r="B1931" s="84">
        <v>16473</v>
      </c>
      <c r="D1931" s="84" t="str">
        <f t="shared" si="33"/>
        <v/>
      </c>
      <c r="H1931" s="84">
        <f>IFERROR(VLOOKUP(B1931,Заказ!B:Q,5,0),0)</f>
        <v>0</v>
      </c>
      <c r="I1931" s="84">
        <f>IFERROR(VLOOKUP(B1931,Заказ!B:Q,16,0),0)</f>
        <v>0</v>
      </c>
    </row>
    <row r="1932" spans="2:9" x14ac:dyDescent="0.25">
      <c r="B1932" s="84">
        <v>16474</v>
      </c>
      <c r="D1932" s="84" t="str">
        <f t="shared" si="33"/>
        <v/>
      </c>
      <c r="H1932" s="84">
        <f>IFERROR(VLOOKUP(B1932,Заказ!B:Q,5,0),0)</f>
        <v>0</v>
      </c>
      <c r="I1932" s="84">
        <f>IFERROR(VLOOKUP(B1932,Заказ!B:Q,16,0),0)</f>
        <v>0</v>
      </c>
    </row>
    <row r="1933" spans="2:9" x14ac:dyDescent="0.25">
      <c r="B1933" s="84">
        <v>16173</v>
      </c>
      <c r="D1933" s="84" t="str">
        <f t="shared" si="33"/>
        <v/>
      </c>
      <c r="H1933" s="84">
        <f>IFERROR(VLOOKUP(B1933,Заказ!B:Q,5,0),0)</f>
        <v>0</v>
      </c>
      <c r="I1933" s="84">
        <f>IFERROR(VLOOKUP(B1933,Заказ!B:Q,16,0),0)</f>
        <v>0</v>
      </c>
    </row>
    <row r="1934" spans="2:9" x14ac:dyDescent="0.25">
      <c r="B1934" s="84">
        <v>15983</v>
      </c>
      <c r="D1934" s="84" t="str">
        <f t="shared" si="33"/>
        <v/>
      </c>
      <c r="H1934" s="84">
        <f>IFERROR(VLOOKUP(B1934,Заказ!B:Q,5,0),0)</f>
        <v>0</v>
      </c>
      <c r="I1934" s="84">
        <f>IFERROR(VLOOKUP(B1934,Заказ!B:Q,16,0),0)</f>
        <v>0</v>
      </c>
    </row>
    <row r="1935" spans="2:9" x14ac:dyDescent="0.25">
      <c r="B1935" s="84">
        <v>16497</v>
      </c>
      <c r="D1935" s="84" t="str">
        <f t="shared" si="33"/>
        <v/>
      </c>
      <c r="H1935" s="84">
        <f>IFERROR(VLOOKUP(B1935,Заказ!B:Q,5,0),0)</f>
        <v>0</v>
      </c>
      <c r="I1935" s="84">
        <f>IFERROR(VLOOKUP(B1935,Заказ!B:Q,16,0),0)</f>
        <v>0</v>
      </c>
    </row>
    <row r="1936" spans="2:9" x14ac:dyDescent="0.25">
      <c r="B1936" s="84">
        <v>16498</v>
      </c>
      <c r="D1936" s="84" t="str">
        <f t="shared" si="33"/>
        <v/>
      </c>
      <c r="H1936" s="84">
        <f>IFERROR(VLOOKUP(B1936,Заказ!B:Q,5,0),0)</f>
        <v>0</v>
      </c>
      <c r="I1936" s="84">
        <f>IFERROR(VLOOKUP(B1936,Заказ!B:Q,16,0),0)</f>
        <v>0</v>
      </c>
    </row>
    <row r="1937" spans="2:9" x14ac:dyDescent="0.25">
      <c r="B1937" s="84">
        <v>16499</v>
      </c>
      <c r="D1937" s="84" t="str">
        <f t="shared" si="33"/>
        <v/>
      </c>
      <c r="H1937" s="84">
        <f>IFERROR(VLOOKUP(B1937,Заказ!B:Q,5,0),0)</f>
        <v>0</v>
      </c>
      <c r="I1937" s="84">
        <f>IFERROR(VLOOKUP(B1937,Заказ!B:Q,16,0),0)</f>
        <v>0</v>
      </c>
    </row>
    <row r="1938" spans="2:9" x14ac:dyDescent="0.25">
      <c r="B1938" s="84">
        <v>16496</v>
      </c>
      <c r="D1938" s="84" t="str">
        <f t="shared" si="33"/>
        <v/>
      </c>
      <c r="H1938" s="84">
        <f>IFERROR(VLOOKUP(B1938,Заказ!B:Q,5,0),0)</f>
        <v>0</v>
      </c>
      <c r="I1938" s="84">
        <f>IFERROR(VLOOKUP(B1938,Заказ!B:Q,16,0),0)</f>
        <v>0</v>
      </c>
    </row>
    <row r="1939" spans="2:9" x14ac:dyDescent="0.25">
      <c r="B1939" s="84">
        <v>16494</v>
      </c>
      <c r="D1939" s="84" t="str">
        <f t="shared" si="33"/>
        <v/>
      </c>
      <c r="H1939" s="84">
        <f>IFERROR(VLOOKUP(B1939,Заказ!B:Q,5,0),0)</f>
        <v>0</v>
      </c>
      <c r="I1939" s="84">
        <f>IFERROR(VLOOKUP(B1939,Заказ!B:Q,16,0),0)</f>
        <v>0</v>
      </c>
    </row>
    <row r="1940" spans="2:9" x14ac:dyDescent="0.25">
      <c r="B1940" s="84">
        <v>16492</v>
      </c>
      <c r="D1940" s="84" t="str">
        <f t="shared" si="33"/>
        <v/>
      </c>
      <c r="H1940" s="84">
        <f>IFERROR(VLOOKUP(B1940,Заказ!B:Q,5,0),0)</f>
        <v>0</v>
      </c>
      <c r="I1940" s="84">
        <f>IFERROR(VLOOKUP(B1940,Заказ!B:Q,16,0),0)</f>
        <v>0</v>
      </c>
    </row>
    <row r="1941" spans="2:9" x14ac:dyDescent="0.25">
      <c r="B1941" s="84">
        <v>16493</v>
      </c>
      <c r="D1941" s="84" t="str">
        <f t="shared" si="33"/>
        <v/>
      </c>
      <c r="H1941" s="84">
        <f>IFERROR(VLOOKUP(B1941,Заказ!B:Q,5,0),0)</f>
        <v>0</v>
      </c>
      <c r="I1941" s="84">
        <f>IFERROR(VLOOKUP(B1941,Заказ!B:Q,16,0),0)</f>
        <v>0</v>
      </c>
    </row>
    <row r="1942" spans="2:9" x14ac:dyDescent="0.25">
      <c r="B1942" s="84">
        <v>16495</v>
      </c>
      <c r="D1942" s="84" t="str">
        <f t="shared" si="33"/>
        <v/>
      </c>
      <c r="H1942" s="84">
        <f>IFERROR(VLOOKUP(B1942,Заказ!B:Q,5,0),0)</f>
        <v>0</v>
      </c>
      <c r="I1942" s="84">
        <f>IFERROR(VLOOKUP(B1942,Заказ!B:Q,16,0),0)</f>
        <v>0</v>
      </c>
    </row>
    <row r="1943" spans="2:9" x14ac:dyDescent="0.25">
      <c r="B1943" s="84">
        <v>16476</v>
      </c>
      <c r="D1943" s="84" t="str">
        <f t="shared" si="33"/>
        <v/>
      </c>
      <c r="H1943" s="84">
        <f>IFERROR(VLOOKUP(B1943,Заказ!B:Q,5,0),0)</f>
        <v>0</v>
      </c>
      <c r="I1943" s="84">
        <f>IFERROR(VLOOKUP(B1943,Заказ!B:Q,16,0),0)</f>
        <v>0</v>
      </c>
    </row>
    <row r="1944" spans="2:9" x14ac:dyDescent="0.25">
      <c r="B1944" s="84">
        <v>16480</v>
      </c>
      <c r="D1944" s="84" t="str">
        <f t="shared" si="33"/>
        <v/>
      </c>
      <c r="H1944" s="84">
        <f>IFERROR(VLOOKUP(B1944,Заказ!B:Q,5,0),0)</f>
        <v>0</v>
      </c>
      <c r="I1944" s="84">
        <f>IFERROR(VLOOKUP(B1944,Заказ!B:Q,16,0),0)</f>
        <v>0</v>
      </c>
    </row>
    <row r="1945" spans="2:9" x14ac:dyDescent="0.25">
      <c r="B1945" s="84">
        <v>16479</v>
      </c>
      <c r="D1945" s="84" t="str">
        <f t="shared" si="33"/>
        <v/>
      </c>
      <c r="H1945" s="84">
        <f>IFERROR(VLOOKUP(B1945,Заказ!B:Q,5,0),0)</f>
        <v>0</v>
      </c>
      <c r="I1945" s="84">
        <f>IFERROR(VLOOKUP(B1945,Заказ!B:Q,16,0),0)</f>
        <v>0</v>
      </c>
    </row>
    <row r="1946" spans="2:9" x14ac:dyDescent="0.25">
      <c r="B1946" s="84">
        <v>19121</v>
      </c>
      <c r="D1946" s="84" t="str">
        <f t="shared" si="33"/>
        <v/>
      </c>
      <c r="H1946" s="84">
        <f>IFERROR(VLOOKUP(B1946,Заказ!B:Q,5,0),0)</f>
        <v>0</v>
      </c>
      <c r="I1946" s="84">
        <f>IFERROR(VLOOKUP(B1946,Заказ!B:Q,16,0),0)</f>
        <v>0</v>
      </c>
    </row>
    <row r="1947" spans="2:9" x14ac:dyDescent="0.25">
      <c r="B1947" s="84">
        <v>16477</v>
      </c>
      <c r="D1947" s="84" t="str">
        <f t="shared" si="33"/>
        <v/>
      </c>
      <c r="H1947" s="84">
        <f>IFERROR(VLOOKUP(B1947,Заказ!B:Q,5,0),0)</f>
        <v>0</v>
      </c>
      <c r="I1947" s="84">
        <f>IFERROR(VLOOKUP(B1947,Заказ!B:Q,16,0),0)</f>
        <v>0</v>
      </c>
    </row>
    <row r="1948" spans="2:9" x14ac:dyDescent="0.25">
      <c r="B1948" s="84">
        <v>19124</v>
      </c>
      <c r="D1948" s="84" t="str">
        <f t="shared" si="33"/>
        <v/>
      </c>
      <c r="H1948" s="84">
        <f>IFERROR(VLOOKUP(B1948,Заказ!B:Q,5,0),0)</f>
        <v>0</v>
      </c>
      <c r="I1948" s="84">
        <f>IFERROR(VLOOKUP(B1948,Заказ!B:Q,16,0),0)</f>
        <v>0</v>
      </c>
    </row>
    <row r="1949" spans="2:9" x14ac:dyDescent="0.25">
      <c r="B1949" s="84">
        <v>16481</v>
      </c>
      <c r="D1949" s="84" t="str">
        <f t="shared" si="33"/>
        <v/>
      </c>
      <c r="H1949" s="84">
        <f>IFERROR(VLOOKUP(B1949,Заказ!B:Q,5,0),0)</f>
        <v>0</v>
      </c>
      <c r="I1949" s="84">
        <f>IFERROR(VLOOKUP(B1949,Заказ!B:Q,16,0),0)</f>
        <v>0</v>
      </c>
    </row>
    <row r="1950" spans="2:9" x14ac:dyDescent="0.25">
      <c r="B1950" s="84">
        <v>16478</v>
      </c>
      <c r="D1950" s="84" t="str">
        <f t="shared" si="33"/>
        <v/>
      </c>
      <c r="H1950" s="84">
        <f>IFERROR(VLOOKUP(B1950,Заказ!B:Q,5,0),0)</f>
        <v>0</v>
      </c>
      <c r="I1950" s="84">
        <f>IFERROR(VLOOKUP(B1950,Заказ!B:Q,16,0),0)</f>
        <v>0</v>
      </c>
    </row>
    <row r="1951" spans="2:9" x14ac:dyDescent="0.25">
      <c r="B1951" s="84">
        <v>19122</v>
      </c>
      <c r="D1951" s="84" t="str">
        <f t="shared" si="33"/>
        <v/>
      </c>
      <c r="H1951" s="84">
        <f>IFERROR(VLOOKUP(B1951,Заказ!B:Q,5,0),0)</f>
        <v>0</v>
      </c>
      <c r="I1951" s="84">
        <f>IFERROR(VLOOKUP(B1951,Заказ!B:Q,16,0),0)</f>
        <v>0</v>
      </c>
    </row>
    <row r="1952" spans="2:9" x14ac:dyDescent="0.25">
      <c r="B1952" s="84">
        <v>16482</v>
      </c>
      <c r="D1952" s="84" t="str">
        <f t="shared" si="33"/>
        <v/>
      </c>
      <c r="H1952" s="84">
        <f>IFERROR(VLOOKUP(B1952,Заказ!B:Q,5,0),0)</f>
        <v>0</v>
      </c>
      <c r="I1952" s="84">
        <f>IFERROR(VLOOKUP(B1952,Заказ!B:Q,16,0),0)</f>
        <v>0</v>
      </c>
    </row>
    <row r="1953" spans="2:9" x14ac:dyDescent="0.25">
      <c r="B1953" s="84">
        <v>16502</v>
      </c>
      <c r="D1953" s="84" t="str">
        <f t="shared" si="33"/>
        <v/>
      </c>
      <c r="H1953" s="84">
        <f>IFERROR(VLOOKUP(B1953,Заказ!B:Q,5,0),0)</f>
        <v>0</v>
      </c>
      <c r="I1953" s="84">
        <f>IFERROR(VLOOKUP(B1953,Заказ!B:Q,16,0),0)</f>
        <v>0</v>
      </c>
    </row>
    <row r="1954" spans="2:9" x14ac:dyDescent="0.25">
      <c r="B1954" s="84">
        <v>16475</v>
      </c>
      <c r="D1954" s="84" t="str">
        <f t="shared" si="33"/>
        <v/>
      </c>
      <c r="H1954" s="84">
        <f>IFERROR(VLOOKUP(B1954,Заказ!B:Q,5,0),0)</f>
        <v>0</v>
      </c>
      <c r="I1954" s="84">
        <f>IFERROR(VLOOKUP(B1954,Заказ!B:Q,16,0),0)</f>
        <v>0</v>
      </c>
    </row>
    <row r="1955" spans="2:9" x14ac:dyDescent="0.25">
      <c r="B1955" s="84">
        <v>19123</v>
      </c>
      <c r="D1955" s="84" t="str">
        <f t="shared" si="33"/>
        <v/>
      </c>
      <c r="H1955" s="84">
        <f>IFERROR(VLOOKUP(B1955,Заказ!B:Q,5,0),0)</f>
        <v>0</v>
      </c>
      <c r="I1955" s="84">
        <f>IFERROR(VLOOKUP(B1955,Заказ!B:Q,16,0),0)</f>
        <v>0</v>
      </c>
    </row>
    <row r="1956" spans="2:9" x14ac:dyDescent="0.25">
      <c r="B1956" s="84">
        <v>18686</v>
      </c>
      <c r="D1956" s="84" t="str">
        <f t="shared" si="33"/>
        <v/>
      </c>
      <c r="H1956" s="84">
        <f>IFERROR(VLOOKUP(B1956,Заказ!B:Q,5,0),0)</f>
        <v>0</v>
      </c>
      <c r="I1956" s="84">
        <f>IFERROR(VLOOKUP(B1956,Заказ!B:Q,16,0),0)</f>
        <v>0</v>
      </c>
    </row>
    <row r="1957" spans="2:9" x14ac:dyDescent="0.25">
      <c r="B1957" s="84">
        <v>16488</v>
      </c>
      <c r="D1957" s="84" t="str">
        <f t="shared" si="33"/>
        <v/>
      </c>
      <c r="H1957" s="84">
        <f>IFERROR(VLOOKUP(B1957,Заказ!B:Q,5,0),0)</f>
        <v>0</v>
      </c>
      <c r="I1957" s="84">
        <f>IFERROR(VLOOKUP(B1957,Заказ!B:Q,16,0),0)</f>
        <v>0</v>
      </c>
    </row>
    <row r="1958" spans="2:9" x14ac:dyDescent="0.25">
      <c r="B1958" s="84">
        <v>19125</v>
      </c>
      <c r="D1958" s="84" t="str">
        <f t="shared" si="33"/>
        <v/>
      </c>
      <c r="H1958" s="84">
        <f>IFERROR(VLOOKUP(B1958,Заказ!B:Q,5,0),0)</f>
        <v>0</v>
      </c>
      <c r="I1958" s="84">
        <f>IFERROR(VLOOKUP(B1958,Заказ!B:Q,16,0),0)</f>
        <v>0</v>
      </c>
    </row>
    <row r="1959" spans="2:9" x14ac:dyDescent="0.25">
      <c r="B1959" s="84">
        <v>16487</v>
      </c>
      <c r="D1959" s="84" t="str">
        <f t="shared" si="33"/>
        <v/>
      </c>
      <c r="H1959" s="84">
        <f>IFERROR(VLOOKUP(B1959,Заказ!B:Q,5,0),0)</f>
        <v>0</v>
      </c>
      <c r="I1959" s="84">
        <f>IFERROR(VLOOKUP(B1959,Заказ!B:Q,16,0),0)</f>
        <v>0</v>
      </c>
    </row>
    <row r="1960" spans="2:9" x14ac:dyDescent="0.25">
      <c r="B1960" s="84">
        <v>16484</v>
      </c>
      <c r="D1960" s="84" t="str">
        <f t="shared" si="33"/>
        <v/>
      </c>
      <c r="H1960" s="84">
        <f>IFERROR(VLOOKUP(B1960,Заказ!B:Q,5,0),0)</f>
        <v>0</v>
      </c>
      <c r="I1960" s="84">
        <f>IFERROR(VLOOKUP(B1960,Заказ!B:Q,16,0),0)</f>
        <v>0</v>
      </c>
    </row>
    <row r="1961" spans="2:9" x14ac:dyDescent="0.25">
      <c r="B1961" s="84">
        <v>16483</v>
      </c>
      <c r="D1961" s="84" t="str">
        <f t="shared" si="33"/>
        <v/>
      </c>
      <c r="H1961" s="84">
        <f>IFERROR(VLOOKUP(B1961,Заказ!B:Q,5,0),0)</f>
        <v>0</v>
      </c>
      <c r="I1961" s="84">
        <f>IFERROR(VLOOKUP(B1961,Заказ!B:Q,16,0),0)</f>
        <v>0</v>
      </c>
    </row>
    <row r="1962" spans="2:9" x14ac:dyDescent="0.25">
      <c r="B1962" s="84">
        <v>19128</v>
      </c>
      <c r="D1962" s="84" t="str">
        <f t="shared" ref="D1962:D2048" si="34">IFERROR(ROUND(I1962/H1962,2),"")</f>
        <v/>
      </c>
      <c r="H1962" s="84">
        <f>IFERROR(VLOOKUP(B1962,Заказ!B:Q,5,0),0)</f>
        <v>0</v>
      </c>
      <c r="I1962" s="84">
        <f>IFERROR(VLOOKUP(B1962,Заказ!B:Q,16,0),0)</f>
        <v>0</v>
      </c>
    </row>
    <row r="1963" spans="2:9" x14ac:dyDescent="0.25">
      <c r="B1963" s="84">
        <v>19126</v>
      </c>
      <c r="D1963" s="84" t="str">
        <f t="shared" si="34"/>
        <v/>
      </c>
      <c r="H1963" s="84">
        <f>IFERROR(VLOOKUP(B1963,Заказ!B:Q,5,0),0)</f>
        <v>0</v>
      </c>
      <c r="I1963" s="84">
        <f>IFERROR(VLOOKUP(B1963,Заказ!B:Q,16,0),0)</f>
        <v>0</v>
      </c>
    </row>
    <row r="1964" spans="2:9" x14ac:dyDescent="0.25">
      <c r="B1964" s="84">
        <v>19127</v>
      </c>
      <c r="D1964" s="84" t="str">
        <f t="shared" si="34"/>
        <v/>
      </c>
      <c r="H1964" s="84">
        <f>IFERROR(VLOOKUP(B1964,Заказ!B:Q,5,0),0)</f>
        <v>0</v>
      </c>
      <c r="I1964" s="84">
        <f>IFERROR(VLOOKUP(B1964,Заказ!B:Q,16,0),0)</f>
        <v>0</v>
      </c>
    </row>
    <row r="1965" spans="2:9" x14ac:dyDescent="0.25">
      <c r="B1965" s="84">
        <v>16491</v>
      </c>
      <c r="D1965" s="84" t="str">
        <f t="shared" si="34"/>
        <v/>
      </c>
      <c r="H1965" s="84">
        <f>IFERROR(VLOOKUP(B1965,Заказ!B:Q,5,0),0)</f>
        <v>0</v>
      </c>
      <c r="I1965" s="84">
        <f>IFERROR(VLOOKUP(B1965,Заказ!B:Q,16,0),0)</f>
        <v>0</v>
      </c>
    </row>
    <row r="1966" spans="2:9" x14ac:dyDescent="0.25">
      <c r="B1966" s="84">
        <v>16486</v>
      </c>
      <c r="D1966" s="84" t="str">
        <f t="shared" si="34"/>
        <v/>
      </c>
      <c r="H1966" s="84">
        <f>IFERROR(VLOOKUP(B1966,Заказ!B:Q,5,0),0)</f>
        <v>0</v>
      </c>
      <c r="I1966" s="84">
        <f>IFERROR(VLOOKUP(B1966,Заказ!B:Q,16,0),0)</f>
        <v>0</v>
      </c>
    </row>
    <row r="1967" spans="2:9" x14ac:dyDescent="0.25">
      <c r="B1967" s="84">
        <v>19129</v>
      </c>
      <c r="D1967" s="84" t="str">
        <f t="shared" si="34"/>
        <v/>
      </c>
      <c r="H1967" s="84">
        <f>IFERROR(VLOOKUP(B1967,Заказ!B:Q,5,0),0)</f>
        <v>0</v>
      </c>
      <c r="I1967" s="84">
        <f>IFERROR(VLOOKUP(B1967,Заказ!B:Q,16,0),0)</f>
        <v>0</v>
      </c>
    </row>
    <row r="1968" spans="2:9" x14ac:dyDescent="0.25">
      <c r="B1968" s="84">
        <v>16489</v>
      </c>
      <c r="D1968" s="84" t="str">
        <f t="shared" si="34"/>
        <v/>
      </c>
      <c r="H1968" s="84">
        <f>IFERROR(VLOOKUP(B1968,Заказ!B:Q,5,0),0)</f>
        <v>0</v>
      </c>
      <c r="I1968" s="84">
        <f>IFERROR(VLOOKUP(B1968,Заказ!B:Q,16,0),0)</f>
        <v>0</v>
      </c>
    </row>
    <row r="1969" spans="2:9" x14ac:dyDescent="0.25">
      <c r="B1969" s="84">
        <v>16490</v>
      </c>
      <c r="D1969" s="84" t="str">
        <f t="shared" si="34"/>
        <v/>
      </c>
      <c r="H1969" s="84">
        <f>IFERROR(VLOOKUP(B1969,Заказ!B:Q,5,0),0)</f>
        <v>0</v>
      </c>
      <c r="I1969" s="84">
        <f>IFERROR(VLOOKUP(B1969,Заказ!B:Q,16,0),0)</f>
        <v>0</v>
      </c>
    </row>
    <row r="1970" spans="2:9" x14ac:dyDescent="0.25">
      <c r="B1970" s="84">
        <v>16485</v>
      </c>
      <c r="D1970" s="84" t="str">
        <f t="shared" si="34"/>
        <v/>
      </c>
      <c r="H1970" s="84">
        <f>IFERROR(VLOOKUP(B1970,Заказ!B:Q,5,0),0)</f>
        <v>0</v>
      </c>
      <c r="I1970" s="84">
        <f>IFERROR(VLOOKUP(B1970,Заказ!B:Q,16,0),0)</f>
        <v>0</v>
      </c>
    </row>
    <row r="1971" spans="2:9" x14ac:dyDescent="0.25">
      <c r="B1971" s="84">
        <v>20135</v>
      </c>
      <c r="D1971" s="84" t="str">
        <f t="shared" si="34"/>
        <v/>
      </c>
      <c r="H1971" s="84">
        <f>IFERROR(VLOOKUP(B1971,Заказ!B:Q,5,0),0)</f>
        <v>0</v>
      </c>
      <c r="I1971" s="84">
        <f>IFERROR(VLOOKUP(B1971,Заказ!B:Q,16,0),0)</f>
        <v>0</v>
      </c>
    </row>
    <row r="1972" spans="2:9" x14ac:dyDescent="0.25">
      <c r="B1972" s="84">
        <v>20136</v>
      </c>
      <c r="D1972" s="84" t="str">
        <f t="shared" si="34"/>
        <v/>
      </c>
      <c r="H1972" s="84">
        <f>IFERROR(VLOOKUP(B1972,Заказ!B:Q,5,0),0)</f>
        <v>0</v>
      </c>
      <c r="I1972" s="84">
        <f>IFERROR(VLOOKUP(B1972,Заказ!B:Q,16,0),0)</f>
        <v>0</v>
      </c>
    </row>
    <row r="1973" spans="2:9" x14ac:dyDescent="0.25">
      <c r="B1973" s="84">
        <v>20134</v>
      </c>
      <c r="D1973" s="84" t="str">
        <f t="shared" si="34"/>
        <v/>
      </c>
      <c r="H1973" s="84">
        <f>IFERROR(VLOOKUP(B1973,Заказ!B:Q,5,0),0)</f>
        <v>0</v>
      </c>
      <c r="I1973" s="84">
        <f>IFERROR(VLOOKUP(B1973,Заказ!B:Q,16,0),0)</f>
        <v>0</v>
      </c>
    </row>
    <row r="1974" spans="2:9" x14ac:dyDescent="0.25">
      <c r="B1974" s="84">
        <v>20132</v>
      </c>
      <c r="D1974" s="84" t="str">
        <f t="shared" si="34"/>
        <v/>
      </c>
      <c r="H1974" s="84">
        <f>IFERROR(VLOOKUP(B1974,Заказ!B:Q,5,0),0)</f>
        <v>0</v>
      </c>
      <c r="I1974" s="84">
        <f>IFERROR(VLOOKUP(B1974,Заказ!B:Q,16,0),0)</f>
        <v>0</v>
      </c>
    </row>
    <row r="1975" spans="2:9" x14ac:dyDescent="0.25">
      <c r="B1975" s="84">
        <v>20462</v>
      </c>
      <c r="D1975" s="84" t="str">
        <f t="shared" si="34"/>
        <v/>
      </c>
      <c r="H1975" s="84">
        <f>IFERROR(VLOOKUP(B1975,Заказ!B:Q,5,0),0)</f>
        <v>0</v>
      </c>
      <c r="I1975" s="84">
        <f>IFERROR(VLOOKUP(B1975,Заказ!B:Q,16,0),0)</f>
        <v>0</v>
      </c>
    </row>
    <row r="1976" spans="2:9" x14ac:dyDescent="0.25">
      <c r="B1976" s="84">
        <v>20139</v>
      </c>
      <c r="D1976" s="84" t="str">
        <f t="shared" si="34"/>
        <v/>
      </c>
      <c r="H1976" s="84">
        <f>IFERROR(VLOOKUP(B1976,Заказ!B:Q,5,0),0)</f>
        <v>0</v>
      </c>
      <c r="I1976" s="84">
        <f>IFERROR(VLOOKUP(B1976,Заказ!B:Q,16,0),0)</f>
        <v>0</v>
      </c>
    </row>
    <row r="1977" spans="2:9" x14ac:dyDescent="0.25">
      <c r="B1977" s="84">
        <v>20138</v>
      </c>
      <c r="D1977" s="84" t="str">
        <f t="shared" si="34"/>
        <v/>
      </c>
      <c r="H1977" s="84">
        <f>IFERROR(VLOOKUP(B1977,Заказ!B:Q,5,0),0)</f>
        <v>0</v>
      </c>
      <c r="I1977" s="84">
        <f>IFERROR(VLOOKUP(B1977,Заказ!B:Q,16,0),0)</f>
        <v>0</v>
      </c>
    </row>
    <row r="1978" spans="2:9" x14ac:dyDescent="0.25">
      <c r="B1978" s="84">
        <v>20133</v>
      </c>
      <c r="D1978" s="84" t="str">
        <f t="shared" si="34"/>
        <v/>
      </c>
      <c r="H1978" s="84">
        <f>IFERROR(VLOOKUP(B1978,Заказ!B:Q,5,0),0)</f>
        <v>0</v>
      </c>
      <c r="I1978" s="84">
        <f>IFERROR(VLOOKUP(B1978,Заказ!B:Q,16,0),0)</f>
        <v>0</v>
      </c>
    </row>
    <row r="1979" spans="2:9" x14ac:dyDescent="0.25">
      <c r="B1979" s="84">
        <v>20141</v>
      </c>
      <c r="D1979" s="84" t="str">
        <f t="shared" si="34"/>
        <v/>
      </c>
      <c r="H1979" s="84">
        <f>IFERROR(VLOOKUP(B1979,Заказ!B:Q,5,0),0)</f>
        <v>0</v>
      </c>
      <c r="I1979" s="84">
        <f>IFERROR(VLOOKUP(B1979,Заказ!B:Q,16,0),0)</f>
        <v>0</v>
      </c>
    </row>
    <row r="1980" spans="2:9" x14ac:dyDescent="0.25">
      <c r="B1980" s="84">
        <v>20137</v>
      </c>
      <c r="D1980" s="84" t="str">
        <f t="shared" si="34"/>
        <v/>
      </c>
      <c r="H1980" s="84">
        <f>IFERROR(VLOOKUP(B1980,Заказ!B:Q,5,0),0)</f>
        <v>0</v>
      </c>
      <c r="I1980" s="84">
        <f>IFERROR(VLOOKUP(B1980,Заказ!B:Q,16,0),0)</f>
        <v>0</v>
      </c>
    </row>
    <row r="1981" spans="2:9" x14ac:dyDescent="0.25">
      <c r="B1981" s="84">
        <v>20140</v>
      </c>
      <c r="D1981" s="84" t="str">
        <f t="shared" si="34"/>
        <v/>
      </c>
      <c r="H1981" s="84">
        <f>IFERROR(VLOOKUP(B1981,Заказ!B:Q,5,0),0)</f>
        <v>0</v>
      </c>
      <c r="I1981" s="84">
        <f>IFERROR(VLOOKUP(B1981,Заказ!B:Q,16,0),0)</f>
        <v>0</v>
      </c>
    </row>
    <row r="1982" spans="2:9" x14ac:dyDescent="0.25">
      <c r="B1982" s="84">
        <v>20839</v>
      </c>
      <c r="D1982" s="84" t="str">
        <f t="shared" si="34"/>
        <v/>
      </c>
      <c r="H1982" s="84">
        <f>IFERROR(VLOOKUP(B1982,Заказ!B:Q,5,0),0)</f>
        <v>0</v>
      </c>
      <c r="I1982" s="84">
        <f>IFERROR(VLOOKUP(B1982,Заказ!B:Q,16,0),0)</f>
        <v>0</v>
      </c>
    </row>
    <row r="1983" spans="2:9" x14ac:dyDescent="0.25">
      <c r="B1983" s="84">
        <v>20840</v>
      </c>
      <c r="D1983" s="84" t="str">
        <f t="shared" si="34"/>
        <v/>
      </c>
      <c r="H1983" s="84">
        <f>IFERROR(VLOOKUP(B1983,Заказ!B:Q,5,0),0)</f>
        <v>0</v>
      </c>
      <c r="I1983" s="84">
        <f>IFERROR(VLOOKUP(B1983,Заказ!B:Q,16,0),0)</f>
        <v>0</v>
      </c>
    </row>
    <row r="1984" spans="2:9" x14ac:dyDescent="0.25">
      <c r="B1984" s="84">
        <v>20841</v>
      </c>
      <c r="D1984" s="84" t="str">
        <f t="shared" si="34"/>
        <v/>
      </c>
      <c r="H1984" s="84">
        <f>IFERROR(VLOOKUP(B1984,Заказ!B:Q,5,0),0)</f>
        <v>0</v>
      </c>
      <c r="I1984" s="84">
        <f>IFERROR(VLOOKUP(B1984,Заказ!B:Q,16,0),0)</f>
        <v>0</v>
      </c>
    </row>
    <row r="1985" spans="2:9" x14ac:dyDescent="0.25">
      <c r="B1985" s="84">
        <v>20842</v>
      </c>
      <c r="D1985" s="84" t="str">
        <f t="shared" si="34"/>
        <v/>
      </c>
      <c r="H1985" s="84">
        <f>IFERROR(VLOOKUP(B1985,Заказ!B:Q,5,0),0)</f>
        <v>0</v>
      </c>
      <c r="I1985" s="84">
        <f>IFERROR(VLOOKUP(B1985,Заказ!B:Q,16,0),0)</f>
        <v>0</v>
      </c>
    </row>
    <row r="1986" spans="2:9" x14ac:dyDescent="0.25">
      <c r="B1986" s="84">
        <v>20843</v>
      </c>
      <c r="D1986" s="84" t="str">
        <f t="shared" si="34"/>
        <v/>
      </c>
      <c r="H1986" s="84">
        <f>IFERROR(VLOOKUP(B1986,Заказ!B:Q,5,0),0)</f>
        <v>0</v>
      </c>
      <c r="I1986" s="84">
        <f>IFERROR(VLOOKUP(B1986,Заказ!B:Q,16,0),0)</f>
        <v>0</v>
      </c>
    </row>
    <row r="1987" spans="2:9" x14ac:dyDescent="0.25">
      <c r="B1987" s="84">
        <v>20910</v>
      </c>
      <c r="D1987" s="84" t="str">
        <f t="shared" si="34"/>
        <v/>
      </c>
      <c r="H1987" s="84">
        <f>IFERROR(VLOOKUP(B1987,Заказ!B:Q,5,0),0)</f>
        <v>0</v>
      </c>
      <c r="I1987" s="84">
        <f>IFERROR(VLOOKUP(B1987,Заказ!B:Q,16,0),0)</f>
        <v>0</v>
      </c>
    </row>
    <row r="1988" spans="2:9" x14ac:dyDescent="0.25">
      <c r="B1988" s="84">
        <v>20909</v>
      </c>
      <c r="D1988" s="84" t="str">
        <f t="shared" si="34"/>
        <v/>
      </c>
      <c r="H1988" s="84">
        <f>IFERROR(VLOOKUP(B1988,Заказ!B:Q,5,0),0)</f>
        <v>0</v>
      </c>
      <c r="I1988" s="84">
        <f>IFERROR(VLOOKUP(B1988,Заказ!B:Q,16,0),0)</f>
        <v>0</v>
      </c>
    </row>
    <row r="1989" spans="2:9" x14ac:dyDescent="0.25">
      <c r="B1989" s="84">
        <v>20908</v>
      </c>
      <c r="D1989" s="84" t="str">
        <f t="shared" si="34"/>
        <v/>
      </c>
      <c r="H1989" s="84">
        <f>IFERROR(VLOOKUP(B1989,Заказ!B:Q,5,0),0)</f>
        <v>0</v>
      </c>
      <c r="I1989" s="84">
        <f>IFERROR(VLOOKUP(B1989,Заказ!B:Q,16,0),0)</f>
        <v>0</v>
      </c>
    </row>
    <row r="1990" spans="2:9" x14ac:dyDescent="0.25">
      <c r="B1990" s="84">
        <v>20522</v>
      </c>
      <c r="D1990" s="84" t="str">
        <f t="shared" si="34"/>
        <v/>
      </c>
      <c r="H1990" s="84">
        <f>IFERROR(VLOOKUP(B1990,Заказ!B:Q,5,0),0)</f>
        <v>0</v>
      </c>
      <c r="I1990" s="84">
        <f>IFERROR(VLOOKUP(B1990,Заказ!B:Q,16,0),0)</f>
        <v>0</v>
      </c>
    </row>
    <row r="1991" spans="2:9" x14ac:dyDescent="0.25">
      <c r="B1991" s="84">
        <v>20524</v>
      </c>
      <c r="D1991" s="84" t="str">
        <f t="shared" si="34"/>
        <v/>
      </c>
      <c r="H1991" s="84">
        <f>IFERROR(VLOOKUP(B1991,Заказ!B:Q,5,0),0)</f>
        <v>0</v>
      </c>
      <c r="I1991" s="84">
        <f>IFERROR(VLOOKUP(B1991,Заказ!B:Q,16,0),0)</f>
        <v>0</v>
      </c>
    </row>
    <row r="1992" spans="2:9" x14ac:dyDescent="0.25">
      <c r="B1992" s="84">
        <v>20523</v>
      </c>
      <c r="D1992" s="84" t="str">
        <f t="shared" si="34"/>
        <v/>
      </c>
      <c r="H1992" s="84">
        <f>IFERROR(VLOOKUP(B1992,Заказ!B:Q,5,0),0)</f>
        <v>0</v>
      </c>
      <c r="I1992" s="84">
        <f>IFERROR(VLOOKUP(B1992,Заказ!B:Q,16,0),0)</f>
        <v>0</v>
      </c>
    </row>
    <row r="1993" spans="2:9" x14ac:dyDescent="0.25">
      <c r="B1993" s="84">
        <v>20514</v>
      </c>
      <c r="D1993" s="84" t="str">
        <f t="shared" si="34"/>
        <v/>
      </c>
      <c r="H1993" s="84">
        <f>IFERROR(VLOOKUP(B1993,Заказ!B:Q,5,0),0)</f>
        <v>0</v>
      </c>
      <c r="I1993" s="84">
        <f>IFERROR(VLOOKUP(B1993,Заказ!B:Q,16,0),0)</f>
        <v>0</v>
      </c>
    </row>
    <row r="1994" spans="2:9" x14ac:dyDescent="0.25">
      <c r="B1994" s="84">
        <v>20507</v>
      </c>
      <c r="D1994" s="84" t="str">
        <f t="shared" si="34"/>
        <v/>
      </c>
      <c r="H1994" s="84">
        <f>IFERROR(VLOOKUP(B1994,Заказ!B:Q,5,0),0)</f>
        <v>0</v>
      </c>
      <c r="I1994" s="84">
        <f>IFERROR(VLOOKUP(B1994,Заказ!B:Q,16,0),0)</f>
        <v>0</v>
      </c>
    </row>
    <row r="1995" spans="2:9" x14ac:dyDescent="0.25">
      <c r="B1995" s="84">
        <v>20508</v>
      </c>
      <c r="D1995" s="84" t="str">
        <f t="shared" si="34"/>
        <v/>
      </c>
      <c r="H1995" s="84">
        <f>IFERROR(VLOOKUP(B1995,Заказ!B:Q,5,0),0)</f>
        <v>0</v>
      </c>
      <c r="I1995" s="84">
        <f>IFERROR(VLOOKUP(B1995,Заказ!B:Q,16,0),0)</f>
        <v>0</v>
      </c>
    </row>
    <row r="1996" spans="2:9" x14ac:dyDescent="0.25">
      <c r="B1996" s="84">
        <v>20513</v>
      </c>
      <c r="D1996" s="84" t="str">
        <f t="shared" si="34"/>
        <v/>
      </c>
      <c r="H1996" s="84">
        <f>IFERROR(VLOOKUP(B1996,Заказ!B:Q,5,0),0)</f>
        <v>0</v>
      </c>
      <c r="I1996" s="84">
        <f>IFERROR(VLOOKUP(B1996,Заказ!B:Q,16,0),0)</f>
        <v>0</v>
      </c>
    </row>
    <row r="1997" spans="2:9" x14ac:dyDescent="0.25">
      <c r="B1997" s="84">
        <v>20510</v>
      </c>
      <c r="D1997" s="84" t="str">
        <f t="shared" si="34"/>
        <v/>
      </c>
      <c r="H1997" s="84">
        <f>IFERROR(VLOOKUP(B1997,Заказ!B:Q,5,0),0)</f>
        <v>0</v>
      </c>
      <c r="I1997" s="84">
        <f>IFERROR(VLOOKUP(B1997,Заказ!B:Q,16,0),0)</f>
        <v>0</v>
      </c>
    </row>
    <row r="1998" spans="2:9" x14ac:dyDescent="0.25">
      <c r="B1998" s="84">
        <v>20506</v>
      </c>
      <c r="D1998" s="84" t="str">
        <f t="shared" si="34"/>
        <v/>
      </c>
      <c r="H1998" s="84">
        <f>IFERROR(VLOOKUP(B1998,Заказ!B:Q,5,0),0)</f>
        <v>0</v>
      </c>
      <c r="I1998" s="84">
        <f>IFERROR(VLOOKUP(B1998,Заказ!B:Q,16,0),0)</f>
        <v>0</v>
      </c>
    </row>
    <row r="1999" spans="2:9" x14ac:dyDescent="0.25">
      <c r="B1999" s="84">
        <v>20509</v>
      </c>
      <c r="D1999" s="84" t="str">
        <f t="shared" si="34"/>
        <v/>
      </c>
      <c r="H1999" s="84">
        <f>IFERROR(VLOOKUP(B1999,Заказ!B:Q,5,0),0)</f>
        <v>0</v>
      </c>
      <c r="I1999" s="84">
        <f>IFERROR(VLOOKUP(B1999,Заказ!B:Q,16,0),0)</f>
        <v>0</v>
      </c>
    </row>
    <row r="2000" spans="2:9" x14ac:dyDescent="0.25">
      <c r="B2000" s="84">
        <v>20511</v>
      </c>
      <c r="D2000" s="84" t="str">
        <f t="shared" si="34"/>
        <v/>
      </c>
      <c r="H2000" s="84">
        <f>IFERROR(VLOOKUP(B2000,Заказ!B:Q,5,0),0)</f>
        <v>0</v>
      </c>
      <c r="I2000" s="84">
        <f>IFERROR(VLOOKUP(B2000,Заказ!B:Q,16,0),0)</f>
        <v>0</v>
      </c>
    </row>
    <row r="2001" spans="2:9" x14ac:dyDescent="0.25">
      <c r="B2001" s="84">
        <v>20512</v>
      </c>
      <c r="D2001" s="84" t="str">
        <f t="shared" si="34"/>
        <v/>
      </c>
      <c r="H2001" s="84">
        <f>IFERROR(VLOOKUP(B2001,Заказ!B:Q,5,0),0)</f>
        <v>0</v>
      </c>
      <c r="I2001" s="84">
        <f>IFERROR(VLOOKUP(B2001,Заказ!B:Q,16,0),0)</f>
        <v>0</v>
      </c>
    </row>
    <row r="2002" spans="2:9" x14ac:dyDescent="0.25">
      <c r="B2002" s="84">
        <v>20979</v>
      </c>
      <c r="D2002" s="84" t="str">
        <f t="shared" si="34"/>
        <v/>
      </c>
      <c r="H2002" s="84">
        <f>IFERROR(VLOOKUP(B2002,Заказ!B:Q,5,0),0)</f>
        <v>0</v>
      </c>
      <c r="I2002" s="84">
        <f>IFERROR(VLOOKUP(B2002,Заказ!B:Q,16,0),0)</f>
        <v>0</v>
      </c>
    </row>
    <row r="2003" spans="2:9" x14ac:dyDescent="0.25">
      <c r="B2003" s="84">
        <v>20980</v>
      </c>
      <c r="D2003" s="84" t="str">
        <f t="shared" si="34"/>
        <v/>
      </c>
      <c r="H2003" s="84">
        <f>IFERROR(VLOOKUP(B2003,Заказ!B:Q,5,0),0)</f>
        <v>0</v>
      </c>
      <c r="I2003" s="84">
        <f>IFERROR(VLOOKUP(B2003,Заказ!B:Q,16,0),0)</f>
        <v>0</v>
      </c>
    </row>
    <row r="2004" spans="2:9" x14ac:dyDescent="0.25">
      <c r="B2004" s="84">
        <v>20519</v>
      </c>
      <c r="D2004" s="84" t="str">
        <f t="shared" si="34"/>
        <v/>
      </c>
      <c r="H2004" s="84">
        <f>IFERROR(VLOOKUP(B2004,Заказ!B:Q,5,0),0)</f>
        <v>0</v>
      </c>
      <c r="I2004" s="84">
        <f>IFERROR(VLOOKUP(B2004,Заказ!B:Q,16,0),0)</f>
        <v>0</v>
      </c>
    </row>
    <row r="2005" spans="2:9" x14ac:dyDescent="0.25">
      <c r="B2005" s="84">
        <v>20516</v>
      </c>
      <c r="D2005" s="84" t="str">
        <f t="shared" si="34"/>
        <v/>
      </c>
      <c r="H2005" s="84">
        <f>IFERROR(VLOOKUP(B2005,Заказ!B:Q,5,0),0)</f>
        <v>0</v>
      </c>
      <c r="I2005" s="84">
        <f>IFERROR(VLOOKUP(B2005,Заказ!B:Q,16,0),0)</f>
        <v>0</v>
      </c>
    </row>
    <row r="2006" spans="2:9" x14ac:dyDescent="0.25">
      <c r="B2006" s="84">
        <v>20517</v>
      </c>
      <c r="D2006" s="84" t="str">
        <f t="shared" si="34"/>
        <v/>
      </c>
      <c r="H2006" s="84">
        <f>IFERROR(VLOOKUP(B2006,Заказ!B:Q,5,0),0)</f>
        <v>0</v>
      </c>
      <c r="I2006" s="84">
        <f>IFERROR(VLOOKUP(B2006,Заказ!B:Q,16,0),0)</f>
        <v>0</v>
      </c>
    </row>
    <row r="2007" spans="2:9" x14ac:dyDescent="0.25">
      <c r="B2007" s="84">
        <v>21224</v>
      </c>
      <c r="D2007" s="84" t="str">
        <f t="shared" si="34"/>
        <v/>
      </c>
      <c r="H2007" s="84">
        <f>IFERROR(VLOOKUP(B2007,Заказ!B:Q,5,0),0)</f>
        <v>0</v>
      </c>
      <c r="I2007" s="84">
        <f>IFERROR(VLOOKUP(B2007,Заказ!B:Q,16,0),0)</f>
        <v>0</v>
      </c>
    </row>
    <row r="2008" spans="2:9" x14ac:dyDescent="0.25">
      <c r="B2008" s="84">
        <v>21219</v>
      </c>
      <c r="D2008" s="84" t="str">
        <f t="shared" si="34"/>
        <v/>
      </c>
      <c r="H2008" s="84">
        <f>IFERROR(VLOOKUP(B2008,Заказ!B:Q,5,0),0)</f>
        <v>0</v>
      </c>
      <c r="I2008" s="84">
        <f>IFERROR(VLOOKUP(B2008,Заказ!B:Q,16,0),0)</f>
        <v>0</v>
      </c>
    </row>
    <row r="2009" spans="2:9" x14ac:dyDescent="0.25">
      <c r="B2009" s="84">
        <v>21227</v>
      </c>
      <c r="D2009" s="84" t="str">
        <f t="shared" si="34"/>
        <v/>
      </c>
      <c r="H2009" s="84">
        <f>IFERROR(VLOOKUP(B2009,Заказ!B:Q,5,0),0)</f>
        <v>0</v>
      </c>
      <c r="I2009" s="84">
        <f>IFERROR(VLOOKUP(B2009,Заказ!B:Q,16,0),0)</f>
        <v>0</v>
      </c>
    </row>
    <row r="2010" spans="2:9" x14ac:dyDescent="0.25">
      <c r="B2010" s="84">
        <v>21225</v>
      </c>
      <c r="D2010" s="84" t="str">
        <f t="shared" si="34"/>
        <v/>
      </c>
      <c r="H2010" s="84">
        <f>IFERROR(VLOOKUP(B2010,Заказ!B:Q,5,0),0)</f>
        <v>0</v>
      </c>
      <c r="I2010" s="84">
        <f>IFERROR(VLOOKUP(B2010,Заказ!B:Q,16,0),0)</f>
        <v>0</v>
      </c>
    </row>
    <row r="2011" spans="2:9" x14ac:dyDescent="0.25">
      <c r="B2011" s="84">
        <v>21226</v>
      </c>
      <c r="D2011" s="84" t="str">
        <f t="shared" si="34"/>
        <v/>
      </c>
      <c r="H2011" s="84">
        <f>IFERROR(VLOOKUP(B2011,Заказ!B:Q,5,0),0)</f>
        <v>0</v>
      </c>
      <c r="I2011" s="84">
        <f>IFERROR(VLOOKUP(B2011,Заказ!B:Q,16,0),0)</f>
        <v>0</v>
      </c>
    </row>
    <row r="2012" spans="2:9" x14ac:dyDescent="0.25">
      <c r="B2012" s="84">
        <v>21228</v>
      </c>
      <c r="D2012" s="84" t="str">
        <f t="shared" si="34"/>
        <v/>
      </c>
      <c r="H2012" s="84">
        <f>IFERROR(VLOOKUP(B2012,Заказ!B:Q,5,0),0)</f>
        <v>0</v>
      </c>
      <c r="I2012" s="84">
        <f>IFERROR(VLOOKUP(B2012,Заказ!B:Q,16,0),0)</f>
        <v>0</v>
      </c>
    </row>
    <row r="2013" spans="2:9" x14ac:dyDescent="0.25">
      <c r="B2013" s="84">
        <v>21314</v>
      </c>
      <c r="D2013" s="84" t="str">
        <f t="shared" si="34"/>
        <v/>
      </c>
      <c r="H2013" s="84">
        <f>IFERROR(VLOOKUP(B2013,Заказ!B:Q,5,0),0)</f>
        <v>0</v>
      </c>
      <c r="I2013" s="84">
        <f>IFERROR(VLOOKUP(B2013,Заказ!B:Q,16,0),0)</f>
        <v>0</v>
      </c>
    </row>
    <row r="2014" spans="2:9" x14ac:dyDescent="0.25">
      <c r="B2014" s="84">
        <v>21315</v>
      </c>
      <c r="D2014" s="84" t="str">
        <f t="shared" si="34"/>
        <v/>
      </c>
      <c r="H2014" s="84">
        <f>IFERROR(VLOOKUP(B2014,Заказ!B:Q,5,0),0)</f>
        <v>0</v>
      </c>
      <c r="I2014" s="84">
        <f>IFERROR(VLOOKUP(B2014,Заказ!B:Q,16,0),0)</f>
        <v>0</v>
      </c>
    </row>
    <row r="2015" spans="2:9" x14ac:dyDescent="0.25">
      <c r="B2015" s="84">
        <v>20372</v>
      </c>
      <c r="D2015" s="84" t="str">
        <f t="shared" si="34"/>
        <v/>
      </c>
      <c r="H2015" s="84">
        <f>IFERROR(VLOOKUP(B2015,Заказ!B:Q,5,0),0)</f>
        <v>0</v>
      </c>
      <c r="I2015" s="84">
        <f>IFERROR(VLOOKUP(B2015,Заказ!B:Q,16,0),0)</f>
        <v>0</v>
      </c>
    </row>
    <row r="2016" spans="2:9" x14ac:dyDescent="0.25">
      <c r="B2016" s="84">
        <v>20374</v>
      </c>
      <c r="D2016" s="84" t="str">
        <f t="shared" si="34"/>
        <v/>
      </c>
      <c r="H2016" s="84">
        <f>IFERROR(VLOOKUP(B2016,Заказ!B:Q,5,0),0)</f>
        <v>0</v>
      </c>
      <c r="I2016" s="84">
        <f>IFERROR(VLOOKUP(B2016,Заказ!B:Q,16,0),0)</f>
        <v>0</v>
      </c>
    </row>
    <row r="2017" spans="2:9" x14ac:dyDescent="0.25">
      <c r="B2017" s="84">
        <v>18536</v>
      </c>
      <c r="D2017" s="84" t="str">
        <f t="shared" si="34"/>
        <v/>
      </c>
      <c r="H2017" s="84">
        <f>IFERROR(VLOOKUP(B2017,Заказ!B:Q,5,0),0)</f>
        <v>0</v>
      </c>
      <c r="I2017" s="84">
        <f>IFERROR(VLOOKUP(B2017,Заказ!B:Q,16,0),0)</f>
        <v>0</v>
      </c>
    </row>
    <row r="2018" spans="2:9" x14ac:dyDescent="0.25">
      <c r="B2018" s="84">
        <v>20414</v>
      </c>
      <c r="D2018" s="84" t="str">
        <f t="shared" si="34"/>
        <v/>
      </c>
      <c r="H2018" s="84">
        <f>IFERROR(VLOOKUP(B2018,Заказ!B:Q,5,0),0)</f>
        <v>0</v>
      </c>
      <c r="I2018" s="84">
        <f>IFERROR(VLOOKUP(B2018,Заказ!B:Q,16,0),0)</f>
        <v>0</v>
      </c>
    </row>
    <row r="2019" spans="2:9" x14ac:dyDescent="0.25">
      <c r="B2019" s="84">
        <v>20412</v>
      </c>
      <c r="D2019" s="84" t="str">
        <f t="shared" si="34"/>
        <v/>
      </c>
      <c r="H2019" s="84">
        <f>IFERROR(VLOOKUP(B2019,Заказ!B:Q,5,0),0)</f>
        <v>0</v>
      </c>
      <c r="I2019" s="84">
        <f>IFERROR(VLOOKUP(B2019,Заказ!B:Q,16,0),0)</f>
        <v>0</v>
      </c>
    </row>
    <row r="2020" spans="2:9" x14ac:dyDescent="0.25">
      <c r="B2020" s="84">
        <v>20413</v>
      </c>
      <c r="D2020" s="84" t="str">
        <f t="shared" si="34"/>
        <v/>
      </c>
      <c r="H2020" s="84">
        <f>IFERROR(VLOOKUP(B2020,Заказ!B:Q,5,0),0)</f>
        <v>0</v>
      </c>
      <c r="I2020" s="84">
        <f>IFERROR(VLOOKUP(B2020,Заказ!B:Q,16,0),0)</f>
        <v>0</v>
      </c>
    </row>
    <row r="2021" spans="2:9" x14ac:dyDescent="0.25">
      <c r="B2021" s="84">
        <v>21534</v>
      </c>
      <c r="D2021" s="84" t="str">
        <f t="shared" si="34"/>
        <v/>
      </c>
      <c r="H2021" s="84">
        <f>IFERROR(VLOOKUP(B2021,Заказ!B:Q,5,0),0)</f>
        <v>0</v>
      </c>
      <c r="I2021" s="84">
        <f>IFERROR(VLOOKUP(B2021,Заказ!B:Q,16,0),0)</f>
        <v>0</v>
      </c>
    </row>
    <row r="2022" spans="2:9" x14ac:dyDescent="0.25">
      <c r="B2022" s="84">
        <v>21533</v>
      </c>
      <c r="D2022" s="84" t="str">
        <f t="shared" si="34"/>
        <v/>
      </c>
      <c r="H2022" s="84">
        <f>IFERROR(VLOOKUP(B2022,Заказ!B:Q,5,0),0)</f>
        <v>0</v>
      </c>
      <c r="I2022" s="84">
        <f>IFERROR(VLOOKUP(B2022,Заказ!B:Q,16,0),0)</f>
        <v>0</v>
      </c>
    </row>
    <row r="2023" spans="2:9" x14ac:dyDescent="0.25">
      <c r="B2023" s="84">
        <v>20465</v>
      </c>
      <c r="D2023" s="84" t="str">
        <f t="shared" si="34"/>
        <v/>
      </c>
      <c r="H2023" s="84">
        <f>IFERROR(VLOOKUP(B2023,Заказ!B:Q,5,0),0)</f>
        <v>0</v>
      </c>
      <c r="I2023" s="84">
        <f>IFERROR(VLOOKUP(B2023,Заказ!B:Q,16,0),0)</f>
        <v>0</v>
      </c>
    </row>
    <row r="2024" spans="2:9" x14ac:dyDescent="0.25">
      <c r="B2024" s="84">
        <v>18613</v>
      </c>
      <c r="D2024" s="84" t="str">
        <f t="shared" si="34"/>
        <v/>
      </c>
      <c r="H2024" s="84">
        <f>IFERROR(VLOOKUP(B2024,Заказ!B:Q,5,0),0)</f>
        <v>0</v>
      </c>
      <c r="I2024" s="84">
        <f>IFERROR(VLOOKUP(B2024,Заказ!B:Q,16,0),0)</f>
        <v>0</v>
      </c>
    </row>
    <row r="2025" spans="2:9" x14ac:dyDescent="0.25">
      <c r="B2025" s="84">
        <v>18614</v>
      </c>
      <c r="D2025" s="84" t="str">
        <f t="shared" si="34"/>
        <v/>
      </c>
      <c r="H2025" s="84">
        <f>IFERROR(VLOOKUP(B2025,Заказ!B:Q,5,0),0)</f>
        <v>0</v>
      </c>
      <c r="I2025" s="84">
        <f>IFERROR(VLOOKUP(B2025,Заказ!B:Q,16,0),0)</f>
        <v>0</v>
      </c>
    </row>
    <row r="2026" spans="2:9" x14ac:dyDescent="0.25">
      <c r="B2026" s="84">
        <v>18615</v>
      </c>
      <c r="D2026" s="84" t="str">
        <f t="shared" si="34"/>
        <v/>
      </c>
      <c r="H2026" s="84">
        <f>IFERROR(VLOOKUP(B2026,Заказ!B:Q,5,0),0)</f>
        <v>0</v>
      </c>
      <c r="I2026" s="84">
        <f>IFERROR(VLOOKUP(B2026,Заказ!B:Q,16,0),0)</f>
        <v>0</v>
      </c>
    </row>
    <row r="2027" spans="2:9" x14ac:dyDescent="0.25">
      <c r="B2027" s="84">
        <v>18616</v>
      </c>
      <c r="D2027" s="84" t="str">
        <f t="shared" si="34"/>
        <v/>
      </c>
      <c r="H2027" s="84">
        <f>IFERROR(VLOOKUP(B2027,Заказ!B:Q,5,0),0)</f>
        <v>0</v>
      </c>
      <c r="I2027" s="84">
        <f>IFERROR(VLOOKUP(B2027,Заказ!B:Q,16,0),0)</f>
        <v>0</v>
      </c>
    </row>
    <row r="2028" spans="2:9" x14ac:dyDescent="0.25">
      <c r="B2028" s="84">
        <v>19251</v>
      </c>
      <c r="D2028" s="84" t="str">
        <f t="shared" si="34"/>
        <v/>
      </c>
      <c r="H2028" s="84">
        <f>IFERROR(VLOOKUP(B2028,Заказ!B:Q,5,0),0)</f>
        <v>0</v>
      </c>
      <c r="I2028" s="84">
        <f>IFERROR(VLOOKUP(B2028,Заказ!B:Q,16,0),0)</f>
        <v>0</v>
      </c>
    </row>
    <row r="2029" spans="2:9" x14ac:dyDescent="0.25">
      <c r="B2029" s="84">
        <v>20850</v>
      </c>
      <c r="D2029" s="84" t="str">
        <f t="shared" si="34"/>
        <v/>
      </c>
      <c r="H2029" s="84">
        <f>IFERROR(VLOOKUP(B2029,Заказ!B:Q,5,0),0)</f>
        <v>0</v>
      </c>
      <c r="I2029" s="84">
        <f>IFERROR(VLOOKUP(B2029,Заказ!B:Q,16,0),0)</f>
        <v>0</v>
      </c>
    </row>
    <row r="2030" spans="2:9" x14ac:dyDescent="0.25">
      <c r="B2030" s="84">
        <v>20849</v>
      </c>
      <c r="D2030" s="84" t="str">
        <f t="shared" si="34"/>
        <v/>
      </c>
      <c r="H2030" s="84">
        <f>IFERROR(VLOOKUP(B2030,Заказ!B:Q,5,0),0)</f>
        <v>0</v>
      </c>
      <c r="I2030" s="84">
        <f>IFERROR(VLOOKUP(B2030,Заказ!B:Q,16,0),0)</f>
        <v>0</v>
      </c>
    </row>
    <row r="2031" spans="2:9" x14ac:dyDescent="0.25">
      <c r="B2031" s="84">
        <v>19252</v>
      </c>
      <c r="D2031" s="84" t="str">
        <f t="shared" si="34"/>
        <v/>
      </c>
      <c r="H2031" s="84">
        <f>IFERROR(VLOOKUP(B2031,Заказ!B:Q,5,0),0)</f>
        <v>0</v>
      </c>
      <c r="I2031" s="84">
        <f>IFERROR(VLOOKUP(B2031,Заказ!B:Q,16,0),0)</f>
        <v>0</v>
      </c>
    </row>
    <row r="2032" spans="2:9" x14ac:dyDescent="0.25">
      <c r="B2032" s="84">
        <v>19253</v>
      </c>
      <c r="D2032" s="84" t="str">
        <f t="shared" si="34"/>
        <v/>
      </c>
      <c r="H2032" s="84">
        <f>IFERROR(VLOOKUP(B2032,Заказ!B:Q,5,0),0)</f>
        <v>0</v>
      </c>
      <c r="I2032" s="84">
        <f>IFERROR(VLOOKUP(B2032,Заказ!B:Q,16,0),0)</f>
        <v>0</v>
      </c>
    </row>
    <row r="2033" spans="2:9" x14ac:dyDescent="0.25">
      <c r="B2033" s="84">
        <v>19254</v>
      </c>
      <c r="D2033" s="84" t="str">
        <f t="shared" si="34"/>
        <v/>
      </c>
      <c r="H2033" s="84">
        <f>IFERROR(VLOOKUP(B2033,Заказ!B:Q,5,0),0)</f>
        <v>0</v>
      </c>
      <c r="I2033" s="84">
        <f>IFERROR(VLOOKUP(B2033,Заказ!B:Q,16,0),0)</f>
        <v>0</v>
      </c>
    </row>
    <row r="2034" spans="2:9" x14ac:dyDescent="0.25">
      <c r="B2034" s="84">
        <v>19348</v>
      </c>
      <c r="D2034" s="84" t="str">
        <f t="shared" si="34"/>
        <v/>
      </c>
      <c r="H2034" s="84">
        <f>IFERROR(VLOOKUP(B2034,Заказ!B:Q,5,0),0)</f>
        <v>0</v>
      </c>
      <c r="I2034" s="84">
        <f>IFERROR(VLOOKUP(B2034,Заказ!B:Q,16,0),0)</f>
        <v>0</v>
      </c>
    </row>
    <row r="2035" spans="2:9" x14ac:dyDescent="0.25">
      <c r="B2035" s="84">
        <v>19349</v>
      </c>
      <c r="D2035" s="84" t="str">
        <f t="shared" si="34"/>
        <v/>
      </c>
      <c r="H2035" s="84">
        <f>IFERROR(VLOOKUP(B2035,Заказ!B:Q,5,0),0)</f>
        <v>0</v>
      </c>
      <c r="I2035" s="84">
        <f>IFERROR(VLOOKUP(B2035,Заказ!B:Q,16,0),0)</f>
        <v>0</v>
      </c>
    </row>
    <row r="2036" spans="2:9" x14ac:dyDescent="0.25">
      <c r="B2036" s="84">
        <v>19350</v>
      </c>
      <c r="D2036" s="84" t="str">
        <f t="shared" si="34"/>
        <v/>
      </c>
      <c r="H2036" s="84">
        <f>IFERROR(VLOOKUP(B2036,Заказ!B:Q,5,0),0)</f>
        <v>0</v>
      </c>
      <c r="I2036" s="84">
        <f>IFERROR(VLOOKUP(B2036,Заказ!B:Q,16,0),0)</f>
        <v>0</v>
      </c>
    </row>
    <row r="2037" spans="2:9" x14ac:dyDescent="0.25">
      <c r="B2037" s="84">
        <v>18769</v>
      </c>
      <c r="D2037" s="84" t="str">
        <f t="shared" si="34"/>
        <v/>
      </c>
      <c r="H2037" s="84">
        <f>IFERROR(VLOOKUP(B2037,Заказ!B:Q,5,0),0)</f>
        <v>0</v>
      </c>
      <c r="I2037" s="84">
        <f>IFERROR(VLOOKUP(B2037,Заказ!B:Q,16,0),0)</f>
        <v>0</v>
      </c>
    </row>
    <row r="2038" spans="2:9" x14ac:dyDescent="0.25">
      <c r="B2038" s="84">
        <v>18771</v>
      </c>
      <c r="D2038" s="84" t="str">
        <f t="shared" si="34"/>
        <v/>
      </c>
      <c r="H2038" s="84">
        <f>IFERROR(VLOOKUP(B2038,Заказ!B:Q,5,0),0)</f>
        <v>0</v>
      </c>
      <c r="I2038" s="84">
        <f>IFERROR(VLOOKUP(B2038,Заказ!B:Q,16,0),0)</f>
        <v>0</v>
      </c>
    </row>
    <row r="2039" spans="2:9" x14ac:dyDescent="0.25">
      <c r="B2039" s="84">
        <v>18770</v>
      </c>
      <c r="D2039" s="84" t="str">
        <f t="shared" si="34"/>
        <v/>
      </c>
      <c r="H2039" s="84">
        <f>IFERROR(VLOOKUP(B2039,Заказ!B:Q,5,0),0)</f>
        <v>0</v>
      </c>
      <c r="I2039" s="84">
        <f>IFERROR(VLOOKUP(B2039,Заказ!B:Q,16,0),0)</f>
        <v>0</v>
      </c>
    </row>
    <row r="2040" spans="2:9" x14ac:dyDescent="0.25">
      <c r="B2040" s="84">
        <v>21284</v>
      </c>
      <c r="D2040" s="84" t="str">
        <f t="shared" si="34"/>
        <v/>
      </c>
      <c r="H2040" s="84">
        <f>IFERROR(VLOOKUP(B2040,Заказ!B:Q,5,0),0)</f>
        <v>0</v>
      </c>
      <c r="I2040" s="84">
        <f>IFERROR(VLOOKUP(B2040,Заказ!B:Q,16,0),0)</f>
        <v>0</v>
      </c>
    </row>
    <row r="2041" spans="2:9" x14ac:dyDescent="0.25">
      <c r="B2041" s="84">
        <v>18772</v>
      </c>
      <c r="D2041" s="84" t="str">
        <f t="shared" si="34"/>
        <v/>
      </c>
      <c r="H2041" s="84">
        <f>IFERROR(VLOOKUP(B2041,Заказ!B:Q,5,0),0)</f>
        <v>0</v>
      </c>
      <c r="I2041" s="84">
        <f>IFERROR(VLOOKUP(B2041,Заказ!B:Q,16,0),0)</f>
        <v>0</v>
      </c>
    </row>
    <row r="2042" spans="2:9" x14ac:dyDescent="0.25">
      <c r="B2042" s="84">
        <v>18327</v>
      </c>
      <c r="D2042" s="84" t="str">
        <f t="shared" si="34"/>
        <v/>
      </c>
      <c r="H2042" s="84">
        <f>IFERROR(VLOOKUP(B2042,Заказ!B:Q,5,0),0)</f>
        <v>0</v>
      </c>
      <c r="I2042" s="84">
        <f>IFERROR(VLOOKUP(B2042,Заказ!B:Q,16,0),0)</f>
        <v>0</v>
      </c>
    </row>
    <row r="2043" spans="2:9" x14ac:dyDescent="0.25">
      <c r="B2043" s="84">
        <v>18328</v>
      </c>
      <c r="D2043" s="84" t="str">
        <f t="shared" si="34"/>
        <v/>
      </c>
      <c r="H2043" s="84">
        <f>IFERROR(VLOOKUP(B2043,Заказ!B:Q,5,0),0)</f>
        <v>0</v>
      </c>
      <c r="I2043" s="84">
        <f>IFERROR(VLOOKUP(B2043,Заказ!B:Q,16,0),0)</f>
        <v>0</v>
      </c>
    </row>
    <row r="2044" spans="2:9" x14ac:dyDescent="0.25">
      <c r="B2044" s="84">
        <v>18329</v>
      </c>
      <c r="D2044" s="84" t="str">
        <f t="shared" si="34"/>
        <v/>
      </c>
      <c r="H2044" s="84">
        <f>IFERROR(VLOOKUP(B2044,Заказ!B:Q,5,0),0)</f>
        <v>0</v>
      </c>
      <c r="I2044" s="84">
        <f>IFERROR(VLOOKUP(B2044,Заказ!B:Q,16,0),0)</f>
        <v>0</v>
      </c>
    </row>
    <row r="2045" spans="2:9" x14ac:dyDescent="0.25">
      <c r="B2045" s="84">
        <v>18330</v>
      </c>
      <c r="D2045" s="84" t="str">
        <f t="shared" si="34"/>
        <v/>
      </c>
      <c r="H2045" s="84">
        <f>IFERROR(VLOOKUP(B2045,Заказ!B:Q,5,0),0)</f>
        <v>0</v>
      </c>
      <c r="I2045" s="84">
        <f>IFERROR(VLOOKUP(B2045,Заказ!B:Q,16,0),0)</f>
        <v>0</v>
      </c>
    </row>
    <row r="2046" spans="2:9" x14ac:dyDescent="0.25">
      <c r="B2046" s="84">
        <v>18331</v>
      </c>
      <c r="D2046" s="84" t="str">
        <f t="shared" si="34"/>
        <v/>
      </c>
      <c r="H2046" s="84">
        <f>IFERROR(VLOOKUP(B2046,Заказ!B:Q,5,0),0)</f>
        <v>0</v>
      </c>
      <c r="I2046" s="84">
        <f>IFERROR(VLOOKUP(B2046,Заказ!B:Q,16,0),0)</f>
        <v>0</v>
      </c>
    </row>
    <row r="2047" spans="2:9" x14ac:dyDescent="0.25">
      <c r="B2047" s="84">
        <v>18332</v>
      </c>
      <c r="D2047" s="84" t="str">
        <f t="shared" si="34"/>
        <v/>
      </c>
      <c r="H2047" s="84">
        <f>IFERROR(VLOOKUP(B2047,Заказ!B:Q,5,0),0)</f>
        <v>0</v>
      </c>
      <c r="I2047" s="84">
        <f>IFERROR(VLOOKUP(B2047,Заказ!B:Q,16,0),0)</f>
        <v>0</v>
      </c>
    </row>
    <row r="2048" spans="2:9" x14ac:dyDescent="0.25">
      <c r="B2048" s="84">
        <v>18333</v>
      </c>
      <c r="D2048" s="84" t="str">
        <f t="shared" si="34"/>
        <v/>
      </c>
      <c r="H2048" s="84">
        <f>IFERROR(VLOOKUP(B2048,Заказ!B:Q,5,0),0)</f>
        <v>0</v>
      </c>
      <c r="I2048" s="84">
        <f>IFERROR(VLOOKUP(B2048,Заказ!B:Q,16,0),0)</f>
        <v>0</v>
      </c>
    </row>
    <row r="2049" spans="2:9" x14ac:dyDescent="0.25">
      <c r="B2049" s="84">
        <v>18334</v>
      </c>
      <c r="D2049" s="84" t="str">
        <f t="shared" ref="D2049:D2103" si="35">IFERROR(ROUND(I2049/H2049,2),"")</f>
        <v/>
      </c>
      <c r="H2049" s="84">
        <f>IFERROR(VLOOKUP(B2049,Заказ!B:Q,5,0),0)</f>
        <v>0</v>
      </c>
      <c r="I2049" s="84">
        <f>IFERROR(VLOOKUP(B2049,Заказ!B:Q,16,0),0)</f>
        <v>0</v>
      </c>
    </row>
    <row r="2050" spans="2:9" x14ac:dyDescent="0.25">
      <c r="B2050" s="84">
        <v>18335</v>
      </c>
      <c r="D2050" s="84" t="str">
        <f t="shared" si="35"/>
        <v/>
      </c>
      <c r="H2050" s="84">
        <f>IFERROR(VLOOKUP(B2050,Заказ!B:Q,5,0),0)</f>
        <v>0</v>
      </c>
      <c r="I2050" s="84">
        <f>IFERROR(VLOOKUP(B2050,Заказ!B:Q,16,0),0)</f>
        <v>0</v>
      </c>
    </row>
    <row r="2051" spans="2:9" x14ac:dyDescent="0.25">
      <c r="B2051" s="84">
        <v>18234</v>
      </c>
      <c r="D2051" s="84" t="str">
        <f t="shared" si="35"/>
        <v/>
      </c>
      <c r="H2051" s="84">
        <f>IFERROR(VLOOKUP(B2051,Заказ!B:Q,5,0),0)</f>
        <v>0</v>
      </c>
      <c r="I2051" s="84">
        <f>IFERROR(VLOOKUP(B2051,Заказ!B:Q,16,0),0)</f>
        <v>0</v>
      </c>
    </row>
    <row r="2052" spans="2:9" x14ac:dyDescent="0.25">
      <c r="B2052" s="84">
        <v>14910</v>
      </c>
      <c r="D2052" s="84" t="str">
        <f t="shared" si="35"/>
        <v/>
      </c>
      <c r="H2052" s="84">
        <f>IFERROR(VLOOKUP(B2052,Заказ!B:Q,5,0),0)</f>
        <v>0</v>
      </c>
      <c r="I2052" s="84">
        <f>IFERROR(VLOOKUP(B2052,Заказ!B:Q,16,0),0)</f>
        <v>0</v>
      </c>
    </row>
    <row r="2053" spans="2:9" x14ac:dyDescent="0.25">
      <c r="B2053" s="84">
        <v>15532</v>
      </c>
      <c r="D2053" s="84" t="str">
        <f t="shared" si="35"/>
        <v/>
      </c>
      <c r="H2053" s="84">
        <f>IFERROR(VLOOKUP(B2053,Заказ!B:Q,5,0),0)</f>
        <v>0</v>
      </c>
      <c r="I2053" s="84">
        <f>IFERROR(VLOOKUP(B2053,Заказ!B:Q,16,0),0)</f>
        <v>0</v>
      </c>
    </row>
    <row r="2054" spans="2:9" x14ac:dyDescent="0.25">
      <c r="B2054" s="84">
        <v>14909</v>
      </c>
      <c r="D2054" s="84" t="str">
        <f t="shared" si="35"/>
        <v/>
      </c>
      <c r="H2054" s="84">
        <f>IFERROR(VLOOKUP(B2054,Заказ!B:Q,5,0),0)</f>
        <v>0</v>
      </c>
      <c r="I2054" s="84">
        <f>IFERROR(VLOOKUP(B2054,Заказ!B:Q,16,0),0)</f>
        <v>0</v>
      </c>
    </row>
    <row r="2055" spans="2:9" x14ac:dyDescent="0.25">
      <c r="B2055" s="84">
        <v>18943</v>
      </c>
      <c r="D2055" s="84" t="str">
        <f t="shared" si="35"/>
        <v/>
      </c>
      <c r="H2055" s="84">
        <f>IFERROR(VLOOKUP(B2055,Заказ!B:Q,5,0),0)</f>
        <v>0</v>
      </c>
      <c r="I2055" s="84">
        <f>IFERROR(VLOOKUP(B2055,Заказ!B:Q,16,0),0)</f>
        <v>0</v>
      </c>
    </row>
    <row r="2056" spans="2:9" x14ac:dyDescent="0.25">
      <c r="B2056" s="84">
        <v>19573</v>
      </c>
      <c r="D2056" s="84" t="str">
        <f t="shared" si="35"/>
        <v/>
      </c>
      <c r="H2056" s="84">
        <f>IFERROR(VLOOKUP(B2056,Заказ!B:Q,5,0),0)</f>
        <v>0</v>
      </c>
      <c r="I2056" s="84">
        <f>IFERROR(VLOOKUP(B2056,Заказ!B:Q,16,0),0)</f>
        <v>0</v>
      </c>
    </row>
    <row r="2057" spans="2:9" x14ac:dyDescent="0.25">
      <c r="B2057" s="84">
        <v>16503</v>
      </c>
      <c r="D2057" s="84" t="str">
        <f t="shared" si="35"/>
        <v/>
      </c>
      <c r="H2057" s="84">
        <f>IFERROR(VLOOKUP(B2057,Заказ!B:Q,5,0),0)</f>
        <v>0</v>
      </c>
      <c r="I2057" s="84">
        <f>IFERROR(VLOOKUP(B2057,Заказ!B:Q,16,0),0)</f>
        <v>0</v>
      </c>
    </row>
    <row r="2058" spans="2:9" x14ac:dyDescent="0.25">
      <c r="B2058" s="84">
        <v>14426</v>
      </c>
      <c r="D2058" s="84" t="str">
        <f t="shared" si="35"/>
        <v/>
      </c>
      <c r="H2058" s="84">
        <f>IFERROR(VLOOKUP(B2058,Заказ!B:Q,5,0),0)</f>
        <v>0</v>
      </c>
      <c r="I2058" s="84">
        <f>IFERROR(VLOOKUP(B2058,Заказ!B:Q,16,0),0)</f>
        <v>0</v>
      </c>
    </row>
    <row r="2059" spans="2:9" x14ac:dyDescent="0.25">
      <c r="B2059" s="84">
        <v>14427</v>
      </c>
      <c r="D2059" s="84" t="str">
        <f t="shared" si="35"/>
        <v/>
      </c>
      <c r="H2059" s="84">
        <f>IFERROR(VLOOKUP(B2059,Заказ!B:Q,5,0),0)</f>
        <v>0</v>
      </c>
      <c r="I2059" s="84">
        <f>IFERROR(VLOOKUP(B2059,Заказ!B:Q,16,0),0)</f>
        <v>0</v>
      </c>
    </row>
    <row r="2060" spans="2:9" x14ac:dyDescent="0.25">
      <c r="B2060" s="84">
        <v>16573</v>
      </c>
      <c r="D2060" s="84" t="str">
        <f t="shared" si="35"/>
        <v/>
      </c>
      <c r="H2060" s="84">
        <f>IFERROR(VLOOKUP(B2060,Заказ!B:Q,5,0),0)</f>
        <v>0</v>
      </c>
      <c r="I2060" s="84">
        <f>IFERROR(VLOOKUP(B2060,Заказ!B:Q,16,0),0)</f>
        <v>0</v>
      </c>
    </row>
    <row r="2061" spans="2:9" x14ac:dyDescent="0.25">
      <c r="B2061" s="84">
        <v>16574</v>
      </c>
      <c r="D2061" s="84" t="str">
        <f t="shared" si="35"/>
        <v/>
      </c>
      <c r="H2061" s="84">
        <f>IFERROR(VLOOKUP(B2061,Заказ!B:Q,5,0),0)</f>
        <v>0</v>
      </c>
      <c r="I2061" s="84">
        <f>IFERROR(VLOOKUP(B2061,Заказ!B:Q,16,0),0)</f>
        <v>0</v>
      </c>
    </row>
    <row r="2062" spans="2:9" x14ac:dyDescent="0.25">
      <c r="B2062" s="84">
        <v>19764</v>
      </c>
      <c r="D2062" s="84" t="str">
        <f t="shared" si="35"/>
        <v/>
      </c>
      <c r="H2062" s="84">
        <f>IFERROR(VLOOKUP(B2062,Заказ!B:Q,5,0),0)</f>
        <v>0</v>
      </c>
      <c r="I2062" s="84">
        <f>IFERROR(VLOOKUP(B2062,Заказ!B:Q,16,0),0)</f>
        <v>0</v>
      </c>
    </row>
    <row r="2063" spans="2:9" x14ac:dyDescent="0.25">
      <c r="B2063" s="84">
        <v>16576</v>
      </c>
      <c r="D2063" s="84" t="str">
        <f t="shared" si="35"/>
        <v/>
      </c>
      <c r="H2063" s="84">
        <f>IFERROR(VLOOKUP(B2063,Заказ!B:Q,5,0),0)</f>
        <v>0</v>
      </c>
      <c r="I2063" s="84">
        <f>IFERROR(VLOOKUP(B2063,Заказ!B:Q,16,0),0)</f>
        <v>0</v>
      </c>
    </row>
    <row r="2064" spans="2:9" x14ac:dyDescent="0.25">
      <c r="B2064" s="84">
        <v>16575</v>
      </c>
      <c r="D2064" s="84" t="str">
        <f t="shared" si="35"/>
        <v/>
      </c>
      <c r="H2064" s="84">
        <f>IFERROR(VLOOKUP(B2064,Заказ!B:Q,5,0),0)</f>
        <v>0</v>
      </c>
      <c r="I2064" s="84">
        <f>IFERROR(VLOOKUP(B2064,Заказ!B:Q,16,0),0)</f>
        <v>0</v>
      </c>
    </row>
    <row r="2065" spans="2:9" x14ac:dyDescent="0.25">
      <c r="B2065" s="84">
        <v>16611</v>
      </c>
      <c r="D2065" s="84" t="str">
        <f t="shared" si="35"/>
        <v/>
      </c>
      <c r="H2065" s="84">
        <f>IFERROR(VLOOKUP(B2065,Заказ!B:Q,5,0),0)</f>
        <v>0</v>
      </c>
      <c r="I2065" s="84">
        <f>IFERROR(VLOOKUP(B2065,Заказ!B:Q,16,0),0)</f>
        <v>0</v>
      </c>
    </row>
    <row r="2066" spans="2:9" x14ac:dyDescent="0.25">
      <c r="B2066" s="84">
        <v>20541</v>
      </c>
      <c r="D2066" s="84" t="str">
        <f t="shared" si="35"/>
        <v/>
      </c>
      <c r="H2066" s="84">
        <f>IFERROR(VLOOKUP(B2066,Заказ!B:Q,5,0),0)</f>
        <v>0</v>
      </c>
      <c r="I2066" s="84">
        <f>IFERROR(VLOOKUP(B2066,Заказ!B:Q,16,0),0)</f>
        <v>0</v>
      </c>
    </row>
    <row r="2067" spans="2:9" x14ac:dyDescent="0.25">
      <c r="B2067" s="84">
        <v>18073</v>
      </c>
      <c r="D2067" s="84" t="str">
        <f t="shared" si="35"/>
        <v/>
      </c>
      <c r="H2067" s="84">
        <f>IFERROR(VLOOKUP(B2067,Заказ!B:Q,5,0),0)</f>
        <v>0</v>
      </c>
      <c r="I2067" s="84">
        <f>IFERROR(VLOOKUP(B2067,Заказ!B:Q,16,0),0)</f>
        <v>0</v>
      </c>
    </row>
    <row r="2068" spans="2:9" x14ac:dyDescent="0.25">
      <c r="B2068" s="84">
        <v>16983</v>
      </c>
      <c r="D2068" s="84" t="str">
        <f t="shared" si="35"/>
        <v/>
      </c>
      <c r="H2068" s="84">
        <f>IFERROR(VLOOKUP(B2068,Заказ!B:Q,5,0),0)</f>
        <v>0</v>
      </c>
      <c r="I2068" s="84">
        <f>IFERROR(VLOOKUP(B2068,Заказ!B:Q,16,0),0)</f>
        <v>0</v>
      </c>
    </row>
    <row r="2069" spans="2:9" x14ac:dyDescent="0.25">
      <c r="B2069" s="84">
        <v>16981</v>
      </c>
      <c r="D2069" s="84" t="str">
        <f t="shared" si="35"/>
        <v/>
      </c>
      <c r="H2069" s="84">
        <f>IFERROR(VLOOKUP(B2069,Заказ!B:Q,5,0),0)</f>
        <v>0</v>
      </c>
      <c r="I2069" s="84">
        <f>IFERROR(VLOOKUP(B2069,Заказ!B:Q,16,0),0)</f>
        <v>0</v>
      </c>
    </row>
    <row r="2070" spans="2:9" x14ac:dyDescent="0.25">
      <c r="B2070" s="84">
        <v>16982</v>
      </c>
      <c r="D2070" s="84" t="str">
        <f t="shared" si="35"/>
        <v/>
      </c>
      <c r="H2070" s="84">
        <f>IFERROR(VLOOKUP(B2070,Заказ!B:Q,5,0),0)</f>
        <v>0</v>
      </c>
      <c r="I2070" s="84">
        <f>IFERROR(VLOOKUP(B2070,Заказ!B:Q,16,0),0)</f>
        <v>0</v>
      </c>
    </row>
    <row r="2071" spans="2:9" x14ac:dyDescent="0.25">
      <c r="B2071" s="84">
        <v>18074</v>
      </c>
      <c r="D2071" s="84" t="str">
        <f t="shared" si="35"/>
        <v/>
      </c>
      <c r="H2071" s="84">
        <f>IFERROR(VLOOKUP(B2071,Заказ!B:Q,5,0),0)</f>
        <v>0</v>
      </c>
      <c r="I2071" s="84">
        <f>IFERROR(VLOOKUP(B2071,Заказ!B:Q,16,0),0)</f>
        <v>0</v>
      </c>
    </row>
    <row r="2072" spans="2:9" x14ac:dyDescent="0.25">
      <c r="B2072" s="84">
        <v>16610</v>
      </c>
      <c r="D2072" s="84" t="str">
        <f t="shared" si="35"/>
        <v/>
      </c>
      <c r="H2072" s="84">
        <f>IFERROR(VLOOKUP(B2072,Заказ!B:Q,5,0),0)</f>
        <v>0</v>
      </c>
      <c r="I2072" s="84">
        <f>IFERROR(VLOOKUP(B2072,Заказ!B:Q,16,0),0)</f>
        <v>0</v>
      </c>
    </row>
    <row r="2073" spans="2:9" x14ac:dyDescent="0.25">
      <c r="B2073" s="84">
        <v>20423</v>
      </c>
      <c r="D2073" s="84" t="str">
        <f t="shared" si="35"/>
        <v/>
      </c>
      <c r="H2073" s="84">
        <f>IFERROR(VLOOKUP(B2073,Заказ!B:Q,5,0),0)</f>
        <v>0</v>
      </c>
      <c r="I2073" s="84">
        <f>IFERROR(VLOOKUP(B2073,Заказ!B:Q,16,0),0)</f>
        <v>0</v>
      </c>
    </row>
    <row r="2074" spans="2:9" x14ac:dyDescent="0.25">
      <c r="B2074" s="84">
        <v>20425</v>
      </c>
      <c r="D2074" s="84" t="str">
        <f t="shared" si="35"/>
        <v/>
      </c>
      <c r="H2074" s="84">
        <f>IFERROR(VLOOKUP(B2074,Заказ!B:Q,5,0),0)</f>
        <v>0</v>
      </c>
      <c r="I2074" s="84">
        <f>IFERROR(VLOOKUP(B2074,Заказ!B:Q,16,0),0)</f>
        <v>0</v>
      </c>
    </row>
    <row r="2075" spans="2:9" x14ac:dyDescent="0.25">
      <c r="B2075" s="84">
        <v>20424</v>
      </c>
      <c r="D2075" s="84" t="str">
        <f t="shared" si="35"/>
        <v/>
      </c>
      <c r="H2075" s="84">
        <f>IFERROR(VLOOKUP(B2075,Заказ!B:Q,5,0),0)</f>
        <v>0</v>
      </c>
      <c r="I2075" s="84">
        <f>IFERROR(VLOOKUP(B2075,Заказ!B:Q,16,0),0)</f>
        <v>0</v>
      </c>
    </row>
    <row r="2076" spans="2:9" x14ac:dyDescent="0.25">
      <c r="B2076" s="84">
        <v>20422</v>
      </c>
      <c r="D2076" s="84" t="str">
        <f t="shared" si="35"/>
        <v/>
      </c>
      <c r="H2076" s="84">
        <f>IFERROR(VLOOKUP(B2076,Заказ!B:Q,5,0),0)</f>
        <v>0</v>
      </c>
      <c r="I2076" s="84">
        <f>IFERROR(VLOOKUP(B2076,Заказ!B:Q,16,0),0)</f>
        <v>0</v>
      </c>
    </row>
    <row r="2077" spans="2:9" x14ac:dyDescent="0.25">
      <c r="B2077" s="84">
        <v>20882</v>
      </c>
      <c r="D2077" s="84" t="str">
        <f t="shared" si="35"/>
        <v/>
      </c>
      <c r="H2077" s="84">
        <f>IFERROR(VLOOKUP(B2077,Заказ!B:Q,5,0),0)</f>
        <v>0</v>
      </c>
      <c r="I2077" s="84">
        <f>IFERROR(VLOOKUP(B2077,Заказ!B:Q,16,0),0)</f>
        <v>0</v>
      </c>
    </row>
    <row r="2078" spans="2:9" x14ac:dyDescent="0.25">
      <c r="B2078" s="84">
        <v>20881</v>
      </c>
      <c r="D2078" s="84" t="str">
        <f t="shared" si="35"/>
        <v/>
      </c>
      <c r="H2078" s="84">
        <f>IFERROR(VLOOKUP(B2078,Заказ!B:Q,5,0),0)</f>
        <v>0</v>
      </c>
      <c r="I2078" s="84">
        <f>IFERROR(VLOOKUP(B2078,Заказ!B:Q,16,0),0)</f>
        <v>0</v>
      </c>
    </row>
    <row r="2079" spans="2:9" x14ac:dyDescent="0.25">
      <c r="B2079" s="84">
        <v>20883</v>
      </c>
      <c r="D2079" s="84" t="str">
        <f t="shared" si="35"/>
        <v/>
      </c>
      <c r="H2079" s="84">
        <f>IFERROR(VLOOKUP(B2079,Заказ!B:Q,5,0),0)</f>
        <v>0</v>
      </c>
      <c r="I2079" s="84">
        <f>IFERROR(VLOOKUP(B2079,Заказ!B:Q,16,0),0)</f>
        <v>0</v>
      </c>
    </row>
    <row r="2080" spans="2:9" x14ac:dyDescent="0.25">
      <c r="B2080" s="84">
        <v>20887</v>
      </c>
      <c r="D2080" s="84" t="str">
        <f t="shared" si="35"/>
        <v/>
      </c>
      <c r="H2080" s="84">
        <f>IFERROR(VLOOKUP(B2080,Заказ!B:Q,5,0),0)</f>
        <v>0</v>
      </c>
      <c r="I2080" s="84">
        <f>IFERROR(VLOOKUP(B2080,Заказ!B:Q,16,0),0)</f>
        <v>0</v>
      </c>
    </row>
    <row r="2081" spans="2:9" x14ac:dyDescent="0.25">
      <c r="B2081" s="84">
        <v>20886</v>
      </c>
      <c r="D2081" s="84" t="str">
        <f t="shared" si="35"/>
        <v/>
      </c>
      <c r="H2081" s="84">
        <f>IFERROR(VLOOKUP(B2081,Заказ!B:Q,5,0),0)</f>
        <v>0</v>
      </c>
      <c r="I2081" s="84">
        <f>IFERROR(VLOOKUP(B2081,Заказ!B:Q,16,0),0)</f>
        <v>0</v>
      </c>
    </row>
    <row r="2082" spans="2:9" x14ac:dyDescent="0.25">
      <c r="B2082" s="84">
        <v>20884</v>
      </c>
      <c r="D2082" s="84" t="str">
        <f t="shared" si="35"/>
        <v/>
      </c>
      <c r="H2082" s="84">
        <f>IFERROR(VLOOKUP(B2082,Заказ!B:Q,5,0),0)</f>
        <v>0</v>
      </c>
      <c r="I2082" s="84">
        <f>IFERROR(VLOOKUP(B2082,Заказ!B:Q,16,0),0)</f>
        <v>0</v>
      </c>
    </row>
    <row r="2083" spans="2:9" x14ac:dyDescent="0.25">
      <c r="B2083" s="84">
        <v>20885</v>
      </c>
      <c r="D2083" s="84" t="str">
        <f t="shared" si="35"/>
        <v/>
      </c>
      <c r="H2083" s="84">
        <f>IFERROR(VLOOKUP(B2083,Заказ!B:Q,5,0),0)</f>
        <v>0</v>
      </c>
      <c r="I2083" s="84">
        <f>IFERROR(VLOOKUP(B2083,Заказ!B:Q,16,0),0)</f>
        <v>0</v>
      </c>
    </row>
    <row r="2084" spans="2:9" x14ac:dyDescent="0.25">
      <c r="B2084" s="84">
        <v>20890</v>
      </c>
      <c r="D2084" s="84" t="str">
        <f t="shared" si="35"/>
        <v/>
      </c>
      <c r="H2084" s="84">
        <f>IFERROR(VLOOKUP(B2084,Заказ!B:Q,5,0),0)</f>
        <v>0</v>
      </c>
      <c r="I2084" s="84">
        <f>IFERROR(VLOOKUP(B2084,Заказ!B:Q,16,0),0)</f>
        <v>0</v>
      </c>
    </row>
    <row r="2085" spans="2:9" x14ac:dyDescent="0.25">
      <c r="B2085" s="84">
        <v>20889</v>
      </c>
      <c r="D2085" s="84" t="str">
        <f t="shared" si="35"/>
        <v/>
      </c>
      <c r="H2085" s="84">
        <f>IFERROR(VLOOKUP(B2085,Заказ!B:Q,5,0),0)</f>
        <v>0</v>
      </c>
      <c r="I2085" s="84">
        <f>IFERROR(VLOOKUP(B2085,Заказ!B:Q,16,0),0)</f>
        <v>0</v>
      </c>
    </row>
    <row r="2086" spans="2:9" x14ac:dyDescent="0.25">
      <c r="B2086" s="84">
        <v>20892</v>
      </c>
      <c r="D2086" s="84" t="str">
        <f t="shared" si="35"/>
        <v/>
      </c>
      <c r="H2086" s="84">
        <f>IFERROR(VLOOKUP(B2086,Заказ!B:Q,5,0),0)</f>
        <v>0</v>
      </c>
      <c r="I2086" s="84">
        <f>IFERROR(VLOOKUP(B2086,Заказ!B:Q,16,0),0)</f>
        <v>0</v>
      </c>
    </row>
    <row r="2087" spans="2:9" x14ac:dyDescent="0.25">
      <c r="B2087" s="84">
        <v>20891</v>
      </c>
      <c r="D2087" s="84" t="str">
        <f t="shared" si="35"/>
        <v/>
      </c>
      <c r="H2087" s="84">
        <f>IFERROR(VLOOKUP(B2087,Заказ!B:Q,5,0),0)</f>
        <v>0</v>
      </c>
      <c r="I2087" s="84">
        <f>IFERROR(VLOOKUP(B2087,Заказ!B:Q,16,0),0)</f>
        <v>0</v>
      </c>
    </row>
    <row r="2088" spans="2:9" x14ac:dyDescent="0.25">
      <c r="B2088" s="84">
        <v>20893</v>
      </c>
      <c r="D2088" s="84" t="str">
        <f t="shared" si="35"/>
        <v/>
      </c>
      <c r="H2088" s="84">
        <f>IFERROR(VLOOKUP(B2088,Заказ!B:Q,5,0),0)</f>
        <v>0</v>
      </c>
      <c r="I2088" s="84">
        <f>IFERROR(VLOOKUP(B2088,Заказ!B:Q,16,0),0)</f>
        <v>0</v>
      </c>
    </row>
    <row r="2089" spans="2:9" x14ac:dyDescent="0.25">
      <c r="B2089" s="84">
        <v>20888</v>
      </c>
      <c r="D2089" s="84" t="str">
        <f t="shared" si="35"/>
        <v/>
      </c>
      <c r="H2089" s="84">
        <f>IFERROR(VLOOKUP(B2089,Заказ!B:Q,5,0),0)</f>
        <v>0</v>
      </c>
      <c r="I2089" s="84">
        <f>IFERROR(VLOOKUP(B2089,Заказ!B:Q,16,0),0)</f>
        <v>0</v>
      </c>
    </row>
    <row r="2090" spans="2:9" x14ac:dyDescent="0.25">
      <c r="B2090" s="84">
        <v>20311</v>
      </c>
      <c r="D2090" s="84" t="str">
        <f t="shared" si="35"/>
        <v/>
      </c>
      <c r="H2090" s="84">
        <f>IFERROR(VLOOKUP(B2090,Заказ!B:Q,5,0),0)</f>
        <v>0</v>
      </c>
      <c r="I2090" s="84">
        <f>IFERROR(VLOOKUP(B2090,Заказ!B:Q,16,0),0)</f>
        <v>0</v>
      </c>
    </row>
    <row r="2091" spans="2:9" x14ac:dyDescent="0.25">
      <c r="B2091" s="84">
        <v>20312</v>
      </c>
      <c r="D2091" s="84" t="str">
        <f t="shared" si="35"/>
        <v/>
      </c>
      <c r="H2091" s="84">
        <f>IFERROR(VLOOKUP(B2091,Заказ!B:Q,5,0),0)</f>
        <v>0</v>
      </c>
      <c r="I2091" s="84">
        <f>IFERROR(VLOOKUP(B2091,Заказ!B:Q,16,0),0)</f>
        <v>0</v>
      </c>
    </row>
    <row r="2092" spans="2:9" x14ac:dyDescent="0.25">
      <c r="B2092" s="84">
        <v>17742</v>
      </c>
      <c r="D2092" s="84" t="str">
        <f t="shared" si="35"/>
        <v/>
      </c>
      <c r="H2092" s="84">
        <f>IFERROR(VLOOKUP(B2092,Заказ!B:Q,5,0),0)</f>
        <v>0</v>
      </c>
      <c r="I2092" s="84">
        <f>IFERROR(VLOOKUP(B2092,Заказ!B:Q,16,0),0)</f>
        <v>0</v>
      </c>
    </row>
    <row r="2093" spans="2:9" x14ac:dyDescent="0.25">
      <c r="B2093" s="84">
        <v>17743</v>
      </c>
      <c r="D2093" s="84" t="str">
        <f t="shared" si="35"/>
        <v/>
      </c>
      <c r="H2093" s="84">
        <f>IFERROR(VLOOKUP(B2093,Заказ!B:Q,5,0),0)</f>
        <v>0</v>
      </c>
      <c r="I2093" s="84">
        <f>IFERROR(VLOOKUP(B2093,Заказ!B:Q,16,0),0)</f>
        <v>0</v>
      </c>
    </row>
    <row r="2094" spans="2:9" x14ac:dyDescent="0.25">
      <c r="B2094" s="84">
        <v>17827</v>
      </c>
      <c r="D2094" s="84" t="str">
        <f t="shared" si="35"/>
        <v/>
      </c>
      <c r="H2094" s="84">
        <f>IFERROR(VLOOKUP(B2094,Заказ!B:Q,5,0),0)</f>
        <v>0</v>
      </c>
      <c r="I2094" s="84">
        <f>IFERROR(VLOOKUP(B2094,Заказ!B:Q,16,0),0)</f>
        <v>0</v>
      </c>
    </row>
    <row r="2095" spans="2:9" x14ac:dyDescent="0.25">
      <c r="B2095" s="84">
        <v>17826</v>
      </c>
      <c r="D2095" s="84" t="str">
        <f t="shared" si="35"/>
        <v/>
      </c>
      <c r="H2095" s="84">
        <f>IFERROR(VLOOKUP(B2095,Заказ!B:Q,5,0),0)</f>
        <v>0</v>
      </c>
      <c r="I2095" s="84">
        <f>IFERROR(VLOOKUP(B2095,Заказ!B:Q,16,0),0)</f>
        <v>0</v>
      </c>
    </row>
    <row r="2096" spans="2:9" x14ac:dyDescent="0.25">
      <c r="B2096" s="84">
        <v>17830</v>
      </c>
      <c r="D2096" s="84" t="str">
        <f t="shared" si="35"/>
        <v/>
      </c>
      <c r="H2096" s="84">
        <f>IFERROR(VLOOKUP(B2096,Заказ!B:Q,5,0),0)</f>
        <v>0</v>
      </c>
      <c r="I2096" s="84">
        <f>IFERROR(VLOOKUP(B2096,Заказ!B:Q,16,0),0)</f>
        <v>0</v>
      </c>
    </row>
    <row r="2097" spans="2:9" x14ac:dyDescent="0.25">
      <c r="B2097" s="84">
        <v>17831</v>
      </c>
      <c r="D2097" s="84" t="str">
        <f t="shared" si="35"/>
        <v/>
      </c>
      <c r="H2097" s="84">
        <f>IFERROR(VLOOKUP(B2097,Заказ!B:Q,5,0),0)</f>
        <v>0</v>
      </c>
      <c r="I2097" s="84">
        <f>IFERROR(VLOOKUP(B2097,Заказ!B:Q,16,0),0)</f>
        <v>0</v>
      </c>
    </row>
    <row r="2098" spans="2:9" x14ac:dyDescent="0.25">
      <c r="B2098" s="84">
        <v>20525</v>
      </c>
      <c r="D2098" s="84" t="str">
        <f t="shared" si="35"/>
        <v/>
      </c>
      <c r="H2098" s="84">
        <f>IFERROR(VLOOKUP(B2098,Заказ!B:Q,5,0),0)</f>
        <v>0</v>
      </c>
      <c r="I2098" s="84">
        <f>IFERROR(VLOOKUP(B2098,Заказ!B:Q,16,0),0)</f>
        <v>0</v>
      </c>
    </row>
    <row r="2099" spans="2:9" x14ac:dyDescent="0.25">
      <c r="B2099" s="84">
        <v>17979</v>
      </c>
      <c r="D2099" s="84" t="str">
        <f t="shared" si="35"/>
        <v/>
      </c>
      <c r="H2099" s="84">
        <f>IFERROR(VLOOKUP(B2099,Заказ!B:Q,5,0),0)</f>
        <v>0</v>
      </c>
      <c r="I2099" s="84">
        <f>IFERROR(VLOOKUP(B2099,Заказ!B:Q,16,0),0)</f>
        <v>0</v>
      </c>
    </row>
    <row r="2100" spans="2:9" x14ac:dyDescent="0.25">
      <c r="B2100" s="84">
        <v>17980</v>
      </c>
      <c r="D2100" s="84" t="str">
        <f t="shared" si="35"/>
        <v/>
      </c>
      <c r="H2100" s="84">
        <f>IFERROR(VLOOKUP(B2100,Заказ!B:Q,5,0),0)</f>
        <v>0</v>
      </c>
      <c r="I2100" s="84">
        <f>IFERROR(VLOOKUP(B2100,Заказ!B:Q,16,0),0)</f>
        <v>0</v>
      </c>
    </row>
    <row r="2101" spans="2:9" x14ac:dyDescent="0.25">
      <c r="B2101" s="84">
        <v>21480</v>
      </c>
      <c r="D2101" s="84" t="str">
        <f t="shared" si="35"/>
        <v/>
      </c>
      <c r="H2101" s="84">
        <f>IFERROR(VLOOKUP(B2101,Заказ!B:Q,5,0),0)</f>
        <v>0</v>
      </c>
      <c r="I2101" s="84">
        <f>IFERROR(VLOOKUP(B2101,Заказ!B:Q,16,0),0)</f>
        <v>0</v>
      </c>
    </row>
    <row r="2102" spans="2:9" x14ac:dyDescent="0.25">
      <c r="B2102" s="84">
        <v>21479</v>
      </c>
      <c r="D2102" s="84" t="str">
        <f t="shared" si="35"/>
        <v/>
      </c>
      <c r="H2102" s="84">
        <f>IFERROR(VLOOKUP(B2102,Заказ!B:Q,5,0),0)</f>
        <v>0</v>
      </c>
      <c r="I2102" s="84">
        <f>IFERROR(VLOOKUP(B2102,Заказ!B:Q,16,0),0)</f>
        <v>0</v>
      </c>
    </row>
    <row r="2103" spans="2:9" x14ac:dyDescent="0.25">
      <c r="B2103" s="84">
        <v>21481</v>
      </c>
      <c r="D2103" s="84" t="str">
        <f t="shared" si="35"/>
        <v/>
      </c>
      <c r="H2103" s="84">
        <f>IFERROR(VLOOKUP(B2103,Заказ!B:Q,5,0),0)</f>
        <v>0</v>
      </c>
      <c r="I2103" s="84">
        <f>IFERROR(VLOOKUP(B2103,Заказ!B:Q,16,0),0)</f>
        <v>0</v>
      </c>
    </row>
    <row r="2104" spans="2:9" x14ac:dyDescent="0.25">
      <c r="B2104" s="84">
        <v>21483</v>
      </c>
      <c r="D2104" s="84" t="str">
        <f t="shared" ref="D2104:D2110" si="36">IFERROR(ROUND(I2104/H2104,2),"")</f>
        <v/>
      </c>
      <c r="H2104" s="84">
        <f>IFERROR(VLOOKUP(B2104,Заказ!B:Q,5,0),0)</f>
        <v>0</v>
      </c>
      <c r="I2104" s="84">
        <f>IFERROR(VLOOKUP(B2104,Заказ!B:Q,16,0),0)</f>
        <v>0</v>
      </c>
    </row>
    <row r="2105" spans="2:9" x14ac:dyDescent="0.25">
      <c r="B2105" s="84">
        <v>21482</v>
      </c>
      <c r="D2105" s="84" t="str">
        <f t="shared" si="36"/>
        <v/>
      </c>
      <c r="H2105" s="84">
        <f>IFERROR(VLOOKUP(B2105,Заказ!B:Q,5,0),0)</f>
        <v>0</v>
      </c>
      <c r="I2105" s="84">
        <f>IFERROR(VLOOKUP(B2105,Заказ!B:Q,16,0),0)</f>
        <v>0</v>
      </c>
    </row>
    <row r="2106" spans="2:9" x14ac:dyDescent="0.25">
      <c r="B2106" s="84">
        <v>21583</v>
      </c>
      <c r="D2106" s="84" t="str">
        <f t="shared" si="36"/>
        <v/>
      </c>
      <c r="H2106" s="84">
        <f>IFERROR(VLOOKUP(B2106,Заказ!B:Q,5,0),0)</f>
        <v>0</v>
      </c>
      <c r="I2106" s="84">
        <f>IFERROR(VLOOKUP(B2106,Заказ!B:Q,16,0),0)</f>
        <v>0</v>
      </c>
    </row>
    <row r="2107" spans="2:9" x14ac:dyDescent="0.25">
      <c r="B2107" s="84">
        <v>21484</v>
      </c>
      <c r="D2107" s="84" t="str">
        <f t="shared" si="36"/>
        <v/>
      </c>
      <c r="H2107" s="84">
        <f>IFERROR(VLOOKUP(B2107,Заказ!B:Q,5,0),0)</f>
        <v>0</v>
      </c>
      <c r="I2107" s="84">
        <f>IFERROR(VLOOKUP(B2107,Заказ!B:Q,16,0),0)</f>
        <v>0</v>
      </c>
    </row>
    <row r="2108" spans="2:9" x14ac:dyDescent="0.25">
      <c r="B2108" s="84">
        <v>21584</v>
      </c>
      <c r="D2108" s="84" t="str">
        <f t="shared" si="36"/>
        <v/>
      </c>
      <c r="H2108" s="84">
        <f>IFERROR(VLOOKUP(B2108,Заказ!B:Q,5,0),0)</f>
        <v>0</v>
      </c>
      <c r="I2108" s="84">
        <f>IFERROR(VLOOKUP(B2108,Заказ!B:Q,16,0),0)</f>
        <v>0</v>
      </c>
    </row>
    <row r="2109" spans="2:9" x14ac:dyDescent="0.25">
      <c r="B2109" s="84">
        <v>21585</v>
      </c>
      <c r="D2109" s="84" t="str">
        <f t="shared" si="36"/>
        <v/>
      </c>
      <c r="H2109" s="84">
        <f>IFERROR(VLOOKUP(B2109,Заказ!B:Q,5,0),0)</f>
        <v>0</v>
      </c>
      <c r="I2109" s="84">
        <f>IFERROR(VLOOKUP(B2109,Заказ!B:Q,16,0),0)</f>
        <v>0</v>
      </c>
    </row>
    <row r="2110" spans="2:9" x14ac:dyDescent="0.25">
      <c r="B2110" s="84">
        <v>20938</v>
      </c>
      <c r="D2110" s="84" t="str">
        <f t="shared" si="36"/>
        <v/>
      </c>
      <c r="H2110" s="84">
        <f>IFERROR(VLOOKUP(B2110,Заказ!B:Q,5,0),0)</f>
        <v>0</v>
      </c>
      <c r="I2110" s="84">
        <f>IFERROR(VLOOKUP(B2110,Заказ!B:Q,16,0),0)</f>
        <v>0</v>
      </c>
    </row>
    <row r="2111" spans="2:9" x14ac:dyDescent="0.25">
      <c r="B2111" s="84">
        <v>20937</v>
      </c>
      <c r="D2111" s="84" t="str">
        <f t="shared" ref="D2111:D2159" si="37">IFERROR(ROUND(I2111/H2111,2),"")</f>
        <v/>
      </c>
      <c r="H2111" s="84">
        <f>IFERROR(VLOOKUP(B2111,Заказ!B:Q,5,0),0)</f>
        <v>0</v>
      </c>
      <c r="I2111" s="84">
        <f>IFERROR(VLOOKUP(B2111,Заказ!B:Q,16,0),0)</f>
        <v>0</v>
      </c>
    </row>
    <row r="2112" spans="2:9" x14ac:dyDescent="0.25">
      <c r="B2112" s="84">
        <v>20939</v>
      </c>
      <c r="D2112" s="84" t="str">
        <f t="shared" si="37"/>
        <v/>
      </c>
      <c r="H2112" s="84">
        <f>IFERROR(VLOOKUP(B2112,Заказ!B:Q,5,0),0)</f>
        <v>0</v>
      </c>
      <c r="I2112" s="84">
        <f>IFERROR(VLOOKUP(B2112,Заказ!B:Q,16,0),0)</f>
        <v>0</v>
      </c>
    </row>
    <row r="2113" spans="2:9" x14ac:dyDescent="0.25">
      <c r="B2113" s="84">
        <v>20936</v>
      </c>
      <c r="D2113" s="84" t="str">
        <f t="shared" si="37"/>
        <v/>
      </c>
      <c r="H2113" s="84">
        <f>IFERROR(VLOOKUP(B2113,Заказ!B:Q,5,0),0)</f>
        <v>0</v>
      </c>
      <c r="I2113" s="84">
        <f>IFERROR(VLOOKUP(B2113,Заказ!B:Q,16,0),0)</f>
        <v>0</v>
      </c>
    </row>
    <row r="2114" spans="2:9" x14ac:dyDescent="0.25">
      <c r="B2114" s="84">
        <v>18190</v>
      </c>
      <c r="D2114" s="84" t="str">
        <f t="shared" si="37"/>
        <v/>
      </c>
      <c r="H2114" s="84">
        <f>IFERROR(VLOOKUP(B2114,Заказ!B:Q,5,0),0)</f>
        <v>0</v>
      </c>
      <c r="I2114" s="84">
        <f>IFERROR(VLOOKUP(B2114,Заказ!B:Q,16,0),0)</f>
        <v>0</v>
      </c>
    </row>
    <row r="2115" spans="2:9" x14ac:dyDescent="0.25">
      <c r="B2115" s="84">
        <v>18155</v>
      </c>
      <c r="D2115" s="84" t="str">
        <f t="shared" si="37"/>
        <v/>
      </c>
      <c r="H2115" s="84">
        <f>IFERROR(VLOOKUP(B2115,Заказ!B:Q,5,0),0)</f>
        <v>0</v>
      </c>
      <c r="I2115" s="84">
        <f>IFERROR(VLOOKUP(B2115,Заказ!B:Q,16,0),0)</f>
        <v>0</v>
      </c>
    </row>
    <row r="2116" spans="2:9" x14ac:dyDescent="0.25">
      <c r="B2116" s="84">
        <v>18157</v>
      </c>
      <c r="D2116" s="84" t="str">
        <f t="shared" si="37"/>
        <v/>
      </c>
      <c r="H2116" s="84">
        <f>IFERROR(VLOOKUP(B2116,Заказ!B:Q,5,0),0)</f>
        <v>0</v>
      </c>
      <c r="I2116" s="84">
        <f>IFERROR(VLOOKUP(B2116,Заказ!B:Q,16,0),0)</f>
        <v>0</v>
      </c>
    </row>
    <row r="2117" spans="2:9" x14ac:dyDescent="0.25">
      <c r="B2117" s="84">
        <v>19792</v>
      </c>
      <c r="D2117" s="84" t="str">
        <f t="shared" si="37"/>
        <v/>
      </c>
      <c r="H2117" s="84">
        <f>IFERROR(VLOOKUP(B2117,Заказ!B:Q,5,0),0)</f>
        <v>0</v>
      </c>
      <c r="I2117" s="84">
        <f>IFERROR(VLOOKUP(B2117,Заказ!B:Q,16,0),0)</f>
        <v>0</v>
      </c>
    </row>
    <row r="2118" spans="2:9" x14ac:dyDescent="0.25">
      <c r="B2118" s="84">
        <v>21054</v>
      </c>
      <c r="D2118" s="84" t="str">
        <f t="shared" si="37"/>
        <v/>
      </c>
      <c r="H2118" s="84">
        <f>IFERROR(VLOOKUP(B2118,Заказ!B:Q,5,0),0)</f>
        <v>0</v>
      </c>
      <c r="I2118" s="84">
        <f>IFERROR(VLOOKUP(B2118,Заказ!B:Q,16,0),0)</f>
        <v>0</v>
      </c>
    </row>
    <row r="2119" spans="2:9" x14ac:dyDescent="0.25">
      <c r="B2119" s="84">
        <v>19791</v>
      </c>
      <c r="D2119" s="84" t="str">
        <f t="shared" si="37"/>
        <v/>
      </c>
      <c r="H2119" s="84">
        <f>IFERROR(VLOOKUP(B2119,Заказ!B:Q,5,0),0)</f>
        <v>0</v>
      </c>
      <c r="I2119" s="84">
        <f>IFERROR(VLOOKUP(B2119,Заказ!B:Q,16,0),0)</f>
        <v>0</v>
      </c>
    </row>
    <row r="2120" spans="2:9" x14ac:dyDescent="0.25">
      <c r="B2120" s="84">
        <v>20306</v>
      </c>
      <c r="D2120" s="84" t="str">
        <f t="shared" si="37"/>
        <v/>
      </c>
      <c r="H2120" s="84">
        <f>IFERROR(VLOOKUP(B2120,Заказ!B:Q,5,0),0)</f>
        <v>0</v>
      </c>
      <c r="I2120" s="84">
        <f>IFERROR(VLOOKUP(B2120,Заказ!B:Q,16,0),0)</f>
        <v>0</v>
      </c>
    </row>
    <row r="2121" spans="2:9" x14ac:dyDescent="0.25">
      <c r="B2121" s="84">
        <v>20307</v>
      </c>
      <c r="D2121" s="84" t="str">
        <f t="shared" si="37"/>
        <v/>
      </c>
      <c r="H2121" s="84">
        <f>IFERROR(VLOOKUP(B2121,Заказ!B:Q,5,0),0)</f>
        <v>0</v>
      </c>
      <c r="I2121" s="84">
        <f>IFERROR(VLOOKUP(B2121,Заказ!B:Q,16,0),0)</f>
        <v>0</v>
      </c>
    </row>
    <row r="2122" spans="2:9" x14ac:dyDescent="0.25">
      <c r="B2122" s="84">
        <v>19790</v>
      </c>
      <c r="D2122" s="84" t="str">
        <f t="shared" si="37"/>
        <v/>
      </c>
      <c r="H2122" s="84">
        <f>IFERROR(VLOOKUP(B2122,Заказ!B:Q,5,0),0)</f>
        <v>0</v>
      </c>
      <c r="I2122" s="84">
        <f>IFERROR(VLOOKUP(B2122,Заказ!B:Q,16,0),0)</f>
        <v>0</v>
      </c>
    </row>
    <row r="2123" spans="2:9" x14ac:dyDescent="0.25">
      <c r="B2123" s="84">
        <v>19789</v>
      </c>
      <c r="D2123" s="84" t="str">
        <f t="shared" si="37"/>
        <v/>
      </c>
      <c r="H2123" s="84">
        <f>IFERROR(VLOOKUP(B2123,Заказ!B:Q,5,0),0)</f>
        <v>0</v>
      </c>
      <c r="I2123" s="84">
        <f>IFERROR(VLOOKUP(B2123,Заказ!B:Q,16,0),0)</f>
        <v>0</v>
      </c>
    </row>
    <row r="2124" spans="2:9" x14ac:dyDescent="0.25">
      <c r="B2124" s="84">
        <v>19788</v>
      </c>
      <c r="D2124" s="84" t="str">
        <f t="shared" si="37"/>
        <v/>
      </c>
      <c r="H2124" s="84">
        <f>IFERROR(VLOOKUP(B2124,Заказ!B:Q,5,0),0)</f>
        <v>0</v>
      </c>
      <c r="I2124" s="84">
        <f>IFERROR(VLOOKUP(B2124,Заказ!B:Q,16,0),0)</f>
        <v>0</v>
      </c>
    </row>
    <row r="2125" spans="2:9" x14ac:dyDescent="0.25">
      <c r="B2125" s="84">
        <v>20544</v>
      </c>
      <c r="D2125" s="84" t="str">
        <f t="shared" si="37"/>
        <v/>
      </c>
      <c r="H2125" s="84">
        <f>IFERROR(VLOOKUP(B2125,Заказ!B:Q,5,0),0)</f>
        <v>0</v>
      </c>
      <c r="I2125" s="84">
        <f>IFERROR(VLOOKUP(B2125,Заказ!B:Q,16,0),0)</f>
        <v>0</v>
      </c>
    </row>
    <row r="2126" spans="2:9" x14ac:dyDescent="0.25">
      <c r="B2126" s="84">
        <v>20545</v>
      </c>
      <c r="D2126" s="84" t="str">
        <f t="shared" si="37"/>
        <v/>
      </c>
      <c r="H2126" s="84">
        <f>IFERROR(VLOOKUP(B2126,Заказ!B:Q,5,0),0)</f>
        <v>0</v>
      </c>
      <c r="I2126" s="84">
        <f>IFERROR(VLOOKUP(B2126,Заказ!B:Q,16,0),0)</f>
        <v>0</v>
      </c>
    </row>
    <row r="2127" spans="2:9" x14ac:dyDescent="0.25">
      <c r="B2127" s="84">
        <v>20752</v>
      </c>
      <c r="D2127" s="84" t="str">
        <f t="shared" si="37"/>
        <v/>
      </c>
      <c r="H2127" s="84">
        <f>IFERROR(VLOOKUP(B2127,Заказ!B:Q,5,0),0)</f>
        <v>0</v>
      </c>
      <c r="I2127" s="84">
        <f>IFERROR(VLOOKUP(B2127,Заказ!B:Q,16,0),0)</f>
        <v>0</v>
      </c>
    </row>
    <row r="2128" spans="2:9" x14ac:dyDescent="0.25">
      <c r="B2128" s="84">
        <v>19661</v>
      </c>
      <c r="D2128" s="84" t="str">
        <f t="shared" si="37"/>
        <v/>
      </c>
      <c r="H2128" s="84">
        <f>IFERROR(VLOOKUP(B2128,Заказ!B:Q,5,0),0)</f>
        <v>0</v>
      </c>
      <c r="I2128" s="84">
        <f>IFERROR(VLOOKUP(B2128,Заказ!B:Q,16,0),0)</f>
        <v>0</v>
      </c>
    </row>
    <row r="2129" spans="2:9" x14ac:dyDescent="0.25">
      <c r="B2129" s="84">
        <v>21177</v>
      </c>
      <c r="D2129" s="84" t="str">
        <f t="shared" si="37"/>
        <v/>
      </c>
      <c r="H2129" s="84">
        <f>IFERROR(VLOOKUP(B2129,Заказ!B:Q,5,0),0)</f>
        <v>0</v>
      </c>
      <c r="I2129" s="84">
        <f>IFERROR(VLOOKUP(B2129,Заказ!B:Q,16,0),0)</f>
        <v>0</v>
      </c>
    </row>
    <row r="2130" spans="2:9" x14ac:dyDescent="0.25">
      <c r="B2130" s="84">
        <v>21178</v>
      </c>
      <c r="D2130" s="84" t="str">
        <f t="shared" si="37"/>
        <v/>
      </c>
      <c r="H2130" s="84">
        <f>IFERROR(VLOOKUP(B2130,Заказ!B:Q,5,0),0)</f>
        <v>0</v>
      </c>
      <c r="I2130" s="84">
        <f>IFERROR(VLOOKUP(B2130,Заказ!B:Q,16,0),0)</f>
        <v>0</v>
      </c>
    </row>
    <row r="2131" spans="2:9" x14ac:dyDescent="0.25">
      <c r="B2131" s="84">
        <v>21179</v>
      </c>
      <c r="D2131" s="84" t="str">
        <f t="shared" si="37"/>
        <v/>
      </c>
      <c r="H2131" s="84">
        <f>IFERROR(VLOOKUP(B2131,Заказ!B:Q,5,0),0)</f>
        <v>0</v>
      </c>
      <c r="I2131" s="84">
        <f>IFERROR(VLOOKUP(B2131,Заказ!B:Q,16,0),0)</f>
        <v>0</v>
      </c>
    </row>
    <row r="2132" spans="2:9" x14ac:dyDescent="0.25">
      <c r="B2132" s="84">
        <v>15918</v>
      </c>
      <c r="D2132" s="84" t="str">
        <f t="shared" si="37"/>
        <v/>
      </c>
      <c r="H2132" s="84">
        <f>IFERROR(VLOOKUP(B2132,Заказ!B:Q,5,0),0)</f>
        <v>0</v>
      </c>
      <c r="I2132" s="84">
        <f>IFERROR(VLOOKUP(B2132,Заказ!B:Q,16,0),0)</f>
        <v>0</v>
      </c>
    </row>
    <row r="2133" spans="2:9" x14ac:dyDescent="0.25">
      <c r="B2133" s="84">
        <v>19662</v>
      </c>
      <c r="D2133" s="84" t="str">
        <f t="shared" si="37"/>
        <v/>
      </c>
      <c r="H2133" s="84">
        <f>IFERROR(VLOOKUP(B2133,Заказ!B:Q,5,0),0)</f>
        <v>0</v>
      </c>
      <c r="I2133" s="84">
        <f>IFERROR(VLOOKUP(B2133,Заказ!B:Q,16,0),0)</f>
        <v>0</v>
      </c>
    </row>
    <row r="2134" spans="2:9" x14ac:dyDescent="0.25">
      <c r="B2134" s="84">
        <v>15921</v>
      </c>
      <c r="D2134" s="84" t="str">
        <f t="shared" si="37"/>
        <v/>
      </c>
      <c r="H2134" s="84">
        <f>IFERROR(VLOOKUP(B2134,Заказ!B:Q,5,0),0)</f>
        <v>0</v>
      </c>
      <c r="I2134" s="84">
        <f>IFERROR(VLOOKUP(B2134,Заказ!B:Q,16,0),0)</f>
        <v>0</v>
      </c>
    </row>
    <row r="2135" spans="2:9" x14ac:dyDescent="0.25">
      <c r="B2135" s="84">
        <v>18441</v>
      </c>
      <c r="D2135" s="84" t="str">
        <f t="shared" si="37"/>
        <v/>
      </c>
      <c r="H2135" s="84">
        <f>IFERROR(VLOOKUP(B2135,Заказ!B:Q,5,0),0)</f>
        <v>0</v>
      </c>
      <c r="I2135" s="84">
        <f>IFERROR(VLOOKUP(B2135,Заказ!B:Q,16,0),0)</f>
        <v>0</v>
      </c>
    </row>
    <row r="2136" spans="2:9" x14ac:dyDescent="0.25">
      <c r="B2136" s="84">
        <v>16327</v>
      </c>
      <c r="D2136" s="84" t="str">
        <f t="shared" si="37"/>
        <v/>
      </c>
      <c r="H2136" s="84">
        <f>IFERROR(VLOOKUP(B2136,Заказ!B:Q,5,0),0)</f>
        <v>0</v>
      </c>
      <c r="I2136" s="84">
        <f>IFERROR(VLOOKUP(B2136,Заказ!B:Q,16,0),0)</f>
        <v>0</v>
      </c>
    </row>
    <row r="2137" spans="2:9" x14ac:dyDescent="0.25">
      <c r="B2137" s="84">
        <v>19663</v>
      </c>
      <c r="D2137" s="84" t="str">
        <f t="shared" si="37"/>
        <v/>
      </c>
      <c r="H2137" s="84">
        <f>IFERROR(VLOOKUP(B2137,Заказ!B:Q,5,0),0)</f>
        <v>0</v>
      </c>
      <c r="I2137" s="84">
        <f>IFERROR(VLOOKUP(B2137,Заказ!B:Q,16,0),0)</f>
        <v>0</v>
      </c>
    </row>
    <row r="2138" spans="2:9" x14ac:dyDescent="0.25">
      <c r="B2138" s="84">
        <v>15919</v>
      </c>
      <c r="D2138" s="84" t="str">
        <f t="shared" si="37"/>
        <v/>
      </c>
      <c r="H2138" s="84">
        <f>IFERROR(VLOOKUP(B2138,Заказ!B:Q,5,0),0)</f>
        <v>0</v>
      </c>
      <c r="I2138" s="84">
        <f>IFERROR(VLOOKUP(B2138,Заказ!B:Q,16,0),0)</f>
        <v>0</v>
      </c>
    </row>
    <row r="2139" spans="2:9" x14ac:dyDescent="0.25">
      <c r="B2139" s="84">
        <v>15920</v>
      </c>
      <c r="D2139" s="84" t="str">
        <f t="shared" si="37"/>
        <v/>
      </c>
      <c r="H2139" s="84">
        <f>IFERROR(VLOOKUP(B2139,Заказ!B:Q,5,0),0)</f>
        <v>0</v>
      </c>
      <c r="I2139" s="84">
        <f>IFERROR(VLOOKUP(B2139,Заказ!B:Q,16,0),0)</f>
        <v>0</v>
      </c>
    </row>
    <row r="2140" spans="2:9" x14ac:dyDescent="0.25">
      <c r="B2140" s="84">
        <v>11986</v>
      </c>
      <c r="D2140" s="84" t="str">
        <f t="shared" si="37"/>
        <v/>
      </c>
      <c r="H2140" s="84">
        <f>IFERROR(VLOOKUP(B2140,Заказ!B:Q,5,0),0)</f>
        <v>0</v>
      </c>
      <c r="I2140" s="84">
        <f>IFERROR(VLOOKUP(B2140,Заказ!B:Q,16,0),0)</f>
        <v>0</v>
      </c>
    </row>
    <row r="2141" spans="2:9" x14ac:dyDescent="0.25">
      <c r="B2141" s="84">
        <v>11987</v>
      </c>
      <c r="D2141" s="84" t="str">
        <f t="shared" si="37"/>
        <v/>
      </c>
      <c r="H2141" s="84">
        <f>IFERROR(VLOOKUP(B2141,Заказ!B:Q,5,0),0)</f>
        <v>0</v>
      </c>
      <c r="I2141" s="84">
        <f>IFERROR(VLOOKUP(B2141,Заказ!B:Q,16,0),0)</f>
        <v>0</v>
      </c>
    </row>
    <row r="2142" spans="2:9" x14ac:dyDescent="0.25">
      <c r="B2142" s="84">
        <v>11994</v>
      </c>
      <c r="D2142" s="84" t="str">
        <f t="shared" si="37"/>
        <v/>
      </c>
      <c r="H2142" s="84">
        <f>IFERROR(VLOOKUP(B2142,Заказ!B:Q,5,0),0)</f>
        <v>0</v>
      </c>
      <c r="I2142" s="84">
        <f>IFERROR(VLOOKUP(B2142,Заказ!B:Q,16,0),0)</f>
        <v>0</v>
      </c>
    </row>
    <row r="2143" spans="2:9" x14ac:dyDescent="0.25">
      <c r="B2143" s="84">
        <v>11988</v>
      </c>
      <c r="D2143" s="84" t="str">
        <f t="shared" si="37"/>
        <v/>
      </c>
      <c r="H2143" s="84">
        <f>IFERROR(VLOOKUP(B2143,Заказ!B:Q,5,0),0)</f>
        <v>0</v>
      </c>
      <c r="I2143" s="84">
        <f>IFERROR(VLOOKUP(B2143,Заказ!B:Q,16,0),0)</f>
        <v>0</v>
      </c>
    </row>
    <row r="2144" spans="2:9" x14ac:dyDescent="0.25">
      <c r="B2144" s="84">
        <v>11985</v>
      </c>
      <c r="D2144" s="84" t="str">
        <f t="shared" si="37"/>
        <v/>
      </c>
      <c r="H2144" s="84">
        <f>IFERROR(VLOOKUP(B2144,Заказ!B:Q,5,0),0)</f>
        <v>0</v>
      </c>
      <c r="I2144" s="84">
        <f>IFERROR(VLOOKUP(B2144,Заказ!B:Q,16,0),0)</f>
        <v>0</v>
      </c>
    </row>
    <row r="2145" spans="2:9" x14ac:dyDescent="0.25">
      <c r="B2145" s="84">
        <v>11992</v>
      </c>
      <c r="D2145" s="84" t="str">
        <f t="shared" si="37"/>
        <v/>
      </c>
      <c r="H2145" s="84">
        <f>IFERROR(VLOOKUP(B2145,Заказ!B:Q,5,0),0)</f>
        <v>0</v>
      </c>
      <c r="I2145" s="84">
        <f>IFERROR(VLOOKUP(B2145,Заказ!B:Q,16,0),0)</f>
        <v>0</v>
      </c>
    </row>
    <row r="2146" spans="2:9" x14ac:dyDescent="0.25">
      <c r="B2146" s="84">
        <v>11998</v>
      </c>
      <c r="D2146" s="84" t="str">
        <f t="shared" si="37"/>
        <v/>
      </c>
      <c r="H2146" s="84">
        <f>IFERROR(VLOOKUP(B2146,Заказ!B:Q,5,0),0)</f>
        <v>0</v>
      </c>
      <c r="I2146" s="84">
        <f>IFERROR(VLOOKUP(B2146,Заказ!B:Q,16,0),0)</f>
        <v>0</v>
      </c>
    </row>
    <row r="2147" spans="2:9" x14ac:dyDescent="0.25">
      <c r="B2147" s="84">
        <v>11991</v>
      </c>
      <c r="D2147" s="84" t="str">
        <f t="shared" si="37"/>
        <v/>
      </c>
      <c r="H2147" s="84">
        <f>IFERROR(VLOOKUP(B2147,Заказ!B:Q,5,0),0)</f>
        <v>0</v>
      </c>
      <c r="I2147" s="84">
        <f>IFERROR(VLOOKUP(B2147,Заказ!B:Q,16,0),0)</f>
        <v>0</v>
      </c>
    </row>
    <row r="2148" spans="2:9" x14ac:dyDescent="0.25">
      <c r="B2148" s="84">
        <v>11996</v>
      </c>
      <c r="D2148" s="84" t="str">
        <f t="shared" si="37"/>
        <v/>
      </c>
      <c r="H2148" s="84">
        <f>IFERROR(VLOOKUP(B2148,Заказ!B:Q,5,0),0)</f>
        <v>0</v>
      </c>
      <c r="I2148" s="84">
        <f>IFERROR(VLOOKUP(B2148,Заказ!B:Q,16,0),0)</f>
        <v>0</v>
      </c>
    </row>
    <row r="2149" spans="2:9" x14ac:dyDescent="0.25">
      <c r="B2149" s="84">
        <v>11997</v>
      </c>
      <c r="D2149" s="84" t="str">
        <f t="shared" si="37"/>
        <v/>
      </c>
      <c r="H2149" s="84">
        <f>IFERROR(VLOOKUP(B2149,Заказ!B:Q,5,0),0)</f>
        <v>0</v>
      </c>
      <c r="I2149" s="84">
        <f>IFERROR(VLOOKUP(B2149,Заказ!B:Q,16,0),0)</f>
        <v>0</v>
      </c>
    </row>
    <row r="2150" spans="2:9" x14ac:dyDescent="0.25">
      <c r="B2150" s="84">
        <v>11993</v>
      </c>
      <c r="D2150" s="84" t="str">
        <f t="shared" si="37"/>
        <v/>
      </c>
      <c r="H2150" s="84">
        <f>IFERROR(VLOOKUP(B2150,Заказ!B:Q,5,0),0)</f>
        <v>0</v>
      </c>
      <c r="I2150" s="84">
        <f>IFERROR(VLOOKUP(B2150,Заказ!B:Q,16,0),0)</f>
        <v>0</v>
      </c>
    </row>
    <row r="2151" spans="2:9" x14ac:dyDescent="0.25">
      <c r="B2151" s="84">
        <v>11999</v>
      </c>
      <c r="D2151" s="84" t="str">
        <f t="shared" si="37"/>
        <v/>
      </c>
      <c r="H2151" s="84">
        <f>IFERROR(VLOOKUP(B2151,Заказ!B:Q,5,0),0)</f>
        <v>0</v>
      </c>
      <c r="I2151" s="84">
        <f>IFERROR(VLOOKUP(B2151,Заказ!B:Q,16,0),0)</f>
        <v>0</v>
      </c>
    </row>
    <row r="2152" spans="2:9" x14ac:dyDescent="0.25">
      <c r="B2152" s="84">
        <v>11995</v>
      </c>
      <c r="D2152" s="84" t="str">
        <f t="shared" si="37"/>
        <v/>
      </c>
      <c r="H2152" s="84">
        <f>IFERROR(VLOOKUP(B2152,Заказ!B:Q,5,0),0)</f>
        <v>0</v>
      </c>
      <c r="I2152" s="84">
        <f>IFERROR(VLOOKUP(B2152,Заказ!B:Q,16,0),0)</f>
        <v>0</v>
      </c>
    </row>
    <row r="2153" spans="2:9" x14ac:dyDescent="0.25">
      <c r="B2153" s="84">
        <v>11984</v>
      </c>
      <c r="D2153" s="84" t="str">
        <f t="shared" si="37"/>
        <v/>
      </c>
      <c r="H2153" s="84">
        <f>IFERROR(VLOOKUP(B2153,Заказ!B:Q,5,0),0)</f>
        <v>0</v>
      </c>
      <c r="I2153" s="84">
        <f>IFERROR(VLOOKUP(B2153,Заказ!B:Q,16,0),0)</f>
        <v>0</v>
      </c>
    </row>
    <row r="2154" spans="2:9" x14ac:dyDescent="0.25">
      <c r="B2154" s="84">
        <v>11989</v>
      </c>
      <c r="D2154" s="84" t="str">
        <f t="shared" si="37"/>
        <v/>
      </c>
      <c r="H2154" s="84">
        <f>IFERROR(VLOOKUP(B2154,Заказ!B:Q,5,0),0)</f>
        <v>0</v>
      </c>
      <c r="I2154" s="84">
        <f>IFERROR(VLOOKUP(B2154,Заказ!B:Q,16,0),0)</f>
        <v>0</v>
      </c>
    </row>
    <row r="2155" spans="2:9" x14ac:dyDescent="0.25">
      <c r="B2155" s="84">
        <v>11990</v>
      </c>
      <c r="D2155" s="84" t="str">
        <f t="shared" si="37"/>
        <v/>
      </c>
      <c r="H2155" s="84">
        <f>IFERROR(VLOOKUP(B2155,Заказ!B:Q,5,0),0)</f>
        <v>0</v>
      </c>
      <c r="I2155" s="84">
        <f>IFERROR(VLOOKUP(B2155,Заказ!B:Q,16,0),0)</f>
        <v>0</v>
      </c>
    </row>
    <row r="2156" spans="2:9" x14ac:dyDescent="0.25">
      <c r="B2156" s="84">
        <v>12000</v>
      </c>
      <c r="D2156" s="84" t="str">
        <f t="shared" si="37"/>
        <v/>
      </c>
      <c r="H2156" s="84">
        <f>IFERROR(VLOOKUP(B2156,Заказ!B:Q,5,0),0)</f>
        <v>0</v>
      </c>
      <c r="I2156" s="84">
        <f>IFERROR(VLOOKUP(B2156,Заказ!B:Q,16,0),0)</f>
        <v>0</v>
      </c>
    </row>
    <row r="2157" spans="2:9" x14ac:dyDescent="0.25">
      <c r="B2157" s="84">
        <v>19101</v>
      </c>
      <c r="D2157" s="84" t="str">
        <f t="shared" si="37"/>
        <v/>
      </c>
      <c r="H2157" s="84">
        <f>IFERROR(VLOOKUP(B2157,Заказ!B:Q,5,0),0)</f>
        <v>0</v>
      </c>
      <c r="I2157" s="84">
        <f>IFERROR(VLOOKUP(B2157,Заказ!B:Q,16,0),0)</f>
        <v>0</v>
      </c>
    </row>
    <row r="2158" spans="2:9" x14ac:dyDescent="0.25">
      <c r="B2158" s="84">
        <v>19646</v>
      </c>
      <c r="D2158" s="84" t="str">
        <f t="shared" si="37"/>
        <v/>
      </c>
      <c r="H2158" s="84">
        <f>IFERROR(VLOOKUP(B2158,Заказ!B:Q,5,0),0)</f>
        <v>0</v>
      </c>
      <c r="I2158" s="84">
        <f>IFERROR(VLOOKUP(B2158,Заказ!B:Q,16,0),0)</f>
        <v>0</v>
      </c>
    </row>
    <row r="2159" spans="2:9" x14ac:dyDescent="0.25">
      <c r="B2159" s="84">
        <v>21435</v>
      </c>
      <c r="D2159" s="84" t="str">
        <f t="shared" si="37"/>
        <v/>
      </c>
      <c r="H2159" s="84">
        <f>IFERROR(VLOOKUP(B2159,Заказ!B:Q,5,0),0)</f>
        <v>0</v>
      </c>
      <c r="I2159" s="84">
        <f>IFERROR(VLOOKUP(B2159,Заказ!B:Q,16,0),0)</f>
        <v>0</v>
      </c>
    </row>
    <row r="2160" spans="2:9" x14ac:dyDescent="0.25">
      <c r="B2160" s="84">
        <v>21434</v>
      </c>
      <c r="D2160" s="84" t="str">
        <f t="shared" ref="D2160:D2211" si="38">IFERROR(ROUND(I2160/H2160,2),"")</f>
        <v/>
      </c>
      <c r="H2160" s="84">
        <f>IFERROR(VLOOKUP(B2160,Заказ!B:Q,5,0),0)</f>
        <v>0</v>
      </c>
      <c r="I2160" s="84">
        <f>IFERROR(VLOOKUP(B2160,Заказ!B:Q,16,0),0)</f>
        <v>0</v>
      </c>
    </row>
    <row r="2161" spans="2:9" x14ac:dyDescent="0.25">
      <c r="B2161" s="84">
        <v>20931</v>
      </c>
      <c r="D2161" s="84" t="str">
        <f t="shared" si="38"/>
        <v/>
      </c>
      <c r="H2161" s="84">
        <f>IFERROR(VLOOKUP(B2161,Заказ!B:Q,5,0),0)</f>
        <v>0</v>
      </c>
      <c r="I2161" s="84">
        <f>IFERROR(VLOOKUP(B2161,Заказ!B:Q,16,0),0)</f>
        <v>0</v>
      </c>
    </row>
    <row r="2162" spans="2:9" x14ac:dyDescent="0.25">
      <c r="B2162" s="84">
        <v>21439</v>
      </c>
      <c r="D2162" s="84" t="str">
        <f t="shared" si="38"/>
        <v/>
      </c>
      <c r="H2162" s="84">
        <f>IFERROR(VLOOKUP(B2162,Заказ!B:Q,5,0),0)</f>
        <v>0</v>
      </c>
      <c r="I2162" s="84">
        <f>IFERROR(VLOOKUP(B2162,Заказ!B:Q,16,0),0)</f>
        <v>0</v>
      </c>
    </row>
    <row r="2163" spans="2:9" x14ac:dyDescent="0.25">
      <c r="B2163" s="84">
        <v>20932</v>
      </c>
      <c r="D2163" s="84" t="str">
        <f t="shared" si="38"/>
        <v/>
      </c>
      <c r="H2163" s="84">
        <f>IFERROR(VLOOKUP(B2163,Заказ!B:Q,5,0),0)</f>
        <v>0</v>
      </c>
      <c r="I2163" s="84">
        <f>IFERROR(VLOOKUP(B2163,Заказ!B:Q,16,0),0)</f>
        <v>0</v>
      </c>
    </row>
    <row r="2164" spans="2:9" x14ac:dyDescent="0.25">
      <c r="B2164" s="84">
        <v>20933</v>
      </c>
      <c r="D2164" s="84" t="str">
        <f t="shared" si="38"/>
        <v/>
      </c>
      <c r="H2164" s="84">
        <f>IFERROR(VLOOKUP(B2164,Заказ!B:Q,5,0),0)</f>
        <v>0</v>
      </c>
      <c r="I2164" s="84">
        <f>IFERROR(VLOOKUP(B2164,Заказ!B:Q,16,0),0)</f>
        <v>0</v>
      </c>
    </row>
    <row r="2165" spans="2:9" x14ac:dyDescent="0.25">
      <c r="B2165" s="84">
        <v>20914</v>
      </c>
      <c r="D2165" s="84" t="str">
        <f t="shared" si="38"/>
        <v/>
      </c>
      <c r="H2165" s="84">
        <f>IFERROR(VLOOKUP(B2165,Заказ!B:Q,5,0),0)</f>
        <v>0</v>
      </c>
      <c r="I2165" s="84">
        <f>IFERROR(VLOOKUP(B2165,Заказ!B:Q,16,0),0)</f>
        <v>0</v>
      </c>
    </row>
    <row r="2166" spans="2:9" x14ac:dyDescent="0.25">
      <c r="B2166" s="84">
        <v>20916</v>
      </c>
      <c r="D2166" s="84" t="str">
        <f t="shared" si="38"/>
        <v/>
      </c>
      <c r="H2166" s="84">
        <f>IFERROR(VLOOKUP(B2166,Заказ!B:Q,5,0),0)</f>
        <v>0</v>
      </c>
      <c r="I2166" s="84">
        <f>IFERROR(VLOOKUP(B2166,Заказ!B:Q,16,0),0)</f>
        <v>0</v>
      </c>
    </row>
    <row r="2167" spans="2:9" x14ac:dyDescent="0.25">
      <c r="B2167" s="84">
        <v>21437</v>
      </c>
      <c r="D2167" s="84" t="str">
        <f t="shared" si="38"/>
        <v/>
      </c>
      <c r="H2167" s="84">
        <f>IFERROR(VLOOKUP(B2167,Заказ!B:Q,5,0),0)</f>
        <v>0</v>
      </c>
      <c r="I2167" s="84">
        <f>IFERROR(VLOOKUP(B2167,Заказ!B:Q,16,0),0)</f>
        <v>0</v>
      </c>
    </row>
    <row r="2168" spans="2:9" x14ac:dyDescent="0.25">
      <c r="B2168" s="84">
        <v>21438</v>
      </c>
      <c r="D2168" s="84" t="str">
        <f t="shared" si="38"/>
        <v/>
      </c>
      <c r="H2168" s="84">
        <f>IFERROR(VLOOKUP(B2168,Заказ!B:Q,5,0),0)</f>
        <v>0</v>
      </c>
      <c r="I2168" s="84">
        <f>IFERROR(VLOOKUP(B2168,Заказ!B:Q,16,0),0)</f>
        <v>0</v>
      </c>
    </row>
    <row r="2169" spans="2:9" x14ac:dyDescent="0.25">
      <c r="B2169" s="84">
        <v>20915</v>
      </c>
      <c r="D2169" s="84" t="str">
        <f t="shared" si="38"/>
        <v/>
      </c>
      <c r="H2169" s="84">
        <f>IFERROR(VLOOKUP(B2169,Заказ!B:Q,5,0),0)</f>
        <v>0</v>
      </c>
      <c r="I2169" s="84">
        <f>IFERROR(VLOOKUP(B2169,Заказ!B:Q,16,0),0)</f>
        <v>0</v>
      </c>
    </row>
    <row r="2170" spans="2:9" x14ac:dyDescent="0.25">
      <c r="B2170" s="84">
        <v>13351</v>
      </c>
      <c r="D2170" s="84" t="str">
        <f t="shared" si="38"/>
        <v/>
      </c>
      <c r="H2170" s="84">
        <f>IFERROR(VLOOKUP(B2170,Заказ!B:Q,5,0),0)</f>
        <v>0</v>
      </c>
      <c r="I2170" s="84">
        <f>IFERROR(VLOOKUP(B2170,Заказ!B:Q,16,0),0)</f>
        <v>0</v>
      </c>
    </row>
    <row r="2171" spans="2:9" x14ac:dyDescent="0.25">
      <c r="B2171" s="84">
        <v>13352</v>
      </c>
      <c r="D2171" s="84" t="str">
        <f t="shared" si="38"/>
        <v/>
      </c>
      <c r="H2171" s="84">
        <f>IFERROR(VLOOKUP(B2171,Заказ!B:Q,5,0),0)</f>
        <v>0</v>
      </c>
      <c r="I2171" s="84">
        <f>IFERROR(VLOOKUP(B2171,Заказ!B:Q,16,0),0)</f>
        <v>0</v>
      </c>
    </row>
    <row r="2172" spans="2:9" x14ac:dyDescent="0.25">
      <c r="B2172" s="84">
        <v>18105</v>
      </c>
      <c r="D2172" s="84" t="str">
        <f t="shared" si="38"/>
        <v/>
      </c>
      <c r="H2172" s="84">
        <f>IFERROR(VLOOKUP(B2172,Заказ!B:Q,5,0),0)</f>
        <v>0</v>
      </c>
      <c r="I2172" s="84">
        <f>IFERROR(VLOOKUP(B2172,Заказ!B:Q,16,0),0)</f>
        <v>0</v>
      </c>
    </row>
    <row r="2173" spans="2:9" x14ac:dyDescent="0.25">
      <c r="B2173" s="84">
        <v>13689</v>
      </c>
      <c r="D2173" s="84" t="str">
        <f t="shared" si="38"/>
        <v/>
      </c>
      <c r="H2173" s="84">
        <f>IFERROR(VLOOKUP(B2173,Заказ!B:Q,5,0),0)</f>
        <v>0</v>
      </c>
      <c r="I2173" s="84">
        <f>IFERROR(VLOOKUP(B2173,Заказ!B:Q,16,0),0)</f>
        <v>0</v>
      </c>
    </row>
    <row r="2174" spans="2:9" x14ac:dyDescent="0.25">
      <c r="B2174" s="84">
        <v>13348</v>
      </c>
      <c r="D2174" s="84" t="str">
        <f t="shared" si="38"/>
        <v/>
      </c>
      <c r="H2174" s="84">
        <f>IFERROR(VLOOKUP(B2174,Заказ!B:Q,5,0),0)</f>
        <v>0</v>
      </c>
      <c r="I2174" s="84">
        <f>IFERROR(VLOOKUP(B2174,Заказ!B:Q,16,0),0)</f>
        <v>0</v>
      </c>
    </row>
    <row r="2175" spans="2:9" x14ac:dyDescent="0.25">
      <c r="B2175" s="84">
        <v>18123</v>
      </c>
      <c r="D2175" s="84" t="str">
        <f t="shared" si="38"/>
        <v/>
      </c>
      <c r="H2175" s="84">
        <f>IFERROR(VLOOKUP(B2175,Заказ!B:Q,5,0),0)</f>
        <v>0</v>
      </c>
      <c r="I2175" s="84">
        <f>IFERROR(VLOOKUP(B2175,Заказ!B:Q,16,0),0)</f>
        <v>0</v>
      </c>
    </row>
    <row r="2176" spans="2:9" x14ac:dyDescent="0.25">
      <c r="B2176" s="84">
        <v>18124</v>
      </c>
      <c r="D2176" s="84" t="str">
        <f t="shared" si="38"/>
        <v/>
      </c>
      <c r="H2176" s="84">
        <f>IFERROR(VLOOKUP(B2176,Заказ!B:Q,5,0),0)</f>
        <v>0</v>
      </c>
      <c r="I2176" s="84">
        <f>IFERROR(VLOOKUP(B2176,Заказ!B:Q,16,0),0)</f>
        <v>0</v>
      </c>
    </row>
    <row r="2177" spans="2:9" x14ac:dyDescent="0.25">
      <c r="B2177" s="84">
        <v>18125</v>
      </c>
      <c r="D2177" s="84" t="str">
        <f t="shared" si="38"/>
        <v/>
      </c>
      <c r="H2177" s="84">
        <f>IFERROR(VLOOKUP(B2177,Заказ!B:Q,5,0),0)</f>
        <v>0</v>
      </c>
      <c r="I2177" s="84">
        <f>IFERROR(VLOOKUP(B2177,Заказ!B:Q,16,0),0)</f>
        <v>0</v>
      </c>
    </row>
    <row r="2178" spans="2:9" x14ac:dyDescent="0.25">
      <c r="B2178" s="84">
        <v>19012</v>
      </c>
      <c r="D2178" s="84" t="str">
        <f t="shared" si="38"/>
        <v/>
      </c>
      <c r="H2178" s="84">
        <f>IFERROR(VLOOKUP(B2178,Заказ!B:Q,5,0),0)</f>
        <v>0</v>
      </c>
      <c r="I2178" s="84">
        <f>IFERROR(VLOOKUP(B2178,Заказ!B:Q,16,0),0)</f>
        <v>0</v>
      </c>
    </row>
    <row r="2179" spans="2:9" x14ac:dyDescent="0.25">
      <c r="B2179" s="84">
        <v>18803</v>
      </c>
      <c r="D2179" s="84" t="str">
        <f t="shared" si="38"/>
        <v/>
      </c>
      <c r="H2179" s="84">
        <f>IFERROR(VLOOKUP(B2179,Заказ!B:Q,5,0),0)</f>
        <v>0</v>
      </c>
      <c r="I2179" s="84">
        <f>IFERROR(VLOOKUP(B2179,Заказ!B:Q,16,0),0)</f>
        <v>0</v>
      </c>
    </row>
    <row r="2180" spans="2:9" x14ac:dyDescent="0.25">
      <c r="B2180" s="84">
        <v>18802</v>
      </c>
      <c r="D2180" s="84" t="str">
        <f t="shared" si="38"/>
        <v/>
      </c>
      <c r="H2180" s="84">
        <f>IFERROR(VLOOKUP(B2180,Заказ!B:Q,5,0),0)</f>
        <v>0</v>
      </c>
      <c r="I2180" s="84">
        <f>IFERROR(VLOOKUP(B2180,Заказ!B:Q,16,0),0)</f>
        <v>0</v>
      </c>
    </row>
    <row r="2181" spans="2:9" x14ac:dyDescent="0.25">
      <c r="B2181" s="84">
        <v>19781</v>
      </c>
      <c r="D2181" s="84" t="str">
        <f t="shared" si="38"/>
        <v/>
      </c>
      <c r="H2181" s="84">
        <f>IFERROR(VLOOKUP(B2181,Заказ!B:Q,5,0),0)</f>
        <v>0</v>
      </c>
      <c r="I2181" s="84">
        <f>IFERROR(VLOOKUP(B2181,Заказ!B:Q,16,0),0)</f>
        <v>0</v>
      </c>
    </row>
    <row r="2182" spans="2:9" x14ac:dyDescent="0.25">
      <c r="B2182" s="84">
        <v>18120</v>
      </c>
      <c r="D2182" s="84" t="str">
        <f t="shared" si="38"/>
        <v/>
      </c>
      <c r="H2182" s="84">
        <f>IFERROR(VLOOKUP(B2182,Заказ!B:Q,5,0),0)</f>
        <v>0</v>
      </c>
      <c r="I2182" s="84">
        <f>IFERROR(VLOOKUP(B2182,Заказ!B:Q,16,0),0)</f>
        <v>0</v>
      </c>
    </row>
    <row r="2183" spans="2:9" x14ac:dyDescent="0.25">
      <c r="B2183" s="84">
        <v>18170</v>
      </c>
      <c r="D2183" s="84" t="str">
        <f t="shared" si="38"/>
        <v/>
      </c>
      <c r="H2183" s="84">
        <f>IFERROR(VLOOKUP(B2183,Заказ!B:Q,5,0),0)</f>
        <v>0</v>
      </c>
      <c r="I2183" s="84">
        <f>IFERROR(VLOOKUP(B2183,Заказ!B:Q,16,0),0)</f>
        <v>0</v>
      </c>
    </row>
    <row r="2184" spans="2:9" x14ac:dyDescent="0.25">
      <c r="B2184" s="84">
        <v>18284</v>
      </c>
      <c r="D2184" s="84" t="str">
        <f t="shared" si="38"/>
        <v/>
      </c>
      <c r="H2184" s="84">
        <f>IFERROR(VLOOKUP(B2184,Заказ!B:Q,5,0),0)</f>
        <v>0</v>
      </c>
      <c r="I2184" s="84">
        <f>IFERROR(VLOOKUP(B2184,Заказ!B:Q,16,0),0)</f>
        <v>0</v>
      </c>
    </row>
    <row r="2185" spans="2:9" x14ac:dyDescent="0.25">
      <c r="B2185" s="84">
        <v>18075</v>
      </c>
      <c r="D2185" s="84" t="str">
        <f t="shared" si="38"/>
        <v/>
      </c>
      <c r="H2185" s="84">
        <f>IFERROR(VLOOKUP(B2185,Заказ!B:Q,5,0),0)</f>
        <v>0</v>
      </c>
      <c r="I2185" s="84">
        <f>IFERROR(VLOOKUP(B2185,Заказ!B:Q,16,0),0)</f>
        <v>0</v>
      </c>
    </row>
    <row r="2186" spans="2:9" x14ac:dyDescent="0.25">
      <c r="B2186" s="84">
        <v>18283</v>
      </c>
      <c r="D2186" s="84" t="str">
        <f t="shared" si="38"/>
        <v/>
      </c>
      <c r="H2186" s="84">
        <f>IFERROR(VLOOKUP(B2186,Заказ!B:Q,5,0),0)</f>
        <v>0</v>
      </c>
      <c r="I2186" s="84">
        <f>IFERROR(VLOOKUP(B2186,Заказ!B:Q,16,0),0)</f>
        <v>0</v>
      </c>
    </row>
    <row r="2187" spans="2:9" x14ac:dyDescent="0.25">
      <c r="B2187" s="84">
        <v>18282</v>
      </c>
      <c r="D2187" s="84" t="str">
        <f t="shared" si="38"/>
        <v/>
      </c>
      <c r="H2187" s="84">
        <f>IFERROR(VLOOKUP(B2187,Заказ!B:Q,5,0),0)</f>
        <v>0</v>
      </c>
      <c r="I2187" s="84">
        <f>IFERROR(VLOOKUP(B2187,Заказ!B:Q,16,0),0)</f>
        <v>0</v>
      </c>
    </row>
    <row r="2188" spans="2:9" x14ac:dyDescent="0.25">
      <c r="B2188" s="84">
        <v>19011</v>
      </c>
      <c r="D2188" s="84" t="str">
        <f t="shared" si="38"/>
        <v/>
      </c>
      <c r="H2188" s="84">
        <f>IFERROR(VLOOKUP(B2188,Заказ!B:Q,5,0),0)</f>
        <v>0</v>
      </c>
      <c r="I2188" s="84">
        <f>IFERROR(VLOOKUP(B2188,Заказ!B:Q,16,0),0)</f>
        <v>0</v>
      </c>
    </row>
    <row r="2189" spans="2:9" x14ac:dyDescent="0.25">
      <c r="B2189" s="84">
        <v>15732</v>
      </c>
      <c r="D2189" s="84" t="str">
        <f t="shared" si="38"/>
        <v/>
      </c>
      <c r="H2189" s="84">
        <f>IFERROR(VLOOKUP(B2189,Заказ!B:Q,5,0),0)</f>
        <v>0</v>
      </c>
      <c r="I2189" s="84">
        <f>IFERROR(VLOOKUP(B2189,Заказ!B:Q,16,0),0)</f>
        <v>0</v>
      </c>
    </row>
    <row r="2190" spans="2:9" x14ac:dyDescent="0.25">
      <c r="B2190" s="84">
        <v>15730</v>
      </c>
      <c r="D2190" s="84" t="str">
        <f t="shared" si="38"/>
        <v/>
      </c>
      <c r="H2190" s="84">
        <f>IFERROR(VLOOKUP(B2190,Заказ!B:Q,5,0),0)</f>
        <v>0</v>
      </c>
      <c r="I2190" s="84">
        <f>IFERROR(VLOOKUP(B2190,Заказ!B:Q,16,0),0)</f>
        <v>0</v>
      </c>
    </row>
    <row r="2191" spans="2:9" x14ac:dyDescent="0.25">
      <c r="B2191" s="84">
        <v>15729</v>
      </c>
      <c r="D2191" s="84" t="str">
        <f t="shared" si="38"/>
        <v/>
      </c>
      <c r="H2191" s="84">
        <f>IFERROR(VLOOKUP(B2191,Заказ!B:Q,5,0),0)</f>
        <v>0</v>
      </c>
      <c r="I2191" s="84">
        <f>IFERROR(VLOOKUP(B2191,Заказ!B:Q,16,0),0)</f>
        <v>0</v>
      </c>
    </row>
    <row r="2192" spans="2:9" x14ac:dyDescent="0.25">
      <c r="B2192" s="84">
        <v>15728</v>
      </c>
      <c r="D2192" s="84" t="str">
        <f t="shared" si="38"/>
        <v/>
      </c>
      <c r="H2192" s="84">
        <f>IFERROR(VLOOKUP(B2192,Заказ!B:Q,5,0),0)</f>
        <v>0</v>
      </c>
      <c r="I2192" s="84">
        <f>IFERROR(VLOOKUP(B2192,Заказ!B:Q,16,0),0)</f>
        <v>0</v>
      </c>
    </row>
    <row r="2193" spans="2:9" x14ac:dyDescent="0.25">
      <c r="B2193" s="84">
        <v>15726</v>
      </c>
      <c r="D2193" s="84" t="str">
        <f t="shared" si="38"/>
        <v/>
      </c>
      <c r="H2193" s="84">
        <f>IFERROR(VLOOKUP(B2193,Заказ!B:Q,5,0),0)</f>
        <v>0</v>
      </c>
      <c r="I2193" s="84">
        <f>IFERROR(VLOOKUP(B2193,Заказ!B:Q,16,0),0)</f>
        <v>0</v>
      </c>
    </row>
    <row r="2194" spans="2:9" x14ac:dyDescent="0.25">
      <c r="B2194" s="84">
        <v>15725</v>
      </c>
      <c r="D2194" s="84" t="str">
        <f t="shared" si="38"/>
        <v/>
      </c>
      <c r="H2194" s="84">
        <f>IFERROR(VLOOKUP(B2194,Заказ!B:Q,5,0),0)</f>
        <v>0</v>
      </c>
      <c r="I2194" s="84">
        <f>IFERROR(VLOOKUP(B2194,Заказ!B:Q,16,0),0)</f>
        <v>0</v>
      </c>
    </row>
    <row r="2195" spans="2:9" x14ac:dyDescent="0.25">
      <c r="B2195" s="84">
        <v>15727</v>
      </c>
      <c r="D2195" s="84" t="str">
        <f t="shared" si="38"/>
        <v/>
      </c>
      <c r="H2195" s="84">
        <f>IFERROR(VLOOKUP(B2195,Заказ!B:Q,5,0),0)</f>
        <v>0</v>
      </c>
      <c r="I2195" s="84">
        <f>IFERROR(VLOOKUP(B2195,Заказ!B:Q,16,0),0)</f>
        <v>0</v>
      </c>
    </row>
    <row r="2196" spans="2:9" x14ac:dyDescent="0.25">
      <c r="B2196" s="84">
        <v>16107</v>
      </c>
      <c r="D2196" s="84" t="str">
        <f t="shared" si="38"/>
        <v/>
      </c>
      <c r="H2196" s="84">
        <f>IFERROR(VLOOKUP(B2196,Заказ!B:Q,5,0),0)</f>
        <v>0</v>
      </c>
      <c r="I2196" s="84">
        <f>IFERROR(VLOOKUP(B2196,Заказ!B:Q,16,0),0)</f>
        <v>0</v>
      </c>
    </row>
    <row r="2197" spans="2:9" x14ac:dyDescent="0.25">
      <c r="B2197" s="84">
        <v>21526</v>
      </c>
      <c r="D2197" s="84" t="str">
        <f t="shared" si="38"/>
        <v/>
      </c>
      <c r="H2197" s="84">
        <f>IFERROR(VLOOKUP(B2197,Заказ!B:Q,5,0),0)</f>
        <v>0</v>
      </c>
      <c r="I2197" s="84">
        <f>IFERROR(VLOOKUP(B2197,Заказ!B:Q,16,0),0)</f>
        <v>0</v>
      </c>
    </row>
    <row r="2198" spans="2:9" x14ac:dyDescent="0.25">
      <c r="B2198" s="84">
        <v>21129</v>
      </c>
      <c r="D2198" s="84" t="str">
        <f t="shared" si="38"/>
        <v/>
      </c>
      <c r="H2198" s="84">
        <f>IFERROR(VLOOKUP(B2198,Заказ!B:Q,5,0),0)</f>
        <v>0</v>
      </c>
      <c r="I2198" s="84">
        <f>IFERROR(VLOOKUP(B2198,Заказ!B:Q,16,0),0)</f>
        <v>0</v>
      </c>
    </row>
    <row r="2199" spans="2:9" x14ac:dyDescent="0.25">
      <c r="B2199" s="84">
        <v>17278</v>
      </c>
      <c r="D2199" s="84" t="str">
        <f t="shared" si="38"/>
        <v/>
      </c>
      <c r="H2199" s="84">
        <f>IFERROR(VLOOKUP(B2199,Заказ!B:Q,5,0),0)</f>
        <v>0</v>
      </c>
      <c r="I2199" s="84">
        <f>IFERROR(VLOOKUP(B2199,Заказ!B:Q,16,0),0)</f>
        <v>0</v>
      </c>
    </row>
    <row r="2200" spans="2:9" x14ac:dyDescent="0.25">
      <c r="B2200" s="84">
        <v>17275</v>
      </c>
      <c r="D2200" s="84" t="str">
        <f t="shared" si="38"/>
        <v/>
      </c>
      <c r="H2200" s="84">
        <f>IFERROR(VLOOKUP(B2200,Заказ!B:Q,5,0),0)</f>
        <v>0</v>
      </c>
      <c r="I2200" s="84">
        <f>IFERROR(VLOOKUP(B2200,Заказ!B:Q,16,0),0)</f>
        <v>0</v>
      </c>
    </row>
    <row r="2201" spans="2:9" x14ac:dyDescent="0.25">
      <c r="B2201" s="84">
        <v>17586</v>
      </c>
      <c r="D2201" s="84" t="str">
        <f t="shared" si="38"/>
        <v/>
      </c>
      <c r="H2201" s="84">
        <f>IFERROR(VLOOKUP(B2201,Заказ!B:Q,5,0),0)</f>
        <v>0</v>
      </c>
      <c r="I2201" s="84">
        <f>IFERROR(VLOOKUP(B2201,Заказ!B:Q,16,0),0)</f>
        <v>0</v>
      </c>
    </row>
    <row r="2202" spans="2:9" x14ac:dyDescent="0.25">
      <c r="B2202" s="84">
        <v>17587</v>
      </c>
      <c r="D2202" s="84" t="str">
        <f t="shared" si="38"/>
        <v/>
      </c>
      <c r="H2202" s="84">
        <f>IFERROR(VLOOKUP(B2202,Заказ!B:Q,5,0),0)</f>
        <v>0</v>
      </c>
      <c r="I2202" s="84">
        <f>IFERROR(VLOOKUP(B2202,Заказ!B:Q,16,0),0)</f>
        <v>0</v>
      </c>
    </row>
    <row r="2203" spans="2:9" x14ac:dyDescent="0.25">
      <c r="B2203" s="84">
        <v>20466</v>
      </c>
      <c r="D2203" s="84" t="str">
        <f t="shared" si="38"/>
        <v/>
      </c>
      <c r="H2203" s="84">
        <f>IFERROR(VLOOKUP(B2203,Заказ!B:Q,5,0),0)</f>
        <v>0</v>
      </c>
      <c r="I2203" s="84">
        <f>IFERROR(VLOOKUP(B2203,Заказ!B:Q,16,0),0)</f>
        <v>0</v>
      </c>
    </row>
    <row r="2204" spans="2:9" x14ac:dyDescent="0.25">
      <c r="B2204" s="84">
        <v>17588</v>
      </c>
      <c r="D2204" s="84" t="str">
        <f t="shared" si="38"/>
        <v/>
      </c>
      <c r="H2204" s="84">
        <f>IFERROR(VLOOKUP(B2204,Заказ!B:Q,5,0),0)</f>
        <v>0</v>
      </c>
      <c r="I2204" s="84">
        <f>IFERROR(VLOOKUP(B2204,Заказ!B:Q,16,0),0)</f>
        <v>0</v>
      </c>
    </row>
    <row r="2205" spans="2:9" x14ac:dyDescent="0.25">
      <c r="B2205" s="84">
        <v>20467</v>
      </c>
      <c r="D2205" s="84" t="str">
        <f t="shared" si="38"/>
        <v/>
      </c>
      <c r="H2205" s="84">
        <f>IFERROR(VLOOKUP(B2205,Заказ!B:Q,5,0),0)</f>
        <v>0</v>
      </c>
      <c r="I2205" s="84">
        <f>IFERROR(VLOOKUP(B2205,Заказ!B:Q,16,0),0)</f>
        <v>0</v>
      </c>
    </row>
    <row r="2206" spans="2:9" x14ac:dyDescent="0.25">
      <c r="B2206" s="84">
        <v>17591</v>
      </c>
      <c r="D2206" s="84" t="str">
        <f t="shared" si="38"/>
        <v/>
      </c>
      <c r="H2206" s="84">
        <f>IFERROR(VLOOKUP(B2206,Заказ!B:Q,5,0),0)</f>
        <v>0</v>
      </c>
      <c r="I2206" s="84">
        <f>IFERROR(VLOOKUP(B2206,Заказ!B:Q,16,0),0)</f>
        <v>0</v>
      </c>
    </row>
    <row r="2207" spans="2:9" x14ac:dyDescent="0.25">
      <c r="B2207" s="84">
        <v>21318</v>
      </c>
      <c r="D2207" s="84" t="str">
        <f t="shared" si="38"/>
        <v/>
      </c>
      <c r="H2207" s="84">
        <f>IFERROR(VLOOKUP(B2207,Заказ!B:Q,5,0),0)</f>
        <v>0</v>
      </c>
      <c r="I2207" s="84">
        <f>IFERROR(VLOOKUP(B2207,Заказ!B:Q,16,0),0)</f>
        <v>0</v>
      </c>
    </row>
    <row r="2208" spans="2:9" x14ac:dyDescent="0.25">
      <c r="B2208" s="84">
        <v>21319</v>
      </c>
      <c r="D2208" s="84" t="str">
        <f t="shared" si="38"/>
        <v/>
      </c>
      <c r="H2208" s="84">
        <f>IFERROR(VLOOKUP(B2208,Заказ!B:Q,5,0),0)</f>
        <v>0</v>
      </c>
      <c r="I2208" s="84">
        <f>IFERROR(VLOOKUP(B2208,Заказ!B:Q,16,0),0)</f>
        <v>0</v>
      </c>
    </row>
    <row r="2209" spans="2:9" x14ac:dyDescent="0.25">
      <c r="B2209" s="84">
        <v>21320</v>
      </c>
      <c r="D2209" s="84" t="str">
        <f t="shared" si="38"/>
        <v/>
      </c>
      <c r="H2209" s="84">
        <f>IFERROR(VLOOKUP(B2209,Заказ!B:Q,5,0),0)</f>
        <v>0</v>
      </c>
      <c r="I2209" s="84">
        <f>IFERROR(VLOOKUP(B2209,Заказ!B:Q,16,0),0)</f>
        <v>0</v>
      </c>
    </row>
    <row r="2210" spans="2:9" x14ac:dyDescent="0.25">
      <c r="B2210" s="84">
        <v>21321</v>
      </c>
      <c r="D2210" s="84" t="str">
        <f t="shared" si="38"/>
        <v/>
      </c>
      <c r="H2210" s="84">
        <f>IFERROR(VLOOKUP(B2210,Заказ!B:Q,5,0),0)</f>
        <v>0</v>
      </c>
      <c r="I2210" s="84">
        <f>IFERROR(VLOOKUP(B2210,Заказ!B:Q,16,0),0)</f>
        <v>0</v>
      </c>
    </row>
    <row r="2211" spans="2:9" x14ac:dyDescent="0.25">
      <c r="B2211" s="84">
        <v>21322</v>
      </c>
      <c r="D2211" s="84" t="str">
        <f t="shared" si="38"/>
        <v/>
      </c>
      <c r="H2211" s="84">
        <f>IFERROR(VLOOKUP(B2211,Заказ!B:Q,5,0),0)</f>
        <v>0</v>
      </c>
      <c r="I2211" s="84">
        <f>IFERROR(VLOOKUP(B2211,Заказ!B:Q,16,0),0)</f>
        <v>0</v>
      </c>
    </row>
    <row r="2212" spans="2:9" x14ac:dyDescent="0.25">
      <c r="B2212" s="84">
        <v>21323</v>
      </c>
      <c r="D2212" s="84" t="str">
        <f t="shared" ref="D2212:D2270" si="39">IFERROR(ROUND(I2212/H2212,2),"")</f>
        <v/>
      </c>
      <c r="H2212" s="84">
        <f>IFERROR(VLOOKUP(B2212,Заказ!B:Q,5,0),0)</f>
        <v>0</v>
      </c>
      <c r="I2212" s="84">
        <f>IFERROR(VLOOKUP(B2212,Заказ!B:Q,16,0),0)</f>
        <v>0</v>
      </c>
    </row>
    <row r="2213" spans="2:9" x14ac:dyDescent="0.25">
      <c r="B2213" s="84">
        <v>21324</v>
      </c>
      <c r="D2213" s="84" t="str">
        <f t="shared" si="39"/>
        <v/>
      </c>
      <c r="H2213" s="84">
        <f>IFERROR(VLOOKUP(B2213,Заказ!B:Q,5,0),0)</f>
        <v>0</v>
      </c>
      <c r="I2213" s="84">
        <f>IFERROR(VLOOKUP(B2213,Заказ!B:Q,16,0),0)</f>
        <v>0</v>
      </c>
    </row>
    <row r="2214" spans="2:9" x14ac:dyDescent="0.25">
      <c r="B2214" s="84">
        <v>21325</v>
      </c>
      <c r="D2214" s="84" t="str">
        <f t="shared" si="39"/>
        <v/>
      </c>
      <c r="H2214" s="84">
        <f>IFERROR(VLOOKUP(B2214,Заказ!B:Q,5,0),0)</f>
        <v>0</v>
      </c>
      <c r="I2214" s="84">
        <f>IFERROR(VLOOKUP(B2214,Заказ!B:Q,16,0),0)</f>
        <v>0</v>
      </c>
    </row>
    <row r="2215" spans="2:9" x14ac:dyDescent="0.25">
      <c r="B2215" s="84">
        <v>21327</v>
      </c>
      <c r="D2215" s="84" t="str">
        <f t="shared" si="39"/>
        <v/>
      </c>
      <c r="H2215" s="84">
        <f>IFERROR(VLOOKUP(B2215,Заказ!B:Q,5,0),0)</f>
        <v>0</v>
      </c>
      <c r="I2215" s="84">
        <f>IFERROR(VLOOKUP(B2215,Заказ!B:Q,16,0),0)</f>
        <v>0</v>
      </c>
    </row>
    <row r="2216" spans="2:9" x14ac:dyDescent="0.25">
      <c r="B2216" s="84">
        <v>21326</v>
      </c>
      <c r="D2216" s="84" t="str">
        <f t="shared" si="39"/>
        <v/>
      </c>
      <c r="H2216" s="84">
        <f>IFERROR(VLOOKUP(B2216,Заказ!B:Q,5,0),0)</f>
        <v>0</v>
      </c>
      <c r="I2216" s="84">
        <f>IFERROR(VLOOKUP(B2216,Заказ!B:Q,16,0),0)</f>
        <v>0</v>
      </c>
    </row>
    <row r="2217" spans="2:9" x14ac:dyDescent="0.25">
      <c r="B2217" s="84">
        <v>21346</v>
      </c>
      <c r="D2217" s="84" t="str">
        <f t="shared" si="39"/>
        <v/>
      </c>
      <c r="H2217" s="84">
        <f>IFERROR(VLOOKUP(B2217,Заказ!B:Q,5,0),0)</f>
        <v>0</v>
      </c>
      <c r="I2217" s="84">
        <f>IFERROR(VLOOKUP(B2217,Заказ!B:Q,16,0),0)</f>
        <v>0</v>
      </c>
    </row>
    <row r="2218" spans="2:9" x14ac:dyDescent="0.25">
      <c r="B2218" s="84">
        <v>21347</v>
      </c>
      <c r="D2218" s="84" t="str">
        <f t="shared" si="39"/>
        <v/>
      </c>
      <c r="H2218" s="84">
        <f>IFERROR(VLOOKUP(B2218,Заказ!B:Q,5,0),0)</f>
        <v>0</v>
      </c>
      <c r="I2218" s="84">
        <f>IFERROR(VLOOKUP(B2218,Заказ!B:Q,16,0),0)</f>
        <v>0</v>
      </c>
    </row>
    <row r="2219" spans="2:9" x14ac:dyDescent="0.25">
      <c r="B2219" s="84">
        <v>21348</v>
      </c>
      <c r="D2219" s="84" t="str">
        <f t="shared" si="39"/>
        <v/>
      </c>
      <c r="H2219" s="84">
        <f>IFERROR(VLOOKUP(B2219,Заказ!B:Q,5,0),0)</f>
        <v>0</v>
      </c>
      <c r="I2219" s="84">
        <f>IFERROR(VLOOKUP(B2219,Заказ!B:Q,16,0),0)</f>
        <v>0</v>
      </c>
    </row>
    <row r="2220" spans="2:9" x14ac:dyDescent="0.25">
      <c r="B2220" s="84">
        <v>21349</v>
      </c>
      <c r="D2220" s="84" t="str">
        <f t="shared" si="39"/>
        <v/>
      </c>
      <c r="H2220" s="84">
        <f>IFERROR(VLOOKUP(B2220,Заказ!B:Q,5,0),0)</f>
        <v>0</v>
      </c>
      <c r="I2220" s="84">
        <f>IFERROR(VLOOKUP(B2220,Заказ!B:Q,16,0),0)</f>
        <v>0</v>
      </c>
    </row>
    <row r="2221" spans="2:9" x14ac:dyDescent="0.25">
      <c r="B2221" s="84">
        <v>21350</v>
      </c>
      <c r="D2221" s="84" t="str">
        <f t="shared" si="39"/>
        <v/>
      </c>
      <c r="H2221" s="84">
        <f>IFERROR(VLOOKUP(B2221,Заказ!B:Q,5,0),0)</f>
        <v>0</v>
      </c>
      <c r="I2221" s="84">
        <f>IFERROR(VLOOKUP(B2221,Заказ!B:Q,16,0),0)</f>
        <v>0</v>
      </c>
    </row>
    <row r="2222" spans="2:9" x14ac:dyDescent="0.25">
      <c r="B2222" s="84">
        <v>21351</v>
      </c>
      <c r="D2222" s="84" t="str">
        <f t="shared" si="39"/>
        <v/>
      </c>
      <c r="H2222" s="84">
        <f>IFERROR(VLOOKUP(B2222,Заказ!B:Q,5,0),0)</f>
        <v>0</v>
      </c>
      <c r="I2222" s="84">
        <f>IFERROR(VLOOKUP(B2222,Заказ!B:Q,16,0),0)</f>
        <v>0</v>
      </c>
    </row>
    <row r="2223" spans="2:9" x14ac:dyDescent="0.25">
      <c r="B2223" s="84">
        <v>21352</v>
      </c>
      <c r="D2223" s="84" t="str">
        <f t="shared" si="39"/>
        <v/>
      </c>
      <c r="H2223" s="84">
        <f>IFERROR(VLOOKUP(B2223,Заказ!B:Q,5,0),0)</f>
        <v>0</v>
      </c>
      <c r="I2223" s="84">
        <f>IFERROR(VLOOKUP(B2223,Заказ!B:Q,16,0),0)</f>
        <v>0</v>
      </c>
    </row>
    <row r="2224" spans="2:9" x14ac:dyDescent="0.25">
      <c r="B2224" s="84">
        <v>21353</v>
      </c>
      <c r="D2224" s="84" t="str">
        <f t="shared" si="39"/>
        <v/>
      </c>
      <c r="H2224" s="84">
        <f>IFERROR(VLOOKUP(B2224,Заказ!B:Q,5,0),0)</f>
        <v>0</v>
      </c>
      <c r="I2224" s="84">
        <f>IFERROR(VLOOKUP(B2224,Заказ!B:Q,16,0),0)</f>
        <v>0</v>
      </c>
    </row>
    <row r="2225" spans="2:9" x14ac:dyDescent="0.25">
      <c r="B2225" s="84">
        <v>21450</v>
      </c>
      <c r="D2225" s="84" t="str">
        <f t="shared" si="39"/>
        <v/>
      </c>
      <c r="H2225" s="84">
        <f>IFERROR(VLOOKUP(B2225,Заказ!B:Q,5,0),0)</f>
        <v>0</v>
      </c>
      <c r="I2225" s="84">
        <f>IFERROR(VLOOKUP(B2225,Заказ!B:Q,16,0),0)</f>
        <v>0</v>
      </c>
    </row>
    <row r="2226" spans="2:9" x14ac:dyDescent="0.25">
      <c r="B2226" s="84">
        <v>21451</v>
      </c>
      <c r="D2226" s="84" t="str">
        <f t="shared" si="39"/>
        <v/>
      </c>
      <c r="H2226" s="84">
        <f>IFERROR(VLOOKUP(B2226,Заказ!B:Q,5,0),0)</f>
        <v>0</v>
      </c>
      <c r="I2226" s="84">
        <f>IFERROR(VLOOKUP(B2226,Заказ!B:Q,16,0),0)</f>
        <v>0</v>
      </c>
    </row>
    <row r="2227" spans="2:9" x14ac:dyDescent="0.25">
      <c r="B2227" s="84">
        <v>21344</v>
      </c>
      <c r="D2227" s="84" t="str">
        <f t="shared" si="39"/>
        <v/>
      </c>
      <c r="H2227" s="84">
        <f>IFERROR(VLOOKUP(B2227,Заказ!B:Q,5,0),0)</f>
        <v>0</v>
      </c>
      <c r="I2227" s="84">
        <f>IFERROR(VLOOKUP(B2227,Заказ!B:Q,16,0),0)</f>
        <v>0</v>
      </c>
    </row>
    <row r="2228" spans="2:9" x14ac:dyDescent="0.25">
      <c r="B2228" s="84">
        <v>21345</v>
      </c>
      <c r="D2228" s="84" t="str">
        <f t="shared" si="39"/>
        <v/>
      </c>
      <c r="H2228" s="84">
        <f>IFERROR(VLOOKUP(B2228,Заказ!B:Q,5,0),0)</f>
        <v>0</v>
      </c>
      <c r="I2228" s="84">
        <f>IFERROR(VLOOKUP(B2228,Заказ!B:Q,16,0),0)</f>
        <v>0</v>
      </c>
    </row>
    <row r="2229" spans="2:9" x14ac:dyDescent="0.25">
      <c r="B2229" s="84">
        <v>16309</v>
      </c>
      <c r="D2229" s="84" t="str">
        <f t="shared" si="39"/>
        <v/>
      </c>
      <c r="H2229" s="84">
        <f>IFERROR(VLOOKUP(B2229,Заказ!B:Q,5,0),0)</f>
        <v>0</v>
      </c>
      <c r="I2229" s="84">
        <f>IFERROR(VLOOKUP(B2229,Заказ!B:Q,16,0),0)</f>
        <v>0</v>
      </c>
    </row>
    <row r="2230" spans="2:9" x14ac:dyDescent="0.25">
      <c r="B2230" s="84">
        <v>16310</v>
      </c>
      <c r="D2230" s="84" t="str">
        <f t="shared" si="39"/>
        <v/>
      </c>
      <c r="H2230" s="84">
        <f>IFERROR(VLOOKUP(B2230,Заказ!B:Q,5,0),0)</f>
        <v>0</v>
      </c>
      <c r="I2230" s="84">
        <f>IFERROR(VLOOKUP(B2230,Заказ!B:Q,16,0),0)</f>
        <v>0</v>
      </c>
    </row>
    <row r="2231" spans="2:9" x14ac:dyDescent="0.25">
      <c r="B2231" s="84">
        <v>16311</v>
      </c>
      <c r="D2231" s="84" t="str">
        <f t="shared" si="39"/>
        <v/>
      </c>
      <c r="H2231" s="84">
        <f>IFERROR(VLOOKUP(B2231,Заказ!B:Q,5,0),0)</f>
        <v>0</v>
      </c>
      <c r="I2231" s="84">
        <f>IFERROR(VLOOKUP(B2231,Заказ!B:Q,16,0),0)</f>
        <v>0</v>
      </c>
    </row>
    <row r="2232" spans="2:9" x14ac:dyDescent="0.25">
      <c r="B2232" s="84">
        <v>16314</v>
      </c>
      <c r="D2232" s="84" t="str">
        <f t="shared" si="39"/>
        <v/>
      </c>
      <c r="H2232" s="84">
        <f>IFERROR(VLOOKUP(B2232,Заказ!B:Q,5,0),0)</f>
        <v>0</v>
      </c>
      <c r="I2232" s="84">
        <f>IFERROR(VLOOKUP(B2232,Заказ!B:Q,16,0),0)</f>
        <v>0</v>
      </c>
    </row>
    <row r="2233" spans="2:9" x14ac:dyDescent="0.25">
      <c r="B2233" s="84">
        <v>16312</v>
      </c>
      <c r="D2233" s="84" t="str">
        <f t="shared" si="39"/>
        <v/>
      </c>
      <c r="H2233" s="84">
        <f>IFERROR(VLOOKUP(B2233,Заказ!B:Q,5,0),0)</f>
        <v>0</v>
      </c>
      <c r="I2233" s="84">
        <f>IFERROR(VLOOKUP(B2233,Заказ!B:Q,16,0),0)</f>
        <v>0</v>
      </c>
    </row>
    <row r="2234" spans="2:9" x14ac:dyDescent="0.25">
      <c r="B2234" s="84">
        <v>21088</v>
      </c>
      <c r="D2234" s="84" t="str">
        <f t="shared" si="39"/>
        <v/>
      </c>
      <c r="H2234" s="84">
        <f>IFERROR(VLOOKUP(B2234,Заказ!B:Q,5,0),0)</f>
        <v>0</v>
      </c>
      <c r="I2234" s="84">
        <f>IFERROR(VLOOKUP(B2234,Заказ!B:Q,16,0),0)</f>
        <v>0</v>
      </c>
    </row>
    <row r="2235" spans="2:9" x14ac:dyDescent="0.25">
      <c r="B2235" s="84">
        <v>18116</v>
      </c>
      <c r="D2235" s="84" t="str">
        <f t="shared" si="39"/>
        <v/>
      </c>
      <c r="H2235" s="84">
        <f>IFERROR(VLOOKUP(B2235,Заказ!B:Q,5,0),0)</f>
        <v>0</v>
      </c>
      <c r="I2235" s="84">
        <f>IFERROR(VLOOKUP(B2235,Заказ!B:Q,16,0),0)</f>
        <v>0</v>
      </c>
    </row>
    <row r="2236" spans="2:9" x14ac:dyDescent="0.25">
      <c r="B2236" s="84">
        <v>21461</v>
      </c>
      <c r="D2236" s="84" t="str">
        <f t="shared" si="39"/>
        <v/>
      </c>
      <c r="H2236" s="84">
        <f>IFERROR(VLOOKUP(B2236,Заказ!B:Q,5,0),0)</f>
        <v>0</v>
      </c>
      <c r="I2236" s="84">
        <f>IFERROR(VLOOKUP(B2236,Заказ!B:Q,16,0),0)</f>
        <v>0</v>
      </c>
    </row>
    <row r="2237" spans="2:9" x14ac:dyDescent="0.25">
      <c r="B2237" s="84">
        <v>6379</v>
      </c>
      <c r="D2237" s="84" t="str">
        <f t="shared" si="39"/>
        <v/>
      </c>
      <c r="H2237" s="84">
        <f>IFERROR(VLOOKUP(B2237,Заказ!B:Q,5,0),0)</f>
        <v>0</v>
      </c>
      <c r="I2237" s="84">
        <f>IFERROR(VLOOKUP(B2237,Заказ!B:Q,16,0),0)</f>
        <v>0</v>
      </c>
    </row>
    <row r="2238" spans="2:9" x14ac:dyDescent="0.25">
      <c r="B2238" s="84">
        <v>11745</v>
      </c>
      <c r="D2238" s="84" t="str">
        <f t="shared" si="39"/>
        <v/>
      </c>
      <c r="H2238" s="84">
        <f>IFERROR(VLOOKUP(B2238,Заказ!B:Q,5,0),0)</f>
        <v>0</v>
      </c>
      <c r="I2238" s="84">
        <f>IFERROR(VLOOKUP(B2238,Заказ!B:Q,16,0),0)</f>
        <v>0</v>
      </c>
    </row>
    <row r="2239" spans="2:9" x14ac:dyDescent="0.25">
      <c r="B2239" s="84">
        <v>13620</v>
      </c>
      <c r="D2239" s="84" t="str">
        <f t="shared" si="39"/>
        <v/>
      </c>
      <c r="H2239" s="84">
        <f>IFERROR(VLOOKUP(B2239,Заказ!B:Q,5,0),0)</f>
        <v>0</v>
      </c>
      <c r="I2239" s="84">
        <f>IFERROR(VLOOKUP(B2239,Заказ!B:Q,16,0),0)</f>
        <v>0</v>
      </c>
    </row>
    <row r="2240" spans="2:9" x14ac:dyDescent="0.25">
      <c r="B2240" s="84">
        <v>21052</v>
      </c>
      <c r="D2240" s="84" t="str">
        <f t="shared" si="39"/>
        <v/>
      </c>
      <c r="H2240" s="84">
        <f>IFERROR(VLOOKUP(B2240,Заказ!B:Q,5,0),0)</f>
        <v>0</v>
      </c>
      <c r="I2240" s="84">
        <f>IFERROR(VLOOKUP(B2240,Заказ!B:Q,16,0),0)</f>
        <v>0</v>
      </c>
    </row>
    <row r="2241" spans="2:9" x14ac:dyDescent="0.25">
      <c r="B2241" s="84">
        <v>6389</v>
      </c>
      <c r="D2241" s="84" t="str">
        <f t="shared" si="39"/>
        <v/>
      </c>
      <c r="H2241" s="84">
        <f>IFERROR(VLOOKUP(B2241,Заказ!B:Q,5,0),0)</f>
        <v>0</v>
      </c>
      <c r="I2241" s="84">
        <f>IFERROR(VLOOKUP(B2241,Заказ!B:Q,16,0),0)</f>
        <v>0</v>
      </c>
    </row>
    <row r="2242" spans="2:9" x14ac:dyDescent="0.25">
      <c r="B2242" s="84">
        <v>6398</v>
      </c>
      <c r="D2242" s="84" t="str">
        <f t="shared" si="39"/>
        <v/>
      </c>
      <c r="H2242" s="84">
        <f>IFERROR(VLOOKUP(B2242,Заказ!B:Q,5,0),0)</f>
        <v>0</v>
      </c>
      <c r="I2242" s="84">
        <f>IFERROR(VLOOKUP(B2242,Заказ!B:Q,16,0),0)</f>
        <v>0</v>
      </c>
    </row>
    <row r="2243" spans="2:9" x14ac:dyDescent="0.25">
      <c r="B2243" s="84">
        <v>2808</v>
      </c>
      <c r="D2243" s="84" t="str">
        <f t="shared" si="39"/>
        <v/>
      </c>
      <c r="H2243" s="84">
        <f>IFERROR(VLOOKUP(B2243,Заказ!B:Q,5,0),0)</f>
        <v>0</v>
      </c>
      <c r="I2243" s="84">
        <f>IFERROR(VLOOKUP(B2243,Заказ!B:Q,16,0),0)</f>
        <v>0</v>
      </c>
    </row>
    <row r="2244" spans="2:9" x14ac:dyDescent="0.25">
      <c r="B2244" s="84">
        <v>6399</v>
      </c>
      <c r="D2244" s="84" t="str">
        <f t="shared" si="39"/>
        <v/>
      </c>
      <c r="H2244" s="84">
        <f>IFERROR(VLOOKUP(B2244,Заказ!B:Q,5,0),0)</f>
        <v>0</v>
      </c>
      <c r="I2244" s="84">
        <f>IFERROR(VLOOKUP(B2244,Заказ!B:Q,16,0),0)</f>
        <v>0</v>
      </c>
    </row>
    <row r="2245" spans="2:9" x14ac:dyDescent="0.25">
      <c r="B2245" s="84">
        <v>11749</v>
      </c>
      <c r="D2245" s="84" t="str">
        <f t="shared" si="39"/>
        <v/>
      </c>
      <c r="H2245" s="84">
        <f>IFERROR(VLOOKUP(B2245,Заказ!B:Q,5,0),0)</f>
        <v>0</v>
      </c>
      <c r="I2245" s="84">
        <f>IFERROR(VLOOKUP(B2245,Заказ!B:Q,16,0),0)</f>
        <v>0</v>
      </c>
    </row>
    <row r="2246" spans="2:9" x14ac:dyDescent="0.25">
      <c r="B2246" s="84">
        <v>6396</v>
      </c>
      <c r="D2246" s="84" t="str">
        <f t="shared" si="39"/>
        <v/>
      </c>
      <c r="H2246" s="84">
        <f>IFERROR(VLOOKUP(B2246,Заказ!B:Q,5,0),0)</f>
        <v>0</v>
      </c>
      <c r="I2246" s="84">
        <f>IFERROR(VLOOKUP(B2246,Заказ!B:Q,16,0),0)</f>
        <v>0</v>
      </c>
    </row>
    <row r="2247" spans="2:9" x14ac:dyDescent="0.25">
      <c r="B2247" s="84">
        <v>11751</v>
      </c>
      <c r="D2247" s="84" t="str">
        <f t="shared" si="39"/>
        <v/>
      </c>
      <c r="H2247" s="84">
        <f>IFERROR(VLOOKUP(B2247,Заказ!B:Q,5,0),0)</f>
        <v>0</v>
      </c>
      <c r="I2247" s="84">
        <f>IFERROR(VLOOKUP(B2247,Заказ!B:Q,16,0),0)</f>
        <v>0</v>
      </c>
    </row>
    <row r="2248" spans="2:9" x14ac:dyDescent="0.25">
      <c r="B2248" s="84">
        <v>11750</v>
      </c>
      <c r="D2248" s="84" t="str">
        <f t="shared" si="39"/>
        <v/>
      </c>
      <c r="H2248" s="84">
        <f>IFERROR(VLOOKUP(B2248,Заказ!B:Q,5,0),0)</f>
        <v>0</v>
      </c>
      <c r="I2248" s="84">
        <f>IFERROR(VLOOKUP(B2248,Заказ!B:Q,16,0),0)</f>
        <v>0</v>
      </c>
    </row>
    <row r="2249" spans="2:9" x14ac:dyDescent="0.25">
      <c r="B2249" s="84">
        <v>11753</v>
      </c>
      <c r="D2249" s="84" t="str">
        <f t="shared" si="39"/>
        <v/>
      </c>
      <c r="H2249" s="84">
        <f>IFERROR(VLOOKUP(B2249,Заказ!B:Q,5,0),0)</f>
        <v>0</v>
      </c>
      <c r="I2249" s="84">
        <f>IFERROR(VLOOKUP(B2249,Заказ!B:Q,16,0),0)</f>
        <v>0</v>
      </c>
    </row>
    <row r="2250" spans="2:9" x14ac:dyDescent="0.25">
      <c r="B2250" s="84">
        <v>11752</v>
      </c>
      <c r="D2250" s="84" t="str">
        <f t="shared" si="39"/>
        <v/>
      </c>
      <c r="H2250" s="84">
        <f>IFERROR(VLOOKUP(B2250,Заказ!B:Q,5,0),0)</f>
        <v>0</v>
      </c>
      <c r="I2250" s="84">
        <f>IFERROR(VLOOKUP(B2250,Заказ!B:Q,16,0),0)</f>
        <v>0</v>
      </c>
    </row>
    <row r="2251" spans="2:9" x14ac:dyDescent="0.25">
      <c r="B2251" s="84">
        <v>11757</v>
      </c>
      <c r="D2251" s="84" t="str">
        <f t="shared" si="39"/>
        <v/>
      </c>
      <c r="H2251" s="84">
        <f>IFERROR(VLOOKUP(B2251,Заказ!B:Q,5,0),0)</f>
        <v>0</v>
      </c>
      <c r="I2251" s="84">
        <f>IFERROR(VLOOKUP(B2251,Заказ!B:Q,16,0),0)</f>
        <v>0</v>
      </c>
    </row>
    <row r="2252" spans="2:9" x14ac:dyDescent="0.25">
      <c r="B2252" s="84">
        <v>10560</v>
      </c>
      <c r="D2252" s="84" t="str">
        <f t="shared" si="39"/>
        <v/>
      </c>
      <c r="H2252" s="84">
        <f>IFERROR(VLOOKUP(B2252,Заказ!B:Q,5,0),0)</f>
        <v>0</v>
      </c>
      <c r="I2252" s="84">
        <f>IFERROR(VLOOKUP(B2252,Заказ!B:Q,16,0),0)</f>
        <v>0</v>
      </c>
    </row>
    <row r="2253" spans="2:9" x14ac:dyDescent="0.25">
      <c r="B2253" s="84">
        <v>12099</v>
      </c>
      <c r="D2253" s="84" t="str">
        <f t="shared" si="39"/>
        <v/>
      </c>
      <c r="H2253" s="84">
        <f>IFERROR(VLOOKUP(B2253,Заказ!B:Q,5,0),0)</f>
        <v>0</v>
      </c>
      <c r="I2253" s="84">
        <f>IFERROR(VLOOKUP(B2253,Заказ!B:Q,16,0),0)</f>
        <v>0</v>
      </c>
    </row>
    <row r="2254" spans="2:9" x14ac:dyDescent="0.25">
      <c r="B2254" s="84">
        <v>6382</v>
      </c>
      <c r="D2254" s="84" t="str">
        <f t="shared" si="39"/>
        <v/>
      </c>
      <c r="H2254" s="84">
        <f>IFERROR(VLOOKUP(B2254,Заказ!B:Q,5,0),0)</f>
        <v>0</v>
      </c>
      <c r="I2254" s="84">
        <f>IFERROR(VLOOKUP(B2254,Заказ!B:Q,16,0),0)</f>
        <v>0</v>
      </c>
    </row>
    <row r="2255" spans="2:9" x14ac:dyDescent="0.25">
      <c r="B2255" s="84">
        <v>2745</v>
      </c>
      <c r="D2255" s="84" t="str">
        <f t="shared" si="39"/>
        <v/>
      </c>
      <c r="H2255" s="84">
        <f>IFERROR(VLOOKUP(B2255,Заказ!B:Q,5,0),0)</f>
        <v>0</v>
      </c>
      <c r="I2255" s="84">
        <f>IFERROR(VLOOKUP(B2255,Заказ!B:Q,16,0),0)</f>
        <v>0</v>
      </c>
    </row>
    <row r="2256" spans="2:9" x14ac:dyDescent="0.25">
      <c r="B2256" s="84">
        <v>14595</v>
      </c>
      <c r="D2256" s="84" t="str">
        <f t="shared" si="39"/>
        <v/>
      </c>
      <c r="H2256" s="84">
        <f>IFERROR(VLOOKUP(B2256,Заказ!B:Q,5,0),0)</f>
        <v>0</v>
      </c>
      <c r="I2256" s="84">
        <f>IFERROR(VLOOKUP(B2256,Заказ!B:Q,16,0),0)</f>
        <v>0</v>
      </c>
    </row>
    <row r="2257" spans="2:9" x14ac:dyDescent="0.25">
      <c r="B2257" s="84">
        <v>14216</v>
      </c>
      <c r="D2257" s="84" t="str">
        <f t="shared" si="39"/>
        <v/>
      </c>
      <c r="H2257" s="84">
        <f>IFERROR(VLOOKUP(B2257,Заказ!B:Q,5,0),0)</f>
        <v>0</v>
      </c>
      <c r="I2257" s="84">
        <f>IFERROR(VLOOKUP(B2257,Заказ!B:Q,16,0),0)</f>
        <v>0</v>
      </c>
    </row>
    <row r="2258" spans="2:9" x14ac:dyDescent="0.25">
      <c r="B2258" s="84">
        <v>14217</v>
      </c>
      <c r="D2258" s="84" t="str">
        <f t="shared" si="39"/>
        <v/>
      </c>
      <c r="H2258" s="84">
        <f>IFERROR(VLOOKUP(B2258,Заказ!B:Q,5,0),0)</f>
        <v>0</v>
      </c>
      <c r="I2258" s="84">
        <f>IFERROR(VLOOKUP(B2258,Заказ!B:Q,16,0),0)</f>
        <v>0</v>
      </c>
    </row>
    <row r="2259" spans="2:9" x14ac:dyDescent="0.25">
      <c r="B2259" s="84">
        <v>14218</v>
      </c>
      <c r="D2259" s="84" t="str">
        <f t="shared" si="39"/>
        <v/>
      </c>
      <c r="H2259" s="84">
        <f>IFERROR(VLOOKUP(B2259,Заказ!B:Q,5,0),0)</f>
        <v>0</v>
      </c>
      <c r="I2259" s="84">
        <f>IFERROR(VLOOKUP(B2259,Заказ!B:Q,16,0),0)</f>
        <v>0</v>
      </c>
    </row>
    <row r="2260" spans="2:9" x14ac:dyDescent="0.25">
      <c r="B2260" s="84">
        <v>14219</v>
      </c>
      <c r="D2260" s="84" t="str">
        <f t="shared" si="39"/>
        <v/>
      </c>
      <c r="H2260" s="84">
        <f>IFERROR(VLOOKUP(B2260,Заказ!B:Q,5,0),0)</f>
        <v>0</v>
      </c>
      <c r="I2260" s="84">
        <f>IFERROR(VLOOKUP(B2260,Заказ!B:Q,16,0),0)</f>
        <v>0</v>
      </c>
    </row>
    <row r="2261" spans="2:9" x14ac:dyDescent="0.25">
      <c r="B2261" s="84">
        <v>1007</v>
      </c>
      <c r="D2261" s="84" t="str">
        <f t="shared" si="39"/>
        <v/>
      </c>
      <c r="H2261" s="84">
        <f>IFERROR(VLOOKUP(B2261,Заказ!B:Q,5,0),0)</f>
        <v>0</v>
      </c>
      <c r="I2261" s="84">
        <f>IFERROR(VLOOKUP(B2261,Заказ!B:Q,16,0),0)</f>
        <v>0</v>
      </c>
    </row>
    <row r="2262" spans="2:9" x14ac:dyDescent="0.25">
      <c r="B2262" s="84">
        <v>1005</v>
      </c>
      <c r="D2262" s="84" t="str">
        <f t="shared" si="39"/>
        <v/>
      </c>
      <c r="H2262" s="84">
        <f>IFERROR(VLOOKUP(B2262,Заказ!B:Q,5,0),0)</f>
        <v>0</v>
      </c>
      <c r="I2262" s="84">
        <f>IFERROR(VLOOKUP(B2262,Заказ!B:Q,16,0),0)</f>
        <v>0</v>
      </c>
    </row>
    <row r="2263" spans="2:9" x14ac:dyDescent="0.25">
      <c r="B2263" s="84">
        <v>1008</v>
      </c>
      <c r="D2263" s="84" t="str">
        <f t="shared" si="39"/>
        <v/>
      </c>
      <c r="H2263" s="84">
        <f>IFERROR(VLOOKUP(B2263,Заказ!B:Q,5,0),0)</f>
        <v>0</v>
      </c>
      <c r="I2263" s="84">
        <f>IFERROR(VLOOKUP(B2263,Заказ!B:Q,16,0),0)</f>
        <v>0</v>
      </c>
    </row>
    <row r="2264" spans="2:9" x14ac:dyDescent="0.25">
      <c r="B2264" s="84">
        <v>16122</v>
      </c>
      <c r="D2264" s="84" t="str">
        <f t="shared" si="39"/>
        <v/>
      </c>
      <c r="H2264" s="84">
        <f>IFERROR(VLOOKUP(B2264,Заказ!B:Q,5,0),0)</f>
        <v>0</v>
      </c>
      <c r="I2264" s="84">
        <f>IFERROR(VLOOKUP(B2264,Заказ!B:Q,16,0),0)</f>
        <v>0</v>
      </c>
    </row>
    <row r="2265" spans="2:9" x14ac:dyDescent="0.25">
      <c r="B2265" s="84">
        <v>15311</v>
      </c>
      <c r="D2265" s="84" t="str">
        <f t="shared" si="39"/>
        <v/>
      </c>
      <c r="H2265" s="84">
        <f>IFERROR(VLOOKUP(B2265,Заказ!B:Q,5,0),0)</f>
        <v>0</v>
      </c>
      <c r="I2265" s="84">
        <f>IFERROR(VLOOKUP(B2265,Заказ!B:Q,16,0),0)</f>
        <v>0</v>
      </c>
    </row>
    <row r="2266" spans="2:9" x14ac:dyDescent="0.25">
      <c r="B2266" s="84">
        <v>16121</v>
      </c>
      <c r="D2266" s="84" t="str">
        <f t="shared" si="39"/>
        <v/>
      </c>
      <c r="H2266" s="84">
        <f>IFERROR(VLOOKUP(B2266,Заказ!B:Q,5,0),0)</f>
        <v>0</v>
      </c>
      <c r="I2266" s="84">
        <f>IFERROR(VLOOKUP(B2266,Заказ!B:Q,16,0),0)</f>
        <v>0</v>
      </c>
    </row>
    <row r="2267" spans="2:9" x14ac:dyDescent="0.25">
      <c r="B2267" s="84">
        <v>1012</v>
      </c>
      <c r="D2267" s="84" t="str">
        <f t="shared" si="39"/>
        <v/>
      </c>
      <c r="H2267" s="84">
        <f>IFERROR(VLOOKUP(B2267,Заказ!B:Q,5,0),0)</f>
        <v>0</v>
      </c>
      <c r="I2267" s="84">
        <f>IFERROR(VLOOKUP(B2267,Заказ!B:Q,16,0),0)</f>
        <v>0</v>
      </c>
    </row>
    <row r="2268" spans="2:9" x14ac:dyDescent="0.25">
      <c r="B2268" s="84">
        <v>1013</v>
      </c>
      <c r="D2268" s="84" t="str">
        <f t="shared" si="39"/>
        <v/>
      </c>
      <c r="H2268" s="84">
        <f>IFERROR(VLOOKUP(B2268,Заказ!B:Q,5,0),0)</f>
        <v>0</v>
      </c>
      <c r="I2268" s="84">
        <f>IFERROR(VLOOKUP(B2268,Заказ!B:Q,16,0),0)</f>
        <v>0</v>
      </c>
    </row>
    <row r="2269" spans="2:9" x14ac:dyDescent="0.25">
      <c r="B2269" s="84">
        <v>1011</v>
      </c>
      <c r="D2269" s="84" t="str">
        <f t="shared" si="39"/>
        <v/>
      </c>
      <c r="H2269" s="84">
        <f>IFERROR(VLOOKUP(B2269,Заказ!B:Q,5,0),0)</f>
        <v>0</v>
      </c>
      <c r="I2269" s="84">
        <f>IFERROR(VLOOKUP(B2269,Заказ!B:Q,16,0),0)</f>
        <v>0</v>
      </c>
    </row>
    <row r="2270" spans="2:9" x14ac:dyDescent="0.25">
      <c r="B2270" s="84">
        <v>1010</v>
      </c>
      <c r="D2270" s="84" t="str">
        <f t="shared" si="39"/>
        <v/>
      </c>
      <c r="H2270" s="84">
        <f>IFERROR(VLOOKUP(B2270,Заказ!B:Q,5,0),0)</f>
        <v>0</v>
      </c>
      <c r="I2270" s="84">
        <f>IFERROR(VLOOKUP(B2270,Заказ!B:Q,16,0),0)</f>
        <v>0</v>
      </c>
    </row>
    <row r="2271" spans="2:9" x14ac:dyDescent="0.25">
      <c r="B2271" s="84">
        <v>21167</v>
      </c>
      <c r="D2271" s="84" t="str">
        <f t="shared" ref="D2271:D2319" si="40">IFERROR(ROUND(I2271/H2271,2),"")</f>
        <v/>
      </c>
      <c r="H2271" s="84">
        <f>IFERROR(VLOOKUP(B2271,Заказ!B:Q,5,0),0)</f>
        <v>0</v>
      </c>
      <c r="I2271" s="84">
        <f>IFERROR(VLOOKUP(B2271,Заказ!B:Q,16,0),0)</f>
        <v>0</v>
      </c>
    </row>
    <row r="2272" spans="2:9" x14ac:dyDescent="0.25">
      <c r="B2272" s="84">
        <v>21168</v>
      </c>
      <c r="D2272" s="84" t="str">
        <f t="shared" ref="D2272:D2314" si="41">IFERROR(ROUND(I2272/H2272,2),"")</f>
        <v/>
      </c>
      <c r="H2272" s="84">
        <f>IFERROR(VLOOKUP(B2272,Заказ!B:Q,5,0),0)</f>
        <v>0</v>
      </c>
      <c r="I2272" s="84">
        <f>IFERROR(VLOOKUP(B2272,Заказ!B:Q,16,0),0)</f>
        <v>0</v>
      </c>
    </row>
    <row r="2273" spans="2:9" x14ac:dyDescent="0.25">
      <c r="B2273" s="84">
        <v>21166</v>
      </c>
      <c r="D2273" s="84" t="str">
        <f t="shared" si="41"/>
        <v/>
      </c>
      <c r="H2273" s="84">
        <f>IFERROR(VLOOKUP(B2273,Заказ!B:Q,5,0),0)</f>
        <v>0</v>
      </c>
      <c r="I2273" s="84">
        <f>IFERROR(VLOOKUP(B2273,Заказ!B:Q,16,0),0)</f>
        <v>0</v>
      </c>
    </row>
    <row r="2274" spans="2:9" x14ac:dyDescent="0.25">
      <c r="B2274" s="84">
        <v>21163</v>
      </c>
      <c r="D2274" s="84" t="str">
        <f t="shared" si="41"/>
        <v/>
      </c>
      <c r="H2274" s="84">
        <f>IFERROR(VLOOKUP(B2274,Заказ!B:Q,5,0),0)</f>
        <v>0</v>
      </c>
      <c r="I2274" s="84">
        <f>IFERROR(VLOOKUP(B2274,Заказ!B:Q,16,0),0)</f>
        <v>0</v>
      </c>
    </row>
    <row r="2275" spans="2:9" x14ac:dyDescent="0.25">
      <c r="B2275" s="84">
        <v>21164</v>
      </c>
      <c r="D2275" s="84" t="str">
        <f t="shared" si="41"/>
        <v/>
      </c>
      <c r="H2275" s="84">
        <f>IFERROR(VLOOKUP(B2275,Заказ!B:Q,5,0),0)</f>
        <v>0</v>
      </c>
      <c r="I2275" s="84">
        <f>IFERROR(VLOOKUP(B2275,Заказ!B:Q,16,0),0)</f>
        <v>0</v>
      </c>
    </row>
    <row r="2276" spans="2:9" x14ac:dyDescent="0.25">
      <c r="B2276" s="84">
        <v>21165</v>
      </c>
      <c r="D2276" s="84" t="str">
        <f t="shared" si="41"/>
        <v/>
      </c>
      <c r="H2276" s="84">
        <f>IFERROR(VLOOKUP(B2276,Заказ!B:Q,5,0),0)</f>
        <v>0</v>
      </c>
      <c r="I2276" s="84">
        <f>IFERROR(VLOOKUP(B2276,Заказ!B:Q,16,0),0)</f>
        <v>0</v>
      </c>
    </row>
    <row r="2277" spans="2:9" x14ac:dyDescent="0.25">
      <c r="B2277" s="84">
        <v>21171</v>
      </c>
      <c r="D2277" s="84" t="str">
        <f t="shared" si="41"/>
        <v/>
      </c>
      <c r="H2277" s="84">
        <f>IFERROR(VLOOKUP(B2277,Заказ!B:Q,5,0),0)</f>
        <v>0</v>
      </c>
      <c r="I2277" s="84">
        <f>IFERROR(VLOOKUP(B2277,Заказ!B:Q,16,0),0)</f>
        <v>0</v>
      </c>
    </row>
    <row r="2278" spans="2:9" x14ac:dyDescent="0.25">
      <c r="B2278" s="84">
        <v>21170</v>
      </c>
      <c r="D2278" s="84" t="str">
        <f t="shared" si="41"/>
        <v/>
      </c>
      <c r="H2278" s="84">
        <f>IFERROR(VLOOKUP(B2278,Заказ!B:Q,5,0),0)</f>
        <v>0</v>
      </c>
      <c r="I2278" s="84">
        <f>IFERROR(VLOOKUP(B2278,Заказ!B:Q,16,0),0)</f>
        <v>0</v>
      </c>
    </row>
    <row r="2279" spans="2:9" x14ac:dyDescent="0.25">
      <c r="B2279" s="84">
        <v>21169</v>
      </c>
      <c r="D2279" s="84" t="str">
        <f t="shared" si="41"/>
        <v/>
      </c>
      <c r="H2279" s="84">
        <f>IFERROR(VLOOKUP(B2279,Заказ!B:Q,5,0),0)</f>
        <v>0</v>
      </c>
      <c r="I2279" s="84">
        <f>IFERROR(VLOOKUP(B2279,Заказ!B:Q,16,0),0)</f>
        <v>0</v>
      </c>
    </row>
    <row r="2280" spans="2:9" x14ac:dyDescent="0.25">
      <c r="B2280" s="84">
        <v>21172</v>
      </c>
      <c r="D2280" s="84" t="str">
        <f t="shared" si="41"/>
        <v/>
      </c>
      <c r="H2280" s="84">
        <f>IFERROR(VLOOKUP(B2280,Заказ!B:Q,5,0),0)</f>
        <v>0</v>
      </c>
      <c r="I2280" s="84">
        <f>IFERROR(VLOOKUP(B2280,Заказ!B:Q,16,0),0)</f>
        <v>0</v>
      </c>
    </row>
    <row r="2281" spans="2:9" x14ac:dyDescent="0.25">
      <c r="B2281" s="84">
        <v>21175</v>
      </c>
      <c r="D2281" s="84" t="str">
        <f t="shared" si="41"/>
        <v/>
      </c>
      <c r="H2281" s="84">
        <f>IFERROR(VLOOKUP(B2281,Заказ!B:Q,5,0),0)</f>
        <v>0</v>
      </c>
      <c r="I2281" s="84">
        <f>IFERROR(VLOOKUP(B2281,Заказ!B:Q,16,0),0)</f>
        <v>0</v>
      </c>
    </row>
    <row r="2282" spans="2:9" x14ac:dyDescent="0.25">
      <c r="B2282" s="84">
        <v>21174</v>
      </c>
      <c r="D2282" s="84" t="str">
        <f t="shared" si="41"/>
        <v/>
      </c>
      <c r="H2282" s="84">
        <f>IFERROR(VLOOKUP(B2282,Заказ!B:Q,5,0),0)</f>
        <v>0</v>
      </c>
      <c r="I2282" s="84">
        <f>IFERROR(VLOOKUP(B2282,Заказ!B:Q,16,0),0)</f>
        <v>0</v>
      </c>
    </row>
    <row r="2283" spans="2:9" x14ac:dyDescent="0.25">
      <c r="B2283" s="84">
        <v>21173</v>
      </c>
      <c r="D2283" s="84" t="str">
        <f t="shared" si="41"/>
        <v/>
      </c>
      <c r="H2283" s="84">
        <f>IFERROR(VLOOKUP(B2283,Заказ!B:Q,5,0),0)</f>
        <v>0</v>
      </c>
      <c r="I2283" s="84">
        <f>IFERROR(VLOOKUP(B2283,Заказ!B:Q,16,0),0)</f>
        <v>0</v>
      </c>
    </row>
    <row r="2284" spans="2:9" x14ac:dyDescent="0.25">
      <c r="B2284" s="84">
        <v>21176</v>
      </c>
      <c r="D2284" s="84" t="str">
        <f t="shared" si="41"/>
        <v/>
      </c>
      <c r="H2284" s="84">
        <f>IFERROR(VLOOKUP(B2284,Заказ!B:Q,5,0),0)</f>
        <v>0</v>
      </c>
      <c r="I2284" s="84">
        <f>IFERROR(VLOOKUP(B2284,Заказ!B:Q,16,0),0)</f>
        <v>0</v>
      </c>
    </row>
    <row r="2285" spans="2:9" x14ac:dyDescent="0.25">
      <c r="B2285" s="84">
        <v>19970</v>
      </c>
      <c r="D2285" s="84" t="str">
        <f t="shared" si="41"/>
        <v/>
      </c>
      <c r="H2285" s="84">
        <f>IFERROR(VLOOKUP(B2285,Заказ!B:Q,5,0),0)</f>
        <v>0</v>
      </c>
      <c r="I2285" s="84">
        <f>IFERROR(VLOOKUP(B2285,Заказ!B:Q,16,0),0)</f>
        <v>0</v>
      </c>
    </row>
    <row r="2286" spans="2:9" x14ac:dyDescent="0.25">
      <c r="B2286" s="84">
        <v>19971</v>
      </c>
      <c r="D2286" s="84" t="str">
        <f t="shared" si="41"/>
        <v/>
      </c>
      <c r="H2286" s="84">
        <f>IFERROR(VLOOKUP(B2286,Заказ!B:Q,5,0),0)</f>
        <v>0</v>
      </c>
      <c r="I2286" s="84">
        <f>IFERROR(VLOOKUP(B2286,Заказ!B:Q,16,0),0)</f>
        <v>0</v>
      </c>
    </row>
    <row r="2287" spans="2:9" x14ac:dyDescent="0.25">
      <c r="B2287" s="84">
        <v>19972</v>
      </c>
      <c r="D2287" s="84" t="str">
        <f t="shared" si="41"/>
        <v/>
      </c>
      <c r="H2287" s="84">
        <f>IFERROR(VLOOKUP(B2287,Заказ!B:Q,5,0),0)</f>
        <v>0</v>
      </c>
      <c r="I2287" s="84">
        <f>IFERROR(VLOOKUP(B2287,Заказ!B:Q,16,0),0)</f>
        <v>0</v>
      </c>
    </row>
    <row r="2288" spans="2:9" x14ac:dyDescent="0.25">
      <c r="B2288" s="84">
        <v>20410</v>
      </c>
      <c r="D2288" s="84" t="str">
        <f t="shared" si="41"/>
        <v/>
      </c>
      <c r="H2288" s="84">
        <f>IFERROR(VLOOKUP(B2288,Заказ!B:Q,5,0),0)</f>
        <v>0</v>
      </c>
      <c r="I2288" s="84">
        <f>IFERROR(VLOOKUP(B2288,Заказ!B:Q,16,0),0)</f>
        <v>0</v>
      </c>
    </row>
    <row r="2289" spans="2:9" x14ac:dyDescent="0.25">
      <c r="B2289" s="84">
        <v>19973</v>
      </c>
      <c r="D2289" s="84" t="str">
        <f t="shared" si="41"/>
        <v/>
      </c>
      <c r="H2289" s="84">
        <f>IFERROR(VLOOKUP(B2289,Заказ!B:Q,5,0),0)</f>
        <v>0</v>
      </c>
      <c r="I2289" s="84">
        <f>IFERROR(VLOOKUP(B2289,Заказ!B:Q,16,0),0)</f>
        <v>0</v>
      </c>
    </row>
    <row r="2290" spans="2:9" x14ac:dyDescent="0.25">
      <c r="B2290" s="84">
        <v>20009</v>
      </c>
      <c r="D2290" s="84" t="str">
        <f t="shared" si="41"/>
        <v/>
      </c>
      <c r="H2290" s="84">
        <f>IFERROR(VLOOKUP(B2290,Заказ!B:Q,5,0),0)</f>
        <v>0</v>
      </c>
      <c r="I2290" s="84">
        <f>IFERROR(VLOOKUP(B2290,Заказ!B:Q,16,0),0)</f>
        <v>0</v>
      </c>
    </row>
    <row r="2291" spans="2:9" x14ac:dyDescent="0.25">
      <c r="B2291" s="84">
        <v>20798</v>
      </c>
      <c r="D2291" s="84" t="str">
        <f t="shared" si="41"/>
        <v/>
      </c>
      <c r="H2291" s="84">
        <f>IFERROR(VLOOKUP(B2291,Заказ!B:Q,5,0),0)</f>
        <v>0</v>
      </c>
      <c r="I2291" s="84">
        <f>IFERROR(VLOOKUP(B2291,Заказ!B:Q,16,0),0)</f>
        <v>0</v>
      </c>
    </row>
    <row r="2292" spans="2:9" x14ac:dyDescent="0.25">
      <c r="B2292" s="84">
        <v>20781</v>
      </c>
      <c r="D2292" s="84" t="str">
        <f t="shared" si="41"/>
        <v/>
      </c>
      <c r="H2292" s="84">
        <f>IFERROR(VLOOKUP(B2292,Заказ!B:Q,5,0),0)</f>
        <v>0</v>
      </c>
      <c r="I2292" s="84">
        <f>IFERROR(VLOOKUP(B2292,Заказ!B:Q,16,0),0)</f>
        <v>0</v>
      </c>
    </row>
    <row r="2293" spans="2:9" x14ac:dyDescent="0.25">
      <c r="B2293" s="84">
        <v>19997</v>
      </c>
      <c r="D2293" s="84" t="str">
        <f t="shared" si="41"/>
        <v/>
      </c>
      <c r="H2293" s="84">
        <f>IFERROR(VLOOKUP(B2293,Заказ!B:Q,5,0),0)</f>
        <v>0</v>
      </c>
      <c r="I2293" s="84">
        <f>IFERROR(VLOOKUP(B2293,Заказ!B:Q,16,0),0)</f>
        <v>0</v>
      </c>
    </row>
    <row r="2294" spans="2:9" x14ac:dyDescent="0.25">
      <c r="B2294" s="84">
        <v>20737</v>
      </c>
      <c r="D2294" s="84" t="str">
        <f t="shared" si="41"/>
        <v/>
      </c>
      <c r="H2294" s="84">
        <f>IFERROR(VLOOKUP(B2294,Заказ!B:Q,5,0),0)</f>
        <v>0</v>
      </c>
      <c r="I2294" s="84">
        <f>IFERROR(VLOOKUP(B2294,Заказ!B:Q,16,0),0)</f>
        <v>0</v>
      </c>
    </row>
    <row r="2295" spans="2:9" x14ac:dyDescent="0.25">
      <c r="B2295" s="84">
        <v>19968</v>
      </c>
      <c r="D2295" s="84" t="str">
        <f t="shared" si="41"/>
        <v/>
      </c>
      <c r="H2295" s="84">
        <f>IFERROR(VLOOKUP(B2295,Заказ!B:Q,5,0),0)</f>
        <v>0</v>
      </c>
      <c r="I2295" s="84">
        <f>IFERROR(VLOOKUP(B2295,Заказ!B:Q,16,0),0)</f>
        <v>0</v>
      </c>
    </row>
    <row r="2296" spans="2:9" x14ac:dyDescent="0.25">
      <c r="B2296" s="84">
        <v>19969</v>
      </c>
      <c r="D2296" s="84" t="str">
        <f t="shared" si="41"/>
        <v/>
      </c>
      <c r="H2296" s="84">
        <f>IFERROR(VLOOKUP(B2296,Заказ!B:Q,5,0),0)</f>
        <v>0</v>
      </c>
      <c r="I2296" s="84">
        <f>IFERROR(VLOOKUP(B2296,Заказ!B:Q,16,0),0)</f>
        <v>0</v>
      </c>
    </row>
    <row r="2297" spans="2:9" x14ac:dyDescent="0.25">
      <c r="B2297" s="84">
        <v>19996</v>
      </c>
      <c r="D2297" s="84" t="str">
        <f t="shared" si="41"/>
        <v/>
      </c>
      <c r="H2297" s="84">
        <f>IFERROR(VLOOKUP(B2297,Заказ!B:Q,5,0),0)</f>
        <v>0</v>
      </c>
      <c r="I2297" s="84">
        <f>IFERROR(VLOOKUP(B2297,Заказ!B:Q,16,0),0)</f>
        <v>0</v>
      </c>
    </row>
    <row r="2298" spans="2:9" x14ac:dyDescent="0.25">
      <c r="B2298" s="84">
        <v>19995</v>
      </c>
      <c r="D2298" s="84" t="str">
        <f t="shared" si="41"/>
        <v/>
      </c>
      <c r="H2298" s="84">
        <f>IFERROR(VLOOKUP(B2298,Заказ!B:Q,5,0),0)</f>
        <v>0</v>
      </c>
      <c r="I2298" s="84">
        <f>IFERROR(VLOOKUP(B2298,Заказ!B:Q,16,0),0)</f>
        <v>0</v>
      </c>
    </row>
    <row r="2299" spans="2:9" x14ac:dyDescent="0.25">
      <c r="B2299" s="84">
        <v>19964</v>
      </c>
      <c r="D2299" s="84" t="str">
        <f t="shared" si="41"/>
        <v/>
      </c>
      <c r="H2299" s="84">
        <f>IFERROR(VLOOKUP(B2299,Заказ!B:Q,5,0),0)</f>
        <v>0</v>
      </c>
      <c r="I2299" s="84">
        <f>IFERROR(VLOOKUP(B2299,Заказ!B:Q,16,0),0)</f>
        <v>0</v>
      </c>
    </row>
    <row r="2300" spans="2:9" x14ac:dyDescent="0.25">
      <c r="B2300" s="84">
        <v>19963</v>
      </c>
      <c r="D2300" s="84" t="str">
        <f t="shared" si="41"/>
        <v/>
      </c>
      <c r="H2300" s="84">
        <f>IFERROR(VLOOKUP(B2300,Заказ!B:Q,5,0),0)</f>
        <v>0</v>
      </c>
      <c r="I2300" s="84">
        <f>IFERROR(VLOOKUP(B2300,Заказ!B:Q,16,0),0)</f>
        <v>0</v>
      </c>
    </row>
    <row r="2301" spans="2:9" x14ac:dyDescent="0.25">
      <c r="B2301" s="84">
        <v>19960</v>
      </c>
      <c r="D2301" s="84" t="str">
        <f t="shared" si="41"/>
        <v/>
      </c>
      <c r="H2301" s="84">
        <f>IFERROR(VLOOKUP(B2301,Заказ!B:Q,5,0),0)</f>
        <v>0</v>
      </c>
      <c r="I2301" s="84">
        <f>IFERROR(VLOOKUP(B2301,Заказ!B:Q,16,0),0)</f>
        <v>0</v>
      </c>
    </row>
    <row r="2302" spans="2:9" x14ac:dyDescent="0.25">
      <c r="B2302" s="84">
        <v>19961</v>
      </c>
      <c r="D2302" s="84" t="str">
        <f t="shared" si="41"/>
        <v/>
      </c>
      <c r="H2302" s="84">
        <f>IFERROR(VLOOKUP(B2302,Заказ!B:Q,5,0),0)</f>
        <v>0</v>
      </c>
      <c r="I2302" s="84">
        <f>IFERROR(VLOOKUP(B2302,Заказ!B:Q,16,0),0)</f>
        <v>0</v>
      </c>
    </row>
    <row r="2303" spans="2:9" x14ac:dyDescent="0.25">
      <c r="B2303" s="84">
        <v>19966</v>
      </c>
      <c r="D2303" s="84" t="str">
        <f t="shared" si="41"/>
        <v/>
      </c>
      <c r="H2303" s="84">
        <f>IFERROR(VLOOKUP(B2303,Заказ!B:Q,5,0),0)</f>
        <v>0</v>
      </c>
      <c r="I2303" s="84">
        <f>IFERROR(VLOOKUP(B2303,Заказ!B:Q,16,0),0)</f>
        <v>0</v>
      </c>
    </row>
    <row r="2304" spans="2:9" x14ac:dyDescent="0.25">
      <c r="B2304" s="84">
        <v>19967</v>
      </c>
      <c r="D2304" s="84" t="str">
        <f t="shared" si="41"/>
        <v/>
      </c>
      <c r="H2304" s="84">
        <f>IFERROR(VLOOKUP(B2304,Заказ!B:Q,5,0),0)</f>
        <v>0</v>
      </c>
      <c r="I2304" s="84">
        <f>IFERROR(VLOOKUP(B2304,Заказ!B:Q,16,0),0)</f>
        <v>0</v>
      </c>
    </row>
    <row r="2305" spans="2:9" x14ac:dyDescent="0.25">
      <c r="B2305" s="84">
        <v>19962</v>
      </c>
      <c r="D2305" s="84" t="str">
        <f t="shared" si="41"/>
        <v/>
      </c>
      <c r="H2305" s="84">
        <f>IFERROR(VLOOKUP(B2305,Заказ!B:Q,5,0),0)</f>
        <v>0</v>
      </c>
      <c r="I2305" s="84">
        <f>IFERROR(VLOOKUP(B2305,Заказ!B:Q,16,0),0)</f>
        <v>0</v>
      </c>
    </row>
    <row r="2306" spans="2:9" x14ac:dyDescent="0.25">
      <c r="B2306" s="84">
        <v>19965</v>
      </c>
      <c r="D2306" s="84" t="str">
        <f t="shared" si="41"/>
        <v/>
      </c>
      <c r="H2306" s="84">
        <f>IFERROR(VLOOKUP(B2306,Заказ!B:Q,5,0),0)</f>
        <v>0</v>
      </c>
      <c r="I2306" s="84">
        <f>IFERROR(VLOOKUP(B2306,Заказ!B:Q,16,0),0)</f>
        <v>0</v>
      </c>
    </row>
    <row r="2307" spans="2:9" x14ac:dyDescent="0.25">
      <c r="B2307" s="84">
        <v>20779</v>
      </c>
      <c r="D2307" s="84" t="str">
        <f t="shared" si="41"/>
        <v/>
      </c>
      <c r="H2307" s="84">
        <f>IFERROR(VLOOKUP(B2307,Заказ!B:Q,5,0),0)</f>
        <v>0</v>
      </c>
      <c r="I2307" s="84">
        <f>IFERROR(VLOOKUP(B2307,Заказ!B:Q,16,0),0)</f>
        <v>0</v>
      </c>
    </row>
    <row r="2308" spans="2:9" x14ac:dyDescent="0.25">
      <c r="B2308" s="84">
        <v>20778</v>
      </c>
      <c r="D2308" s="84" t="str">
        <f t="shared" si="41"/>
        <v/>
      </c>
      <c r="H2308" s="84">
        <f>IFERROR(VLOOKUP(B2308,Заказ!B:Q,5,0),0)</f>
        <v>0</v>
      </c>
      <c r="I2308" s="84">
        <f>IFERROR(VLOOKUP(B2308,Заказ!B:Q,16,0),0)</f>
        <v>0</v>
      </c>
    </row>
    <row r="2309" spans="2:9" x14ac:dyDescent="0.25">
      <c r="B2309" s="84">
        <v>20804</v>
      </c>
      <c r="D2309" s="84" t="str">
        <f t="shared" si="41"/>
        <v/>
      </c>
      <c r="H2309" s="84">
        <f>IFERROR(VLOOKUP(B2309,Заказ!B:Q,5,0),0)</f>
        <v>0</v>
      </c>
      <c r="I2309" s="84">
        <f>IFERROR(VLOOKUP(B2309,Заказ!B:Q,16,0),0)</f>
        <v>0</v>
      </c>
    </row>
    <row r="2310" spans="2:9" x14ac:dyDescent="0.25">
      <c r="B2310" s="84">
        <v>20805</v>
      </c>
      <c r="D2310" s="84" t="str">
        <f t="shared" si="41"/>
        <v/>
      </c>
      <c r="H2310" s="84">
        <f>IFERROR(VLOOKUP(B2310,Заказ!B:Q,5,0),0)</f>
        <v>0</v>
      </c>
      <c r="I2310" s="84">
        <f>IFERROR(VLOOKUP(B2310,Заказ!B:Q,16,0),0)</f>
        <v>0</v>
      </c>
    </row>
    <row r="2311" spans="2:9" x14ac:dyDescent="0.25">
      <c r="B2311" s="84">
        <v>20329</v>
      </c>
      <c r="D2311" s="84" t="str">
        <f t="shared" si="41"/>
        <v/>
      </c>
      <c r="H2311" s="84">
        <f>IFERROR(VLOOKUP(B2311,Заказ!B:Q,5,0),0)</f>
        <v>0</v>
      </c>
      <c r="I2311" s="84">
        <f>IFERROR(VLOOKUP(B2311,Заказ!B:Q,16,0),0)</f>
        <v>0</v>
      </c>
    </row>
    <row r="2312" spans="2:9" x14ac:dyDescent="0.25">
      <c r="B2312" s="84">
        <v>20794</v>
      </c>
      <c r="D2312" s="84" t="str">
        <f t="shared" si="41"/>
        <v/>
      </c>
      <c r="H2312" s="84">
        <f>IFERROR(VLOOKUP(B2312,Заказ!B:Q,5,0),0)</f>
        <v>0</v>
      </c>
      <c r="I2312" s="84">
        <f>IFERROR(VLOOKUP(B2312,Заказ!B:Q,16,0),0)</f>
        <v>0</v>
      </c>
    </row>
    <row r="2313" spans="2:9" x14ac:dyDescent="0.25">
      <c r="B2313" s="84">
        <v>20728</v>
      </c>
      <c r="D2313" s="84" t="str">
        <f t="shared" si="41"/>
        <v/>
      </c>
      <c r="H2313" s="84">
        <f>IFERROR(VLOOKUP(B2313,Заказ!B:Q,5,0),0)</f>
        <v>0</v>
      </c>
      <c r="I2313" s="84">
        <f>IFERROR(VLOOKUP(B2313,Заказ!B:Q,16,0),0)</f>
        <v>0</v>
      </c>
    </row>
    <row r="2314" spans="2:9" x14ac:dyDescent="0.25">
      <c r="B2314" s="84">
        <v>20730</v>
      </c>
      <c r="D2314" s="84" t="str">
        <f t="shared" si="41"/>
        <v/>
      </c>
      <c r="H2314" s="84">
        <f>IFERROR(VLOOKUP(B2314,Заказ!B:Q,5,0),0)</f>
        <v>0</v>
      </c>
      <c r="I2314" s="84">
        <f>IFERROR(VLOOKUP(B2314,Заказ!B:Q,16,0),0)</f>
        <v>0</v>
      </c>
    </row>
    <row r="2315" spans="2:9" x14ac:dyDescent="0.25">
      <c r="B2315" s="84">
        <v>20727</v>
      </c>
      <c r="D2315" s="84" t="str">
        <f t="shared" si="40"/>
        <v/>
      </c>
      <c r="H2315" s="84">
        <f>IFERROR(VLOOKUP(B2315,Заказ!B:Q,5,0),0)</f>
        <v>0</v>
      </c>
      <c r="I2315" s="84">
        <f>IFERROR(VLOOKUP(B2315,Заказ!B:Q,16,0),0)</f>
        <v>0</v>
      </c>
    </row>
    <row r="2316" spans="2:9" x14ac:dyDescent="0.25">
      <c r="B2316" s="84">
        <v>20729</v>
      </c>
      <c r="D2316" s="84" t="str">
        <f t="shared" si="40"/>
        <v/>
      </c>
      <c r="H2316" s="84">
        <f>IFERROR(VLOOKUP(B2316,Заказ!B:Q,5,0),0)</f>
        <v>0</v>
      </c>
      <c r="I2316" s="84">
        <f>IFERROR(VLOOKUP(B2316,Заказ!B:Q,16,0),0)</f>
        <v>0</v>
      </c>
    </row>
    <row r="2317" spans="2:9" x14ac:dyDescent="0.25">
      <c r="B2317" s="84">
        <v>20726</v>
      </c>
      <c r="D2317" s="84" t="str">
        <f t="shared" si="40"/>
        <v/>
      </c>
      <c r="H2317" s="84">
        <f>IFERROR(VLOOKUP(B2317,Заказ!B:Q,5,0),0)</f>
        <v>0</v>
      </c>
      <c r="I2317" s="84">
        <f>IFERROR(VLOOKUP(B2317,Заказ!B:Q,16,0),0)</f>
        <v>0</v>
      </c>
    </row>
    <row r="2318" spans="2:9" x14ac:dyDescent="0.25">
      <c r="B2318" s="84">
        <v>20725</v>
      </c>
      <c r="D2318" s="84" t="str">
        <f t="shared" si="40"/>
        <v/>
      </c>
      <c r="H2318" s="84">
        <f>IFERROR(VLOOKUP(B2318,Заказ!B:Q,5,0),0)</f>
        <v>0</v>
      </c>
      <c r="I2318" s="84">
        <f>IFERROR(VLOOKUP(B2318,Заказ!B:Q,16,0),0)</f>
        <v>0</v>
      </c>
    </row>
    <row r="2319" spans="2:9" x14ac:dyDescent="0.25">
      <c r="B2319" s="84">
        <v>20722</v>
      </c>
      <c r="D2319" s="84" t="str">
        <f t="shared" si="40"/>
        <v/>
      </c>
      <c r="H2319" s="84">
        <f>IFERROR(VLOOKUP(B2319,Заказ!B:Q,5,0),0)</f>
        <v>0</v>
      </c>
      <c r="I2319" s="84">
        <f>IFERROR(VLOOKUP(B2319,Заказ!B:Q,16,0),0)</f>
        <v>0</v>
      </c>
    </row>
    <row r="2320" spans="2:9" x14ac:dyDescent="0.25">
      <c r="B2320" s="84">
        <v>20724</v>
      </c>
      <c r="D2320" s="84" t="str">
        <f t="shared" ref="D2320:D2383" si="42">IFERROR(ROUND(I2320/H2320,2),"")</f>
        <v/>
      </c>
      <c r="H2320" s="84">
        <f>IFERROR(VLOOKUP(B2320,Заказ!B:Q,5,0),0)</f>
        <v>0</v>
      </c>
      <c r="I2320" s="84">
        <f>IFERROR(VLOOKUP(B2320,Заказ!B:Q,16,0),0)</f>
        <v>0</v>
      </c>
    </row>
    <row r="2321" spans="2:9" x14ac:dyDescent="0.25">
      <c r="B2321" s="84">
        <v>20723</v>
      </c>
      <c r="D2321" s="84" t="str">
        <f t="shared" si="42"/>
        <v/>
      </c>
      <c r="H2321" s="84">
        <f>IFERROR(VLOOKUP(B2321,Заказ!B:Q,5,0),0)</f>
        <v>0</v>
      </c>
      <c r="I2321" s="84">
        <f>IFERROR(VLOOKUP(B2321,Заказ!B:Q,16,0),0)</f>
        <v>0</v>
      </c>
    </row>
    <row r="2322" spans="2:9" x14ac:dyDescent="0.25">
      <c r="B2322" s="84">
        <v>21128</v>
      </c>
      <c r="D2322" s="84" t="str">
        <f t="shared" si="42"/>
        <v/>
      </c>
      <c r="H2322" s="84">
        <f>IFERROR(VLOOKUP(B2322,Заказ!B:Q,5,0),0)</f>
        <v>0</v>
      </c>
      <c r="I2322" s="84">
        <f>IFERROR(VLOOKUP(B2322,Заказ!B:Q,16,0),0)</f>
        <v>0</v>
      </c>
    </row>
    <row r="2323" spans="2:9" x14ac:dyDescent="0.25">
      <c r="B2323" s="84">
        <v>19925</v>
      </c>
      <c r="D2323" s="84" t="str">
        <f t="shared" si="42"/>
        <v/>
      </c>
      <c r="H2323" s="84">
        <f>IFERROR(VLOOKUP(B2323,Заказ!B:Q,5,0),0)</f>
        <v>0</v>
      </c>
      <c r="I2323" s="84">
        <f>IFERROR(VLOOKUP(B2323,Заказ!B:Q,16,0),0)</f>
        <v>0</v>
      </c>
    </row>
    <row r="2324" spans="2:9" x14ac:dyDescent="0.25">
      <c r="B2324" s="84">
        <v>19926</v>
      </c>
      <c r="D2324" s="84" t="str">
        <f t="shared" si="42"/>
        <v/>
      </c>
      <c r="H2324" s="84">
        <f>IFERROR(VLOOKUP(B2324,Заказ!B:Q,5,0),0)</f>
        <v>0</v>
      </c>
      <c r="I2324" s="84">
        <f>IFERROR(VLOOKUP(B2324,Заказ!B:Q,16,0),0)</f>
        <v>0</v>
      </c>
    </row>
    <row r="2325" spans="2:9" x14ac:dyDescent="0.25">
      <c r="B2325" s="84">
        <v>20853</v>
      </c>
      <c r="D2325" s="84" t="str">
        <f t="shared" si="42"/>
        <v/>
      </c>
      <c r="H2325" s="84">
        <f>IFERROR(VLOOKUP(B2325,Заказ!B:Q,5,0),0)</f>
        <v>0</v>
      </c>
      <c r="I2325" s="84">
        <f>IFERROR(VLOOKUP(B2325,Заказ!B:Q,16,0),0)</f>
        <v>0</v>
      </c>
    </row>
    <row r="2326" spans="2:9" x14ac:dyDescent="0.25">
      <c r="B2326" s="84">
        <v>19927</v>
      </c>
      <c r="D2326" s="84" t="str">
        <f t="shared" si="42"/>
        <v/>
      </c>
      <c r="H2326" s="84">
        <f>IFERROR(VLOOKUP(B2326,Заказ!B:Q,5,0),0)</f>
        <v>0</v>
      </c>
      <c r="I2326" s="84">
        <f>IFERROR(VLOOKUP(B2326,Заказ!B:Q,16,0),0)</f>
        <v>0</v>
      </c>
    </row>
    <row r="2327" spans="2:9" x14ac:dyDescent="0.25">
      <c r="B2327" s="84">
        <v>19928</v>
      </c>
      <c r="D2327" s="84" t="str">
        <f t="shared" si="42"/>
        <v/>
      </c>
      <c r="H2327" s="84">
        <f>IFERROR(VLOOKUP(B2327,Заказ!B:Q,5,0),0)</f>
        <v>0</v>
      </c>
      <c r="I2327" s="84">
        <f>IFERROR(VLOOKUP(B2327,Заказ!B:Q,16,0),0)</f>
        <v>0</v>
      </c>
    </row>
    <row r="2328" spans="2:9" x14ac:dyDescent="0.25">
      <c r="B2328" s="84">
        <v>20122</v>
      </c>
      <c r="D2328" s="84" t="str">
        <f t="shared" si="42"/>
        <v/>
      </c>
      <c r="H2328" s="84">
        <f>IFERROR(VLOOKUP(B2328,Заказ!B:Q,5,0),0)</f>
        <v>0</v>
      </c>
      <c r="I2328" s="84">
        <f>IFERROR(VLOOKUP(B2328,Заказ!B:Q,16,0),0)</f>
        <v>0</v>
      </c>
    </row>
    <row r="2329" spans="2:9" x14ac:dyDescent="0.25">
      <c r="B2329" s="84">
        <v>20125</v>
      </c>
      <c r="D2329" s="84" t="str">
        <f t="shared" si="42"/>
        <v/>
      </c>
      <c r="H2329" s="84">
        <f>IFERROR(VLOOKUP(B2329,Заказ!B:Q,5,0),0)</f>
        <v>0</v>
      </c>
      <c r="I2329" s="84">
        <f>IFERROR(VLOOKUP(B2329,Заказ!B:Q,16,0),0)</f>
        <v>0</v>
      </c>
    </row>
    <row r="2330" spans="2:9" x14ac:dyDescent="0.25">
      <c r="B2330" s="84">
        <v>20852</v>
      </c>
      <c r="D2330" s="84" t="str">
        <f t="shared" si="42"/>
        <v/>
      </c>
      <c r="H2330" s="84">
        <f>IFERROR(VLOOKUP(B2330,Заказ!B:Q,5,0),0)</f>
        <v>0</v>
      </c>
      <c r="I2330" s="84">
        <f>IFERROR(VLOOKUP(B2330,Заказ!B:Q,16,0),0)</f>
        <v>0</v>
      </c>
    </row>
    <row r="2331" spans="2:9" x14ac:dyDescent="0.25">
      <c r="B2331" s="84">
        <v>20854</v>
      </c>
      <c r="D2331" s="84" t="str">
        <f t="shared" si="42"/>
        <v/>
      </c>
      <c r="H2331" s="84">
        <f>IFERROR(VLOOKUP(B2331,Заказ!B:Q,5,0),0)</f>
        <v>0</v>
      </c>
      <c r="I2331" s="84">
        <f>IFERROR(VLOOKUP(B2331,Заказ!B:Q,16,0),0)</f>
        <v>0</v>
      </c>
    </row>
    <row r="2332" spans="2:9" x14ac:dyDescent="0.25">
      <c r="B2332" s="84">
        <v>20123</v>
      </c>
      <c r="D2332" s="84" t="str">
        <f t="shared" si="42"/>
        <v/>
      </c>
      <c r="H2332" s="84">
        <f>IFERROR(VLOOKUP(B2332,Заказ!B:Q,5,0),0)</f>
        <v>0</v>
      </c>
      <c r="I2332" s="84">
        <f>IFERROR(VLOOKUP(B2332,Заказ!B:Q,16,0),0)</f>
        <v>0</v>
      </c>
    </row>
    <row r="2333" spans="2:9" x14ac:dyDescent="0.25">
      <c r="B2333" s="84">
        <v>21131</v>
      </c>
      <c r="D2333" s="84" t="str">
        <f t="shared" si="42"/>
        <v/>
      </c>
      <c r="H2333" s="84">
        <f>IFERROR(VLOOKUP(B2333,Заказ!B:Q,5,0),0)</f>
        <v>0</v>
      </c>
      <c r="I2333" s="84">
        <f>IFERROR(VLOOKUP(B2333,Заказ!B:Q,16,0),0)</f>
        <v>0</v>
      </c>
    </row>
    <row r="2334" spans="2:9" x14ac:dyDescent="0.25">
      <c r="B2334" s="84">
        <v>20855</v>
      </c>
      <c r="D2334" s="84" t="str">
        <f t="shared" si="42"/>
        <v/>
      </c>
      <c r="H2334" s="84">
        <f>IFERROR(VLOOKUP(B2334,Заказ!B:Q,5,0),0)</f>
        <v>0</v>
      </c>
      <c r="I2334" s="84">
        <f>IFERROR(VLOOKUP(B2334,Заказ!B:Q,16,0),0)</f>
        <v>0</v>
      </c>
    </row>
    <row r="2335" spans="2:9" x14ac:dyDescent="0.25">
      <c r="B2335" s="84">
        <v>19934</v>
      </c>
      <c r="D2335" s="84" t="str">
        <f t="shared" si="42"/>
        <v/>
      </c>
      <c r="H2335" s="84">
        <f>IFERROR(VLOOKUP(B2335,Заказ!B:Q,5,0),0)</f>
        <v>0</v>
      </c>
      <c r="I2335" s="84">
        <f>IFERROR(VLOOKUP(B2335,Заказ!B:Q,16,0),0)</f>
        <v>0</v>
      </c>
    </row>
    <row r="2336" spans="2:9" x14ac:dyDescent="0.25">
      <c r="B2336" s="84">
        <v>19936</v>
      </c>
      <c r="D2336" s="84" t="str">
        <f t="shared" si="42"/>
        <v/>
      </c>
      <c r="H2336" s="84">
        <f>IFERROR(VLOOKUP(B2336,Заказ!B:Q,5,0),0)</f>
        <v>0</v>
      </c>
      <c r="I2336" s="84">
        <f>IFERROR(VLOOKUP(B2336,Заказ!B:Q,16,0),0)</f>
        <v>0</v>
      </c>
    </row>
    <row r="2337" spans="2:9" x14ac:dyDescent="0.25">
      <c r="B2337" s="84">
        <v>19935</v>
      </c>
      <c r="D2337" s="84" t="str">
        <f t="shared" si="42"/>
        <v/>
      </c>
      <c r="H2337" s="84">
        <f>IFERROR(VLOOKUP(B2337,Заказ!B:Q,5,0),0)</f>
        <v>0</v>
      </c>
      <c r="I2337" s="84">
        <f>IFERROR(VLOOKUP(B2337,Заказ!B:Q,16,0),0)</f>
        <v>0</v>
      </c>
    </row>
    <row r="2338" spans="2:9" x14ac:dyDescent="0.25">
      <c r="B2338" s="84">
        <v>19937</v>
      </c>
      <c r="D2338" s="84" t="str">
        <f t="shared" si="42"/>
        <v/>
      </c>
      <c r="H2338" s="84">
        <f>IFERROR(VLOOKUP(B2338,Заказ!B:Q,5,0),0)</f>
        <v>0</v>
      </c>
      <c r="I2338" s="84">
        <f>IFERROR(VLOOKUP(B2338,Заказ!B:Q,16,0),0)</f>
        <v>0</v>
      </c>
    </row>
    <row r="2339" spans="2:9" x14ac:dyDescent="0.25">
      <c r="B2339" s="84">
        <v>20145</v>
      </c>
      <c r="D2339" s="84" t="str">
        <f t="shared" si="42"/>
        <v/>
      </c>
      <c r="H2339" s="84">
        <f>IFERROR(VLOOKUP(B2339,Заказ!B:Q,5,0),0)</f>
        <v>0</v>
      </c>
      <c r="I2339" s="84">
        <f>IFERROR(VLOOKUP(B2339,Заказ!B:Q,16,0),0)</f>
        <v>0</v>
      </c>
    </row>
    <row r="2340" spans="2:9" x14ac:dyDescent="0.25">
      <c r="B2340" s="84">
        <v>20143</v>
      </c>
      <c r="D2340" s="84" t="str">
        <f t="shared" si="42"/>
        <v/>
      </c>
      <c r="H2340" s="84">
        <f>IFERROR(VLOOKUP(B2340,Заказ!B:Q,5,0),0)</f>
        <v>0</v>
      </c>
      <c r="I2340" s="84">
        <f>IFERROR(VLOOKUP(B2340,Заказ!B:Q,16,0),0)</f>
        <v>0</v>
      </c>
    </row>
    <row r="2341" spans="2:9" x14ac:dyDescent="0.25">
      <c r="B2341" s="84">
        <v>20144</v>
      </c>
      <c r="D2341" s="84" t="str">
        <f t="shared" si="42"/>
        <v/>
      </c>
      <c r="H2341" s="84">
        <f>IFERROR(VLOOKUP(B2341,Заказ!B:Q,5,0),0)</f>
        <v>0</v>
      </c>
      <c r="I2341" s="84">
        <f>IFERROR(VLOOKUP(B2341,Заказ!B:Q,16,0),0)</f>
        <v>0</v>
      </c>
    </row>
    <row r="2342" spans="2:9" x14ac:dyDescent="0.25">
      <c r="B2342" s="84">
        <v>19930</v>
      </c>
      <c r="D2342" s="84" t="str">
        <f t="shared" si="42"/>
        <v/>
      </c>
      <c r="H2342" s="84">
        <f>IFERROR(VLOOKUP(B2342,Заказ!B:Q,5,0),0)</f>
        <v>0</v>
      </c>
      <c r="I2342" s="84">
        <f>IFERROR(VLOOKUP(B2342,Заказ!B:Q,16,0),0)</f>
        <v>0</v>
      </c>
    </row>
    <row r="2343" spans="2:9" x14ac:dyDescent="0.25">
      <c r="B2343" s="84">
        <v>19931</v>
      </c>
      <c r="D2343" s="84" t="str">
        <f t="shared" si="42"/>
        <v/>
      </c>
      <c r="H2343" s="84">
        <f>IFERROR(VLOOKUP(B2343,Заказ!B:Q,5,0),0)</f>
        <v>0</v>
      </c>
      <c r="I2343" s="84">
        <f>IFERROR(VLOOKUP(B2343,Заказ!B:Q,16,0),0)</f>
        <v>0</v>
      </c>
    </row>
    <row r="2344" spans="2:9" x14ac:dyDescent="0.25">
      <c r="B2344" s="84">
        <v>19932</v>
      </c>
      <c r="D2344" s="84" t="str">
        <f t="shared" si="42"/>
        <v/>
      </c>
      <c r="H2344" s="84">
        <f>IFERROR(VLOOKUP(B2344,Заказ!B:Q,5,0),0)</f>
        <v>0</v>
      </c>
      <c r="I2344" s="84">
        <f>IFERROR(VLOOKUP(B2344,Заказ!B:Q,16,0),0)</f>
        <v>0</v>
      </c>
    </row>
    <row r="2345" spans="2:9" x14ac:dyDescent="0.25">
      <c r="B2345" s="84">
        <v>19929</v>
      </c>
      <c r="D2345" s="84" t="str">
        <f t="shared" si="42"/>
        <v/>
      </c>
      <c r="H2345" s="84">
        <f>IFERROR(VLOOKUP(B2345,Заказ!B:Q,5,0),0)</f>
        <v>0</v>
      </c>
      <c r="I2345" s="84">
        <f>IFERROR(VLOOKUP(B2345,Заказ!B:Q,16,0),0)</f>
        <v>0</v>
      </c>
    </row>
    <row r="2346" spans="2:9" x14ac:dyDescent="0.25">
      <c r="B2346" s="84">
        <v>19933</v>
      </c>
      <c r="D2346" s="84" t="str">
        <f t="shared" si="42"/>
        <v/>
      </c>
      <c r="H2346" s="84">
        <f>IFERROR(VLOOKUP(B2346,Заказ!B:Q,5,0),0)</f>
        <v>0</v>
      </c>
      <c r="I2346" s="84">
        <f>IFERROR(VLOOKUP(B2346,Заказ!B:Q,16,0),0)</f>
        <v>0</v>
      </c>
    </row>
    <row r="2347" spans="2:9" x14ac:dyDescent="0.25">
      <c r="B2347" s="84">
        <v>20856</v>
      </c>
      <c r="D2347" s="84" t="str">
        <f t="shared" si="42"/>
        <v/>
      </c>
      <c r="H2347" s="84">
        <f>IFERROR(VLOOKUP(B2347,Заказ!B:Q,5,0),0)</f>
        <v>0</v>
      </c>
      <c r="I2347" s="84">
        <f>IFERROR(VLOOKUP(B2347,Заказ!B:Q,16,0),0)</f>
        <v>0</v>
      </c>
    </row>
    <row r="2348" spans="2:9" x14ac:dyDescent="0.25">
      <c r="B2348" s="84">
        <v>20281</v>
      </c>
      <c r="D2348" s="84" t="str">
        <f t="shared" si="42"/>
        <v/>
      </c>
      <c r="H2348" s="84">
        <f>IFERROR(VLOOKUP(B2348,Заказ!B:Q,5,0),0)</f>
        <v>0</v>
      </c>
      <c r="I2348" s="84">
        <f>IFERROR(VLOOKUP(B2348,Заказ!B:Q,16,0),0)</f>
        <v>0</v>
      </c>
    </row>
    <row r="2349" spans="2:9" x14ac:dyDescent="0.25">
      <c r="B2349" s="84">
        <v>20282</v>
      </c>
      <c r="D2349" s="84" t="str">
        <f t="shared" si="42"/>
        <v/>
      </c>
      <c r="H2349" s="84">
        <f>IFERROR(VLOOKUP(B2349,Заказ!B:Q,5,0),0)</f>
        <v>0</v>
      </c>
      <c r="I2349" s="84">
        <f>IFERROR(VLOOKUP(B2349,Заказ!B:Q,16,0),0)</f>
        <v>0</v>
      </c>
    </row>
    <row r="2350" spans="2:9" x14ac:dyDescent="0.25">
      <c r="B2350" s="84">
        <v>20280</v>
      </c>
      <c r="D2350" s="84" t="str">
        <f t="shared" si="42"/>
        <v/>
      </c>
      <c r="H2350" s="84">
        <f>IFERROR(VLOOKUP(B2350,Заказ!B:Q,5,0),0)</f>
        <v>0</v>
      </c>
      <c r="I2350" s="84">
        <f>IFERROR(VLOOKUP(B2350,Заказ!B:Q,16,0),0)</f>
        <v>0</v>
      </c>
    </row>
    <row r="2351" spans="2:9" x14ac:dyDescent="0.25">
      <c r="B2351" s="84">
        <v>17202</v>
      </c>
      <c r="D2351" s="84" t="str">
        <f t="shared" si="42"/>
        <v/>
      </c>
      <c r="H2351" s="84">
        <f>IFERROR(VLOOKUP(B2351,Заказ!B:Q,5,0),0)</f>
        <v>0</v>
      </c>
      <c r="I2351" s="84">
        <f>IFERROR(VLOOKUP(B2351,Заказ!B:Q,16,0),0)</f>
        <v>0</v>
      </c>
    </row>
    <row r="2352" spans="2:9" x14ac:dyDescent="0.25">
      <c r="B2352" s="84">
        <v>20983</v>
      </c>
      <c r="D2352" s="84" t="str">
        <f t="shared" si="42"/>
        <v/>
      </c>
      <c r="H2352" s="84">
        <f>IFERROR(VLOOKUP(B2352,Заказ!B:Q,5,0),0)</f>
        <v>0</v>
      </c>
      <c r="I2352" s="84">
        <f>IFERROR(VLOOKUP(B2352,Заказ!B:Q,16,0),0)</f>
        <v>0</v>
      </c>
    </row>
    <row r="2353" spans="2:9" x14ac:dyDescent="0.25">
      <c r="B2353" s="84">
        <v>17200</v>
      </c>
      <c r="D2353" s="84" t="str">
        <f t="shared" si="42"/>
        <v/>
      </c>
      <c r="H2353" s="84">
        <f>IFERROR(VLOOKUP(B2353,Заказ!B:Q,5,0),0)</f>
        <v>0</v>
      </c>
      <c r="I2353" s="84">
        <f>IFERROR(VLOOKUP(B2353,Заказ!B:Q,16,0),0)</f>
        <v>0</v>
      </c>
    </row>
    <row r="2354" spans="2:9" x14ac:dyDescent="0.25">
      <c r="B2354" s="84">
        <v>17201</v>
      </c>
      <c r="D2354" s="84" t="str">
        <f t="shared" si="42"/>
        <v/>
      </c>
      <c r="H2354" s="84">
        <f>IFERROR(VLOOKUP(B2354,Заказ!B:Q,5,0),0)</f>
        <v>0</v>
      </c>
      <c r="I2354" s="84">
        <f>IFERROR(VLOOKUP(B2354,Заказ!B:Q,16,0),0)</f>
        <v>0</v>
      </c>
    </row>
    <row r="2355" spans="2:9" x14ac:dyDescent="0.25">
      <c r="B2355" s="84">
        <v>18292</v>
      </c>
      <c r="D2355" s="84" t="str">
        <f t="shared" si="42"/>
        <v/>
      </c>
      <c r="H2355" s="84">
        <f>IFERROR(VLOOKUP(B2355,Заказ!B:Q,5,0),0)</f>
        <v>0</v>
      </c>
      <c r="I2355" s="84">
        <f>IFERROR(VLOOKUP(B2355,Заказ!B:Q,16,0),0)</f>
        <v>0</v>
      </c>
    </row>
    <row r="2356" spans="2:9" x14ac:dyDescent="0.25">
      <c r="B2356" s="84">
        <v>18810</v>
      </c>
      <c r="D2356" s="84" t="str">
        <f t="shared" si="42"/>
        <v/>
      </c>
      <c r="H2356" s="84">
        <f>IFERROR(VLOOKUP(B2356,Заказ!B:Q,5,0),0)</f>
        <v>0</v>
      </c>
      <c r="I2356" s="84">
        <f>IFERROR(VLOOKUP(B2356,Заказ!B:Q,16,0),0)</f>
        <v>0</v>
      </c>
    </row>
    <row r="2357" spans="2:9" x14ac:dyDescent="0.25">
      <c r="B2357" s="84">
        <v>18293</v>
      </c>
      <c r="D2357" s="84" t="str">
        <f t="shared" si="42"/>
        <v/>
      </c>
      <c r="H2357" s="84">
        <f>IFERROR(VLOOKUP(B2357,Заказ!B:Q,5,0),0)</f>
        <v>0</v>
      </c>
      <c r="I2357" s="84">
        <f>IFERROR(VLOOKUP(B2357,Заказ!B:Q,16,0),0)</f>
        <v>0</v>
      </c>
    </row>
    <row r="2358" spans="2:9" x14ac:dyDescent="0.25">
      <c r="B2358" s="84">
        <v>12293</v>
      </c>
      <c r="D2358" s="84" t="str">
        <f t="shared" si="42"/>
        <v/>
      </c>
      <c r="H2358" s="84">
        <f>IFERROR(VLOOKUP(B2358,Заказ!B:Q,5,0),0)</f>
        <v>0</v>
      </c>
      <c r="I2358" s="84">
        <f>IFERROR(VLOOKUP(B2358,Заказ!B:Q,16,0),0)</f>
        <v>0</v>
      </c>
    </row>
    <row r="2359" spans="2:9" x14ac:dyDescent="0.25">
      <c r="B2359" s="84">
        <v>16210</v>
      </c>
      <c r="D2359" s="84" t="str">
        <f t="shared" si="42"/>
        <v/>
      </c>
      <c r="H2359" s="84">
        <f>IFERROR(VLOOKUP(B2359,Заказ!B:Q,5,0),0)</f>
        <v>0</v>
      </c>
      <c r="I2359" s="84">
        <f>IFERROR(VLOOKUP(B2359,Заказ!B:Q,16,0),0)</f>
        <v>0</v>
      </c>
    </row>
    <row r="2360" spans="2:9" x14ac:dyDescent="0.25">
      <c r="B2360" s="84">
        <v>10791</v>
      </c>
      <c r="D2360" s="84" t="str">
        <f t="shared" si="42"/>
        <v/>
      </c>
      <c r="H2360" s="84">
        <f>IFERROR(VLOOKUP(B2360,Заказ!B:Q,5,0),0)</f>
        <v>0</v>
      </c>
      <c r="I2360" s="84">
        <f>IFERROR(VLOOKUP(B2360,Заказ!B:Q,16,0),0)</f>
        <v>0</v>
      </c>
    </row>
    <row r="2361" spans="2:9" x14ac:dyDescent="0.25">
      <c r="B2361" s="84">
        <v>16803</v>
      </c>
      <c r="D2361" s="84" t="str">
        <f t="shared" si="42"/>
        <v/>
      </c>
      <c r="H2361" s="84">
        <f>IFERROR(VLOOKUP(B2361,Заказ!B:Q,5,0),0)</f>
        <v>0</v>
      </c>
      <c r="I2361" s="84">
        <f>IFERROR(VLOOKUP(B2361,Заказ!B:Q,16,0),0)</f>
        <v>0</v>
      </c>
    </row>
    <row r="2362" spans="2:9" x14ac:dyDescent="0.25">
      <c r="B2362" s="84">
        <v>13621</v>
      </c>
      <c r="D2362" s="84" t="str">
        <f t="shared" si="42"/>
        <v/>
      </c>
      <c r="H2362" s="84">
        <f>IFERROR(VLOOKUP(B2362,Заказ!B:Q,5,0),0)</f>
        <v>0</v>
      </c>
      <c r="I2362" s="84">
        <f>IFERROR(VLOOKUP(B2362,Заказ!B:Q,16,0),0)</f>
        <v>0</v>
      </c>
    </row>
    <row r="2363" spans="2:9" x14ac:dyDescent="0.25">
      <c r="B2363" s="84">
        <v>10764</v>
      </c>
      <c r="D2363" s="84" t="str">
        <f t="shared" si="42"/>
        <v/>
      </c>
      <c r="H2363" s="84">
        <f>IFERROR(VLOOKUP(B2363,Заказ!B:Q,5,0),0)</f>
        <v>0</v>
      </c>
      <c r="I2363" s="84">
        <f>IFERROR(VLOOKUP(B2363,Заказ!B:Q,16,0),0)</f>
        <v>0</v>
      </c>
    </row>
    <row r="2364" spans="2:9" x14ac:dyDescent="0.25">
      <c r="B2364" s="84">
        <v>21485</v>
      </c>
      <c r="D2364" s="84" t="str">
        <f t="shared" si="42"/>
        <v/>
      </c>
      <c r="H2364" s="84">
        <f>IFERROR(VLOOKUP(B2364,Заказ!B:Q,5,0),0)</f>
        <v>0</v>
      </c>
      <c r="I2364" s="84">
        <f>IFERROR(VLOOKUP(B2364,Заказ!B:Q,16,0),0)</f>
        <v>0</v>
      </c>
    </row>
    <row r="2365" spans="2:9" x14ac:dyDescent="0.25">
      <c r="B2365" s="84">
        <v>13261</v>
      </c>
      <c r="D2365" s="84" t="str">
        <f t="shared" si="42"/>
        <v/>
      </c>
      <c r="H2365" s="84">
        <f>IFERROR(VLOOKUP(B2365,Заказ!B:Q,5,0),0)</f>
        <v>0</v>
      </c>
      <c r="I2365" s="84">
        <f>IFERROR(VLOOKUP(B2365,Заказ!B:Q,16,0),0)</f>
        <v>0</v>
      </c>
    </row>
    <row r="2366" spans="2:9" x14ac:dyDescent="0.25">
      <c r="B2366" s="84">
        <v>15471</v>
      </c>
      <c r="D2366" s="84" t="str">
        <f t="shared" si="42"/>
        <v/>
      </c>
      <c r="H2366" s="84">
        <f>IFERROR(VLOOKUP(B2366,Заказ!B:Q,5,0),0)</f>
        <v>0</v>
      </c>
      <c r="I2366" s="84">
        <f>IFERROR(VLOOKUP(B2366,Заказ!B:Q,16,0),0)</f>
        <v>0</v>
      </c>
    </row>
    <row r="2367" spans="2:9" x14ac:dyDescent="0.25">
      <c r="B2367" s="84">
        <v>10772</v>
      </c>
      <c r="D2367" s="84" t="str">
        <f t="shared" si="42"/>
        <v/>
      </c>
      <c r="H2367" s="84">
        <f>IFERROR(VLOOKUP(B2367,Заказ!B:Q,5,0),0)</f>
        <v>0</v>
      </c>
      <c r="I2367" s="84">
        <f>IFERROR(VLOOKUP(B2367,Заказ!B:Q,16,0),0)</f>
        <v>0</v>
      </c>
    </row>
    <row r="2368" spans="2:9" x14ac:dyDescent="0.25">
      <c r="B2368" s="84">
        <v>10766</v>
      </c>
      <c r="D2368" s="84" t="str">
        <f t="shared" si="42"/>
        <v/>
      </c>
      <c r="H2368" s="84">
        <f>IFERROR(VLOOKUP(B2368,Заказ!B:Q,5,0),0)</f>
        <v>0</v>
      </c>
      <c r="I2368" s="84">
        <f>IFERROR(VLOOKUP(B2368,Заказ!B:Q,16,0),0)</f>
        <v>0</v>
      </c>
    </row>
    <row r="2369" spans="2:9" x14ac:dyDescent="0.25">
      <c r="B2369" s="84">
        <v>10768</v>
      </c>
      <c r="D2369" s="84" t="str">
        <f t="shared" si="42"/>
        <v/>
      </c>
      <c r="H2369" s="84">
        <f>IFERROR(VLOOKUP(B2369,Заказ!B:Q,5,0),0)</f>
        <v>0</v>
      </c>
      <c r="I2369" s="84">
        <f>IFERROR(VLOOKUP(B2369,Заказ!B:Q,16,0),0)</f>
        <v>0</v>
      </c>
    </row>
    <row r="2370" spans="2:9" x14ac:dyDescent="0.25">
      <c r="B2370" s="84">
        <v>10765</v>
      </c>
      <c r="D2370" s="84" t="str">
        <f t="shared" si="42"/>
        <v/>
      </c>
      <c r="H2370" s="84">
        <f>IFERROR(VLOOKUP(B2370,Заказ!B:Q,5,0),0)</f>
        <v>0</v>
      </c>
      <c r="I2370" s="84">
        <f>IFERROR(VLOOKUP(B2370,Заказ!B:Q,16,0),0)</f>
        <v>0</v>
      </c>
    </row>
    <row r="2371" spans="2:9" x14ac:dyDescent="0.25">
      <c r="B2371" s="84">
        <v>10770</v>
      </c>
      <c r="D2371" s="84" t="str">
        <f t="shared" si="42"/>
        <v/>
      </c>
      <c r="H2371" s="84">
        <f>IFERROR(VLOOKUP(B2371,Заказ!B:Q,5,0),0)</f>
        <v>0</v>
      </c>
      <c r="I2371" s="84">
        <f>IFERROR(VLOOKUP(B2371,Заказ!B:Q,16,0),0)</f>
        <v>0</v>
      </c>
    </row>
    <row r="2372" spans="2:9" x14ac:dyDescent="0.25">
      <c r="B2372" s="84">
        <v>19958</v>
      </c>
      <c r="D2372" s="84" t="str">
        <f t="shared" si="42"/>
        <v/>
      </c>
      <c r="H2372" s="84">
        <f>IFERROR(VLOOKUP(B2372,Заказ!B:Q,5,0),0)</f>
        <v>0</v>
      </c>
      <c r="I2372" s="84">
        <f>IFERROR(VLOOKUP(B2372,Заказ!B:Q,16,0),0)</f>
        <v>0</v>
      </c>
    </row>
    <row r="2373" spans="2:9" x14ac:dyDescent="0.25">
      <c r="B2373" s="84">
        <v>19078</v>
      </c>
      <c r="D2373" s="84" t="str">
        <f t="shared" si="42"/>
        <v/>
      </c>
      <c r="H2373" s="84">
        <f>IFERROR(VLOOKUP(B2373,Заказ!B:Q,5,0),0)</f>
        <v>0</v>
      </c>
      <c r="I2373" s="84">
        <f>IFERROR(VLOOKUP(B2373,Заказ!B:Q,16,0),0)</f>
        <v>0</v>
      </c>
    </row>
    <row r="2374" spans="2:9" x14ac:dyDescent="0.25">
      <c r="B2374" s="84">
        <v>19075</v>
      </c>
      <c r="D2374" s="84" t="str">
        <f t="shared" si="42"/>
        <v/>
      </c>
      <c r="H2374" s="84">
        <f>IFERROR(VLOOKUP(B2374,Заказ!B:Q,5,0),0)</f>
        <v>0</v>
      </c>
      <c r="I2374" s="84">
        <f>IFERROR(VLOOKUP(B2374,Заказ!B:Q,16,0),0)</f>
        <v>0</v>
      </c>
    </row>
    <row r="2375" spans="2:9" x14ac:dyDescent="0.25">
      <c r="B2375" s="84">
        <v>19076</v>
      </c>
      <c r="D2375" s="84" t="str">
        <f t="shared" si="42"/>
        <v/>
      </c>
      <c r="H2375" s="84">
        <f>IFERROR(VLOOKUP(B2375,Заказ!B:Q,5,0),0)</f>
        <v>0</v>
      </c>
      <c r="I2375" s="84">
        <f>IFERROR(VLOOKUP(B2375,Заказ!B:Q,16,0),0)</f>
        <v>0</v>
      </c>
    </row>
    <row r="2376" spans="2:9" x14ac:dyDescent="0.25">
      <c r="B2376" s="84">
        <v>19077</v>
      </c>
      <c r="D2376" s="84" t="str">
        <f t="shared" si="42"/>
        <v/>
      </c>
      <c r="H2376" s="84">
        <f>IFERROR(VLOOKUP(B2376,Заказ!B:Q,5,0),0)</f>
        <v>0</v>
      </c>
      <c r="I2376" s="84">
        <f>IFERROR(VLOOKUP(B2376,Заказ!B:Q,16,0),0)</f>
        <v>0</v>
      </c>
    </row>
    <row r="2377" spans="2:9" x14ac:dyDescent="0.25">
      <c r="B2377" s="84">
        <v>10769</v>
      </c>
      <c r="D2377" s="84" t="str">
        <f t="shared" si="42"/>
        <v/>
      </c>
      <c r="H2377" s="84">
        <f>IFERROR(VLOOKUP(B2377,Заказ!B:Q,5,0),0)</f>
        <v>0</v>
      </c>
      <c r="I2377" s="84">
        <f>IFERROR(VLOOKUP(B2377,Заказ!B:Q,16,0),0)</f>
        <v>0</v>
      </c>
    </row>
    <row r="2378" spans="2:9" x14ac:dyDescent="0.25">
      <c r="B2378" s="84">
        <v>20709</v>
      </c>
      <c r="D2378" s="84" t="str">
        <f t="shared" si="42"/>
        <v/>
      </c>
      <c r="H2378" s="84">
        <f>IFERROR(VLOOKUP(B2378,Заказ!B:Q,5,0),0)</f>
        <v>0</v>
      </c>
      <c r="I2378" s="84">
        <f>IFERROR(VLOOKUP(B2378,Заказ!B:Q,16,0),0)</f>
        <v>0</v>
      </c>
    </row>
    <row r="2379" spans="2:9" x14ac:dyDescent="0.25">
      <c r="B2379" s="84">
        <v>20609</v>
      </c>
      <c r="D2379" s="84" t="str">
        <f t="shared" si="42"/>
        <v/>
      </c>
      <c r="H2379" s="84">
        <f>IFERROR(VLOOKUP(B2379,Заказ!B:Q,5,0),0)</f>
        <v>0</v>
      </c>
      <c r="I2379" s="84">
        <f>IFERROR(VLOOKUP(B2379,Заказ!B:Q,16,0),0)</f>
        <v>0</v>
      </c>
    </row>
    <row r="2380" spans="2:9" x14ac:dyDescent="0.25">
      <c r="B2380" s="84">
        <v>20603</v>
      </c>
      <c r="D2380" s="84" t="str">
        <f t="shared" si="42"/>
        <v/>
      </c>
      <c r="H2380" s="84">
        <f>IFERROR(VLOOKUP(B2380,Заказ!B:Q,5,0),0)</f>
        <v>0</v>
      </c>
      <c r="I2380" s="84">
        <f>IFERROR(VLOOKUP(B2380,Заказ!B:Q,16,0),0)</f>
        <v>0</v>
      </c>
    </row>
    <row r="2381" spans="2:9" x14ac:dyDescent="0.25">
      <c r="B2381" s="84">
        <v>20606</v>
      </c>
      <c r="D2381" s="84" t="str">
        <f t="shared" si="42"/>
        <v/>
      </c>
      <c r="H2381" s="84">
        <f>IFERROR(VLOOKUP(B2381,Заказ!B:Q,5,0),0)</f>
        <v>0</v>
      </c>
      <c r="I2381" s="84">
        <f>IFERROR(VLOOKUP(B2381,Заказ!B:Q,16,0),0)</f>
        <v>0</v>
      </c>
    </row>
    <row r="2382" spans="2:9" x14ac:dyDescent="0.25">
      <c r="B2382" s="84">
        <v>20607</v>
      </c>
      <c r="D2382" s="84" t="str">
        <f t="shared" si="42"/>
        <v/>
      </c>
      <c r="H2382" s="84">
        <f>IFERROR(VLOOKUP(B2382,Заказ!B:Q,5,0),0)</f>
        <v>0</v>
      </c>
      <c r="I2382" s="84">
        <f>IFERROR(VLOOKUP(B2382,Заказ!B:Q,16,0),0)</f>
        <v>0</v>
      </c>
    </row>
    <row r="2383" spans="2:9" x14ac:dyDescent="0.25">
      <c r="B2383" s="84">
        <v>20608</v>
      </c>
      <c r="D2383" s="84" t="str">
        <f t="shared" si="42"/>
        <v/>
      </c>
      <c r="H2383" s="84">
        <f>IFERROR(VLOOKUP(B2383,Заказ!B:Q,5,0),0)</f>
        <v>0</v>
      </c>
      <c r="I2383" s="84">
        <f>IFERROR(VLOOKUP(B2383,Заказ!B:Q,16,0),0)</f>
        <v>0</v>
      </c>
    </row>
    <row r="2384" spans="2:9" x14ac:dyDescent="0.25">
      <c r="B2384" s="84">
        <v>942</v>
      </c>
      <c r="D2384" s="84" t="str">
        <f t="shared" ref="D2384:D2447" si="43">IFERROR(ROUND(I2384/H2384,2),"")</f>
        <v/>
      </c>
      <c r="H2384" s="84">
        <f>IFERROR(VLOOKUP(B2384,Заказ!B:Q,5,0),0)</f>
        <v>0</v>
      </c>
      <c r="I2384" s="84">
        <f>IFERROR(VLOOKUP(B2384,Заказ!B:Q,16,0),0)</f>
        <v>0</v>
      </c>
    </row>
    <row r="2385" spans="2:9" x14ac:dyDescent="0.25">
      <c r="B2385" s="84">
        <v>12249</v>
      </c>
      <c r="D2385" s="84" t="str">
        <f t="shared" si="43"/>
        <v/>
      </c>
      <c r="H2385" s="84">
        <f>IFERROR(VLOOKUP(B2385,Заказ!B:Q,5,0),0)</f>
        <v>0</v>
      </c>
      <c r="I2385" s="84">
        <f>IFERROR(VLOOKUP(B2385,Заказ!B:Q,16,0),0)</f>
        <v>0</v>
      </c>
    </row>
    <row r="2386" spans="2:9" x14ac:dyDescent="0.25">
      <c r="B2386" s="84">
        <v>12227</v>
      </c>
      <c r="D2386" s="84" t="str">
        <f t="shared" si="43"/>
        <v/>
      </c>
      <c r="H2386" s="84">
        <f>IFERROR(VLOOKUP(B2386,Заказ!B:Q,5,0),0)</f>
        <v>0</v>
      </c>
      <c r="I2386" s="84">
        <f>IFERROR(VLOOKUP(B2386,Заказ!B:Q,16,0),0)</f>
        <v>0</v>
      </c>
    </row>
    <row r="2387" spans="2:9" x14ac:dyDescent="0.25">
      <c r="B2387" s="84">
        <v>12251</v>
      </c>
      <c r="D2387" s="84" t="str">
        <f t="shared" si="43"/>
        <v/>
      </c>
      <c r="H2387" s="84">
        <f>IFERROR(VLOOKUP(B2387,Заказ!B:Q,5,0),0)</f>
        <v>0</v>
      </c>
      <c r="I2387" s="84">
        <f>IFERROR(VLOOKUP(B2387,Заказ!B:Q,16,0),0)</f>
        <v>0</v>
      </c>
    </row>
    <row r="2388" spans="2:9" x14ac:dyDescent="0.25">
      <c r="B2388" s="84">
        <v>12250</v>
      </c>
      <c r="D2388" s="84" t="str">
        <f t="shared" si="43"/>
        <v/>
      </c>
      <c r="H2388" s="84">
        <f>IFERROR(VLOOKUP(B2388,Заказ!B:Q,5,0),0)</f>
        <v>0</v>
      </c>
      <c r="I2388" s="84">
        <f>IFERROR(VLOOKUP(B2388,Заказ!B:Q,16,0),0)</f>
        <v>0</v>
      </c>
    </row>
    <row r="2389" spans="2:9" x14ac:dyDescent="0.25">
      <c r="B2389" s="84">
        <v>15043</v>
      </c>
      <c r="D2389" s="84" t="str">
        <f t="shared" si="43"/>
        <v/>
      </c>
      <c r="H2389" s="84">
        <f>IFERROR(VLOOKUP(B2389,Заказ!B:Q,5,0),0)</f>
        <v>0</v>
      </c>
      <c r="I2389" s="84">
        <f>IFERROR(VLOOKUP(B2389,Заказ!B:Q,16,0),0)</f>
        <v>0</v>
      </c>
    </row>
    <row r="2390" spans="2:9" x14ac:dyDescent="0.25">
      <c r="B2390" s="84">
        <v>16816</v>
      </c>
      <c r="D2390" s="84" t="str">
        <f t="shared" si="43"/>
        <v/>
      </c>
      <c r="H2390" s="84">
        <f>IFERROR(VLOOKUP(B2390,Заказ!B:Q,5,0),0)</f>
        <v>0</v>
      </c>
      <c r="I2390" s="84">
        <f>IFERROR(VLOOKUP(B2390,Заказ!B:Q,16,0),0)</f>
        <v>0</v>
      </c>
    </row>
    <row r="2391" spans="2:9" x14ac:dyDescent="0.25">
      <c r="B2391" s="84">
        <v>16817</v>
      </c>
      <c r="D2391" s="84" t="str">
        <f t="shared" si="43"/>
        <v/>
      </c>
      <c r="H2391" s="84">
        <f>IFERROR(VLOOKUP(B2391,Заказ!B:Q,5,0),0)</f>
        <v>0</v>
      </c>
      <c r="I2391" s="84">
        <f>IFERROR(VLOOKUP(B2391,Заказ!B:Q,16,0),0)</f>
        <v>0</v>
      </c>
    </row>
    <row r="2392" spans="2:9" x14ac:dyDescent="0.25">
      <c r="B2392" s="84">
        <v>16818</v>
      </c>
      <c r="D2392" s="84" t="str">
        <f t="shared" si="43"/>
        <v/>
      </c>
      <c r="H2392" s="84">
        <f>IFERROR(VLOOKUP(B2392,Заказ!B:Q,5,0),0)</f>
        <v>0</v>
      </c>
      <c r="I2392" s="84">
        <f>IFERROR(VLOOKUP(B2392,Заказ!B:Q,16,0),0)</f>
        <v>0</v>
      </c>
    </row>
    <row r="2393" spans="2:9" x14ac:dyDescent="0.25">
      <c r="B2393" s="84">
        <v>16819</v>
      </c>
      <c r="D2393" s="84" t="str">
        <f t="shared" si="43"/>
        <v/>
      </c>
      <c r="H2393" s="84">
        <f>IFERROR(VLOOKUP(B2393,Заказ!B:Q,5,0),0)</f>
        <v>0</v>
      </c>
      <c r="I2393" s="84">
        <f>IFERROR(VLOOKUP(B2393,Заказ!B:Q,16,0),0)</f>
        <v>0</v>
      </c>
    </row>
    <row r="2394" spans="2:9" x14ac:dyDescent="0.25">
      <c r="B2394" s="84">
        <v>13538</v>
      </c>
      <c r="D2394" s="84" t="str">
        <f t="shared" si="43"/>
        <v/>
      </c>
      <c r="H2394" s="84">
        <f>IFERROR(VLOOKUP(B2394,Заказ!B:Q,5,0),0)</f>
        <v>0</v>
      </c>
      <c r="I2394" s="84">
        <f>IFERROR(VLOOKUP(B2394,Заказ!B:Q,16,0),0)</f>
        <v>0</v>
      </c>
    </row>
    <row r="2395" spans="2:9" x14ac:dyDescent="0.25">
      <c r="B2395" s="84">
        <v>13534</v>
      </c>
      <c r="D2395" s="84" t="str">
        <f t="shared" si="43"/>
        <v/>
      </c>
      <c r="H2395" s="84">
        <f>IFERROR(VLOOKUP(B2395,Заказ!B:Q,5,0),0)</f>
        <v>0</v>
      </c>
      <c r="I2395" s="84">
        <f>IFERROR(VLOOKUP(B2395,Заказ!B:Q,16,0),0)</f>
        <v>0</v>
      </c>
    </row>
    <row r="2396" spans="2:9" x14ac:dyDescent="0.25">
      <c r="B2396" s="84">
        <v>13535</v>
      </c>
      <c r="D2396" s="84" t="str">
        <f t="shared" si="43"/>
        <v/>
      </c>
      <c r="H2396" s="84">
        <f>IFERROR(VLOOKUP(B2396,Заказ!B:Q,5,0),0)</f>
        <v>0</v>
      </c>
      <c r="I2396" s="84">
        <f>IFERROR(VLOOKUP(B2396,Заказ!B:Q,16,0),0)</f>
        <v>0</v>
      </c>
    </row>
    <row r="2397" spans="2:9" x14ac:dyDescent="0.25">
      <c r="B2397" s="84">
        <v>19423</v>
      </c>
      <c r="D2397" s="84" t="str">
        <f t="shared" si="43"/>
        <v/>
      </c>
      <c r="H2397" s="84">
        <f>IFERROR(VLOOKUP(B2397,Заказ!B:Q,5,0),0)</f>
        <v>0</v>
      </c>
      <c r="I2397" s="84">
        <f>IFERROR(VLOOKUP(B2397,Заказ!B:Q,16,0),0)</f>
        <v>0</v>
      </c>
    </row>
    <row r="2398" spans="2:9" x14ac:dyDescent="0.25">
      <c r="B2398" s="84">
        <v>13536</v>
      </c>
      <c r="D2398" s="84" t="str">
        <f t="shared" si="43"/>
        <v/>
      </c>
      <c r="H2398" s="84">
        <f>IFERROR(VLOOKUP(B2398,Заказ!B:Q,5,0),0)</f>
        <v>0</v>
      </c>
      <c r="I2398" s="84">
        <f>IFERROR(VLOOKUP(B2398,Заказ!B:Q,16,0),0)</f>
        <v>0</v>
      </c>
    </row>
    <row r="2399" spans="2:9" x14ac:dyDescent="0.25">
      <c r="B2399" s="84">
        <v>19504</v>
      </c>
      <c r="D2399" s="84" t="str">
        <f t="shared" si="43"/>
        <v/>
      </c>
      <c r="H2399" s="84">
        <f>IFERROR(VLOOKUP(B2399,Заказ!B:Q,5,0),0)</f>
        <v>0</v>
      </c>
      <c r="I2399" s="84">
        <f>IFERROR(VLOOKUP(B2399,Заказ!B:Q,16,0),0)</f>
        <v>0</v>
      </c>
    </row>
    <row r="2400" spans="2:9" x14ac:dyDescent="0.25">
      <c r="B2400" s="84">
        <v>19024</v>
      </c>
      <c r="D2400" s="84" t="str">
        <f t="shared" si="43"/>
        <v/>
      </c>
      <c r="H2400" s="84">
        <f>IFERROR(VLOOKUP(B2400,Заказ!B:Q,5,0),0)</f>
        <v>0</v>
      </c>
      <c r="I2400" s="84">
        <f>IFERROR(VLOOKUP(B2400,Заказ!B:Q,16,0),0)</f>
        <v>0</v>
      </c>
    </row>
    <row r="2401" spans="2:9" x14ac:dyDescent="0.25">
      <c r="B2401" s="84">
        <v>19938</v>
      </c>
      <c r="D2401" s="84" t="str">
        <f t="shared" si="43"/>
        <v/>
      </c>
      <c r="H2401" s="84">
        <f>IFERROR(VLOOKUP(B2401,Заказ!B:Q,5,0),0)</f>
        <v>0</v>
      </c>
      <c r="I2401" s="84">
        <f>IFERROR(VLOOKUP(B2401,Заказ!B:Q,16,0),0)</f>
        <v>0</v>
      </c>
    </row>
    <row r="2402" spans="2:9" x14ac:dyDescent="0.25">
      <c r="B2402" s="84">
        <v>19796</v>
      </c>
      <c r="D2402" s="84" t="str">
        <f t="shared" si="43"/>
        <v/>
      </c>
      <c r="H2402" s="84">
        <f>IFERROR(VLOOKUP(B2402,Заказ!B:Q,5,0),0)</f>
        <v>0</v>
      </c>
      <c r="I2402" s="84">
        <f>IFERROR(VLOOKUP(B2402,Заказ!B:Q,16,0),0)</f>
        <v>0</v>
      </c>
    </row>
    <row r="2403" spans="2:9" x14ac:dyDescent="0.25">
      <c r="B2403" s="84">
        <v>19797</v>
      </c>
      <c r="D2403" s="84" t="str">
        <f t="shared" si="43"/>
        <v/>
      </c>
      <c r="H2403" s="84">
        <f>IFERROR(VLOOKUP(B2403,Заказ!B:Q,5,0),0)</f>
        <v>0</v>
      </c>
      <c r="I2403" s="84">
        <f>IFERROR(VLOOKUP(B2403,Заказ!B:Q,16,0),0)</f>
        <v>0</v>
      </c>
    </row>
    <row r="2404" spans="2:9" x14ac:dyDescent="0.25">
      <c r="B2404" s="84">
        <v>19795</v>
      </c>
      <c r="D2404" s="84" t="str">
        <f t="shared" si="43"/>
        <v/>
      </c>
      <c r="H2404" s="84">
        <f>IFERROR(VLOOKUP(B2404,Заказ!B:Q,5,0),0)</f>
        <v>0</v>
      </c>
      <c r="I2404" s="84">
        <f>IFERROR(VLOOKUP(B2404,Заказ!B:Q,16,0),0)</f>
        <v>0</v>
      </c>
    </row>
    <row r="2405" spans="2:9" x14ac:dyDescent="0.25">
      <c r="B2405" s="84">
        <v>14311</v>
      </c>
      <c r="D2405" s="84" t="str">
        <f t="shared" si="43"/>
        <v/>
      </c>
      <c r="H2405" s="84">
        <f>IFERROR(VLOOKUP(B2405,Заказ!B:Q,5,0),0)</f>
        <v>0</v>
      </c>
      <c r="I2405" s="84">
        <f>IFERROR(VLOOKUP(B2405,Заказ!B:Q,16,0),0)</f>
        <v>0</v>
      </c>
    </row>
    <row r="2406" spans="2:9" x14ac:dyDescent="0.25">
      <c r="B2406" s="84">
        <v>14310</v>
      </c>
      <c r="D2406" s="84" t="str">
        <f t="shared" si="43"/>
        <v/>
      </c>
      <c r="H2406" s="84">
        <f>IFERROR(VLOOKUP(B2406,Заказ!B:Q,5,0),0)</f>
        <v>0</v>
      </c>
      <c r="I2406" s="84">
        <f>IFERROR(VLOOKUP(B2406,Заказ!B:Q,16,0),0)</f>
        <v>0</v>
      </c>
    </row>
    <row r="2407" spans="2:9" x14ac:dyDescent="0.25">
      <c r="B2407" s="84">
        <v>12604</v>
      </c>
      <c r="D2407" s="84" t="str">
        <f t="shared" si="43"/>
        <v/>
      </c>
      <c r="H2407" s="84">
        <f>IFERROR(VLOOKUP(B2407,Заказ!B:Q,5,0),0)</f>
        <v>0</v>
      </c>
      <c r="I2407" s="84">
        <f>IFERROR(VLOOKUP(B2407,Заказ!B:Q,16,0),0)</f>
        <v>0</v>
      </c>
    </row>
    <row r="2408" spans="2:9" x14ac:dyDescent="0.25">
      <c r="B2408" s="84">
        <v>13341</v>
      </c>
      <c r="D2408" s="84" t="str">
        <f t="shared" si="43"/>
        <v/>
      </c>
      <c r="H2408" s="84">
        <f>IFERROR(VLOOKUP(B2408,Заказ!B:Q,5,0),0)</f>
        <v>0</v>
      </c>
      <c r="I2408" s="84">
        <f>IFERROR(VLOOKUP(B2408,Заказ!B:Q,16,0),0)</f>
        <v>0</v>
      </c>
    </row>
    <row r="2409" spans="2:9" x14ac:dyDescent="0.25">
      <c r="B2409" s="84">
        <v>12603</v>
      </c>
      <c r="D2409" s="84" t="str">
        <f t="shared" si="43"/>
        <v/>
      </c>
      <c r="H2409" s="84">
        <f>IFERROR(VLOOKUP(B2409,Заказ!B:Q,5,0),0)</f>
        <v>0</v>
      </c>
      <c r="I2409" s="84">
        <f>IFERROR(VLOOKUP(B2409,Заказ!B:Q,16,0),0)</f>
        <v>0</v>
      </c>
    </row>
    <row r="2410" spans="2:9" x14ac:dyDescent="0.25">
      <c r="B2410" s="84">
        <v>12602</v>
      </c>
      <c r="D2410" s="84" t="str">
        <f t="shared" si="43"/>
        <v/>
      </c>
      <c r="H2410" s="84">
        <f>IFERROR(VLOOKUP(B2410,Заказ!B:Q,5,0),0)</f>
        <v>0</v>
      </c>
      <c r="I2410" s="84">
        <f>IFERROR(VLOOKUP(B2410,Заказ!B:Q,16,0),0)</f>
        <v>0</v>
      </c>
    </row>
    <row r="2411" spans="2:9" x14ac:dyDescent="0.25">
      <c r="B2411" s="84">
        <v>13860</v>
      </c>
      <c r="D2411" s="84" t="str">
        <f t="shared" si="43"/>
        <v/>
      </c>
      <c r="H2411" s="84">
        <f>IFERROR(VLOOKUP(B2411,Заказ!B:Q,5,0),0)</f>
        <v>0</v>
      </c>
      <c r="I2411" s="84">
        <f>IFERROR(VLOOKUP(B2411,Заказ!B:Q,16,0),0)</f>
        <v>0</v>
      </c>
    </row>
    <row r="2412" spans="2:9" x14ac:dyDescent="0.25">
      <c r="B2412" s="84">
        <v>13861</v>
      </c>
      <c r="D2412" s="84" t="str">
        <f t="shared" si="43"/>
        <v/>
      </c>
      <c r="H2412" s="84">
        <f>IFERROR(VLOOKUP(B2412,Заказ!B:Q,5,0),0)</f>
        <v>0</v>
      </c>
      <c r="I2412" s="84">
        <f>IFERROR(VLOOKUP(B2412,Заказ!B:Q,16,0),0)</f>
        <v>0</v>
      </c>
    </row>
    <row r="2413" spans="2:9" x14ac:dyDescent="0.25">
      <c r="B2413" s="84">
        <v>20371</v>
      </c>
      <c r="D2413" s="84" t="str">
        <f t="shared" si="43"/>
        <v/>
      </c>
      <c r="H2413" s="84">
        <f>IFERROR(VLOOKUP(B2413,Заказ!B:Q,5,0),0)</f>
        <v>0</v>
      </c>
      <c r="I2413" s="84">
        <f>IFERROR(VLOOKUP(B2413,Заказ!B:Q,16,0),0)</f>
        <v>0</v>
      </c>
    </row>
    <row r="2414" spans="2:9" x14ac:dyDescent="0.25">
      <c r="B2414" s="84">
        <v>15151</v>
      </c>
      <c r="D2414" s="84" t="str">
        <f t="shared" si="43"/>
        <v/>
      </c>
      <c r="H2414" s="84">
        <f>IFERROR(VLOOKUP(B2414,Заказ!B:Q,5,0),0)</f>
        <v>0</v>
      </c>
      <c r="I2414" s="84">
        <f>IFERROR(VLOOKUP(B2414,Заказ!B:Q,16,0),0)</f>
        <v>0</v>
      </c>
    </row>
    <row r="2415" spans="2:9" x14ac:dyDescent="0.25">
      <c r="B2415" s="84">
        <v>16404</v>
      </c>
      <c r="D2415" s="84" t="str">
        <f t="shared" si="43"/>
        <v/>
      </c>
      <c r="H2415" s="84">
        <f>IFERROR(VLOOKUP(B2415,Заказ!B:Q,5,0),0)</f>
        <v>0</v>
      </c>
      <c r="I2415" s="84">
        <f>IFERROR(VLOOKUP(B2415,Заказ!B:Q,16,0),0)</f>
        <v>0</v>
      </c>
    </row>
    <row r="2416" spans="2:9" x14ac:dyDescent="0.25">
      <c r="B2416" s="84">
        <v>14245</v>
      </c>
      <c r="D2416" s="84" t="str">
        <f t="shared" si="43"/>
        <v/>
      </c>
      <c r="H2416" s="84">
        <f>IFERROR(VLOOKUP(B2416,Заказ!B:Q,5,0),0)</f>
        <v>0</v>
      </c>
      <c r="I2416" s="84">
        <f>IFERROR(VLOOKUP(B2416,Заказ!B:Q,16,0),0)</f>
        <v>0</v>
      </c>
    </row>
    <row r="2417" spans="2:9" x14ac:dyDescent="0.25">
      <c r="B2417" s="84">
        <v>16934</v>
      </c>
      <c r="D2417" s="84" t="str">
        <f t="shared" si="43"/>
        <v/>
      </c>
      <c r="H2417" s="84">
        <f>IFERROR(VLOOKUP(B2417,Заказ!B:Q,5,0),0)</f>
        <v>0</v>
      </c>
      <c r="I2417" s="84">
        <f>IFERROR(VLOOKUP(B2417,Заказ!B:Q,16,0),0)</f>
        <v>0</v>
      </c>
    </row>
    <row r="2418" spans="2:9" x14ac:dyDescent="0.25">
      <c r="B2418" s="84">
        <v>15154</v>
      </c>
      <c r="D2418" s="84" t="str">
        <f t="shared" si="43"/>
        <v/>
      </c>
      <c r="H2418" s="84">
        <f>IFERROR(VLOOKUP(B2418,Заказ!B:Q,5,0),0)</f>
        <v>0</v>
      </c>
      <c r="I2418" s="84">
        <f>IFERROR(VLOOKUP(B2418,Заказ!B:Q,16,0),0)</f>
        <v>0</v>
      </c>
    </row>
    <row r="2419" spans="2:9" x14ac:dyDescent="0.25">
      <c r="B2419" s="84">
        <v>15939</v>
      </c>
      <c r="D2419" s="84" t="str">
        <f t="shared" si="43"/>
        <v/>
      </c>
      <c r="H2419" s="84">
        <f>IFERROR(VLOOKUP(B2419,Заказ!B:Q,5,0),0)</f>
        <v>0</v>
      </c>
      <c r="I2419" s="84">
        <f>IFERROR(VLOOKUP(B2419,Заказ!B:Q,16,0),0)</f>
        <v>0</v>
      </c>
    </row>
    <row r="2420" spans="2:9" x14ac:dyDescent="0.25">
      <c r="B2420" s="84">
        <v>19680</v>
      </c>
      <c r="D2420" s="84" t="str">
        <f t="shared" si="43"/>
        <v/>
      </c>
      <c r="H2420" s="84">
        <f>IFERROR(VLOOKUP(B2420,Заказ!B:Q,5,0),0)</f>
        <v>0</v>
      </c>
      <c r="I2420" s="84">
        <f>IFERROR(VLOOKUP(B2420,Заказ!B:Q,16,0),0)</f>
        <v>0</v>
      </c>
    </row>
    <row r="2421" spans="2:9" x14ac:dyDescent="0.25">
      <c r="B2421" s="84">
        <v>15941</v>
      </c>
      <c r="D2421" s="84" t="str">
        <f t="shared" si="43"/>
        <v/>
      </c>
      <c r="H2421" s="84">
        <f>IFERROR(VLOOKUP(B2421,Заказ!B:Q,5,0),0)</f>
        <v>0</v>
      </c>
      <c r="I2421" s="84">
        <f>IFERROR(VLOOKUP(B2421,Заказ!B:Q,16,0),0)</f>
        <v>0</v>
      </c>
    </row>
    <row r="2422" spans="2:9" x14ac:dyDescent="0.25">
      <c r="B2422" s="84">
        <v>19681</v>
      </c>
      <c r="D2422" s="84" t="str">
        <f t="shared" si="43"/>
        <v/>
      </c>
      <c r="H2422" s="84">
        <f>IFERROR(VLOOKUP(B2422,Заказ!B:Q,5,0),0)</f>
        <v>0</v>
      </c>
      <c r="I2422" s="84">
        <f>IFERROR(VLOOKUP(B2422,Заказ!B:Q,16,0),0)</f>
        <v>0</v>
      </c>
    </row>
    <row r="2423" spans="2:9" x14ac:dyDescent="0.25">
      <c r="B2423" s="84">
        <v>15942</v>
      </c>
      <c r="D2423" s="84" t="str">
        <f t="shared" si="43"/>
        <v/>
      </c>
      <c r="H2423" s="84">
        <f>IFERROR(VLOOKUP(B2423,Заказ!B:Q,5,0),0)</f>
        <v>0</v>
      </c>
      <c r="I2423" s="84">
        <f>IFERROR(VLOOKUP(B2423,Заказ!B:Q,16,0),0)</f>
        <v>0</v>
      </c>
    </row>
    <row r="2424" spans="2:9" x14ac:dyDescent="0.25">
      <c r="B2424" s="84">
        <v>20903</v>
      </c>
      <c r="D2424" s="84" t="str">
        <f t="shared" si="43"/>
        <v/>
      </c>
      <c r="H2424" s="84">
        <f>IFERROR(VLOOKUP(B2424,Заказ!B:Q,5,0),0)</f>
        <v>0</v>
      </c>
      <c r="I2424" s="84">
        <f>IFERROR(VLOOKUP(B2424,Заказ!B:Q,16,0),0)</f>
        <v>0</v>
      </c>
    </row>
    <row r="2425" spans="2:9" x14ac:dyDescent="0.25">
      <c r="B2425" s="84">
        <v>15943</v>
      </c>
      <c r="D2425" s="84" t="str">
        <f t="shared" si="43"/>
        <v/>
      </c>
      <c r="H2425" s="84">
        <f>IFERROR(VLOOKUP(B2425,Заказ!B:Q,5,0),0)</f>
        <v>0</v>
      </c>
      <c r="I2425" s="84">
        <f>IFERROR(VLOOKUP(B2425,Заказ!B:Q,16,0),0)</f>
        <v>0</v>
      </c>
    </row>
    <row r="2426" spans="2:9" x14ac:dyDescent="0.25">
      <c r="B2426" s="84">
        <v>15938</v>
      </c>
      <c r="D2426" s="84" t="str">
        <f t="shared" si="43"/>
        <v/>
      </c>
      <c r="H2426" s="84">
        <f>IFERROR(VLOOKUP(B2426,Заказ!B:Q,5,0),0)</f>
        <v>0</v>
      </c>
      <c r="I2426" s="84">
        <f>IFERROR(VLOOKUP(B2426,Заказ!B:Q,16,0),0)</f>
        <v>0</v>
      </c>
    </row>
    <row r="2427" spans="2:9" x14ac:dyDescent="0.25">
      <c r="B2427" s="84">
        <v>15937</v>
      </c>
      <c r="D2427" s="84" t="str">
        <f t="shared" si="43"/>
        <v/>
      </c>
      <c r="H2427" s="84">
        <f>IFERROR(VLOOKUP(B2427,Заказ!B:Q,5,0),0)</f>
        <v>0</v>
      </c>
      <c r="I2427" s="84">
        <f>IFERROR(VLOOKUP(B2427,Заказ!B:Q,16,0),0)</f>
        <v>0</v>
      </c>
    </row>
    <row r="2428" spans="2:9" x14ac:dyDescent="0.25">
      <c r="B2428" s="84">
        <v>14391</v>
      </c>
      <c r="D2428" s="84" t="str">
        <f t="shared" si="43"/>
        <v/>
      </c>
      <c r="H2428" s="84">
        <f>IFERROR(VLOOKUP(B2428,Заказ!B:Q,5,0),0)</f>
        <v>0</v>
      </c>
      <c r="I2428" s="84">
        <f>IFERROR(VLOOKUP(B2428,Заказ!B:Q,16,0),0)</f>
        <v>0</v>
      </c>
    </row>
    <row r="2429" spans="2:9" x14ac:dyDescent="0.25">
      <c r="B2429" s="84">
        <v>14313</v>
      </c>
      <c r="D2429" s="84" t="str">
        <f t="shared" si="43"/>
        <v/>
      </c>
      <c r="H2429" s="84">
        <f>IFERROR(VLOOKUP(B2429,Заказ!B:Q,5,0),0)</f>
        <v>0</v>
      </c>
      <c r="I2429" s="84">
        <f>IFERROR(VLOOKUP(B2429,Заказ!B:Q,16,0),0)</f>
        <v>0</v>
      </c>
    </row>
    <row r="2430" spans="2:9" x14ac:dyDescent="0.25">
      <c r="B2430" s="84">
        <v>14316</v>
      </c>
      <c r="D2430" s="84" t="str">
        <f t="shared" si="43"/>
        <v/>
      </c>
      <c r="H2430" s="84">
        <f>IFERROR(VLOOKUP(B2430,Заказ!B:Q,5,0),0)</f>
        <v>0</v>
      </c>
      <c r="I2430" s="84">
        <f>IFERROR(VLOOKUP(B2430,Заказ!B:Q,16,0),0)</f>
        <v>0</v>
      </c>
    </row>
    <row r="2431" spans="2:9" x14ac:dyDescent="0.25">
      <c r="B2431" s="84">
        <v>14314</v>
      </c>
      <c r="D2431" s="84" t="str">
        <f t="shared" si="43"/>
        <v/>
      </c>
      <c r="H2431" s="84">
        <f>IFERROR(VLOOKUP(B2431,Заказ!B:Q,5,0),0)</f>
        <v>0</v>
      </c>
      <c r="I2431" s="84">
        <f>IFERROR(VLOOKUP(B2431,Заказ!B:Q,16,0),0)</f>
        <v>0</v>
      </c>
    </row>
    <row r="2432" spans="2:9" x14ac:dyDescent="0.25">
      <c r="B2432" s="84">
        <v>14312</v>
      </c>
      <c r="D2432" s="84" t="str">
        <f t="shared" si="43"/>
        <v/>
      </c>
      <c r="H2432" s="84">
        <f>IFERROR(VLOOKUP(B2432,Заказ!B:Q,5,0),0)</f>
        <v>0</v>
      </c>
      <c r="I2432" s="84">
        <f>IFERROR(VLOOKUP(B2432,Заказ!B:Q,16,0),0)</f>
        <v>0</v>
      </c>
    </row>
    <row r="2433" spans="2:9" x14ac:dyDescent="0.25">
      <c r="B2433" s="84">
        <v>14315</v>
      </c>
      <c r="D2433" s="84" t="str">
        <f t="shared" si="43"/>
        <v/>
      </c>
      <c r="H2433" s="84">
        <f>IFERROR(VLOOKUP(B2433,Заказ!B:Q,5,0),0)</f>
        <v>0</v>
      </c>
      <c r="I2433" s="84">
        <f>IFERROR(VLOOKUP(B2433,Заказ!B:Q,16,0),0)</f>
        <v>0</v>
      </c>
    </row>
    <row r="2434" spans="2:9" x14ac:dyDescent="0.25">
      <c r="B2434" s="84">
        <v>13277</v>
      </c>
      <c r="D2434" s="84" t="str">
        <f t="shared" si="43"/>
        <v/>
      </c>
      <c r="H2434" s="84">
        <f>IFERROR(VLOOKUP(B2434,Заказ!B:Q,5,0),0)</f>
        <v>0</v>
      </c>
      <c r="I2434" s="84">
        <f>IFERROR(VLOOKUP(B2434,Заказ!B:Q,16,0),0)</f>
        <v>0</v>
      </c>
    </row>
    <row r="2435" spans="2:9" x14ac:dyDescent="0.25">
      <c r="B2435" s="84">
        <v>12394</v>
      </c>
      <c r="D2435" s="84" t="str">
        <f t="shared" si="43"/>
        <v/>
      </c>
      <c r="H2435" s="84">
        <f>IFERROR(VLOOKUP(B2435,Заказ!B:Q,5,0),0)</f>
        <v>0</v>
      </c>
      <c r="I2435" s="84">
        <f>IFERROR(VLOOKUP(B2435,Заказ!B:Q,16,0),0)</f>
        <v>0</v>
      </c>
    </row>
    <row r="2436" spans="2:9" x14ac:dyDescent="0.25">
      <c r="B2436" s="84">
        <v>12561</v>
      </c>
      <c r="D2436" s="84" t="str">
        <f t="shared" si="43"/>
        <v/>
      </c>
      <c r="H2436" s="84">
        <f>IFERROR(VLOOKUP(B2436,Заказ!B:Q,5,0),0)</f>
        <v>0</v>
      </c>
      <c r="I2436" s="84">
        <f>IFERROR(VLOOKUP(B2436,Заказ!B:Q,16,0),0)</f>
        <v>0</v>
      </c>
    </row>
    <row r="2437" spans="2:9" x14ac:dyDescent="0.25">
      <c r="B2437" s="84">
        <v>12822</v>
      </c>
      <c r="D2437" s="84" t="str">
        <f t="shared" si="43"/>
        <v/>
      </c>
      <c r="H2437" s="84">
        <f>IFERROR(VLOOKUP(B2437,Заказ!B:Q,5,0),0)</f>
        <v>0</v>
      </c>
      <c r="I2437" s="84">
        <f>IFERROR(VLOOKUP(B2437,Заказ!B:Q,16,0),0)</f>
        <v>0</v>
      </c>
    </row>
    <row r="2438" spans="2:9" x14ac:dyDescent="0.25">
      <c r="B2438" s="84">
        <v>15152</v>
      </c>
      <c r="D2438" s="84" t="str">
        <f t="shared" si="43"/>
        <v/>
      </c>
      <c r="H2438" s="84">
        <f>IFERROR(VLOOKUP(B2438,Заказ!B:Q,5,0),0)</f>
        <v>0</v>
      </c>
      <c r="I2438" s="84">
        <f>IFERROR(VLOOKUP(B2438,Заказ!B:Q,16,0),0)</f>
        <v>0</v>
      </c>
    </row>
    <row r="2439" spans="2:9" x14ac:dyDescent="0.25">
      <c r="B2439" s="84">
        <v>12823</v>
      </c>
      <c r="D2439" s="84" t="str">
        <f t="shared" si="43"/>
        <v/>
      </c>
      <c r="H2439" s="84">
        <f>IFERROR(VLOOKUP(B2439,Заказ!B:Q,5,0),0)</f>
        <v>0</v>
      </c>
      <c r="I2439" s="84">
        <f>IFERROR(VLOOKUP(B2439,Заказ!B:Q,16,0),0)</f>
        <v>0</v>
      </c>
    </row>
    <row r="2440" spans="2:9" x14ac:dyDescent="0.25">
      <c r="B2440" s="84">
        <v>16092</v>
      </c>
      <c r="D2440" s="84" t="str">
        <f t="shared" si="43"/>
        <v/>
      </c>
      <c r="H2440" s="84">
        <f>IFERROR(VLOOKUP(B2440,Заказ!B:Q,5,0),0)</f>
        <v>0</v>
      </c>
      <c r="I2440" s="84">
        <f>IFERROR(VLOOKUP(B2440,Заказ!B:Q,16,0),0)</f>
        <v>0</v>
      </c>
    </row>
    <row r="2441" spans="2:9" x14ac:dyDescent="0.25">
      <c r="B2441" s="84">
        <v>20613</v>
      </c>
      <c r="D2441" s="84" t="str">
        <f t="shared" si="43"/>
        <v/>
      </c>
      <c r="H2441" s="84">
        <f>IFERROR(VLOOKUP(B2441,Заказ!B:Q,5,0),0)</f>
        <v>0</v>
      </c>
      <c r="I2441" s="84">
        <f>IFERROR(VLOOKUP(B2441,Заказ!B:Q,16,0),0)</f>
        <v>0</v>
      </c>
    </row>
    <row r="2442" spans="2:9" x14ac:dyDescent="0.25">
      <c r="B2442" s="84">
        <v>16353</v>
      </c>
      <c r="D2442" s="84" t="str">
        <f t="shared" si="43"/>
        <v/>
      </c>
      <c r="H2442" s="84">
        <f>IFERROR(VLOOKUP(B2442,Заказ!B:Q,5,0),0)</f>
        <v>0</v>
      </c>
      <c r="I2442" s="84">
        <f>IFERROR(VLOOKUP(B2442,Заказ!B:Q,16,0),0)</f>
        <v>0</v>
      </c>
    </row>
    <row r="2443" spans="2:9" x14ac:dyDescent="0.25">
      <c r="B2443" s="84">
        <v>16358</v>
      </c>
      <c r="D2443" s="84" t="str">
        <f t="shared" si="43"/>
        <v/>
      </c>
      <c r="H2443" s="84">
        <f>IFERROR(VLOOKUP(B2443,Заказ!B:Q,5,0),0)</f>
        <v>0</v>
      </c>
      <c r="I2443" s="84">
        <f>IFERROR(VLOOKUP(B2443,Заказ!B:Q,16,0),0)</f>
        <v>0</v>
      </c>
    </row>
    <row r="2444" spans="2:9" x14ac:dyDescent="0.25">
      <c r="B2444" s="84">
        <v>18973</v>
      </c>
      <c r="D2444" s="84" t="str">
        <f t="shared" si="43"/>
        <v/>
      </c>
      <c r="H2444" s="84">
        <f>IFERROR(VLOOKUP(B2444,Заказ!B:Q,5,0),0)</f>
        <v>0</v>
      </c>
      <c r="I2444" s="84">
        <f>IFERROR(VLOOKUP(B2444,Заказ!B:Q,16,0),0)</f>
        <v>0</v>
      </c>
    </row>
    <row r="2445" spans="2:9" x14ac:dyDescent="0.25">
      <c r="B2445" s="84">
        <v>18974</v>
      </c>
      <c r="D2445" s="84" t="str">
        <f t="shared" si="43"/>
        <v/>
      </c>
      <c r="H2445" s="84">
        <f>IFERROR(VLOOKUP(B2445,Заказ!B:Q,5,0),0)</f>
        <v>0</v>
      </c>
      <c r="I2445" s="84">
        <f>IFERROR(VLOOKUP(B2445,Заказ!B:Q,16,0),0)</f>
        <v>0</v>
      </c>
    </row>
    <row r="2446" spans="2:9" x14ac:dyDescent="0.25">
      <c r="B2446" s="84">
        <v>20380</v>
      </c>
      <c r="D2446" s="84" t="str">
        <f t="shared" si="43"/>
        <v/>
      </c>
      <c r="H2446" s="84">
        <f>IFERROR(VLOOKUP(B2446,Заказ!B:Q,5,0),0)</f>
        <v>0</v>
      </c>
      <c r="I2446" s="84">
        <f>IFERROR(VLOOKUP(B2446,Заказ!B:Q,16,0),0)</f>
        <v>0</v>
      </c>
    </row>
    <row r="2447" spans="2:9" x14ac:dyDescent="0.25">
      <c r="B2447" s="84">
        <v>20379</v>
      </c>
      <c r="D2447" s="84" t="str">
        <f t="shared" si="43"/>
        <v/>
      </c>
      <c r="H2447" s="84">
        <f>IFERROR(VLOOKUP(B2447,Заказ!B:Q,5,0),0)</f>
        <v>0</v>
      </c>
      <c r="I2447" s="84">
        <f>IFERROR(VLOOKUP(B2447,Заказ!B:Q,16,0),0)</f>
        <v>0</v>
      </c>
    </row>
    <row r="2448" spans="2:9" x14ac:dyDescent="0.25">
      <c r="B2448" s="84">
        <v>15162</v>
      </c>
      <c r="D2448" s="84" t="str">
        <f t="shared" ref="D2448:D2503" si="44">IFERROR(ROUND(I2448/H2448,2),"")</f>
        <v/>
      </c>
      <c r="H2448" s="84">
        <f>IFERROR(VLOOKUP(B2448,Заказ!B:Q,5,0),0)</f>
        <v>0</v>
      </c>
      <c r="I2448" s="84">
        <f>IFERROR(VLOOKUP(B2448,Заказ!B:Q,16,0),0)</f>
        <v>0</v>
      </c>
    </row>
    <row r="2449" spans="2:9" x14ac:dyDescent="0.25">
      <c r="B2449" s="84">
        <v>16411</v>
      </c>
      <c r="D2449" s="84" t="str">
        <f t="shared" si="44"/>
        <v/>
      </c>
      <c r="H2449" s="84">
        <f>IFERROR(VLOOKUP(B2449,Заказ!B:Q,5,0),0)</f>
        <v>0</v>
      </c>
      <c r="I2449" s="84">
        <f>IFERROR(VLOOKUP(B2449,Заказ!B:Q,16,0),0)</f>
        <v>0</v>
      </c>
    </row>
    <row r="2450" spans="2:9" x14ac:dyDescent="0.25">
      <c r="B2450" s="84">
        <v>15161</v>
      </c>
      <c r="D2450" s="84" t="str">
        <f t="shared" si="44"/>
        <v/>
      </c>
      <c r="H2450" s="84">
        <f>IFERROR(VLOOKUP(B2450,Заказ!B:Q,5,0),0)</f>
        <v>0</v>
      </c>
      <c r="I2450" s="84">
        <f>IFERROR(VLOOKUP(B2450,Заказ!B:Q,16,0),0)</f>
        <v>0</v>
      </c>
    </row>
    <row r="2451" spans="2:9" x14ac:dyDescent="0.25">
      <c r="B2451" s="84">
        <v>20557</v>
      </c>
      <c r="D2451" s="84" t="str">
        <f t="shared" si="44"/>
        <v/>
      </c>
      <c r="H2451" s="84">
        <f>IFERROR(VLOOKUP(B2451,Заказ!B:Q,5,0),0)</f>
        <v>0</v>
      </c>
      <c r="I2451" s="84">
        <f>IFERROR(VLOOKUP(B2451,Заказ!B:Q,16,0),0)</f>
        <v>0</v>
      </c>
    </row>
    <row r="2452" spans="2:9" x14ac:dyDescent="0.25">
      <c r="B2452" s="84">
        <v>20562</v>
      </c>
      <c r="D2452" s="84" t="str">
        <f t="shared" si="44"/>
        <v/>
      </c>
      <c r="H2452" s="84">
        <f>IFERROR(VLOOKUP(B2452,Заказ!B:Q,5,0),0)</f>
        <v>0</v>
      </c>
      <c r="I2452" s="84">
        <f>IFERROR(VLOOKUP(B2452,Заказ!B:Q,16,0),0)</f>
        <v>0</v>
      </c>
    </row>
    <row r="2453" spans="2:9" x14ac:dyDescent="0.25">
      <c r="B2453" s="84">
        <v>20556</v>
      </c>
      <c r="D2453" s="84" t="str">
        <f t="shared" si="44"/>
        <v/>
      </c>
      <c r="H2453" s="84">
        <f>IFERROR(VLOOKUP(B2453,Заказ!B:Q,5,0),0)</f>
        <v>0</v>
      </c>
      <c r="I2453" s="84">
        <f>IFERROR(VLOOKUP(B2453,Заказ!B:Q,16,0),0)</f>
        <v>0</v>
      </c>
    </row>
    <row r="2454" spans="2:9" x14ac:dyDescent="0.25">
      <c r="B2454" s="84">
        <v>21338</v>
      </c>
      <c r="D2454" s="84" t="str">
        <f t="shared" si="44"/>
        <v/>
      </c>
      <c r="H2454" s="84">
        <f>IFERROR(VLOOKUP(B2454,Заказ!B:Q,5,0),0)</f>
        <v>0</v>
      </c>
      <c r="I2454" s="84">
        <f>IFERROR(VLOOKUP(B2454,Заказ!B:Q,16,0),0)</f>
        <v>0</v>
      </c>
    </row>
    <row r="2455" spans="2:9" x14ac:dyDescent="0.25">
      <c r="B2455" s="84">
        <v>21339</v>
      </c>
      <c r="D2455" s="84" t="str">
        <f t="shared" si="44"/>
        <v/>
      </c>
      <c r="H2455" s="84">
        <f>IFERROR(VLOOKUP(B2455,Заказ!B:Q,5,0),0)</f>
        <v>0</v>
      </c>
      <c r="I2455" s="84">
        <f>IFERROR(VLOOKUP(B2455,Заказ!B:Q,16,0),0)</f>
        <v>0</v>
      </c>
    </row>
    <row r="2456" spans="2:9" x14ac:dyDescent="0.25">
      <c r="B2456" s="84">
        <v>21340</v>
      </c>
      <c r="D2456" s="84" t="str">
        <f t="shared" si="44"/>
        <v/>
      </c>
      <c r="H2456" s="84">
        <f>IFERROR(VLOOKUP(B2456,Заказ!B:Q,5,0),0)</f>
        <v>0</v>
      </c>
      <c r="I2456" s="84">
        <f>IFERROR(VLOOKUP(B2456,Заказ!B:Q,16,0),0)</f>
        <v>0</v>
      </c>
    </row>
    <row r="2457" spans="2:9" x14ac:dyDescent="0.25">
      <c r="B2457" s="84">
        <v>21342</v>
      </c>
      <c r="D2457" s="84" t="str">
        <f t="shared" si="44"/>
        <v/>
      </c>
      <c r="H2457" s="84">
        <f>IFERROR(VLOOKUP(B2457,Заказ!B:Q,5,0),0)</f>
        <v>0</v>
      </c>
      <c r="I2457" s="84">
        <f>IFERROR(VLOOKUP(B2457,Заказ!B:Q,16,0),0)</f>
        <v>0</v>
      </c>
    </row>
    <row r="2458" spans="2:9" x14ac:dyDescent="0.25">
      <c r="B2458" s="84">
        <v>21343</v>
      </c>
      <c r="D2458" s="84" t="str">
        <f t="shared" si="44"/>
        <v/>
      </c>
      <c r="H2458" s="84">
        <f>IFERROR(VLOOKUP(B2458,Заказ!B:Q,5,0),0)</f>
        <v>0</v>
      </c>
      <c r="I2458" s="84">
        <f>IFERROR(VLOOKUP(B2458,Заказ!B:Q,16,0),0)</f>
        <v>0</v>
      </c>
    </row>
    <row r="2459" spans="2:9" x14ac:dyDescent="0.25">
      <c r="B2459" s="84">
        <v>18127</v>
      </c>
      <c r="D2459" s="84" t="str">
        <f t="shared" si="44"/>
        <v/>
      </c>
      <c r="H2459" s="84">
        <f>IFERROR(VLOOKUP(B2459,Заказ!B:Q,5,0),0)</f>
        <v>0</v>
      </c>
      <c r="I2459" s="84">
        <f>IFERROR(VLOOKUP(B2459,Заказ!B:Q,16,0),0)</f>
        <v>0</v>
      </c>
    </row>
    <row r="2460" spans="2:9" x14ac:dyDescent="0.25">
      <c r="B2460" s="84">
        <v>18126</v>
      </c>
      <c r="D2460" s="84" t="str">
        <f t="shared" si="44"/>
        <v/>
      </c>
      <c r="H2460" s="84">
        <f>IFERROR(VLOOKUP(B2460,Заказ!B:Q,5,0),0)</f>
        <v>0</v>
      </c>
      <c r="I2460" s="84">
        <f>IFERROR(VLOOKUP(B2460,Заказ!B:Q,16,0),0)</f>
        <v>0</v>
      </c>
    </row>
    <row r="2461" spans="2:9" x14ac:dyDescent="0.25">
      <c r="B2461" s="84">
        <v>20021</v>
      </c>
      <c r="D2461" s="84" t="str">
        <f t="shared" si="44"/>
        <v/>
      </c>
      <c r="H2461" s="84">
        <f>IFERROR(VLOOKUP(B2461,Заказ!B:Q,5,0),0)</f>
        <v>0</v>
      </c>
      <c r="I2461" s="84">
        <f>IFERROR(VLOOKUP(B2461,Заказ!B:Q,16,0),0)</f>
        <v>0</v>
      </c>
    </row>
    <row r="2462" spans="2:9" x14ac:dyDescent="0.25">
      <c r="B2462" s="84">
        <v>20020</v>
      </c>
      <c r="D2462" s="84" t="str">
        <f t="shared" si="44"/>
        <v/>
      </c>
      <c r="H2462" s="84">
        <f>IFERROR(VLOOKUP(B2462,Заказ!B:Q,5,0),0)</f>
        <v>0</v>
      </c>
      <c r="I2462" s="84">
        <f>IFERROR(VLOOKUP(B2462,Заказ!B:Q,16,0),0)</f>
        <v>0</v>
      </c>
    </row>
    <row r="2463" spans="2:9" x14ac:dyDescent="0.25">
      <c r="B2463" s="84">
        <v>14458</v>
      </c>
      <c r="D2463" s="84" t="str">
        <f t="shared" si="44"/>
        <v/>
      </c>
      <c r="H2463" s="84">
        <f>IFERROR(VLOOKUP(B2463,Заказ!B:Q,5,0),0)</f>
        <v>0</v>
      </c>
      <c r="I2463" s="84">
        <f>IFERROR(VLOOKUP(B2463,Заказ!B:Q,16,0),0)</f>
        <v>0</v>
      </c>
    </row>
    <row r="2464" spans="2:9" x14ac:dyDescent="0.25">
      <c r="B2464" s="84">
        <v>18715</v>
      </c>
      <c r="D2464" s="84" t="str">
        <f t="shared" si="44"/>
        <v/>
      </c>
      <c r="H2464" s="84">
        <f>IFERROR(VLOOKUP(B2464,Заказ!B:Q,5,0),0)</f>
        <v>0</v>
      </c>
      <c r="I2464" s="84">
        <f>IFERROR(VLOOKUP(B2464,Заказ!B:Q,16,0),0)</f>
        <v>0</v>
      </c>
    </row>
    <row r="2465" spans="2:9" x14ac:dyDescent="0.25">
      <c r="B2465" s="84">
        <v>14456</v>
      </c>
      <c r="D2465" s="84" t="str">
        <f t="shared" si="44"/>
        <v/>
      </c>
      <c r="H2465" s="84">
        <f>IFERROR(VLOOKUP(B2465,Заказ!B:Q,5,0),0)</f>
        <v>0</v>
      </c>
      <c r="I2465" s="84">
        <f>IFERROR(VLOOKUP(B2465,Заказ!B:Q,16,0),0)</f>
        <v>0</v>
      </c>
    </row>
    <row r="2466" spans="2:9" x14ac:dyDescent="0.25">
      <c r="B2466" s="84">
        <v>14457</v>
      </c>
      <c r="D2466" s="84" t="str">
        <f t="shared" si="44"/>
        <v/>
      </c>
      <c r="H2466" s="84">
        <f>IFERROR(VLOOKUP(B2466,Заказ!B:Q,5,0),0)</f>
        <v>0</v>
      </c>
      <c r="I2466" s="84">
        <f>IFERROR(VLOOKUP(B2466,Заказ!B:Q,16,0),0)</f>
        <v>0</v>
      </c>
    </row>
    <row r="2467" spans="2:9" x14ac:dyDescent="0.25">
      <c r="B2467" s="84">
        <v>19546</v>
      </c>
      <c r="D2467" s="84" t="str">
        <f t="shared" si="44"/>
        <v/>
      </c>
      <c r="H2467" s="84">
        <f>IFERROR(VLOOKUP(B2467,Заказ!B:Q,5,0),0)</f>
        <v>0</v>
      </c>
      <c r="I2467" s="84">
        <f>IFERROR(VLOOKUP(B2467,Заказ!B:Q,16,0),0)</f>
        <v>0</v>
      </c>
    </row>
    <row r="2468" spans="2:9" x14ac:dyDescent="0.25">
      <c r="B2468" s="84">
        <v>20635</v>
      </c>
      <c r="D2468" s="84" t="str">
        <f t="shared" si="44"/>
        <v/>
      </c>
      <c r="H2468" s="84">
        <f>IFERROR(VLOOKUP(B2468,Заказ!B:Q,5,0),0)</f>
        <v>0</v>
      </c>
      <c r="I2468" s="84">
        <f>IFERROR(VLOOKUP(B2468,Заказ!B:Q,16,0),0)</f>
        <v>0</v>
      </c>
    </row>
    <row r="2469" spans="2:9" x14ac:dyDescent="0.25">
      <c r="B2469" s="84">
        <v>20636</v>
      </c>
      <c r="D2469" s="84" t="str">
        <f t="shared" si="44"/>
        <v/>
      </c>
      <c r="H2469" s="84">
        <f>IFERROR(VLOOKUP(B2469,Заказ!B:Q,5,0),0)</f>
        <v>0</v>
      </c>
      <c r="I2469" s="84">
        <f>IFERROR(VLOOKUP(B2469,Заказ!B:Q,16,0),0)</f>
        <v>0</v>
      </c>
    </row>
    <row r="2470" spans="2:9" x14ac:dyDescent="0.25">
      <c r="B2470" s="84">
        <v>20637</v>
      </c>
      <c r="D2470" s="84" t="str">
        <f t="shared" si="44"/>
        <v/>
      </c>
      <c r="H2470" s="84">
        <f>IFERROR(VLOOKUP(B2470,Заказ!B:Q,5,0),0)</f>
        <v>0</v>
      </c>
      <c r="I2470" s="84">
        <f>IFERROR(VLOOKUP(B2470,Заказ!B:Q,16,0),0)</f>
        <v>0</v>
      </c>
    </row>
    <row r="2471" spans="2:9" x14ac:dyDescent="0.25">
      <c r="B2471" s="84">
        <v>20237</v>
      </c>
      <c r="D2471" s="84" t="str">
        <f t="shared" si="44"/>
        <v/>
      </c>
      <c r="H2471" s="84">
        <f>IFERROR(VLOOKUP(B2471,Заказ!B:Q,5,0),0)</f>
        <v>0</v>
      </c>
      <c r="I2471" s="84">
        <f>IFERROR(VLOOKUP(B2471,Заказ!B:Q,16,0),0)</f>
        <v>0</v>
      </c>
    </row>
    <row r="2472" spans="2:9" x14ac:dyDescent="0.25">
      <c r="B2472" s="84">
        <v>20236</v>
      </c>
      <c r="D2472" s="84" t="str">
        <f t="shared" si="44"/>
        <v/>
      </c>
      <c r="H2472" s="84">
        <f>IFERROR(VLOOKUP(B2472,Заказ!B:Q,5,0),0)</f>
        <v>0</v>
      </c>
      <c r="I2472" s="84">
        <f>IFERROR(VLOOKUP(B2472,Заказ!B:Q,16,0),0)</f>
        <v>0</v>
      </c>
    </row>
    <row r="2473" spans="2:9" x14ac:dyDescent="0.25">
      <c r="B2473" s="84">
        <v>20235</v>
      </c>
      <c r="D2473" s="84" t="str">
        <f t="shared" si="44"/>
        <v/>
      </c>
      <c r="H2473" s="84">
        <f>IFERROR(VLOOKUP(B2473,Заказ!B:Q,5,0),0)</f>
        <v>0</v>
      </c>
      <c r="I2473" s="84">
        <f>IFERROR(VLOOKUP(B2473,Заказ!B:Q,16,0),0)</f>
        <v>0</v>
      </c>
    </row>
    <row r="2474" spans="2:9" x14ac:dyDescent="0.25">
      <c r="B2474" s="84">
        <v>20973</v>
      </c>
      <c r="D2474" s="84" t="str">
        <f t="shared" si="44"/>
        <v/>
      </c>
      <c r="H2474" s="84">
        <f>IFERROR(VLOOKUP(B2474,Заказ!B:Q,5,0),0)</f>
        <v>0</v>
      </c>
      <c r="I2474" s="84">
        <f>IFERROR(VLOOKUP(B2474,Заказ!B:Q,16,0),0)</f>
        <v>0</v>
      </c>
    </row>
    <row r="2475" spans="2:9" x14ac:dyDescent="0.25">
      <c r="B2475" s="84">
        <v>20976</v>
      </c>
      <c r="D2475" s="84" t="str">
        <f t="shared" si="44"/>
        <v/>
      </c>
      <c r="H2475" s="84">
        <f>IFERROR(VLOOKUP(B2475,Заказ!B:Q,5,0),0)</f>
        <v>0</v>
      </c>
      <c r="I2475" s="84">
        <f>IFERROR(VLOOKUP(B2475,Заказ!B:Q,16,0),0)</f>
        <v>0</v>
      </c>
    </row>
    <row r="2476" spans="2:9" x14ac:dyDescent="0.25">
      <c r="B2476" s="84">
        <v>20977</v>
      </c>
      <c r="D2476" s="84" t="str">
        <f t="shared" si="44"/>
        <v/>
      </c>
      <c r="H2476" s="84">
        <f>IFERROR(VLOOKUP(B2476,Заказ!B:Q,5,0),0)</f>
        <v>0</v>
      </c>
      <c r="I2476" s="84">
        <f>IFERROR(VLOOKUP(B2476,Заказ!B:Q,16,0),0)</f>
        <v>0</v>
      </c>
    </row>
    <row r="2477" spans="2:9" x14ac:dyDescent="0.25">
      <c r="B2477" s="84">
        <v>20978</v>
      </c>
      <c r="D2477" s="84" t="str">
        <f t="shared" si="44"/>
        <v/>
      </c>
      <c r="H2477" s="84">
        <f>IFERROR(VLOOKUP(B2477,Заказ!B:Q,5,0),0)</f>
        <v>0</v>
      </c>
      <c r="I2477" s="84">
        <f>IFERROR(VLOOKUP(B2477,Заказ!B:Q,16,0),0)</f>
        <v>0</v>
      </c>
    </row>
    <row r="2478" spans="2:9" x14ac:dyDescent="0.25">
      <c r="B2478" s="84">
        <v>20905</v>
      </c>
      <c r="D2478" s="84" t="str">
        <f t="shared" si="44"/>
        <v/>
      </c>
      <c r="H2478" s="84">
        <f>IFERROR(VLOOKUP(B2478,Заказ!B:Q,5,0),0)</f>
        <v>0</v>
      </c>
      <c r="I2478" s="84">
        <f>IFERROR(VLOOKUP(B2478,Заказ!B:Q,16,0),0)</f>
        <v>0</v>
      </c>
    </row>
    <row r="2479" spans="2:9" x14ac:dyDescent="0.25">
      <c r="B2479" s="84">
        <v>20233</v>
      </c>
      <c r="D2479" s="84" t="str">
        <f t="shared" si="44"/>
        <v/>
      </c>
      <c r="H2479" s="84">
        <f>IFERROR(VLOOKUP(B2479,Заказ!B:Q,5,0),0)</f>
        <v>0</v>
      </c>
      <c r="I2479" s="84">
        <f>IFERROR(VLOOKUP(B2479,Заказ!B:Q,16,0),0)</f>
        <v>0</v>
      </c>
    </row>
    <row r="2480" spans="2:9" x14ac:dyDescent="0.25">
      <c r="B2480" s="84">
        <v>20232</v>
      </c>
      <c r="D2480" s="84" t="str">
        <f t="shared" si="44"/>
        <v/>
      </c>
      <c r="H2480" s="84">
        <f>IFERROR(VLOOKUP(B2480,Заказ!B:Q,5,0),0)</f>
        <v>0</v>
      </c>
      <c r="I2480" s="84">
        <f>IFERROR(VLOOKUP(B2480,Заказ!B:Q,16,0),0)</f>
        <v>0</v>
      </c>
    </row>
    <row r="2481" spans="2:9" x14ac:dyDescent="0.25">
      <c r="B2481" s="84">
        <v>20234</v>
      </c>
      <c r="D2481" s="84" t="str">
        <f t="shared" si="44"/>
        <v/>
      </c>
      <c r="H2481" s="84">
        <f>IFERROR(VLOOKUP(B2481,Заказ!B:Q,5,0),0)</f>
        <v>0</v>
      </c>
      <c r="I2481" s="84">
        <f>IFERROR(VLOOKUP(B2481,Заказ!B:Q,16,0),0)</f>
        <v>0</v>
      </c>
    </row>
    <row r="2482" spans="2:9" x14ac:dyDescent="0.25">
      <c r="B2482" s="84">
        <v>15158</v>
      </c>
      <c r="D2482" s="84" t="str">
        <f t="shared" si="44"/>
        <v/>
      </c>
      <c r="H2482" s="84">
        <f>IFERROR(VLOOKUP(B2482,Заказ!B:Q,5,0),0)</f>
        <v>0</v>
      </c>
      <c r="I2482" s="84">
        <f>IFERROR(VLOOKUP(B2482,Заказ!B:Q,16,0),0)</f>
        <v>0</v>
      </c>
    </row>
    <row r="2483" spans="2:9" x14ac:dyDescent="0.25">
      <c r="B2483" s="84">
        <v>15821</v>
      </c>
      <c r="D2483" s="84" t="str">
        <f t="shared" si="44"/>
        <v/>
      </c>
      <c r="H2483" s="84">
        <f>IFERROR(VLOOKUP(B2483,Заказ!B:Q,5,0),0)</f>
        <v>0</v>
      </c>
      <c r="I2483" s="84">
        <f>IFERROR(VLOOKUP(B2483,Заказ!B:Q,16,0),0)</f>
        <v>0</v>
      </c>
    </row>
    <row r="2484" spans="2:9" x14ac:dyDescent="0.25">
      <c r="B2484" s="84">
        <v>15159</v>
      </c>
      <c r="D2484" s="84" t="str">
        <f t="shared" si="44"/>
        <v/>
      </c>
      <c r="H2484" s="84">
        <f>IFERROR(VLOOKUP(B2484,Заказ!B:Q,5,0),0)</f>
        <v>0</v>
      </c>
      <c r="I2484" s="84">
        <f>IFERROR(VLOOKUP(B2484,Заказ!B:Q,16,0),0)</f>
        <v>0</v>
      </c>
    </row>
    <row r="2485" spans="2:9" x14ac:dyDescent="0.25">
      <c r="B2485" s="84">
        <v>19421</v>
      </c>
      <c r="D2485" s="84" t="str">
        <f t="shared" si="44"/>
        <v/>
      </c>
      <c r="H2485" s="84">
        <f>IFERROR(VLOOKUP(B2485,Заказ!B:Q,5,0),0)</f>
        <v>0</v>
      </c>
      <c r="I2485" s="84">
        <f>IFERROR(VLOOKUP(B2485,Заказ!B:Q,16,0),0)</f>
        <v>0</v>
      </c>
    </row>
    <row r="2486" spans="2:9" x14ac:dyDescent="0.25">
      <c r="B2486" s="84">
        <v>16933</v>
      </c>
      <c r="D2486" s="84" t="str">
        <f t="shared" si="44"/>
        <v/>
      </c>
      <c r="H2486" s="84">
        <f>IFERROR(VLOOKUP(B2486,Заказ!B:Q,5,0),0)</f>
        <v>0</v>
      </c>
      <c r="I2486" s="84">
        <f>IFERROR(VLOOKUP(B2486,Заказ!B:Q,16,0),0)</f>
        <v>0</v>
      </c>
    </row>
    <row r="2487" spans="2:9" x14ac:dyDescent="0.25">
      <c r="B2487" s="84">
        <v>12593</v>
      </c>
      <c r="D2487" s="84" t="str">
        <f t="shared" si="44"/>
        <v/>
      </c>
      <c r="H2487" s="84">
        <f>IFERROR(VLOOKUP(B2487,Заказ!B:Q,5,0),0)</f>
        <v>0</v>
      </c>
      <c r="I2487" s="84">
        <f>IFERROR(VLOOKUP(B2487,Заказ!B:Q,16,0),0)</f>
        <v>0</v>
      </c>
    </row>
    <row r="2488" spans="2:9" x14ac:dyDescent="0.25">
      <c r="B2488" s="84">
        <v>20373</v>
      </c>
      <c r="D2488" s="84" t="str">
        <f t="shared" si="44"/>
        <v/>
      </c>
      <c r="H2488" s="84">
        <f>IFERROR(VLOOKUP(B2488,Заказ!B:Q,5,0),0)</f>
        <v>0</v>
      </c>
      <c r="I2488" s="84">
        <f>IFERROR(VLOOKUP(B2488,Заказ!B:Q,16,0),0)</f>
        <v>0</v>
      </c>
    </row>
    <row r="2489" spans="2:9" x14ac:dyDescent="0.25">
      <c r="B2489" s="84">
        <v>20632</v>
      </c>
      <c r="D2489" s="84" t="str">
        <f t="shared" si="44"/>
        <v/>
      </c>
      <c r="H2489" s="84">
        <f>IFERROR(VLOOKUP(B2489,Заказ!B:Q,5,0),0)</f>
        <v>0</v>
      </c>
      <c r="I2489" s="84">
        <f>IFERROR(VLOOKUP(B2489,Заказ!B:Q,16,0),0)</f>
        <v>0</v>
      </c>
    </row>
    <row r="2490" spans="2:9" x14ac:dyDescent="0.25">
      <c r="B2490" s="84">
        <v>20633</v>
      </c>
      <c r="D2490" s="84" t="str">
        <f t="shared" si="44"/>
        <v/>
      </c>
      <c r="H2490" s="84">
        <f>IFERROR(VLOOKUP(B2490,Заказ!B:Q,5,0),0)</f>
        <v>0</v>
      </c>
      <c r="I2490" s="84">
        <f>IFERROR(VLOOKUP(B2490,Заказ!B:Q,16,0),0)</f>
        <v>0</v>
      </c>
    </row>
    <row r="2491" spans="2:9" x14ac:dyDescent="0.25">
      <c r="B2491" s="84">
        <v>20634</v>
      </c>
      <c r="D2491" s="84" t="str">
        <f t="shared" si="44"/>
        <v/>
      </c>
      <c r="H2491" s="84">
        <f>IFERROR(VLOOKUP(B2491,Заказ!B:Q,5,0),0)</f>
        <v>0</v>
      </c>
      <c r="I2491" s="84">
        <f>IFERROR(VLOOKUP(B2491,Заказ!B:Q,16,0),0)</f>
        <v>0</v>
      </c>
    </row>
    <row r="2492" spans="2:9" x14ac:dyDescent="0.25">
      <c r="B2492" s="84">
        <v>16796</v>
      </c>
      <c r="D2492" s="84" t="str">
        <f t="shared" si="44"/>
        <v/>
      </c>
      <c r="H2492" s="84">
        <f>IFERROR(VLOOKUP(B2492,Заказ!B:Q,5,0),0)</f>
        <v>0</v>
      </c>
      <c r="I2492" s="84">
        <f>IFERROR(VLOOKUP(B2492,Заказ!B:Q,16,0),0)</f>
        <v>0</v>
      </c>
    </row>
    <row r="2493" spans="2:9" x14ac:dyDescent="0.25">
      <c r="B2493" s="84">
        <v>20904</v>
      </c>
      <c r="D2493" s="84" t="str">
        <f t="shared" si="44"/>
        <v/>
      </c>
      <c r="H2493" s="84">
        <f>IFERROR(VLOOKUP(B2493,Заказ!B:Q,5,0),0)</f>
        <v>0</v>
      </c>
      <c r="I2493" s="84">
        <f>IFERROR(VLOOKUP(B2493,Заказ!B:Q,16,0),0)</f>
        <v>0</v>
      </c>
    </row>
    <row r="2494" spans="2:9" x14ac:dyDescent="0.25">
      <c r="B2494" s="84">
        <v>21229</v>
      </c>
      <c r="D2494" s="84" t="str">
        <f t="shared" si="44"/>
        <v/>
      </c>
      <c r="H2494" s="84">
        <f>IFERROR(VLOOKUP(B2494,Заказ!B:Q,5,0),0)</f>
        <v>0</v>
      </c>
      <c r="I2494" s="84">
        <f>IFERROR(VLOOKUP(B2494,Заказ!B:Q,16,0),0)</f>
        <v>0</v>
      </c>
    </row>
    <row r="2495" spans="2:9" x14ac:dyDescent="0.25">
      <c r="B2495" s="84">
        <v>21231</v>
      </c>
      <c r="D2495" s="84" t="str">
        <f t="shared" si="44"/>
        <v/>
      </c>
      <c r="H2495" s="84">
        <f>IFERROR(VLOOKUP(B2495,Заказ!B:Q,5,0),0)</f>
        <v>0</v>
      </c>
      <c r="I2495" s="84">
        <f>IFERROR(VLOOKUP(B2495,Заказ!B:Q,16,0),0)</f>
        <v>0</v>
      </c>
    </row>
    <row r="2496" spans="2:9" x14ac:dyDescent="0.25">
      <c r="B2496" s="84">
        <v>18762</v>
      </c>
      <c r="D2496" s="84" t="str">
        <f t="shared" si="44"/>
        <v/>
      </c>
      <c r="H2496" s="84">
        <f>IFERROR(VLOOKUP(B2496,Заказ!B:Q,5,0),0)</f>
        <v>0</v>
      </c>
      <c r="I2496" s="84">
        <f>IFERROR(VLOOKUP(B2496,Заказ!B:Q,16,0),0)</f>
        <v>0</v>
      </c>
    </row>
    <row r="2497" spans="2:9" x14ac:dyDescent="0.25">
      <c r="B2497" s="84">
        <v>16797</v>
      </c>
      <c r="D2497" s="84" t="str">
        <f t="shared" si="44"/>
        <v/>
      </c>
      <c r="H2497" s="84">
        <f>IFERROR(VLOOKUP(B2497,Заказ!B:Q,5,0),0)</f>
        <v>0</v>
      </c>
      <c r="I2497" s="84">
        <f>IFERROR(VLOOKUP(B2497,Заказ!B:Q,16,0),0)</f>
        <v>0</v>
      </c>
    </row>
    <row r="2498" spans="2:9" x14ac:dyDescent="0.25">
      <c r="B2498" s="84">
        <v>21368</v>
      </c>
      <c r="D2498" s="84" t="str">
        <f t="shared" si="44"/>
        <v/>
      </c>
      <c r="H2498" s="84">
        <f>IFERROR(VLOOKUP(B2498,Заказ!B:Q,5,0),0)</f>
        <v>0</v>
      </c>
      <c r="I2498" s="84">
        <f>IFERROR(VLOOKUP(B2498,Заказ!B:Q,16,0),0)</f>
        <v>0</v>
      </c>
    </row>
    <row r="2499" spans="2:9" x14ac:dyDescent="0.25">
      <c r="B2499" s="84">
        <v>21367</v>
      </c>
      <c r="D2499" s="84" t="str">
        <f t="shared" si="44"/>
        <v/>
      </c>
      <c r="H2499" s="84">
        <f>IFERROR(VLOOKUP(B2499,Заказ!B:Q,5,0),0)</f>
        <v>0</v>
      </c>
      <c r="I2499" s="84">
        <f>IFERROR(VLOOKUP(B2499,Заказ!B:Q,16,0),0)</f>
        <v>0</v>
      </c>
    </row>
    <row r="2500" spans="2:9" x14ac:dyDescent="0.25">
      <c r="B2500" s="84">
        <v>13342</v>
      </c>
      <c r="D2500" s="84" t="str">
        <f t="shared" si="44"/>
        <v/>
      </c>
      <c r="H2500" s="84">
        <f>IFERROR(VLOOKUP(B2500,Заказ!B:Q,5,0),0)</f>
        <v>0</v>
      </c>
      <c r="I2500" s="84">
        <f>IFERROR(VLOOKUP(B2500,Заказ!B:Q,16,0),0)</f>
        <v>0</v>
      </c>
    </row>
    <row r="2501" spans="2:9" x14ac:dyDescent="0.25">
      <c r="B2501" s="84">
        <v>13343</v>
      </c>
      <c r="D2501" s="84" t="str">
        <f t="shared" si="44"/>
        <v/>
      </c>
      <c r="H2501" s="84">
        <f>IFERROR(VLOOKUP(B2501,Заказ!B:Q,5,0),0)</f>
        <v>0</v>
      </c>
      <c r="I2501" s="84">
        <f>IFERROR(VLOOKUP(B2501,Заказ!B:Q,16,0),0)</f>
        <v>0</v>
      </c>
    </row>
    <row r="2502" spans="2:9" x14ac:dyDescent="0.25">
      <c r="B2502" s="84">
        <v>15149</v>
      </c>
      <c r="D2502" s="84" t="str">
        <f t="shared" si="44"/>
        <v/>
      </c>
      <c r="H2502" s="84">
        <f>IFERROR(VLOOKUP(B2502,Заказ!B:Q,5,0),0)</f>
        <v>0</v>
      </c>
      <c r="I2502" s="84">
        <f>IFERROR(VLOOKUP(B2502,Заказ!B:Q,16,0),0)</f>
        <v>0</v>
      </c>
    </row>
    <row r="2503" spans="2:9" x14ac:dyDescent="0.25">
      <c r="B2503" s="84">
        <v>15150</v>
      </c>
      <c r="D2503" s="84" t="str">
        <f t="shared" si="44"/>
        <v/>
      </c>
      <c r="H2503" s="84">
        <f>IFERROR(VLOOKUP(B2503,Заказ!B:Q,5,0),0)</f>
        <v>0</v>
      </c>
      <c r="I2503" s="84">
        <f>IFERROR(VLOOKUP(B2503,Заказ!B:Q,16,0),0)</f>
        <v>0</v>
      </c>
    </row>
    <row r="2504" spans="2:9" x14ac:dyDescent="0.25">
      <c r="B2504" s="84">
        <v>16410</v>
      </c>
      <c r="D2504" s="84" t="str">
        <f t="shared" ref="D2504:D2567" si="45">IFERROR(ROUND(I2504/H2504,2),"")</f>
        <v/>
      </c>
      <c r="H2504" s="84">
        <f>IFERROR(VLOOKUP(B2504,Заказ!B:Q,5,0),0)</f>
        <v>0</v>
      </c>
      <c r="I2504" s="84">
        <f>IFERROR(VLOOKUP(B2504,Заказ!B:Q,16,0),0)</f>
        <v>0</v>
      </c>
    </row>
    <row r="2505" spans="2:9" x14ac:dyDescent="0.25">
      <c r="B2505" s="84">
        <v>21511</v>
      </c>
      <c r="D2505" s="84" t="str">
        <f t="shared" si="45"/>
        <v/>
      </c>
      <c r="H2505" s="84">
        <f>IFERROR(VLOOKUP(B2505,Заказ!B:Q,5,0),0)</f>
        <v>0</v>
      </c>
      <c r="I2505" s="84">
        <f>IFERROR(VLOOKUP(B2505,Заказ!B:Q,16,0),0)</f>
        <v>0</v>
      </c>
    </row>
    <row r="2506" spans="2:9" x14ac:dyDescent="0.25">
      <c r="B2506" s="84">
        <v>15944</v>
      </c>
      <c r="D2506" s="84" t="str">
        <f t="shared" si="45"/>
        <v/>
      </c>
      <c r="H2506" s="84">
        <f>IFERROR(VLOOKUP(B2506,Заказ!B:Q,5,0),0)</f>
        <v>0</v>
      </c>
      <c r="I2506" s="84">
        <f>IFERROR(VLOOKUP(B2506,Заказ!B:Q,16,0),0)</f>
        <v>0</v>
      </c>
    </row>
    <row r="2507" spans="2:9" x14ac:dyDescent="0.25">
      <c r="B2507" s="84">
        <v>20016</v>
      </c>
      <c r="D2507" s="84" t="str">
        <f t="shared" si="45"/>
        <v/>
      </c>
      <c r="H2507" s="84">
        <f>IFERROR(VLOOKUP(B2507,Заказ!B:Q,5,0),0)</f>
        <v>0</v>
      </c>
      <c r="I2507" s="84">
        <f>IFERROR(VLOOKUP(B2507,Заказ!B:Q,16,0),0)</f>
        <v>0</v>
      </c>
    </row>
    <row r="2508" spans="2:9" x14ac:dyDescent="0.25">
      <c r="B2508" s="84">
        <v>20017</v>
      </c>
      <c r="D2508" s="84" t="str">
        <f t="shared" si="45"/>
        <v/>
      </c>
      <c r="H2508" s="84">
        <f>IFERROR(VLOOKUP(B2508,Заказ!B:Q,5,0),0)</f>
        <v>0</v>
      </c>
      <c r="I2508" s="84">
        <f>IFERROR(VLOOKUP(B2508,Заказ!B:Q,16,0),0)</f>
        <v>0</v>
      </c>
    </row>
    <row r="2509" spans="2:9" x14ac:dyDescent="0.25">
      <c r="B2509" s="84">
        <v>20019</v>
      </c>
      <c r="D2509" s="84" t="str">
        <f t="shared" si="45"/>
        <v/>
      </c>
      <c r="H2509" s="84">
        <f>IFERROR(VLOOKUP(B2509,Заказ!B:Q,5,0),0)</f>
        <v>0</v>
      </c>
      <c r="I2509" s="84">
        <f>IFERROR(VLOOKUP(B2509,Заказ!B:Q,16,0),0)</f>
        <v>0</v>
      </c>
    </row>
    <row r="2510" spans="2:9" x14ac:dyDescent="0.25">
      <c r="B2510" s="84">
        <v>20018</v>
      </c>
      <c r="D2510" s="84" t="str">
        <f t="shared" si="45"/>
        <v/>
      </c>
      <c r="H2510" s="84">
        <f>IFERROR(VLOOKUP(B2510,Заказ!B:Q,5,0),0)</f>
        <v>0</v>
      </c>
      <c r="I2510" s="84">
        <f>IFERROR(VLOOKUP(B2510,Заказ!B:Q,16,0),0)</f>
        <v>0</v>
      </c>
    </row>
    <row r="2511" spans="2:9" x14ac:dyDescent="0.25">
      <c r="B2511" s="84">
        <v>16206</v>
      </c>
      <c r="D2511" s="84" t="str">
        <f t="shared" si="45"/>
        <v/>
      </c>
      <c r="H2511" s="84">
        <f>IFERROR(VLOOKUP(B2511,Заказ!B:Q,5,0),0)</f>
        <v>0</v>
      </c>
      <c r="I2511" s="84">
        <f>IFERROR(VLOOKUP(B2511,Заказ!B:Q,16,0),0)</f>
        <v>0</v>
      </c>
    </row>
    <row r="2512" spans="2:9" x14ac:dyDescent="0.25">
      <c r="B2512" s="84">
        <v>18975</v>
      </c>
      <c r="D2512" s="84" t="str">
        <f t="shared" si="45"/>
        <v/>
      </c>
      <c r="H2512" s="84">
        <f>IFERROR(VLOOKUP(B2512,Заказ!B:Q,5,0),0)</f>
        <v>0</v>
      </c>
      <c r="I2512" s="84">
        <f>IFERROR(VLOOKUP(B2512,Заказ!B:Q,16,0),0)</f>
        <v>0</v>
      </c>
    </row>
    <row r="2513" spans="2:9" x14ac:dyDescent="0.25">
      <c r="B2513" s="84">
        <v>18976</v>
      </c>
      <c r="D2513" s="84" t="str">
        <f t="shared" si="45"/>
        <v/>
      </c>
      <c r="H2513" s="84">
        <f>IFERROR(VLOOKUP(B2513,Заказ!B:Q,5,0),0)</f>
        <v>0</v>
      </c>
      <c r="I2513" s="84">
        <f>IFERROR(VLOOKUP(B2513,Заказ!B:Q,16,0),0)</f>
        <v>0</v>
      </c>
    </row>
    <row r="2514" spans="2:9" x14ac:dyDescent="0.25">
      <c r="B2514" s="84">
        <v>16455</v>
      </c>
      <c r="D2514" s="84" t="str">
        <f t="shared" si="45"/>
        <v/>
      </c>
      <c r="H2514" s="84">
        <f>IFERROR(VLOOKUP(B2514,Заказ!B:Q,5,0),0)</f>
        <v>0</v>
      </c>
      <c r="I2514" s="84">
        <f>IFERROR(VLOOKUP(B2514,Заказ!B:Q,16,0),0)</f>
        <v>0</v>
      </c>
    </row>
    <row r="2515" spans="2:9" x14ac:dyDescent="0.25">
      <c r="B2515" s="84">
        <v>16456</v>
      </c>
      <c r="D2515" s="84" t="str">
        <f t="shared" si="45"/>
        <v/>
      </c>
      <c r="H2515" s="84">
        <f>IFERROR(VLOOKUP(B2515,Заказ!B:Q,5,0),0)</f>
        <v>0</v>
      </c>
      <c r="I2515" s="84">
        <f>IFERROR(VLOOKUP(B2515,Заказ!B:Q,16,0),0)</f>
        <v>0</v>
      </c>
    </row>
    <row r="2516" spans="2:9" x14ac:dyDescent="0.25">
      <c r="B2516" s="84">
        <v>19305</v>
      </c>
      <c r="D2516" s="84" t="str">
        <f t="shared" si="45"/>
        <v/>
      </c>
      <c r="H2516" s="84">
        <f>IFERROR(VLOOKUP(B2516,Заказ!B:Q,5,0),0)</f>
        <v>0</v>
      </c>
      <c r="I2516" s="84">
        <f>IFERROR(VLOOKUP(B2516,Заказ!B:Q,16,0),0)</f>
        <v>0</v>
      </c>
    </row>
    <row r="2517" spans="2:9" x14ac:dyDescent="0.25">
      <c r="B2517" s="84">
        <v>19262</v>
      </c>
      <c r="D2517" s="84" t="str">
        <f t="shared" si="45"/>
        <v/>
      </c>
      <c r="H2517" s="84">
        <f>IFERROR(VLOOKUP(B2517,Заказ!B:Q,5,0),0)</f>
        <v>0</v>
      </c>
      <c r="I2517" s="84">
        <f>IFERROR(VLOOKUP(B2517,Заказ!B:Q,16,0),0)</f>
        <v>0</v>
      </c>
    </row>
    <row r="2518" spans="2:9" x14ac:dyDescent="0.25">
      <c r="B2518" s="84">
        <v>16405</v>
      </c>
      <c r="D2518" s="84" t="str">
        <f t="shared" si="45"/>
        <v/>
      </c>
      <c r="H2518" s="84">
        <f>IFERROR(VLOOKUP(B2518,Заказ!B:Q,5,0),0)</f>
        <v>0</v>
      </c>
      <c r="I2518" s="84">
        <f>IFERROR(VLOOKUP(B2518,Заказ!B:Q,16,0),0)</f>
        <v>0</v>
      </c>
    </row>
    <row r="2519" spans="2:9" x14ac:dyDescent="0.25">
      <c r="B2519" s="84">
        <v>20596</v>
      </c>
      <c r="D2519" s="84" t="str">
        <f t="shared" si="45"/>
        <v/>
      </c>
      <c r="H2519" s="84">
        <f>IFERROR(VLOOKUP(B2519,Заказ!B:Q,5,0),0)</f>
        <v>0</v>
      </c>
      <c r="I2519" s="84">
        <f>IFERROR(VLOOKUP(B2519,Заказ!B:Q,16,0),0)</f>
        <v>0</v>
      </c>
    </row>
    <row r="2520" spans="2:9" x14ac:dyDescent="0.25">
      <c r="B2520" s="84">
        <v>17220</v>
      </c>
      <c r="D2520" s="84" t="str">
        <f t="shared" si="45"/>
        <v/>
      </c>
      <c r="H2520" s="84">
        <f>IFERROR(VLOOKUP(B2520,Заказ!B:Q,5,0),0)</f>
        <v>0</v>
      </c>
      <c r="I2520" s="84">
        <f>IFERROR(VLOOKUP(B2520,Заказ!B:Q,16,0),0)</f>
        <v>0</v>
      </c>
    </row>
    <row r="2521" spans="2:9" x14ac:dyDescent="0.25">
      <c r="B2521" s="84">
        <v>17221</v>
      </c>
      <c r="D2521" s="84" t="str">
        <f t="shared" si="45"/>
        <v/>
      </c>
      <c r="H2521" s="84">
        <f>IFERROR(VLOOKUP(B2521,Заказ!B:Q,5,0),0)</f>
        <v>0</v>
      </c>
      <c r="I2521" s="84">
        <f>IFERROR(VLOOKUP(B2521,Заказ!B:Q,16,0),0)</f>
        <v>0</v>
      </c>
    </row>
    <row r="2522" spans="2:9" x14ac:dyDescent="0.25">
      <c r="B2522" s="84">
        <v>21037</v>
      </c>
      <c r="D2522" s="84" t="str">
        <f t="shared" si="45"/>
        <v/>
      </c>
      <c r="H2522" s="84">
        <f>IFERROR(VLOOKUP(B2522,Заказ!B:Q,5,0),0)</f>
        <v>0</v>
      </c>
      <c r="I2522" s="84">
        <f>IFERROR(VLOOKUP(B2522,Заказ!B:Q,16,0),0)</f>
        <v>0</v>
      </c>
    </row>
    <row r="2523" spans="2:9" x14ac:dyDescent="0.25">
      <c r="B2523" s="84">
        <v>21038</v>
      </c>
      <c r="D2523" s="84" t="str">
        <f t="shared" si="45"/>
        <v/>
      </c>
      <c r="H2523" s="84">
        <f>IFERROR(VLOOKUP(B2523,Заказ!B:Q,5,0),0)</f>
        <v>0</v>
      </c>
      <c r="I2523" s="84">
        <f>IFERROR(VLOOKUP(B2523,Заказ!B:Q,16,0),0)</f>
        <v>0</v>
      </c>
    </row>
    <row r="2524" spans="2:9" x14ac:dyDescent="0.25">
      <c r="B2524" s="84">
        <v>13032</v>
      </c>
      <c r="D2524" s="84" t="str">
        <f t="shared" si="45"/>
        <v/>
      </c>
      <c r="H2524" s="84">
        <f>IFERROR(VLOOKUP(B2524,Заказ!B:Q,5,0),0)</f>
        <v>0</v>
      </c>
      <c r="I2524" s="84">
        <f>IFERROR(VLOOKUP(B2524,Заказ!B:Q,16,0),0)</f>
        <v>0</v>
      </c>
    </row>
    <row r="2525" spans="2:9" x14ac:dyDescent="0.25">
      <c r="B2525" s="84">
        <v>11735</v>
      </c>
      <c r="D2525" s="84" t="str">
        <f t="shared" si="45"/>
        <v/>
      </c>
      <c r="H2525" s="84">
        <f>IFERROR(VLOOKUP(B2525,Заказ!B:Q,5,0),0)</f>
        <v>0</v>
      </c>
      <c r="I2525" s="84">
        <f>IFERROR(VLOOKUP(B2525,Заказ!B:Q,16,0),0)</f>
        <v>0</v>
      </c>
    </row>
    <row r="2526" spans="2:9" x14ac:dyDescent="0.25">
      <c r="B2526" s="84">
        <v>11730</v>
      </c>
      <c r="D2526" s="84" t="str">
        <f t="shared" si="45"/>
        <v/>
      </c>
      <c r="H2526" s="84">
        <f>IFERROR(VLOOKUP(B2526,Заказ!B:Q,5,0),0)</f>
        <v>0</v>
      </c>
      <c r="I2526" s="84">
        <f>IFERROR(VLOOKUP(B2526,Заказ!B:Q,16,0),0)</f>
        <v>0</v>
      </c>
    </row>
    <row r="2527" spans="2:9" x14ac:dyDescent="0.25">
      <c r="B2527" s="84">
        <v>13395</v>
      </c>
      <c r="D2527" s="84" t="str">
        <f t="shared" si="45"/>
        <v/>
      </c>
      <c r="H2527" s="84">
        <f>IFERROR(VLOOKUP(B2527,Заказ!B:Q,5,0),0)</f>
        <v>0</v>
      </c>
      <c r="I2527" s="84">
        <f>IFERROR(VLOOKUP(B2527,Заказ!B:Q,16,0),0)</f>
        <v>0</v>
      </c>
    </row>
    <row r="2528" spans="2:9" x14ac:dyDescent="0.25">
      <c r="B2528" s="84">
        <v>11729</v>
      </c>
      <c r="D2528" s="84" t="str">
        <f t="shared" si="45"/>
        <v/>
      </c>
      <c r="H2528" s="84">
        <f>IFERROR(VLOOKUP(B2528,Заказ!B:Q,5,0),0)</f>
        <v>0</v>
      </c>
      <c r="I2528" s="84">
        <f>IFERROR(VLOOKUP(B2528,Заказ!B:Q,16,0),0)</f>
        <v>0</v>
      </c>
    </row>
    <row r="2529" spans="2:9" x14ac:dyDescent="0.25">
      <c r="B2529" s="84">
        <v>15543</v>
      </c>
      <c r="D2529" s="84" t="str">
        <f t="shared" si="45"/>
        <v/>
      </c>
      <c r="H2529" s="84">
        <f>IFERROR(VLOOKUP(B2529,Заказ!B:Q,5,0),0)</f>
        <v>0</v>
      </c>
      <c r="I2529" s="84">
        <f>IFERROR(VLOOKUP(B2529,Заказ!B:Q,16,0),0)</f>
        <v>0</v>
      </c>
    </row>
    <row r="2530" spans="2:9" x14ac:dyDescent="0.25">
      <c r="B2530" s="84">
        <v>12948</v>
      </c>
      <c r="D2530" s="84" t="str">
        <f t="shared" si="45"/>
        <v/>
      </c>
      <c r="H2530" s="84">
        <f>IFERROR(VLOOKUP(B2530,Заказ!B:Q,5,0),0)</f>
        <v>0</v>
      </c>
      <c r="I2530" s="84">
        <f>IFERROR(VLOOKUP(B2530,Заказ!B:Q,16,0),0)</f>
        <v>0</v>
      </c>
    </row>
    <row r="2531" spans="2:9" x14ac:dyDescent="0.25">
      <c r="B2531" s="84">
        <v>11728</v>
      </c>
      <c r="D2531" s="84" t="str">
        <f t="shared" si="45"/>
        <v/>
      </c>
      <c r="H2531" s="84">
        <f>IFERROR(VLOOKUP(B2531,Заказ!B:Q,5,0),0)</f>
        <v>0</v>
      </c>
      <c r="I2531" s="84">
        <f>IFERROR(VLOOKUP(B2531,Заказ!B:Q,16,0),0)</f>
        <v>0</v>
      </c>
    </row>
    <row r="2532" spans="2:9" x14ac:dyDescent="0.25">
      <c r="B2532" s="84">
        <v>15443</v>
      </c>
      <c r="D2532" s="84" t="str">
        <f t="shared" si="45"/>
        <v/>
      </c>
      <c r="H2532" s="84">
        <f>IFERROR(VLOOKUP(B2532,Заказ!B:Q,5,0),0)</f>
        <v>0</v>
      </c>
      <c r="I2532" s="84">
        <f>IFERROR(VLOOKUP(B2532,Заказ!B:Q,16,0),0)</f>
        <v>0</v>
      </c>
    </row>
    <row r="2533" spans="2:9" x14ac:dyDescent="0.25">
      <c r="B2533" s="84">
        <v>13863</v>
      </c>
      <c r="D2533" s="84" t="str">
        <f t="shared" si="45"/>
        <v/>
      </c>
      <c r="H2533" s="84">
        <f>IFERROR(VLOOKUP(B2533,Заказ!B:Q,5,0),0)</f>
        <v>0</v>
      </c>
      <c r="I2533" s="84">
        <f>IFERROR(VLOOKUP(B2533,Заказ!B:Q,16,0),0)</f>
        <v>0</v>
      </c>
    </row>
    <row r="2534" spans="2:9" x14ac:dyDescent="0.25">
      <c r="B2534" s="84">
        <v>15445</v>
      </c>
      <c r="D2534" s="84" t="str">
        <f t="shared" si="45"/>
        <v/>
      </c>
      <c r="H2534" s="84">
        <f>IFERROR(VLOOKUP(B2534,Заказ!B:Q,5,0),0)</f>
        <v>0</v>
      </c>
      <c r="I2534" s="84">
        <f>IFERROR(VLOOKUP(B2534,Заказ!B:Q,16,0),0)</f>
        <v>0</v>
      </c>
    </row>
    <row r="2535" spans="2:9" x14ac:dyDescent="0.25">
      <c r="B2535" s="84">
        <v>15446</v>
      </c>
      <c r="D2535" s="84" t="str">
        <f t="shared" si="45"/>
        <v/>
      </c>
      <c r="H2535" s="84">
        <f>IFERROR(VLOOKUP(B2535,Заказ!B:Q,5,0),0)</f>
        <v>0</v>
      </c>
      <c r="I2535" s="84">
        <f>IFERROR(VLOOKUP(B2535,Заказ!B:Q,16,0),0)</f>
        <v>0</v>
      </c>
    </row>
    <row r="2536" spans="2:9" x14ac:dyDescent="0.25">
      <c r="B2536" s="84">
        <v>20486</v>
      </c>
      <c r="D2536" s="84" t="str">
        <f t="shared" si="45"/>
        <v/>
      </c>
      <c r="H2536" s="84">
        <f>IFERROR(VLOOKUP(B2536,Заказ!B:Q,5,0),0)</f>
        <v>0</v>
      </c>
      <c r="I2536" s="84">
        <f>IFERROR(VLOOKUP(B2536,Заказ!B:Q,16,0),0)</f>
        <v>0</v>
      </c>
    </row>
    <row r="2537" spans="2:9" x14ac:dyDescent="0.25">
      <c r="B2537" s="84">
        <v>15447</v>
      </c>
      <c r="D2537" s="84" t="str">
        <f t="shared" si="45"/>
        <v/>
      </c>
      <c r="H2537" s="84">
        <f>IFERROR(VLOOKUP(B2537,Заказ!B:Q,5,0),0)</f>
        <v>0</v>
      </c>
      <c r="I2537" s="84">
        <f>IFERROR(VLOOKUP(B2537,Заказ!B:Q,16,0),0)</f>
        <v>0</v>
      </c>
    </row>
    <row r="2538" spans="2:9" x14ac:dyDescent="0.25">
      <c r="B2538" s="84">
        <v>20810</v>
      </c>
      <c r="D2538" s="84" t="str">
        <f t="shared" si="45"/>
        <v/>
      </c>
      <c r="H2538" s="84">
        <f>IFERROR(VLOOKUP(B2538,Заказ!B:Q,5,0),0)</f>
        <v>0</v>
      </c>
      <c r="I2538" s="84">
        <f>IFERROR(VLOOKUP(B2538,Заказ!B:Q,16,0),0)</f>
        <v>0</v>
      </c>
    </row>
    <row r="2539" spans="2:9" x14ac:dyDescent="0.25">
      <c r="B2539" s="84">
        <v>20813</v>
      </c>
      <c r="D2539" s="84" t="str">
        <f t="shared" si="45"/>
        <v/>
      </c>
      <c r="H2539" s="84">
        <f>IFERROR(VLOOKUP(B2539,Заказ!B:Q,5,0),0)</f>
        <v>0</v>
      </c>
      <c r="I2539" s="84">
        <f>IFERROR(VLOOKUP(B2539,Заказ!B:Q,16,0),0)</f>
        <v>0</v>
      </c>
    </row>
    <row r="2540" spans="2:9" x14ac:dyDescent="0.25">
      <c r="B2540" s="84">
        <v>20812</v>
      </c>
      <c r="D2540" s="84" t="str">
        <f t="shared" si="45"/>
        <v/>
      </c>
      <c r="H2540" s="84">
        <f>IFERROR(VLOOKUP(B2540,Заказ!B:Q,5,0),0)</f>
        <v>0</v>
      </c>
      <c r="I2540" s="84">
        <f>IFERROR(VLOOKUP(B2540,Заказ!B:Q,16,0),0)</f>
        <v>0</v>
      </c>
    </row>
    <row r="2541" spans="2:9" x14ac:dyDescent="0.25">
      <c r="B2541" s="84">
        <v>20811</v>
      </c>
      <c r="D2541" s="84" t="str">
        <f t="shared" si="45"/>
        <v/>
      </c>
      <c r="H2541" s="84">
        <f>IFERROR(VLOOKUP(B2541,Заказ!B:Q,5,0),0)</f>
        <v>0</v>
      </c>
      <c r="I2541" s="84">
        <f>IFERROR(VLOOKUP(B2541,Заказ!B:Q,16,0),0)</f>
        <v>0</v>
      </c>
    </row>
    <row r="2542" spans="2:9" x14ac:dyDescent="0.25">
      <c r="B2542" s="84">
        <v>20809</v>
      </c>
      <c r="D2542" s="84" t="str">
        <f t="shared" si="45"/>
        <v/>
      </c>
      <c r="H2542" s="84">
        <f>IFERROR(VLOOKUP(B2542,Заказ!B:Q,5,0),0)</f>
        <v>0</v>
      </c>
      <c r="I2542" s="84">
        <f>IFERROR(VLOOKUP(B2542,Заказ!B:Q,16,0),0)</f>
        <v>0</v>
      </c>
    </row>
    <row r="2543" spans="2:9" x14ac:dyDescent="0.25">
      <c r="B2543" s="84">
        <v>20815</v>
      </c>
      <c r="D2543" s="84" t="str">
        <f t="shared" si="45"/>
        <v/>
      </c>
      <c r="H2543" s="84">
        <f>IFERROR(VLOOKUP(B2543,Заказ!B:Q,5,0),0)</f>
        <v>0</v>
      </c>
      <c r="I2543" s="84">
        <f>IFERROR(VLOOKUP(B2543,Заказ!B:Q,16,0),0)</f>
        <v>0</v>
      </c>
    </row>
    <row r="2544" spans="2:9" x14ac:dyDescent="0.25">
      <c r="B2544" s="84">
        <v>20814</v>
      </c>
      <c r="D2544" s="84" t="str">
        <f t="shared" si="45"/>
        <v/>
      </c>
      <c r="H2544" s="84">
        <f>IFERROR(VLOOKUP(B2544,Заказ!B:Q,5,0),0)</f>
        <v>0</v>
      </c>
      <c r="I2544" s="84">
        <f>IFERROR(VLOOKUP(B2544,Заказ!B:Q,16,0),0)</f>
        <v>0</v>
      </c>
    </row>
    <row r="2545" spans="2:9" x14ac:dyDescent="0.25">
      <c r="B2545" s="84">
        <v>14408</v>
      </c>
      <c r="D2545" s="84" t="str">
        <f t="shared" si="45"/>
        <v/>
      </c>
      <c r="H2545" s="84">
        <f>IFERROR(VLOOKUP(B2545,Заказ!B:Q,5,0),0)</f>
        <v>0</v>
      </c>
      <c r="I2545" s="84">
        <f>IFERROR(VLOOKUP(B2545,Заказ!B:Q,16,0),0)</f>
        <v>0</v>
      </c>
    </row>
    <row r="2546" spans="2:9" x14ac:dyDescent="0.25">
      <c r="B2546" s="84">
        <v>12548</v>
      </c>
      <c r="D2546" s="84" t="str">
        <f t="shared" si="45"/>
        <v/>
      </c>
      <c r="H2546" s="84">
        <f>IFERROR(VLOOKUP(B2546,Заказ!B:Q,5,0),0)</f>
        <v>0</v>
      </c>
      <c r="I2546" s="84">
        <f>IFERROR(VLOOKUP(B2546,Заказ!B:Q,16,0),0)</f>
        <v>0</v>
      </c>
    </row>
    <row r="2547" spans="2:9" x14ac:dyDescent="0.25">
      <c r="B2547" s="84">
        <v>11740</v>
      </c>
      <c r="D2547" s="84" t="str">
        <f t="shared" si="45"/>
        <v/>
      </c>
      <c r="H2547" s="84">
        <f>IFERROR(VLOOKUP(B2547,Заказ!B:Q,5,0),0)</f>
        <v>0</v>
      </c>
      <c r="I2547" s="84">
        <f>IFERROR(VLOOKUP(B2547,Заказ!B:Q,16,0),0)</f>
        <v>0</v>
      </c>
    </row>
    <row r="2548" spans="2:9" x14ac:dyDescent="0.25">
      <c r="B2548" s="84">
        <v>18462</v>
      </c>
      <c r="D2548" s="84" t="str">
        <f t="shared" si="45"/>
        <v/>
      </c>
      <c r="H2548" s="84">
        <f>IFERROR(VLOOKUP(B2548,Заказ!B:Q,5,0),0)</f>
        <v>0</v>
      </c>
      <c r="I2548" s="84">
        <f>IFERROR(VLOOKUP(B2548,Заказ!B:Q,16,0),0)</f>
        <v>0</v>
      </c>
    </row>
    <row r="2549" spans="2:9" x14ac:dyDescent="0.25">
      <c r="B2549" s="84">
        <v>18076</v>
      </c>
      <c r="D2549" s="84" t="str">
        <f t="shared" si="45"/>
        <v/>
      </c>
      <c r="H2549" s="84">
        <f>IFERROR(VLOOKUP(B2549,Заказ!B:Q,5,0),0)</f>
        <v>0</v>
      </c>
      <c r="I2549" s="84">
        <f>IFERROR(VLOOKUP(B2549,Заказ!B:Q,16,0),0)</f>
        <v>0</v>
      </c>
    </row>
    <row r="2550" spans="2:9" x14ac:dyDescent="0.25">
      <c r="B2550" s="84">
        <v>14951</v>
      </c>
      <c r="D2550" s="84" t="str">
        <f t="shared" si="45"/>
        <v/>
      </c>
      <c r="H2550" s="84">
        <f>IFERROR(VLOOKUP(B2550,Заказ!B:Q,5,0),0)</f>
        <v>0</v>
      </c>
      <c r="I2550" s="84">
        <f>IFERROR(VLOOKUP(B2550,Заказ!B:Q,16,0),0)</f>
        <v>0</v>
      </c>
    </row>
    <row r="2551" spans="2:9" x14ac:dyDescent="0.25">
      <c r="B2551" s="84">
        <v>14958</v>
      </c>
      <c r="D2551" s="84" t="str">
        <f t="shared" si="45"/>
        <v/>
      </c>
      <c r="H2551" s="84">
        <f>IFERROR(VLOOKUP(B2551,Заказ!B:Q,5,0),0)</f>
        <v>0</v>
      </c>
      <c r="I2551" s="84">
        <f>IFERROR(VLOOKUP(B2551,Заказ!B:Q,16,0),0)</f>
        <v>0</v>
      </c>
    </row>
    <row r="2552" spans="2:9" x14ac:dyDescent="0.25">
      <c r="B2552" s="84">
        <v>14957</v>
      </c>
      <c r="D2552" s="84" t="str">
        <f t="shared" si="45"/>
        <v/>
      </c>
      <c r="H2552" s="84">
        <f>IFERROR(VLOOKUP(B2552,Заказ!B:Q,5,0),0)</f>
        <v>0</v>
      </c>
      <c r="I2552" s="84">
        <f>IFERROR(VLOOKUP(B2552,Заказ!B:Q,16,0),0)</f>
        <v>0</v>
      </c>
    </row>
    <row r="2553" spans="2:9" x14ac:dyDescent="0.25">
      <c r="B2553" s="84">
        <v>14959</v>
      </c>
      <c r="D2553" s="84" t="str">
        <f t="shared" si="45"/>
        <v/>
      </c>
      <c r="H2553" s="84">
        <f>IFERROR(VLOOKUP(B2553,Заказ!B:Q,5,0),0)</f>
        <v>0</v>
      </c>
      <c r="I2553" s="84">
        <f>IFERROR(VLOOKUP(B2553,Заказ!B:Q,16,0),0)</f>
        <v>0</v>
      </c>
    </row>
    <row r="2554" spans="2:9" x14ac:dyDescent="0.25">
      <c r="B2554" s="84">
        <v>14960</v>
      </c>
      <c r="D2554" s="84" t="str">
        <f t="shared" si="45"/>
        <v/>
      </c>
      <c r="H2554" s="84">
        <f>IFERROR(VLOOKUP(B2554,Заказ!B:Q,5,0),0)</f>
        <v>0</v>
      </c>
      <c r="I2554" s="84">
        <f>IFERROR(VLOOKUP(B2554,Заказ!B:Q,16,0),0)</f>
        <v>0</v>
      </c>
    </row>
    <row r="2555" spans="2:9" x14ac:dyDescent="0.25">
      <c r="B2555" s="84">
        <v>14961</v>
      </c>
      <c r="D2555" s="84" t="str">
        <f t="shared" si="45"/>
        <v/>
      </c>
      <c r="H2555" s="84">
        <f>IFERROR(VLOOKUP(B2555,Заказ!B:Q,5,0),0)</f>
        <v>0</v>
      </c>
      <c r="I2555" s="84">
        <f>IFERROR(VLOOKUP(B2555,Заказ!B:Q,16,0),0)</f>
        <v>0</v>
      </c>
    </row>
    <row r="2556" spans="2:9" x14ac:dyDescent="0.25">
      <c r="B2556" s="84">
        <v>13889</v>
      </c>
      <c r="D2556" s="84" t="str">
        <f t="shared" si="45"/>
        <v/>
      </c>
      <c r="H2556" s="84">
        <f>IFERROR(VLOOKUP(B2556,Заказ!B:Q,5,0),0)</f>
        <v>0</v>
      </c>
      <c r="I2556" s="84">
        <f>IFERROR(VLOOKUP(B2556,Заказ!B:Q,16,0),0)</f>
        <v>0</v>
      </c>
    </row>
    <row r="2557" spans="2:9" x14ac:dyDescent="0.25">
      <c r="B2557" s="84">
        <v>14670</v>
      </c>
      <c r="D2557" s="84" t="str">
        <f t="shared" si="45"/>
        <v/>
      </c>
      <c r="H2557" s="84">
        <f>IFERROR(VLOOKUP(B2557,Заказ!B:Q,5,0),0)</f>
        <v>0</v>
      </c>
      <c r="I2557" s="84">
        <f>IFERROR(VLOOKUP(B2557,Заказ!B:Q,16,0),0)</f>
        <v>0</v>
      </c>
    </row>
    <row r="2558" spans="2:9" x14ac:dyDescent="0.25">
      <c r="B2558" s="84">
        <v>15669</v>
      </c>
      <c r="D2558" s="84" t="str">
        <f t="shared" si="45"/>
        <v/>
      </c>
      <c r="H2558" s="84">
        <f>IFERROR(VLOOKUP(B2558,Заказ!B:Q,5,0),0)</f>
        <v>0</v>
      </c>
      <c r="I2558" s="84">
        <f>IFERROR(VLOOKUP(B2558,Заказ!B:Q,16,0),0)</f>
        <v>0</v>
      </c>
    </row>
    <row r="2559" spans="2:9" x14ac:dyDescent="0.25">
      <c r="B2559" s="84">
        <v>13862</v>
      </c>
      <c r="D2559" s="84" t="str">
        <f t="shared" si="45"/>
        <v/>
      </c>
      <c r="H2559" s="84">
        <f>IFERROR(VLOOKUP(B2559,Заказ!B:Q,5,0),0)</f>
        <v>0</v>
      </c>
      <c r="I2559" s="84">
        <f>IFERROR(VLOOKUP(B2559,Заказ!B:Q,16,0),0)</f>
        <v>0</v>
      </c>
    </row>
    <row r="2560" spans="2:9" x14ac:dyDescent="0.25">
      <c r="B2560" s="84">
        <v>11919</v>
      </c>
      <c r="D2560" s="84" t="str">
        <f t="shared" si="45"/>
        <v/>
      </c>
      <c r="H2560" s="84">
        <f>IFERROR(VLOOKUP(B2560,Заказ!B:Q,5,0),0)</f>
        <v>0</v>
      </c>
      <c r="I2560" s="84">
        <f>IFERROR(VLOOKUP(B2560,Заказ!B:Q,16,0),0)</f>
        <v>0</v>
      </c>
    </row>
    <row r="2561" spans="2:9" x14ac:dyDescent="0.25">
      <c r="B2561" s="84">
        <v>12947</v>
      </c>
      <c r="D2561" s="84" t="str">
        <f t="shared" si="45"/>
        <v/>
      </c>
      <c r="H2561" s="84">
        <f>IFERROR(VLOOKUP(B2561,Заказ!B:Q,5,0),0)</f>
        <v>0</v>
      </c>
      <c r="I2561" s="84">
        <f>IFERROR(VLOOKUP(B2561,Заказ!B:Q,16,0),0)</f>
        <v>0</v>
      </c>
    </row>
    <row r="2562" spans="2:9" x14ac:dyDescent="0.25">
      <c r="B2562" s="84">
        <v>13864</v>
      </c>
      <c r="D2562" s="84" t="str">
        <f t="shared" si="45"/>
        <v/>
      </c>
      <c r="H2562" s="84">
        <f>IFERROR(VLOOKUP(B2562,Заказ!B:Q,5,0),0)</f>
        <v>0</v>
      </c>
      <c r="I2562" s="84">
        <f>IFERROR(VLOOKUP(B2562,Заказ!B:Q,16,0),0)</f>
        <v>0</v>
      </c>
    </row>
    <row r="2563" spans="2:9" x14ac:dyDescent="0.25">
      <c r="B2563" s="84">
        <v>15464</v>
      </c>
      <c r="D2563" s="84" t="str">
        <f t="shared" si="45"/>
        <v/>
      </c>
      <c r="H2563" s="84">
        <f>IFERROR(VLOOKUP(B2563,Заказ!B:Q,5,0),0)</f>
        <v>0</v>
      </c>
      <c r="I2563" s="84">
        <f>IFERROR(VLOOKUP(B2563,Заказ!B:Q,16,0),0)</f>
        <v>0</v>
      </c>
    </row>
    <row r="2564" spans="2:9" x14ac:dyDescent="0.25">
      <c r="B2564" s="84">
        <v>19575</v>
      </c>
      <c r="D2564" s="84" t="str">
        <f t="shared" si="45"/>
        <v/>
      </c>
      <c r="H2564" s="84">
        <f>IFERROR(VLOOKUP(B2564,Заказ!B:Q,5,0),0)</f>
        <v>0</v>
      </c>
      <c r="I2564" s="84">
        <f>IFERROR(VLOOKUP(B2564,Заказ!B:Q,16,0),0)</f>
        <v>0</v>
      </c>
    </row>
    <row r="2565" spans="2:9" x14ac:dyDescent="0.25">
      <c r="B2565" s="84">
        <v>11902</v>
      </c>
      <c r="D2565" s="84" t="str">
        <f t="shared" si="45"/>
        <v/>
      </c>
      <c r="H2565" s="84">
        <f>IFERROR(VLOOKUP(B2565,Заказ!B:Q,5,0),0)</f>
        <v>0</v>
      </c>
      <c r="I2565" s="84">
        <f>IFERROR(VLOOKUP(B2565,Заказ!B:Q,16,0),0)</f>
        <v>0</v>
      </c>
    </row>
    <row r="2566" spans="2:9" x14ac:dyDescent="0.25">
      <c r="B2566" s="84">
        <v>11920</v>
      </c>
      <c r="D2566" s="84" t="str">
        <f t="shared" si="45"/>
        <v/>
      </c>
      <c r="H2566" s="84">
        <f>IFERROR(VLOOKUP(B2566,Заказ!B:Q,5,0),0)</f>
        <v>0</v>
      </c>
      <c r="I2566" s="84">
        <f>IFERROR(VLOOKUP(B2566,Заказ!B:Q,16,0),0)</f>
        <v>0</v>
      </c>
    </row>
    <row r="2567" spans="2:9" x14ac:dyDescent="0.25">
      <c r="B2567" s="84">
        <v>14872</v>
      </c>
      <c r="D2567" s="84" t="str">
        <f t="shared" si="45"/>
        <v/>
      </c>
      <c r="H2567" s="84">
        <f>IFERROR(VLOOKUP(B2567,Заказ!B:Q,5,0),0)</f>
        <v>0</v>
      </c>
      <c r="I2567" s="84">
        <f>IFERROR(VLOOKUP(B2567,Заказ!B:Q,16,0),0)</f>
        <v>0</v>
      </c>
    </row>
    <row r="2568" spans="2:9" x14ac:dyDescent="0.25">
      <c r="B2568" s="84">
        <v>11736</v>
      </c>
      <c r="D2568" s="84" t="str">
        <f t="shared" ref="D2568:D2626" si="46">IFERROR(ROUND(I2568/H2568,2),"")</f>
        <v/>
      </c>
      <c r="H2568" s="84">
        <f>IFERROR(VLOOKUP(B2568,Заказ!B:Q,5,0),0)</f>
        <v>0</v>
      </c>
      <c r="I2568" s="84">
        <f>IFERROR(VLOOKUP(B2568,Заказ!B:Q,16,0),0)</f>
        <v>0</v>
      </c>
    </row>
    <row r="2569" spans="2:9" x14ac:dyDescent="0.25">
      <c r="B2569" s="84">
        <v>12217</v>
      </c>
      <c r="D2569" s="84" t="str">
        <f t="shared" si="46"/>
        <v/>
      </c>
      <c r="H2569" s="84">
        <f>IFERROR(VLOOKUP(B2569,Заказ!B:Q,5,0),0)</f>
        <v>0</v>
      </c>
      <c r="I2569" s="84">
        <f>IFERROR(VLOOKUP(B2569,Заказ!B:Q,16,0),0)</f>
        <v>0</v>
      </c>
    </row>
    <row r="2570" spans="2:9" x14ac:dyDescent="0.25">
      <c r="B2570" s="84">
        <v>13850</v>
      </c>
      <c r="D2570" s="84" t="str">
        <f t="shared" si="46"/>
        <v/>
      </c>
      <c r="H2570" s="84">
        <f>IFERROR(VLOOKUP(B2570,Заказ!B:Q,5,0),0)</f>
        <v>0</v>
      </c>
      <c r="I2570" s="84">
        <f>IFERROR(VLOOKUP(B2570,Заказ!B:Q,16,0),0)</f>
        <v>0</v>
      </c>
    </row>
    <row r="2571" spans="2:9" x14ac:dyDescent="0.25">
      <c r="B2571" s="84">
        <v>20721</v>
      </c>
      <c r="D2571" s="84" t="str">
        <f t="shared" si="46"/>
        <v/>
      </c>
      <c r="H2571" s="84">
        <f>IFERROR(VLOOKUP(B2571,Заказ!B:Q,5,0),0)</f>
        <v>0</v>
      </c>
      <c r="I2571" s="84">
        <f>IFERROR(VLOOKUP(B2571,Заказ!B:Q,16,0),0)</f>
        <v>0</v>
      </c>
    </row>
    <row r="2572" spans="2:9" x14ac:dyDescent="0.25">
      <c r="B2572" s="1039">
        <v>21388</v>
      </c>
      <c r="D2572" s="84" t="str">
        <f t="shared" si="46"/>
        <v/>
      </c>
      <c r="H2572" s="84">
        <f>IFERROR(VLOOKUP(B2572,Заказ!B:Q,5,0),0)</f>
        <v>0</v>
      </c>
      <c r="I2572" s="84">
        <f>IFERROR(VLOOKUP(B2572,Заказ!B:Q,16,0),0)</f>
        <v>0</v>
      </c>
    </row>
    <row r="2573" spans="2:9" x14ac:dyDescent="0.25">
      <c r="B2573" s="1039">
        <v>19502</v>
      </c>
      <c r="D2573" s="84" t="str">
        <f t="shared" si="46"/>
        <v/>
      </c>
      <c r="H2573" s="84">
        <f>IFERROR(VLOOKUP(B2573,Заказ!B:Q,5,0),0)</f>
        <v>0</v>
      </c>
      <c r="I2573" s="84">
        <f>IFERROR(VLOOKUP(B2573,Заказ!B:Q,16,0),0)</f>
        <v>0</v>
      </c>
    </row>
    <row r="2574" spans="2:9" x14ac:dyDescent="0.25">
      <c r="B2574" s="1039">
        <v>17568</v>
      </c>
      <c r="D2574" s="84" t="str">
        <f t="shared" si="46"/>
        <v/>
      </c>
      <c r="H2574" s="84">
        <f>IFERROR(VLOOKUP(B2574,Заказ!B:Q,5,0),0)</f>
        <v>0</v>
      </c>
      <c r="I2574" s="84">
        <f>IFERROR(VLOOKUP(B2574,Заказ!B:Q,16,0),0)</f>
        <v>0</v>
      </c>
    </row>
    <row r="2575" spans="2:9" x14ac:dyDescent="0.25">
      <c r="B2575" s="84">
        <v>21386</v>
      </c>
      <c r="D2575" s="84" t="str">
        <f t="shared" si="46"/>
        <v/>
      </c>
      <c r="H2575" s="84">
        <f>IFERROR(VLOOKUP(B2575,Заказ!B:Q,5,0),0)</f>
        <v>0</v>
      </c>
      <c r="I2575" s="84">
        <f>IFERROR(VLOOKUP(B2575,Заказ!B:Q,16,0),0)</f>
        <v>0</v>
      </c>
    </row>
    <row r="2576" spans="2:9" x14ac:dyDescent="0.25">
      <c r="B2576" s="84">
        <v>21522</v>
      </c>
      <c r="D2576" s="84" t="str">
        <f t="shared" si="46"/>
        <v/>
      </c>
      <c r="H2576" s="84">
        <f>IFERROR(VLOOKUP(B2576,Заказ!B:Q,5,0),0)</f>
        <v>0</v>
      </c>
      <c r="I2576" s="84">
        <f>IFERROR(VLOOKUP(B2576,Заказ!B:Q,16,0),0)</f>
        <v>0</v>
      </c>
    </row>
    <row r="2577" spans="2:9" x14ac:dyDescent="0.25">
      <c r="B2577" s="84">
        <v>21523</v>
      </c>
      <c r="D2577" s="84" t="str">
        <f t="shared" si="46"/>
        <v/>
      </c>
      <c r="H2577" s="84">
        <f>IFERROR(VLOOKUP(B2577,Заказ!B:Q,5,0),0)</f>
        <v>0</v>
      </c>
      <c r="I2577" s="84">
        <f>IFERROR(VLOOKUP(B2577,Заказ!B:Q,16,0),0)</f>
        <v>0</v>
      </c>
    </row>
    <row r="2578" spans="2:9" x14ac:dyDescent="0.25">
      <c r="B2578" s="84">
        <v>21521</v>
      </c>
      <c r="D2578" s="84" t="str">
        <f t="shared" si="46"/>
        <v/>
      </c>
      <c r="H2578" s="84">
        <f>IFERROR(VLOOKUP(B2578,Заказ!B:Q,5,0),0)</f>
        <v>0</v>
      </c>
      <c r="I2578" s="84">
        <f>IFERROR(VLOOKUP(B2578,Заказ!B:Q,16,0),0)</f>
        <v>0</v>
      </c>
    </row>
    <row r="2579" spans="2:9" x14ac:dyDescent="0.25">
      <c r="B2579" s="84">
        <v>21525</v>
      </c>
      <c r="D2579" s="84" t="str">
        <f t="shared" si="46"/>
        <v/>
      </c>
      <c r="H2579" s="84">
        <f>IFERROR(VLOOKUP(B2579,Заказ!B:Q,5,0),0)</f>
        <v>0</v>
      </c>
      <c r="I2579" s="84">
        <f>IFERROR(VLOOKUP(B2579,Заказ!B:Q,16,0),0)</f>
        <v>0</v>
      </c>
    </row>
    <row r="2580" spans="2:9" x14ac:dyDescent="0.25">
      <c r="B2580" s="1039">
        <v>17569</v>
      </c>
      <c r="D2580" s="84" t="str">
        <f t="shared" si="46"/>
        <v/>
      </c>
      <c r="H2580" s="84">
        <f>IFERROR(VLOOKUP(B2580,Заказ!B:Q,5,0),0)</f>
        <v>0</v>
      </c>
      <c r="I2580" s="84">
        <f>IFERROR(VLOOKUP(B2580,Заказ!B:Q,16,0),0)</f>
        <v>0</v>
      </c>
    </row>
    <row r="2581" spans="2:9" x14ac:dyDescent="0.25">
      <c r="B2581" s="1039">
        <v>19160</v>
      </c>
      <c r="D2581" s="84" t="str">
        <f t="shared" si="46"/>
        <v/>
      </c>
      <c r="H2581" s="84">
        <f>IFERROR(VLOOKUP(B2581,Заказ!B:Q,5,0),0)</f>
        <v>0</v>
      </c>
      <c r="I2581" s="84">
        <f>IFERROR(VLOOKUP(B2581,Заказ!B:Q,16,0),0)</f>
        <v>0</v>
      </c>
    </row>
    <row r="2582" spans="2:9" x14ac:dyDescent="0.25">
      <c r="B2582" s="1039">
        <v>17953</v>
      </c>
      <c r="D2582" s="84" t="str">
        <f t="shared" si="46"/>
        <v/>
      </c>
      <c r="H2582" s="84">
        <f>IFERROR(VLOOKUP(B2582,Заказ!B:Q,5,0),0)</f>
        <v>0</v>
      </c>
      <c r="I2582" s="84">
        <f>IFERROR(VLOOKUP(B2582,Заказ!B:Q,16,0),0)</f>
        <v>0</v>
      </c>
    </row>
    <row r="2583" spans="2:9" x14ac:dyDescent="0.25">
      <c r="B2583" s="1039">
        <v>17952</v>
      </c>
      <c r="D2583" s="84" t="str">
        <f t="shared" si="46"/>
        <v/>
      </c>
      <c r="H2583" s="84">
        <f>IFERROR(VLOOKUP(B2583,Заказ!B:Q,5,0),0)</f>
        <v>0</v>
      </c>
      <c r="I2583" s="84">
        <f>IFERROR(VLOOKUP(B2583,Заказ!B:Q,16,0),0)</f>
        <v>0</v>
      </c>
    </row>
    <row r="2584" spans="2:9" x14ac:dyDescent="0.25">
      <c r="B2584" s="1039">
        <v>15404</v>
      </c>
      <c r="D2584" s="84" t="str">
        <f t="shared" si="46"/>
        <v/>
      </c>
      <c r="H2584" s="84">
        <f>IFERROR(VLOOKUP(B2584,Заказ!B:Q,5,0),0)</f>
        <v>0</v>
      </c>
      <c r="I2584" s="84">
        <f>IFERROR(VLOOKUP(B2584,Заказ!B:Q,16,0),0)</f>
        <v>0</v>
      </c>
    </row>
    <row r="2585" spans="2:9" x14ac:dyDescent="0.25">
      <c r="B2585" s="1039">
        <v>15410</v>
      </c>
      <c r="D2585" s="84" t="str">
        <f t="shared" si="46"/>
        <v/>
      </c>
      <c r="H2585" s="84">
        <f>IFERROR(VLOOKUP(B2585,Заказ!B:Q,5,0),0)</f>
        <v>0</v>
      </c>
      <c r="I2585" s="84">
        <f>IFERROR(VLOOKUP(B2585,Заказ!B:Q,16,0),0)</f>
        <v>0</v>
      </c>
    </row>
    <row r="2586" spans="2:9" x14ac:dyDescent="0.25">
      <c r="B2586" s="1039">
        <v>15412</v>
      </c>
      <c r="D2586" s="84" t="str">
        <f t="shared" si="46"/>
        <v/>
      </c>
      <c r="H2586" s="84">
        <f>IFERROR(VLOOKUP(B2586,Заказ!B:Q,5,0),0)</f>
        <v>0</v>
      </c>
      <c r="I2586" s="84">
        <f>IFERROR(VLOOKUP(B2586,Заказ!B:Q,16,0),0)</f>
        <v>0</v>
      </c>
    </row>
    <row r="2587" spans="2:9" x14ac:dyDescent="0.25">
      <c r="B2587" s="1039">
        <v>19161</v>
      </c>
      <c r="D2587" s="84" t="str">
        <f t="shared" si="46"/>
        <v/>
      </c>
      <c r="H2587" s="84">
        <f>IFERROR(VLOOKUP(B2587,Заказ!B:Q,5,0),0)</f>
        <v>0</v>
      </c>
      <c r="I2587" s="84">
        <f>IFERROR(VLOOKUP(B2587,Заказ!B:Q,16,0),0)</f>
        <v>0</v>
      </c>
    </row>
    <row r="2588" spans="2:9" x14ac:dyDescent="0.25">
      <c r="B2588" s="1039">
        <v>18115</v>
      </c>
      <c r="D2588" s="84" t="str">
        <f t="shared" si="46"/>
        <v/>
      </c>
      <c r="H2588" s="84">
        <f>IFERROR(VLOOKUP(B2588,Заказ!B:Q,5,0),0)</f>
        <v>0</v>
      </c>
      <c r="I2588" s="84">
        <f>IFERROR(VLOOKUP(B2588,Заказ!B:Q,16,0),0)</f>
        <v>0</v>
      </c>
    </row>
    <row r="2589" spans="2:9" x14ac:dyDescent="0.25">
      <c r="B2589" s="1039">
        <v>17759</v>
      </c>
      <c r="D2589" s="84" t="str">
        <f t="shared" si="46"/>
        <v/>
      </c>
      <c r="H2589" s="84">
        <f>IFERROR(VLOOKUP(B2589,Заказ!B:Q,5,0),0)</f>
        <v>0</v>
      </c>
      <c r="I2589" s="84">
        <f>IFERROR(VLOOKUP(B2589,Заказ!B:Q,16,0),0)</f>
        <v>0</v>
      </c>
    </row>
    <row r="2590" spans="2:9" x14ac:dyDescent="0.25">
      <c r="B2590" s="1039">
        <v>19849</v>
      </c>
      <c r="D2590" s="84" t="str">
        <f t="shared" si="46"/>
        <v/>
      </c>
      <c r="H2590" s="84">
        <f>IFERROR(VLOOKUP(B2590,Заказ!B:Q,5,0),0)</f>
        <v>0</v>
      </c>
      <c r="I2590" s="84">
        <f>IFERROR(VLOOKUP(B2590,Заказ!B:Q,16,0),0)</f>
        <v>0</v>
      </c>
    </row>
    <row r="2591" spans="2:9" x14ac:dyDescent="0.25">
      <c r="B2591" s="1039">
        <v>19848</v>
      </c>
      <c r="D2591" s="84" t="str">
        <f t="shared" si="46"/>
        <v/>
      </c>
      <c r="H2591" s="84">
        <f>IFERROR(VLOOKUP(B2591,Заказ!B:Q,5,0),0)</f>
        <v>0</v>
      </c>
      <c r="I2591" s="84">
        <f>IFERROR(VLOOKUP(B2591,Заказ!B:Q,16,0),0)</f>
        <v>0</v>
      </c>
    </row>
    <row r="2592" spans="2:9" x14ac:dyDescent="0.25">
      <c r="B2592" s="1039">
        <v>19847</v>
      </c>
      <c r="D2592" s="84" t="str">
        <f t="shared" si="46"/>
        <v/>
      </c>
      <c r="H2592" s="84">
        <f>IFERROR(VLOOKUP(B2592,Заказ!B:Q,5,0),0)</f>
        <v>0</v>
      </c>
      <c r="I2592" s="84">
        <f>IFERROR(VLOOKUP(B2592,Заказ!B:Q,16,0),0)</f>
        <v>0</v>
      </c>
    </row>
    <row r="2593" spans="2:9" x14ac:dyDescent="0.25">
      <c r="B2593" s="1039">
        <v>19850</v>
      </c>
      <c r="D2593" s="84" t="str">
        <f t="shared" si="46"/>
        <v/>
      </c>
      <c r="H2593" s="84">
        <f>IFERROR(VLOOKUP(B2593,Заказ!B:Q,5,0),0)</f>
        <v>0</v>
      </c>
      <c r="I2593" s="84">
        <f>IFERROR(VLOOKUP(B2593,Заказ!B:Q,16,0),0)</f>
        <v>0</v>
      </c>
    </row>
    <row r="2594" spans="2:9" x14ac:dyDescent="0.25">
      <c r="B2594" s="1039">
        <v>19851</v>
      </c>
      <c r="D2594" s="84" t="str">
        <f t="shared" si="46"/>
        <v/>
      </c>
      <c r="H2594" s="84">
        <f>IFERROR(VLOOKUP(B2594,Заказ!B:Q,5,0),0)</f>
        <v>0</v>
      </c>
      <c r="I2594" s="84">
        <f>IFERROR(VLOOKUP(B2594,Заказ!B:Q,16,0),0)</f>
        <v>0</v>
      </c>
    </row>
    <row r="2595" spans="2:9" x14ac:dyDescent="0.25">
      <c r="B2595" s="1039">
        <v>19852</v>
      </c>
      <c r="D2595" s="84" t="str">
        <f t="shared" si="46"/>
        <v/>
      </c>
      <c r="H2595" s="84">
        <f>IFERROR(VLOOKUP(B2595,Заказ!B:Q,5,0),0)</f>
        <v>0</v>
      </c>
      <c r="I2595" s="84">
        <f>IFERROR(VLOOKUP(B2595,Заказ!B:Q,16,0),0)</f>
        <v>0</v>
      </c>
    </row>
    <row r="2596" spans="2:9" x14ac:dyDescent="0.25">
      <c r="B2596" s="1039">
        <v>15402</v>
      </c>
      <c r="D2596" s="84" t="str">
        <f t="shared" si="46"/>
        <v/>
      </c>
      <c r="H2596" s="84">
        <f>IFERROR(VLOOKUP(B2596,Заказ!B:Q,5,0),0)</f>
        <v>0</v>
      </c>
      <c r="I2596" s="84">
        <f>IFERROR(VLOOKUP(B2596,Заказ!B:Q,16,0),0)</f>
        <v>0</v>
      </c>
    </row>
    <row r="2597" spans="2:9" x14ac:dyDescent="0.25">
      <c r="B2597" s="1039">
        <v>15409</v>
      </c>
      <c r="D2597" s="84" t="str">
        <f t="shared" si="46"/>
        <v/>
      </c>
      <c r="H2597" s="84">
        <f>IFERROR(VLOOKUP(B2597,Заказ!B:Q,5,0),0)</f>
        <v>0</v>
      </c>
      <c r="I2597" s="84">
        <f>IFERROR(VLOOKUP(B2597,Заказ!B:Q,16,0),0)</f>
        <v>0</v>
      </c>
    </row>
    <row r="2598" spans="2:9" x14ac:dyDescent="0.25">
      <c r="B2598" s="1039">
        <v>15403</v>
      </c>
      <c r="D2598" s="84" t="str">
        <f t="shared" si="46"/>
        <v/>
      </c>
      <c r="H2598" s="84">
        <f>IFERROR(VLOOKUP(B2598,Заказ!B:Q,5,0),0)</f>
        <v>0</v>
      </c>
      <c r="I2598" s="84">
        <f>IFERROR(VLOOKUP(B2598,Заказ!B:Q,16,0),0)</f>
        <v>0</v>
      </c>
    </row>
    <row r="2599" spans="2:9" x14ac:dyDescent="0.25">
      <c r="B2599" s="1039">
        <v>15405</v>
      </c>
      <c r="D2599" s="84" t="str">
        <f t="shared" si="46"/>
        <v/>
      </c>
      <c r="H2599" s="84">
        <f>IFERROR(VLOOKUP(B2599,Заказ!B:Q,5,0),0)</f>
        <v>0</v>
      </c>
      <c r="I2599" s="84">
        <f>IFERROR(VLOOKUP(B2599,Заказ!B:Q,16,0),0)</f>
        <v>0</v>
      </c>
    </row>
    <row r="2600" spans="2:9" x14ac:dyDescent="0.25">
      <c r="B2600" s="1039">
        <v>15407</v>
      </c>
      <c r="D2600" s="84" t="str">
        <f t="shared" si="46"/>
        <v/>
      </c>
      <c r="H2600" s="84">
        <f>IFERROR(VLOOKUP(B2600,Заказ!B:Q,5,0),0)</f>
        <v>0</v>
      </c>
      <c r="I2600" s="84">
        <f>IFERROR(VLOOKUP(B2600,Заказ!B:Q,16,0),0)</f>
        <v>0</v>
      </c>
    </row>
    <row r="2601" spans="2:9" x14ac:dyDescent="0.25">
      <c r="B2601" s="1039">
        <v>15411</v>
      </c>
      <c r="D2601" s="84" t="str">
        <f t="shared" si="46"/>
        <v/>
      </c>
      <c r="H2601" s="84">
        <f>IFERROR(VLOOKUP(B2601,Заказ!B:Q,5,0),0)</f>
        <v>0</v>
      </c>
      <c r="I2601" s="84">
        <f>IFERROR(VLOOKUP(B2601,Заказ!B:Q,16,0),0)</f>
        <v>0</v>
      </c>
    </row>
    <row r="2602" spans="2:9" x14ac:dyDescent="0.25">
      <c r="B2602" s="1039">
        <v>15413</v>
      </c>
      <c r="D2602" s="84" t="str">
        <f t="shared" si="46"/>
        <v/>
      </c>
      <c r="H2602" s="84">
        <f>IFERROR(VLOOKUP(B2602,Заказ!B:Q,5,0),0)</f>
        <v>0</v>
      </c>
      <c r="I2602" s="84">
        <f>IFERROR(VLOOKUP(B2602,Заказ!B:Q,16,0),0)</f>
        <v>0</v>
      </c>
    </row>
    <row r="2603" spans="2:9" x14ac:dyDescent="0.25">
      <c r="B2603" s="1039">
        <v>16186</v>
      </c>
      <c r="D2603" s="84" t="str">
        <f t="shared" si="46"/>
        <v/>
      </c>
      <c r="H2603" s="84">
        <f>IFERROR(VLOOKUP(B2603,Заказ!B:Q,5,0),0)</f>
        <v>0</v>
      </c>
      <c r="I2603" s="84">
        <f>IFERROR(VLOOKUP(B2603,Заказ!B:Q,16,0),0)</f>
        <v>0</v>
      </c>
    </row>
    <row r="2604" spans="2:9" x14ac:dyDescent="0.25">
      <c r="B2604" s="1039">
        <v>15474</v>
      </c>
      <c r="D2604" s="84" t="str">
        <f t="shared" si="46"/>
        <v/>
      </c>
      <c r="H2604" s="84">
        <f>IFERROR(VLOOKUP(B2604,Заказ!B:Q,5,0),0)</f>
        <v>0</v>
      </c>
      <c r="I2604" s="84">
        <f>IFERROR(VLOOKUP(B2604,Заказ!B:Q,16,0),0)</f>
        <v>0</v>
      </c>
    </row>
    <row r="2605" spans="2:9" x14ac:dyDescent="0.25">
      <c r="B2605" s="1039">
        <v>16187</v>
      </c>
      <c r="D2605" s="84" t="str">
        <f t="shared" si="46"/>
        <v/>
      </c>
      <c r="H2605" s="84">
        <f>IFERROR(VLOOKUP(B2605,Заказ!B:Q,5,0),0)</f>
        <v>0</v>
      </c>
      <c r="I2605" s="84">
        <f>IFERROR(VLOOKUP(B2605,Заказ!B:Q,16,0),0)</f>
        <v>0</v>
      </c>
    </row>
    <row r="2606" spans="2:9" x14ac:dyDescent="0.25">
      <c r="B2606" s="1039">
        <v>16185</v>
      </c>
      <c r="D2606" s="84" t="str">
        <f t="shared" si="46"/>
        <v/>
      </c>
      <c r="H2606" s="84">
        <f>IFERROR(VLOOKUP(B2606,Заказ!B:Q,5,0),0)</f>
        <v>0</v>
      </c>
      <c r="I2606" s="84">
        <f>IFERROR(VLOOKUP(B2606,Заказ!B:Q,16,0),0)</f>
        <v>0</v>
      </c>
    </row>
    <row r="2607" spans="2:9" x14ac:dyDescent="0.25">
      <c r="B2607" s="1039">
        <v>16359</v>
      </c>
      <c r="D2607" s="84" t="str">
        <f t="shared" si="46"/>
        <v/>
      </c>
      <c r="H2607" s="84">
        <f>IFERROR(VLOOKUP(B2607,Заказ!B:Q,5,0),0)</f>
        <v>0</v>
      </c>
      <c r="I2607" s="84">
        <f>IFERROR(VLOOKUP(B2607,Заказ!B:Q,16,0),0)</f>
        <v>0</v>
      </c>
    </row>
    <row r="2608" spans="2:9" x14ac:dyDescent="0.25">
      <c r="B2608" s="1039">
        <v>19671</v>
      </c>
      <c r="D2608" s="84" t="str">
        <f t="shared" si="46"/>
        <v/>
      </c>
      <c r="H2608" s="84">
        <f>IFERROR(VLOOKUP(B2608,Заказ!B:Q,5,0),0)</f>
        <v>0</v>
      </c>
      <c r="I2608" s="84">
        <f>IFERROR(VLOOKUP(B2608,Заказ!B:Q,16,0),0)</f>
        <v>0</v>
      </c>
    </row>
    <row r="2609" spans="2:9" x14ac:dyDescent="0.25">
      <c r="B2609" s="1039">
        <v>19677</v>
      </c>
      <c r="D2609" s="84" t="str">
        <f t="shared" si="46"/>
        <v/>
      </c>
      <c r="H2609" s="84">
        <f>IFERROR(VLOOKUP(B2609,Заказ!B:Q,5,0),0)</f>
        <v>0</v>
      </c>
      <c r="I2609" s="84">
        <f>IFERROR(VLOOKUP(B2609,Заказ!B:Q,16,0),0)</f>
        <v>0</v>
      </c>
    </row>
    <row r="2610" spans="2:9" x14ac:dyDescent="0.25">
      <c r="B2610" s="1039">
        <v>19673</v>
      </c>
      <c r="D2610" s="84" t="str">
        <f t="shared" si="46"/>
        <v/>
      </c>
      <c r="H2610" s="84">
        <f>IFERROR(VLOOKUP(B2610,Заказ!B:Q,5,0),0)</f>
        <v>0</v>
      </c>
      <c r="I2610" s="84">
        <f>IFERROR(VLOOKUP(B2610,Заказ!B:Q,16,0),0)</f>
        <v>0</v>
      </c>
    </row>
    <row r="2611" spans="2:9" x14ac:dyDescent="0.25">
      <c r="B2611" s="1039">
        <v>19675</v>
      </c>
      <c r="D2611" s="84" t="str">
        <f t="shared" si="46"/>
        <v/>
      </c>
      <c r="H2611" s="84">
        <f>IFERROR(VLOOKUP(B2611,Заказ!B:Q,5,0),0)</f>
        <v>0</v>
      </c>
      <c r="I2611" s="84">
        <f>IFERROR(VLOOKUP(B2611,Заказ!B:Q,16,0),0)</f>
        <v>0</v>
      </c>
    </row>
    <row r="2612" spans="2:9" x14ac:dyDescent="0.25">
      <c r="B2612" s="1039">
        <v>19674</v>
      </c>
      <c r="D2612" s="84" t="str">
        <f t="shared" si="46"/>
        <v/>
      </c>
      <c r="H2612" s="84">
        <f>IFERROR(VLOOKUP(B2612,Заказ!B:Q,5,0),0)</f>
        <v>0</v>
      </c>
      <c r="I2612" s="84">
        <f>IFERROR(VLOOKUP(B2612,Заказ!B:Q,16,0),0)</f>
        <v>0</v>
      </c>
    </row>
    <row r="2613" spans="2:9" x14ac:dyDescent="0.25">
      <c r="B2613" s="1039">
        <v>16270</v>
      </c>
      <c r="D2613" s="84" t="str">
        <f t="shared" si="46"/>
        <v/>
      </c>
      <c r="H2613" s="84">
        <f>IFERROR(VLOOKUP(B2613,Заказ!B:Q,5,0),0)</f>
        <v>0</v>
      </c>
      <c r="I2613" s="84">
        <f>IFERROR(VLOOKUP(B2613,Заказ!B:Q,16,0),0)</f>
        <v>0</v>
      </c>
    </row>
    <row r="2614" spans="2:9" x14ac:dyDescent="0.25">
      <c r="B2614" s="1039">
        <v>21487</v>
      </c>
      <c r="D2614" s="84" t="str">
        <f t="shared" si="46"/>
        <v/>
      </c>
      <c r="H2614" s="84">
        <f>IFERROR(VLOOKUP(B2614,Заказ!B:Q,5,0),0)</f>
        <v>0</v>
      </c>
      <c r="I2614" s="84">
        <f>IFERROR(VLOOKUP(B2614,Заказ!B:Q,16,0),0)</f>
        <v>0</v>
      </c>
    </row>
    <row r="2615" spans="2:9" x14ac:dyDescent="0.25">
      <c r="B2615" s="1039">
        <v>15502</v>
      </c>
      <c r="D2615" s="84" t="str">
        <f t="shared" si="46"/>
        <v/>
      </c>
      <c r="H2615" s="84">
        <f>IFERROR(VLOOKUP(B2615,Заказ!B:Q,5,0),0)</f>
        <v>0</v>
      </c>
      <c r="I2615" s="84">
        <f>IFERROR(VLOOKUP(B2615,Заказ!B:Q,16,0),0)</f>
        <v>0</v>
      </c>
    </row>
    <row r="2616" spans="2:9" x14ac:dyDescent="0.25">
      <c r="B2616" s="1039">
        <v>18617</v>
      </c>
      <c r="D2616" s="84" t="str">
        <f t="shared" si="46"/>
        <v/>
      </c>
      <c r="H2616" s="84">
        <f>IFERROR(VLOOKUP(B2616,Заказ!B:Q,5,0),0)</f>
        <v>0</v>
      </c>
      <c r="I2616" s="84">
        <f>IFERROR(VLOOKUP(B2616,Заказ!B:Q,16,0),0)</f>
        <v>0</v>
      </c>
    </row>
    <row r="2617" spans="2:9" x14ac:dyDescent="0.25">
      <c r="B2617" s="1039">
        <v>15503</v>
      </c>
      <c r="D2617" s="84" t="str">
        <f t="shared" si="46"/>
        <v/>
      </c>
      <c r="H2617" s="84">
        <f>IFERROR(VLOOKUP(B2617,Заказ!B:Q,5,0),0)</f>
        <v>0</v>
      </c>
      <c r="I2617" s="84">
        <f>IFERROR(VLOOKUP(B2617,Заказ!B:Q,16,0),0)</f>
        <v>0</v>
      </c>
    </row>
    <row r="2618" spans="2:9" x14ac:dyDescent="0.25">
      <c r="B2618" s="1039">
        <v>15507</v>
      </c>
      <c r="D2618" s="84" t="str">
        <f t="shared" si="46"/>
        <v/>
      </c>
      <c r="H2618" s="84">
        <f>IFERROR(VLOOKUP(B2618,Заказ!B:Q,5,0),0)</f>
        <v>0</v>
      </c>
      <c r="I2618" s="84">
        <f>IFERROR(VLOOKUP(B2618,Заказ!B:Q,16,0),0)</f>
        <v>0</v>
      </c>
    </row>
    <row r="2619" spans="2:9" x14ac:dyDescent="0.25">
      <c r="B2619" s="1039">
        <v>21494</v>
      </c>
      <c r="D2619" s="84" t="str">
        <f t="shared" si="46"/>
        <v/>
      </c>
      <c r="H2619" s="84">
        <f>IFERROR(VLOOKUP(B2619,Заказ!B:Q,5,0),0)</f>
        <v>0</v>
      </c>
      <c r="I2619" s="84">
        <f>IFERROR(VLOOKUP(B2619,Заказ!B:Q,16,0),0)</f>
        <v>0</v>
      </c>
    </row>
    <row r="2620" spans="2:9" x14ac:dyDescent="0.25">
      <c r="B2620" s="1039">
        <v>15506</v>
      </c>
      <c r="D2620" s="84" t="str">
        <f t="shared" si="46"/>
        <v/>
      </c>
      <c r="H2620" s="84">
        <f>IFERROR(VLOOKUP(B2620,Заказ!B:Q,5,0),0)</f>
        <v>0</v>
      </c>
      <c r="I2620" s="84">
        <f>IFERROR(VLOOKUP(B2620,Заказ!B:Q,16,0),0)</f>
        <v>0</v>
      </c>
    </row>
    <row r="2621" spans="2:9" x14ac:dyDescent="0.25">
      <c r="B2621" s="1039">
        <v>17214</v>
      </c>
      <c r="D2621" s="84" t="str">
        <f t="shared" si="46"/>
        <v/>
      </c>
      <c r="H2621" s="84">
        <f>IFERROR(VLOOKUP(B2621,Заказ!B:Q,5,0),0)</f>
        <v>0</v>
      </c>
      <c r="I2621" s="84">
        <f>IFERROR(VLOOKUP(B2621,Заказ!B:Q,16,0),0)</f>
        <v>0</v>
      </c>
    </row>
    <row r="2622" spans="2:9" x14ac:dyDescent="0.25">
      <c r="B2622" s="1039">
        <v>18279</v>
      </c>
      <c r="D2622" s="84" t="str">
        <f t="shared" si="46"/>
        <v/>
      </c>
      <c r="H2622" s="84">
        <f>IFERROR(VLOOKUP(B2622,Заказ!B:Q,5,0),0)</f>
        <v>0</v>
      </c>
      <c r="I2622" s="84">
        <f>IFERROR(VLOOKUP(B2622,Заказ!B:Q,16,0),0)</f>
        <v>0</v>
      </c>
    </row>
    <row r="2623" spans="2:9" x14ac:dyDescent="0.25">
      <c r="B2623" s="1039">
        <v>17215</v>
      </c>
      <c r="D2623" s="84" t="str">
        <f t="shared" si="46"/>
        <v/>
      </c>
      <c r="H2623" s="84">
        <f>IFERROR(VLOOKUP(B2623,Заказ!B:Q,5,0),0)</f>
        <v>0</v>
      </c>
      <c r="I2623" s="84">
        <f>IFERROR(VLOOKUP(B2623,Заказ!B:Q,16,0),0)</f>
        <v>0</v>
      </c>
    </row>
    <row r="2624" spans="2:9" x14ac:dyDescent="0.25">
      <c r="B2624" s="1039">
        <v>16266</v>
      </c>
      <c r="D2624" s="84" t="str">
        <f t="shared" si="46"/>
        <v/>
      </c>
      <c r="H2624" s="84">
        <f>IFERROR(VLOOKUP(B2624,Заказ!B:Q,5,0),0)</f>
        <v>0</v>
      </c>
      <c r="I2624" s="84">
        <f>IFERROR(VLOOKUP(B2624,Заказ!B:Q,16,0),0)</f>
        <v>0</v>
      </c>
    </row>
    <row r="2625" spans="2:9" x14ac:dyDescent="0.25">
      <c r="B2625" s="1039">
        <v>19836</v>
      </c>
      <c r="D2625" s="84" t="str">
        <f t="shared" si="46"/>
        <v/>
      </c>
      <c r="H2625" s="84">
        <f>IFERROR(VLOOKUP(B2625,Заказ!B:Q,5,0),0)</f>
        <v>0</v>
      </c>
      <c r="I2625" s="84">
        <f>IFERROR(VLOOKUP(B2625,Заказ!B:Q,16,0),0)</f>
        <v>0</v>
      </c>
    </row>
    <row r="2626" spans="2:9" x14ac:dyDescent="0.25">
      <c r="B2626" s="1039">
        <v>16267</v>
      </c>
      <c r="D2626" s="84" t="str">
        <f t="shared" si="46"/>
        <v/>
      </c>
      <c r="H2626" s="84">
        <f>IFERROR(VLOOKUP(B2626,Заказ!B:Q,5,0),0)</f>
        <v>0</v>
      </c>
      <c r="I2626" s="84">
        <f>IFERROR(VLOOKUP(B2626,Заказ!B:Q,16,0),0)</f>
        <v>0</v>
      </c>
    </row>
    <row r="2627" spans="2:9" x14ac:dyDescent="0.25">
      <c r="B2627" s="1039">
        <v>21456</v>
      </c>
      <c r="D2627" s="84" t="str">
        <f t="shared" ref="D2627:D2679" si="47">IFERROR(ROUND(I2627/H2627,2),"")</f>
        <v/>
      </c>
      <c r="H2627" s="84">
        <f>IFERROR(VLOOKUP(B2627,Заказ!B:Q,5,0),0)</f>
        <v>0</v>
      </c>
      <c r="I2627" s="84">
        <f>IFERROR(VLOOKUP(B2627,Заказ!B:Q,16,0),0)</f>
        <v>0</v>
      </c>
    </row>
    <row r="2628" spans="2:9" x14ac:dyDescent="0.25">
      <c r="B2628" s="1039">
        <v>17585</v>
      </c>
      <c r="D2628" s="84" t="str">
        <f t="shared" si="47"/>
        <v/>
      </c>
      <c r="H2628" s="84">
        <f>IFERROR(VLOOKUP(B2628,Заказ!B:Q,5,0),0)</f>
        <v>0</v>
      </c>
      <c r="I2628" s="84">
        <f>IFERROR(VLOOKUP(B2628,Заказ!B:Q,16,0),0)</f>
        <v>0</v>
      </c>
    </row>
    <row r="2629" spans="2:9" x14ac:dyDescent="0.25">
      <c r="B2629" s="1039">
        <v>19189</v>
      </c>
      <c r="D2629" s="84" t="str">
        <f t="shared" si="47"/>
        <v/>
      </c>
      <c r="H2629" s="84">
        <f>IFERROR(VLOOKUP(B2629,Заказ!B:Q,5,0),0)</f>
        <v>0</v>
      </c>
      <c r="I2629" s="84">
        <f>IFERROR(VLOOKUP(B2629,Заказ!B:Q,16,0),0)</f>
        <v>0</v>
      </c>
    </row>
    <row r="2630" spans="2:9" x14ac:dyDescent="0.25">
      <c r="B2630" s="1039">
        <v>21493</v>
      </c>
      <c r="D2630" s="84" t="str">
        <f t="shared" si="47"/>
        <v/>
      </c>
      <c r="H2630" s="84">
        <f>IFERROR(VLOOKUP(B2630,Заказ!B:Q,5,0),0)</f>
        <v>0</v>
      </c>
      <c r="I2630" s="84">
        <f>IFERROR(VLOOKUP(B2630,Заказ!B:Q,16,0),0)</f>
        <v>0</v>
      </c>
    </row>
    <row r="2631" spans="2:9" x14ac:dyDescent="0.25">
      <c r="B2631" s="1039">
        <v>19837</v>
      </c>
      <c r="D2631" s="84" t="str">
        <f t="shared" si="47"/>
        <v/>
      </c>
      <c r="H2631" s="84">
        <f>IFERROR(VLOOKUP(B2631,Заказ!B:Q,5,0),0)</f>
        <v>0</v>
      </c>
      <c r="I2631" s="84">
        <f>IFERROR(VLOOKUP(B2631,Заказ!B:Q,16,0),0)</f>
        <v>0</v>
      </c>
    </row>
    <row r="2632" spans="2:9" x14ac:dyDescent="0.25">
      <c r="B2632" s="1039">
        <v>19775</v>
      </c>
      <c r="D2632" s="84" t="str">
        <f t="shared" si="47"/>
        <v/>
      </c>
      <c r="H2632" s="84">
        <f>IFERROR(VLOOKUP(B2632,Заказ!B:Q,5,0),0)</f>
        <v>0</v>
      </c>
      <c r="I2632" s="84">
        <f>IFERROR(VLOOKUP(B2632,Заказ!B:Q,16,0),0)</f>
        <v>0</v>
      </c>
    </row>
    <row r="2633" spans="2:9" x14ac:dyDescent="0.25">
      <c r="B2633" s="1039">
        <v>19859</v>
      </c>
      <c r="D2633" s="84" t="str">
        <f t="shared" si="47"/>
        <v/>
      </c>
      <c r="H2633" s="84">
        <f>IFERROR(VLOOKUP(B2633,Заказ!B:Q,5,0),0)</f>
        <v>0</v>
      </c>
      <c r="I2633" s="84">
        <f>IFERROR(VLOOKUP(B2633,Заказ!B:Q,16,0),0)</f>
        <v>0</v>
      </c>
    </row>
    <row r="2634" spans="2:9" x14ac:dyDescent="0.25">
      <c r="B2634" s="84">
        <v>17614</v>
      </c>
      <c r="D2634" s="84" t="str">
        <f t="shared" si="47"/>
        <v/>
      </c>
      <c r="H2634" s="84">
        <f>IFERROR(VLOOKUP(B2634,Заказ!B:Q,5,0),0)</f>
        <v>0</v>
      </c>
      <c r="I2634" s="84">
        <f>IFERROR(VLOOKUP(B2634,Заказ!B:Q,16,0),0)</f>
        <v>0</v>
      </c>
    </row>
    <row r="2635" spans="2:9" x14ac:dyDescent="0.25">
      <c r="B2635" s="84">
        <v>17216</v>
      </c>
      <c r="D2635" s="84" t="str">
        <f t="shared" si="47"/>
        <v/>
      </c>
      <c r="H2635" s="84">
        <f>IFERROR(VLOOKUP(B2635,Заказ!B:Q,5,0),0)</f>
        <v>0</v>
      </c>
      <c r="I2635" s="84">
        <f>IFERROR(VLOOKUP(B2635,Заказ!B:Q,16,0),0)</f>
        <v>0</v>
      </c>
    </row>
    <row r="2636" spans="2:9" x14ac:dyDescent="0.25">
      <c r="B2636" s="84">
        <v>21495</v>
      </c>
      <c r="D2636" s="84" t="str">
        <f t="shared" si="47"/>
        <v/>
      </c>
      <c r="H2636" s="84">
        <f>IFERROR(VLOOKUP(B2636,Заказ!B:Q,5,0),0)</f>
        <v>0</v>
      </c>
      <c r="I2636" s="84">
        <f>IFERROR(VLOOKUP(B2636,Заказ!B:Q,16,0),0)</f>
        <v>0</v>
      </c>
    </row>
    <row r="2637" spans="2:9" x14ac:dyDescent="0.25">
      <c r="B2637" s="84">
        <v>19985</v>
      </c>
      <c r="D2637" s="84" t="str">
        <f t="shared" si="47"/>
        <v/>
      </c>
      <c r="H2637" s="84">
        <f>IFERROR(VLOOKUP(B2637,Заказ!B:Q,5,0),0)</f>
        <v>0</v>
      </c>
      <c r="I2637" s="84">
        <f>IFERROR(VLOOKUP(B2637,Заказ!B:Q,16,0),0)</f>
        <v>0</v>
      </c>
    </row>
    <row r="2638" spans="2:9" x14ac:dyDescent="0.25">
      <c r="B2638" s="84">
        <v>19986</v>
      </c>
      <c r="D2638" s="84" t="str">
        <f t="shared" si="47"/>
        <v/>
      </c>
      <c r="H2638" s="84">
        <f>IFERROR(VLOOKUP(B2638,Заказ!B:Q,5,0),0)</f>
        <v>0</v>
      </c>
      <c r="I2638" s="84">
        <f>IFERROR(VLOOKUP(B2638,Заказ!B:Q,16,0),0)</f>
        <v>0</v>
      </c>
    </row>
    <row r="2639" spans="2:9" x14ac:dyDescent="0.25">
      <c r="B2639" s="84">
        <v>19987</v>
      </c>
      <c r="D2639" s="84" t="str">
        <f t="shared" si="47"/>
        <v/>
      </c>
      <c r="H2639" s="84">
        <f>IFERROR(VLOOKUP(B2639,Заказ!B:Q,5,0),0)</f>
        <v>0</v>
      </c>
      <c r="I2639" s="84">
        <f>IFERROR(VLOOKUP(B2639,Заказ!B:Q,16,0),0)</f>
        <v>0</v>
      </c>
    </row>
    <row r="2640" spans="2:9" x14ac:dyDescent="0.25">
      <c r="B2640" s="84">
        <v>17625</v>
      </c>
      <c r="D2640" s="84" t="str">
        <f t="shared" si="47"/>
        <v/>
      </c>
      <c r="H2640" s="84">
        <f>IFERROR(VLOOKUP(B2640,Заказ!B:Q,5,0),0)</f>
        <v>0</v>
      </c>
      <c r="I2640" s="84">
        <f>IFERROR(VLOOKUP(B2640,Заказ!B:Q,16,0),0)</f>
        <v>0</v>
      </c>
    </row>
    <row r="2641" spans="2:9" x14ac:dyDescent="0.25">
      <c r="B2641" s="84">
        <v>21155</v>
      </c>
      <c r="D2641" s="84" t="str">
        <f t="shared" si="47"/>
        <v/>
      </c>
      <c r="H2641" s="84">
        <f>IFERROR(VLOOKUP(B2641,Заказ!B:Q,5,0),0)</f>
        <v>0</v>
      </c>
      <c r="I2641" s="84">
        <f>IFERROR(VLOOKUP(B2641,Заказ!B:Q,16,0),0)</f>
        <v>0</v>
      </c>
    </row>
    <row r="2642" spans="2:9" x14ac:dyDescent="0.25">
      <c r="B2642" s="84">
        <v>17629</v>
      </c>
      <c r="D2642" s="84" t="str">
        <f t="shared" si="47"/>
        <v/>
      </c>
      <c r="H2642" s="84">
        <f>IFERROR(VLOOKUP(B2642,Заказ!B:Q,5,0),0)</f>
        <v>0</v>
      </c>
      <c r="I2642" s="84">
        <f>IFERROR(VLOOKUP(B2642,Заказ!B:Q,16,0),0)</f>
        <v>0</v>
      </c>
    </row>
    <row r="2643" spans="2:9" x14ac:dyDescent="0.25">
      <c r="B2643" s="84">
        <v>17622</v>
      </c>
      <c r="D2643" s="84" t="str">
        <f t="shared" si="47"/>
        <v/>
      </c>
      <c r="H2643" s="84">
        <f>IFERROR(VLOOKUP(B2643,Заказ!B:Q,5,0),0)</f>
        <v>0</v>
      </c>
      <c r="I2643" s="84">
        <f>IFERROR(VLOOKUP(B2643,Заказ!B:Q,16,0),0)</f>
        <v>0</v>
      </c>
    </row>
    <row r="2644" spans="2:9" x14ac:dyDescent="0.25">
      <c r="B2644" s="84">
        <v>17623</v>
      </c>
      <c r="D2644" s="84" t="str">
        <f t="shared" si="47"/>
        <v/>
      </c>
      <c r="H2644" s="84">
        <f>IFERROR(VLOOKUP(B2644,Заказ!B:Q,5,0),0)</f>
        <v>0</v>
      </c>
      <c r="I2644" s="84">
        <f>IFERROR(VLOOKUP(B2644,Заказ!B:Q,16,0),0)</f>
        <v>0</v>
      </c>
    </row>
    <row r="2645" spans="2:9" x14ac:dyDescent="0.25">
      <c r="B2645" s="84">
        <v>17624</v>
      </c>
      <c r="D2645" s="84" t="str">
        <f t="shared" si="47"/>
        <v/>
      </c>
      <c r="H2645" s="84">
        <f>IFERROR(VLOOKUP(B2645,Заказ!B:Q,5,0),0)</f>
        <v>0</v>
      </c>
      <c r="I2645" s="84">
        <f>IFERROR(VLOOKUP(B2645,Заказ!B:Q,16,0),0)</f>
        <v>0</v>
      </c>
    </row>
    <row r="2646" spans="2:9" x14ac:dyDescent="0.25">
      <c r="B2646" s="84">
        <v>17630</v>
      </c>
      <c r="D2646" s="84" t="str">
        <f t="shared" si="47"/>
        <v/>
      </c>
      <c r="H2646" s="84">
        <f>IFERROR(VLOOKUP(B2646,Заказ!B:Q,5,0),0)</f>
        <v>0</v>
      </c>
      <c r="I2646" s="84">
        <f>IFERROR(VLOOKUP(B2646,Заказ!B:Q,16,0),0)</f>
        <v>0</v>
      </c>
    </row>
    <row r="2647" spans="2:9" x14ac:dyDescent="0.25">
      <c r="B2647" s="84">
        <v>20223</v>
      </c>
      <c r="D2647" s="84" t="str">
        <f t="shared" si="47"/>
        <v/>
      </c>
      <c r="H2647" s="84">
        <f>IFERROR(VLOOKUP(B2647,Заказ!B:Q,5,0),0)</f>
        <v>0</v>
      </c>
      <c r="I2647" s="84">
        <f>IFERROR(VLOOKUP(B2647,Заказ!B:Q,16,0),0)</f>
        <v>0</v>
      </c>
    </row>
    <row r="2648" spans="2:9" x14ac:dyDescent="0.25">
      <c r="B2648" s="84">
        <v>20229</v>
      </c>
      <c r="D2648" s="84" t="str">
        <f t="shared" si="47"/>
        <v/>
      </c>
      <c r="H2648" s="84">
        <f>IFERROR(VLOOKUP(B2648,Заказ!B:Q,5,0),0)</f>
        <v>0</v>
      </c>
      <c r="I2648" s="84">
        <f>IFERROR(VLOOKUP(B2648,Заказ!B:Q,16,0),0)</f>
        <v>0</v>
      </c>
    </row>
    <row r="2649" spans="2:9" x14ac:dyDescent="0.25">
      <c r="B2649" s="84">
        <v>20228</v>
      </c>
      <c r="D2649" s="84" t="str">
        <f t="shared" si="47"/>
        <v/>
      </c>
      <c r="H2649" s="84">
        <f>IFERROR(VLOOKUP(B2649,Заказ!B:Q,5,0),0)</f>
        <v>0</v>
      </c>
      <c r="I2649" s="84">
        <f>IFERROR(VLOOKUP(B2649,Заказ!B:Q,16,0),0)</f>
        <v>0</v>
      </c>
    </row>
    <row r="2650" spans="2:9" x14ac:dyDescent="0.25">
      <c r="B2650" s="84">
        <v>20222</v>
      </c>
      <c r="D2650" s="84" t="str">
        <f t="shared" si="47"/>
        <v/>
      </c>
      <c r="H2650" s="84">
        <f>IFERROR(VLOOKUP(B2650,Заказ!B:Q,5,0),0)</f>
        <v>0</v>
      </c>
      <c r="I2650" s="84">
        <f>IFERROR(VLOOKUP(B2650,Заказ!B:Q,16,0),0)</f>
        <v>0</v>
      </c>
    </row>
    <row r="2651" spans="2:9" x14ac:dyDescent="0.25">
      <c r="B2651" s="84">
        <v>20224</v>
      </c>
      <c r="D2651" s="84" t="str">
        <f t="shared" si="47"/>
        <v/>
      </c>
      <c r="H2651" s="84">
        <f>IFERROR(VLOOKUP(B2651,Заказ!B:Q,5,0),0)</f>
        <v>0</v>
      </c>
      <c r="I2651" s="84">
        <f>IFERROR(VLOOKUP(B2651,Заказ!B:Q,16,0),0)</f>
        <v>0</v>
      </c>
    </row>
    <row r="2652" spans="2:9" x14ac:dyDescent="0.25">
      <c r="B2652" s="84">
        <v>18458</v>
      </c>
      <c r="D2652" s="84" t="str">
        <f t="shared" si="47"/>
        <v/>
      </c>
      <c r="H2652" s="84">
        <f>IFERROR(VLOOKUP(B2652,Заказ!B:Q,5,0),0)</f>
        <v>0</v>
      </c>
      <c r="I2652" s="84">
        <f>IFERROR(VLOOKUP(B2652,Заказ!B:Q,16,0),0)</f>
        <v>0</v>
      </c>
    </row>
    <row r="2653" spans="2:9" x14ac:dyDescent="0.25">
      <c r="B2653" s="84">
        <v>21217</v>
      </c>
      <c r="D2653" s="84" t="str">
        <f t="shared" si="47"/>
        <v/>
      </c>
      <c r="H2653" s="84">
        <f>IFERROR(VLOOKUP(B2653,Заказ!B:Q,5,0),0)</f>
        <v>0</v>
      </c>
      <c r="I2653" s="84">
        <f>IFERROR(VLOOKUP(B2653,Заказ!B:Q,16,0),0)</f>
        <v>0</v>
      </c>
    </row>
    <row r="2654" spans="2:9" x14ac:dyDescent="0.25">
      <c r="B2654" s="84">
        <v>18457</v>
      </c>
      <c r="D2654" s="84" t="str">
        <f t="shared" si="47"/>
        <v/>
      </c>
      <c r="H2654" s="84">
        <f>IFERROR(VLOOKUP(B2654,Заказ!B:Q,5,0),0)</f>
        <v>0</v>
      </c>
      <c r="I2654" s="84">
        <f>IFERROR(VLOOKUP(B2654,Заказ!B:Q,16,0),0)</f>
        <v>0</v>
      </c>
    </row>
    <row r="2655" spans="2:9" x14ac:dyDescent="0.25">
      <c r="B2655" s="84">
        <v>19706</v>
      </c>
      <c r="D2655" s="84" t="str">
        <f t="shared" si="47"/>
        <v/>
      </c>
      <c r="H2655" s="84">
        <f>IFERROR(VLOOKUP(B2655,Заказ!B:Q,5,0),0)</f>
        <v>0</v>
      </c>
      <c r="I2655" s="84">
        <f>IFERROR(VLOOKUP(B2655,Заказ!B:Q,16,0),0)</f>
        <v>0</v>
      </c>
    </row>
    <row r="2656" spans="2:9" x14ac:dyDescent="0.25">
      <c r="B2656" s="84">
        <v>15492</v>
      </c>
      <c r="D2656" s="84" t="str">
        <f t="shared" si="47"/>
        <v/>
      </c>
      <c r="H2656" s="84">
        <f>IFERROR(VLOOKUP(B2656,Заказ!B:Q,5,0),0)</f>
        <v>0</v>
      </c>
      <c r="I2656" s="84">
        <f>IFERROR(VLOOKUP(B2656,Заказ!B:Q,16,0),0)</f>
        <v>0</v>
      </c>
    </row>
    <row r="2657" spans="2:9" x14ac:dyDescent="0.25">
      <c r="B2657" s="84">
        <v>15501</v>
      </c>
      <c r="D2657" s="84" t="str">
        <f t="shared" si="47"/>
        <v/>
      </c>
      <c r="H2657" s="84">
        <f>IFERROR(VLOOKUP(B2657,Заказ!B:Q,5,0),0)</f>
        <v>0</v>
      </c>
      <c r="I2657" s="84">
        <f>IFERROR(VLOOKUP(B2657,Заказ!B:Q,16,0),0)</f>
        <v>0</v>
      </c>
    </row>
    <row r="2658" spans="2:9" x14ac:dyDescent="0.25">
      <c r="B2658" s="84">
        <v>15500</v>
      </c>
      <c r="D2658" s="84" t="str">
        <f t="shared" si="47"/>
        <v/>
      </c>
      <c r="H2658" s="84">
        <f>IFERROR(VLOOKUP(B2658,Заказ!B:Q,5,0),0)</f>
        <v>0</v>
      </c>
      <c r="I2658" s="84">
        <f>IFERROR(VLOOKUP(B2658,Заказ!B:Q,16,0),0)</f>
        <v>0</v>
      </c>
    </row>
    <row r="2659" spans="2:9" x14ac:dyDescent="0.25">
      <c r="B2659" s="84">
        <v>15491</v>
      </c>
      <c r="D2659" s="84" t="str">
        <f t="shared" si="47"/>
        <v/>
      </c>
      <c r="H2659" s="84">
        <f>IFERROR(VLOOKUP(B2659,Заказ!B:Q,5,0),0)</f>
        <v>0</v>
      </c>
      <c r="I2659" s="84">
        <f>IFERROR(VLOOKUP(B2659,Заказ!B:Q,16,0),0)</f>
        <v>0</v>
      </c>
    </row>
    <row r="2660" spans="2:9" x14ac:dyDescent="0.25">
      <c r="B2660" s="84">
        <v>15494</v>
      </c>
      <c r="D2660" s="84" t="str">
        <f t="shared" si="47"/>
        <v/>
      </c>
      <c r="H2660" s="84">
        <f>IFERROR(VLOOKUP(B2660,Заказ!B:Q,5,0),0)</f>
        <v>0</v>
      </c>
      <c r="I2660" s="84">
        <f>IFERROR(VLOOKUP(B2660,Заказ!B:Q,16,0),0)</f>
        <v>0</v>
      </c>
    </row>
    <row r="2661" spans="2:9" x14ac:dyDescent="0.25">
      <c r="B2661" s="84">
        <v>15493</v>
      </c>
      <c r="D2661" s="84" t="str">
        <f t="shared" si="47"/>
        <v/>
      </c>
      <c r="H2661" s="84">
        <f>IFERROR(VLOOKUP(B2661,Заказ!B:Q,5,0),0)</f>
        <v>0</v>
      </c>
      <c r="I2661" s="84">
        <f>IFERROR(VLOOKUP(B2661,Заказ!B:Q,16,0),0)</f>
        <v>0</v>
      </c>
    </row>
    <row r="2662" spans="2:9" x14ac:dyDescent="0.25">
      <c r="B2662" s="84">
        <v>18338</v>
      </c>
      <c r="D2662" s="84" t="str">
        <f t="shared" si="47"/>
        <v/>
      </c>
      <c r="H2662" s="84">
        <f>IFERROR(VLOOKUP(B2662,Заказ!B:Q,5,0),0)</f>
        <v>0</v>
      </c>
      <c r="I2662" s="84">
        <f>IFERROR(VLOOKUP(B2662,Заказ!B:Q,16,0),0)</f>
        <v>0</v>
      </c>
    </row>
    <row r="2663" spans="2:9" x14ac:dyDescent="0.25">
      <c r="B2663" s="84">
        <v>19092</v>
      </c>
      <c r="D2663" s="84" t="str">
        <f t="shared" si="47"/>
        <v/>
      </c>
      <c r="H2663" s="84">
        <f>IFERROR(VLOOKUP(B2663,Заказ!B:Q,5,0),0)</f>
        <v>0</v>
      </c>
      <c r="I2663" s="84">
        <f>IFERROR(VLOOKUP(B2663,Заказ!B:Q,16,0),0)</f>
        <v>0</v>
      </c>
    </row>
    <row r="2664" spans="2:9" x14ac:dyDescent="0.25">
      <c r="B2664" s="84">
        <v>19089</v>
      </c>
      <c r="D2664" s="84" t="str">
        <f t="shared" si="47"/>
        <v/>
      </c>
      <c r="H2664" s="84">
        <f>IFERROR(VLOOKUP(B2664,Заказ!B:Q,5,0),0)</f>
        <v>0</v>
      </c>
      <c r="I2664" s="84">
        <f>IFERROR(VLOOKUP(B2664,Заказ!B:Q,16,0),0)</f>
        <v>0</v>
      </c>
    </row>
    <row r="2665" spans="2:9" x14ac:dyDescent="0.25">
      <c r="B2665" s="84">
        <v>21099</v>
      </c>
      <c r="D2665" s="84" t="str">
        <f t="shared" si="47"/>
        <v/>
      </c>
      <c r="H2665" s="84">
        <f>IFERROR(VLOOKUP(B2665,Заказ!B:Q,5,0),0)</f>
        <v>0</v>
      </c>
      <c r="I2665" s="84">
        <f>IFERROR(VLOOKUP(B2665,Заказ!B:Q,16,0),0)</f>
        <v>0</v>
      </c>
    </row>
    <row r="2666" spans="2:9" x14ac:dyDescent="0.25">
      <c r="B2666" s="84">
        <v>21097</v>
      </c>
      <c r="D2666" s="84" t="str">
        <f t="shared" si="47"/>
        <v/>
      </c>
      <c r="H2666" s="84">
        <f>IFERROR(VLOOKUP(B2666,Заказ!B:Q,5,0),0)</f>
        <v>0</v>
      </c>
      <c r="I2666" s="84">
        <f>IFERROR(VLOOKUP(B2666,Заказ!B:Q,16,0),0)</f>
        <v>0</v>
      </c>
    </row>
    <row r="2667" spans="2:9" x14ac:dyDescent="0.25">
      <c r="B2667" s="84">
        <v>21093</v>
      </c>
      <c r="D2667" s="84" t="str">
        <f t="shared" si="47"/>
        <v/>
      </c>
      <c r="H2667" s="84">
        <f>IFERROR(VLOOKUP(B2667,Заказ!B:Q,5,0),0)</f>
        <v>0</v>
      </c>
      <c r="I2667" s="84">
        <f>IFERROR(VLOOKUP(B2667,Заказ!B:Q,16,0),0)</f>
        <v>0</v>
      </c>
    </row>
    <row r="2668" spans="2:9" x14ac:dyDescent="0.25">
      <c r="B2668" s="84">
        <v>16268</v>
      </c>
      <c r="D2668" s="84" t="str">
        <f t="shared" si="47"/>
        <v/>
      </c>
      <c r="H2668" s="84">
        <f>IFERROR(VLOOKUP(B2668,Заказ!B:Q,5,0),0)</f>
        <v>0</v>
      </c>
      <c r="I2668" s="84">
        <f>IFERROR(VLOOKUP(B2668,Заказ!B:Q,16,0),0)</f>
        <v>0</v>
      </c>
    </row>
    <row r="2669" spans="2:9" x14ac:dyDescent="0.25">
      <c r="B2669" s="84">
        <v>19809</v>
      </c>
      <c r="D2669" s="84" t="str">
        <f t="shared" si="47"/>
        <v/>
      </c>
      <c r="H2669" s="84">
        <f>IFERROR(VLOOKUP(B2669,Заказ!B:Q,5,0),0)</f>
        <v>0</v>
      </c>
      <c r="I2669" s="84">
        <f>IFERROR(VLOOKUP(B2669,Заказ!B:Q,16,0),0)</f>
        <v>0</v>
      </c>
    </row>
    <row r="2670" spans="2:9" x14ac:dyDescent="0.25">
      <c r="B2670" s="84">
        <v>20406</v>
      </c>
      <c r="D2670" s="84" t="str">
        <f t="shared" si="47"/>
        <v/>
      </c>
      <c r="H2670" s="84">
        <f>IFERROR(VLOOKUP(B2670,Заказ!B:Q,5,0),0)</f>
        <v>0</v>
      </c>
      <c r="I2670" s="84">
        <f>IFERROR(VLOOKUP(B2670,Заказ!B:Q,16,0),0)</f>
        <v>0</v>
      </c>
    </row>
    <row r="2671" spans="2:9" x14ac:dyDescent="0.25">
      <c r="B2671" s="84">
        <v>19810</v>
      </c>
      <c r="D2671" s="84" t="str">
        <f t="shared" si="47"/>
        <v/>
      </c>
      <c r="H2671" s="84">
        <f>IFERROR(VLOOKUP(B2671,Заказ!B:Q,5,0),0)</f>
        <v>0</v>
      </c>
      <c r="I2671" s="84">
        <f>IFERROR(VLOOKUP(B2671,Заказ!B:Q,16,0),0)</f>
        <v>0</v>
      </c>
    </row>
    <row r="2672" spans="2:9" x14ac:dyDescent="0.25">
      <c r="B2672" s="84">
        <v>20395</v>
      </c>
      <c r="D2672" s="84" t="str">
        <f t="shared" si="47"/>
        <v/>
      </c>
      <c r="H2672" s="84">
        <f>IFERROR(VLOOKUP(B2672,Заказ!B:Q,5,0),0)</f>
        <v>0</v>
      </c>
      <c r="I2672" s="84">
        <f>IFERROR(VLOOKUP(B2672,Заказ!B:Q,16,0),0)</f>
        <v>0</v>
      </c>
    </row>
    <row r="2673" spans="2:9" x14ac:dyDescent="0.25">
      <c r="B2673" s="84">
        <v>19094</v>
      </c>
      <c r="D2673" s="84" t="str">
        <f t="shared" si="47"/>
        <v/>
      </c>
      <c r="H2673" s="84">
        <f>IFERROR(VLOOKUP(B2673,Заказ!B:Q,5,0),0)</f>
        <v>0</v>
      </c>
      <c r="I2673" s="84">
        <f>IFERROR(VLOOKUP(B2673,Заказ!B:Q,16,0),0)</f>
        <v>0</v>
      </c>
    </row>
    <row r="2674" spans="2:9" x14ac:dyDescent="0.25">
      <c r="B2674" s="84">
        <v>19093</v>
      </c>
      <c r="D2674" s="84" t="str">
        <f t="shared" si="47"/>
        <v/>
      </c>
      <c r="H2674" s="84">
        <f>IFERROR(VLOOKUP(B2674,Заказ!B:Q,5,0),0)</f>
        <v>0</v>
      </c>
      <c r="I2674" s="84">
        <f>IFERROR(VLOOKUP(B2674,Заказ!B:Q,16,0),0)</f>
        <v>0</v>
      </c>
    </row>
    <row r="2675" spans="2:9" x14ac:dyDescent="0.25">
      <c r="B2675" s="84">
        <v>20710</v>
      </c>
      <c r="D2675" s="84" t="str">
        <f t="shared" si="47"/>
        <v/>
      </c>
      <c r="H2675" s="84">
        <f>IFERROR(VLOOKUP(B2675,Заказ!B:Q,5,0),0)</f>
        <v>0</v>
      </c>
      <c r="I2675" s="84">
        <f>IFERROR(VLOOKUP(B2675,Заказ!B:Q,16,0),0)</f>
        <v>0</v>
      </c>
    </row>
    <row r="2676" spans="2:9" x14ac:dyDescent="0.25">
      <c r="B2676" s="84">
        <v>19495</v>
      </c>
      <c r="D2676" s="84" t="str">
        <f t="shared" si="47"/>
        <v/>
      </c>
      <c r="H2676" s="84">
        <f>IFERROR(VLOOKUP(B2676,Заказ!B:Q,5,0),0)</f>
        <v>0</v>
      </c>
      <c r="I2676" s="84">
        <f>IFERROR(VLOOKUP(B2676,Заказ!B:Q,16,0),0)</f>
        <v>0</v>
      </c>
    </row>
    <row r="2677" spans="2:9" x14ac:dyDescent="0.25">
      <c r="B2677" s="84">
        <v>21510</v>
      </c>
      <c r="D2677" s="84" t="str">
        <f t="shared" si="47"/>
        <v/>
      </c>
      <c r="H2677" s="84">
        <f>IFERROR(VLOOKUP(B2677,Заказ!B:Q,5,0),0)</f>
        <v>0</v>
      </c>
      <c r="I2677" s="84">
        <f>IFERROR(VLOOKUP(B2677,Заказ!B:Q,16,0),0)</f>
        <v>0</v>
      </c>
    </row>
    <row r="2678" spans="2:9" x14ac:dyDescent="0.25">
      <c r="B2678" s="84">
        <v>21509</v>
      </c>
      <c r="D2678" s="84" t="str">
        <f t="shared" si="47"/>
        <v/>
      </c>
      <c r="H2678" s="84">
        <f>IFERROR(VLOOKUP(B2678,Заказ!B:Q,5,0),0)</f>
        <v>0</v>
      </c>
      <c r="I2678" s="84">
        <f>IFERROR(VLOOKUP(B2678,Заказ!B:Q,16,0),0)</f>
        <v>0</v>
      </c>
    </row>
    <row r="2679" spans="2:9" x14ac:dyDescent="0.25">
      <c r="B2679" s="84">
        <v>21496</v>
      </c>
      <c r="D2679" s="84" t="str">
        <f t="shared" si="47"/>
        <v/>
      </c>
      <c r="H2679" s="84">
        <f>IFERROR(VLOOKUP(B2679,Заказ!B:Q,5,0),0)</f>
        <v>0</v>
      </c>
      <c r="I2679" s="84">
        <f>IFERROR(VLOOKUP(B2679,Заказ!B:Q,16,0),0)</f>
        <v>0</v>
      </c>
    </row>
    <row r="2680" spans="2:9" x14ac:dyDescent="0.25">
      <c r="B2680" s="84">
        <v>8861</v>
      </c>
      <c r="D2680" s="84" t="str">
        <f t="shared" ref="D2680:D2726" si="48">IFERROR(ROUND(I2680/H2680,2),"")</f>
        <v/>
      </c>
      <c r="H2680" s="84">
        <f>IFERROR(VLOOKUP(B2680,Заказ!B:Q,5,0),0)</f>
        <v>0</v>
      </c>
      <c r="I2680" s="84">
        <f>IFERROR(VLOOKUP(B2680,Заказ!B:Q,16,0),0)</f>
        <v>0</v>
      </c>
    </row>
    <row r="2681" spans="2:9" x14ac:dyDescent="0.25">
      <c r="B2681" s="84">
        <v>12104</v>
      </c>
      <c r="D2681" s="84" t="str">
        <f t="shared" si="48"/>
        <v/>
      </c>
      <c r="H2681" s="84">
        <f>IFERROR(VLOOKUP(B2681,Заказ!B:Q,5,0),0)</f>
        <v>0</v>
      </c>
      <c r="I2681" s="84">
        <f>IFERROR(VLOOKUP(B2681,Заказ!B:Q,16,0),0)</f>
        <v>0</v>
      </c>
    </row>
    <row r="2682" spans="2:9" x14ac:dyDescent="0.25">
      <c r="B2682" s="84">
        <v>13257</v>
      </c>
      <c r="D2682" s="84" t="str">
        <f t="shared" si="48"/>
        <v/>
      </c>
      <c r="H2682" s="84">
        <f>IFERROR(VLOOKUP(B2682,Заказ!B:Q,5,0),0)</f>
        <v>0</v>
      </c>
      <c r="I2682" s="84">
        <f>IFERROR(VLOOKUP(B2682,Заказ!B:Q,16,0),0)</f>
        <v>0</v>
      </c>
    </row>
    <row r="2683" spans="2:9" x14ac:dyDescent="0.25">
      <c r="B2683" s="84">
        <v>14980</v>
      </c>
      <c r="D2683" s="84" t="str">
        <f t="shared" si="48"/>
        <v/>
      </c>
      <c r="H2683" s="84">
        <f>IFERROR(VLOOKUP(B2683,Заказ!B:Q,5,0),0)</f>
        <v>0</v>
      </c>
      <c r="I2683" s="84">
        <f>IFERROR(VLOOKUP(B2683,Заказ!B:Q,16,0),0)</f>
        <v>0</v>
      </c>
    </row>
    <row r="2684" spans="2:9" x14ac:dyDescent="0.25">
      <c r="B2684" s="84">
        <v>14978</v>
      </c>
      <c r="D2684" s="84" t="str">
        <f t="shared" si="48"/>
        <v/>
      </c>
      <c r="H2684" s="84">
        <f>IFERROR(VLOOKUP(B2684,Заказ!B:Q,5,0),0)</f>
        <v>0</v>
      </c>
      <c r="I2684" s="84">
        <f>IFERROR(VLOOKUP(B2684,Заказ!B:Q,16,0),0)</f>
        <v>0</v>
      </c>
    </row>
    <row r="2685" spans="2:9" x14ac:dyDescent="0.25">
      <c r="B2685" s="84">
        <v>14979</v>
      </c>
      <c r="D2685" s="84" t="str">
        <f t="shared" si="48"/>
        <v/>
      </c>
      <c r="H2685" s="84">
        <f>IFERROR(VLOOKUP(B2685,Заказ!B:Q,5,0),0)</f>
        <v>0</v>
      </c>
      <c r="I2685" s="84">
        <f>IFERROR(VLOOKUP(B2685,Заказ!B:Q,16,0),0)</f>
        <v>0</v>
      </c>
    </row>
    <row r="2686" spans="2:9" x14ac:dyDescent="0.25">
      <c r="B2686" s="84">
        <v>15683</v>
      </c>
      <c r="D2686" s="84" t="str">
        <f t="shared" si="48"/>
        <v/>
      </c>
      <c r="H2686" s="84">
        <f>IFERROR(VLOOKUP(B2686,Заказ!B:Q,5,0),0)</f>
        <v>0</v>
      </c>
      <c r="I2686" s="84">
        <f>IFERROR(VLOOKUP(B2686,Заказ!B:Q,16,0),0)</f>
        <v>0</v>
      </c>
    </row>
    <row r="2687" spans="2:9" x14ac:dyDescent="0.25">
      <c r="B2687" s="84">
        <v>15684</v>
      </c>
      <c r="D2687" s="84" t="str">
        <f t="shared" si="48"/>
        <v/>
      </c>
      <c r="H2687" s="84">
        <f>IFERROR(VLOOKUP(B2687,Заказ!B:Q,5,0),0)</f>
        <v>0</v>
      </c>
      <c r="I2687" s="84">
        <f>IFERROR(VLOOKUP(B2687,Заказ!B:Q,16,0),0)</f>
        <v>0</v>
      </c>
    </row>
    <row r="2688" spans="2:9" x14ac:dyDescent="0.25">
      <c r="B2688" s="84">
        <v>15228</v>
      </c>
      <c r="D2688" s="84" t="str">
        <f t="shared" si="48"/>
        <v/>
      </c>
      <c r="H2688" s="84">
        <f>IFERROR(VLOOKUP(B2688,Заказ!B:Q,5,0),0)</f>
        <v>0</v>
      </c>
      <c r="I2688" s="84">
        <f>IFERROR(VLOOKUP(B2688,Заказ!B:Q,16,0),0)</f>
        <v>0</v>
      </c>
    </row>
    <row r="2689" spans="2:9" x14ac:dyDescent="0.25">
      <c r="B2689" s="84">
        <v>14977</v>
      </c>
      <c r="D2689" s="84" t="str">
        <f t="shared" si="48"/>
        <v/>
      </c>
      <c r="H2689" s="84">
        <f>IFERROR(VLOOKUP(B2689,Заказ!B:Q,5,0),0)</f>
        <v>0</v>
      </c>
      <c r="I2689" s="84">
        <f>IFERROR(VLOOKUP(B2689,Заказ!B:Q,16,0),0)</f>
        <v>0</v>
      </c>
    </row>
    <row r="2690" spans="2:9" x14ac:dyDescent="0.25">
      <c r="B2690" s="84">
        <v>18052</v>
      </c>
      <c r="D2690" s="84" t="str">
        <f t="shared" si="48"/>
        <v/>
      </c>
      <c r="H2690" s="84">
        <f>IFERROR(VLOOKUP(B2690,Заказ!B:Q,5,0),0)</f>
        <v>0</v>
      </c>
      <c r="I2690" s="84">
        <f>IFERROR(VLOOKUP(B2690,Заказ!B:Q,16,0),0)</f>
        <v>0</v>
      </c>
    </row>
    <row r="2691" spans="2:9" x14ac:dyDescent="0.25">
      <c r="B2691" s="84">
        <v>18053</v>
      </c>
      <c r="D2691" s="84" t="str">
        <f t="shared" si="48"/>
        <v/>
      </c>
      <c r="H2691" s="84">
        <f>IFERROR(VLOOKUP(B2691,Заказ!B:Q,5,0),0)</f>
        <v>0</v>
      </c>
      <c r="I2691" s="84">
        <f>IFERROR(VLOOKUP(B2691,Заказ!B:Q,16,0),0)</f>
        <v>0</v>
      </c>
    </row>
    <row r="2692" spans="2:9" x14ac:dyDescent="0.25">
      <c r="B2692" s="84">
        <v>21468</v>
      </c>
      <c r="D2692" s="84" t="str">
        <f t="shared" si="48"/>
        <v/>
      </c>
      <c r="H2692" s="84">
        <f>IFERROR(VLOOKUP(B2692,Заказ!B:Q,5,0),0)</f>
        <v>0</v>
      </c>
      <c r="I2692" s="84">
        <f>IFERROR(VLOOKUP(B2692,Заказ!B:Q,16,0),0)</f>
        <v>0</v>
      </c>
    </row>
    <row r="2693" spans="2:9" x14ac:dyDescent="0.25">
      <c r="B2693" s="84">
        <v>21469</v>
      </c>
      <c r="D2693" s="84" t="str">
        <f t="shared" si="48"/>
        <v/>
      </c>
      <c r="H2693" s="84">
        <f>IFERROR(VLOOKUP(B2693,Заказ!B:Q,5,0),0)</f>
        <v>0</v>
      </c>
      <c r="I2693" s="84">
        <f>IFERROR(VLOOKUP(B2693,Заказ!B:Q,16,0),0)</f>
        <v>0</v>
      </c>
    </row>
    <row r="2694" spans="2:9" x14ac:dyDescent="0.25">
      <c r="B2694" s="84">
        <v>17572</v>
      </c>
      <c r="D2694" s="84" t="str">
        <f t="shared" si="48"/>
        <v/>
      </c>
      <c r="H2694" s="84">
        <f>IFERROR(VLOOKUP(B2694,Заказ!B:Q,5,0),0)</f>
        <v>0</v>
      </c>
      <c r="I2694" s="84">
        <f>IFERROR(VLOOKUP(B2694,Заказ!B:Q,16,0),0)</f>
        <v>0</v>
      </c>
    </row>
    <row r="2695" spans="2:9" x14ac:dyDescent="0.25">
      <c r="B2695" s="84">
        <v>18049</v>
      </c>
      <c r="D2695" s="84" t="str">
        <f t="shared" si="48"/>
        <v/>
      </c>
      <c r="H2695" s="84">
        <f>IFERROR(VLOOKUP(B2695,Заказ!B:Q,5,0),0)</f>
        <v>0</v>
      </c>
      <c r="I2695" s="84">
        <f>IFERROR(VLOOKUP(B2695,Заказ!B:Q,16,0),0)</f>
        <v>0</v>
      </c>
    </row>
    <row r="2696" spans="2:9" x14ac:dyDescent="0.25">
      <c r="B2696" s="84">
        <v>21465</v>
      </c>
      <c r="D2696" s="84" t="str">
        <f t="shared" si="48"/>
        <v/>
      </c>
      <c r="H2696" s="84">
        <f>IFERROR(VLOOKUP(B2696,Заказ!B:Q,5,0),0)</f>
        <v>0</v>
      </c>
      <c r="I2696" s="84">
        <f>IFERROR(VLOOKUP(B2696,Заказ!B:Q,16,0),0)</f>
        <v>0</v>
      </c>
    </row>
    <row r="2697" spans="2:9" x14ac:dyDescent="0.25">
      <c r="B2697" s="84">
        <v>21466</v>
      </c>
      <c r="D2697" s="84" t="str">
        <f t="shared" si="48"/>
        <v/>
      </c>
      <c r="H2697" s="84">
        <f>IFERROR(VLOOKUP(B2697,Заказ!B:Q,5,0),0)</f>
        <v>0</v>
      </c>
      <c r="I2697" s="84">
        <f>IFERROR(VLOOKUP(B2697,Заказ!B:Q,16,0),0)</f>
        <v>0</v>
      </c>
    </row>
    <row r="2698" spans="2:9" x14ac:dyDescent="0.25">
      <c r="B2698" s="84">
        <v>21467</v>
      </c>
      <c r="D2698" s="84" t="str">
        <f t="shared" si="48"/>
        <v/>
      </c>
      <c r="H2698" s="84">
        <f>IFERROR(VLOOKUP(B2698,Заказ!B:Q,5,0),0)</f>
        <v>0</v>
      </c>
      <c r="I2698" s="84">
        <f>IFERROR(VLOOKUP(B2698,Заказ!B:Q,16,0),0)</f>
        <v>0</v>
      </c>
    </row>
    <row r="2699" spans="2:9" x14ac:dyDescent="0.25">
      <c r="B2699" s="84">
        <v>20472</v>
      </c>
      <c r="D2699" s="84" t="str">
        <f t="shared" si="48"/>
        <v/>
      </c>
      <c r="H2699" s="84">
        <f>IFERROR(VLOOKUP(B2699,Заказ!B:Q,5,0),0)</f>
        <v>0</v>
      </c>
      <c r="I2699" s="84">
        <f>IFERROR(VLOOKUP(B2699,Заказ!B:Q,16,0),0)</f>
        <v>0</v>
      </c>
    </row>
    <row r="2700" spans="2:9" x14ac:dyDescent="0.25">
      <c r="B2700" s="84">
        <v>16706</v>
      </c>
      <c r="D2700" s="84" t="str">
        <f t="shared" si="48"/>
        <v/>
      </c>
      <c r="H2700" s="84">
        <f>IFERROR(VLOOKUP(B2700,Заказ!B:Q,5,0),0)</f>
        <v>0</v>
      </c>
      <c r="I2700" s="84">
        <f>IFERROR(VLOOKUP(B2700,Заказ!B:Q,16,0),0)</f>
        <v>0</v>
      </c>
    </row>
    <row r="2701" spans="2:9" x14ac:dyDescent="0.25">
      <c r="B2701" s="84">
        <v>16707</v>
      </c>
      <c r="D2701" s="84" t="str">
        <f t="shared" si="48"/>
        <v/>
      </c>
      <c r="H2701" s="84">
        <f>IFERROR(VLOOKUP(B2701,Заказ!B:Q,5,0),0)</f>
        <v>0</v>
      </c>
      <c r="I2701" s="84">
        <f>IFERROR(VLOOKUP(B2701,Заказ!B:Q,16,0),0)</f>
        <v>0</v>
      </c>
    </row>
    <row r="2702" spans="2:9" x14ac:dyDescent="0.25">
      <c r="B2702" s="84">
        <v>16708</v>
      </c>
      <c r="D2702" s="84" t="str">
        <f t="shared" ref="D2702:D2704" si="49">IFERROR(ROUND(I2702/H2702,2),"")</f>
        <v/>
      </c>
      <c r="H2702" s="84">
        <f>IFERROR(VLOOKUP(B2702,Заказ!B:Q,5,0),0)</f>
        <v>0</v>
      </c>
      <c r="I2702" s="84">
        <f>IFERROR(VLOOKUP(B2702,Заказ!B:Q,16,0),0)</f>
        <v>0</v>
      </c>
    </row>
    <row r="2703" spans="2:9" x14ac:dyDescent="0.25">
      <c r="B2703" s="84">
        <v>21560</v>
      </c>
      <c r="D2703" s="84" t="str">
        <f t="shared" si="49"/>
        <v/>
      </c>
      <c r="H2703" s="84">
        <f>IFERROR(VLOOKUP(B2703,Заказ!B:Q,5,0),0)</f>
        <v>0</v>
      </c>
      <c r="I2703" s="84">
        <f>IFERROR(VLOOKUP(B2703,Заказ!B:Q,16,0),0)</f>
        <v>0</v>
      </c>
    </row>
    <row r="2704" spans="2:9" x14ac:dyDescent="0.25">
      <c r="B2704" s="84">
        <v>19474</v>
      </c>
      <c r="D2704" s="84" t="str">
        <f t="shared" si="49"/>
        <v/>
      </c>
      <c r="H2704" s="84">
        <f>IFERROR(VLOOKUP(B2704,Заказ!B:Q,5,0),0)</f>
        <v>0</v>
      </c>
      <c r="I2704" s="84">
        <f>IFERROR(VLOOKUP(B2704,Заказ!B:Q,16,0),0)</f>
        <v>0</v>
      </c>
    </row>
    <row r="2705" spans="2:9" x14ac:dyDescent="0.25">
      <c r="B2705" s="84">
        <v>16519</v>
      </c>
      <c r="D2705" s="84" t="str">
        <f t="shared" si="48"/>
        <v/>
      </c>
      <c r="H2705" s="84">
        <f>IFERROR(VLOOKUP(B2705,Заказ!B:Q,5,0),0)</f>
        <v>0</v>
      </c>
      <c r="I2705" s="84">
        <f>IFERROR(VLOOKUP(B2705,Заказ!B:Q,16,0),0)</f>
        <v>0</v>
      </c>
    </row>
    <row r="2706" spans="2:9" x14ac:dyDescent="0.25">
      <c r="B2706" s="84">
        <v>16518</v>
      </c>
      <c r="D2706" s="84" t="str">
        <f t="shared" si="48"/>
        <v/>
      </c>
      <c r="H2706" s="84">
        <f>IFERROR(VLOOKUP(B2706,Заказ!B:Q,5,0),0)</f>
        <v>0</v>
      </c>
      <c r="I2706" s="84">
        <f>IFERROR(VLOOKUP(B2706,Заказ!B:Q,16,0),0)</f>
        <v>0</v>
      </c>
    </row>
    <row r="2707" spans="2:9" x14ac:dyDescent="0.25">
      <c r="B2707" s="84">
        <v>19334</v>
      </c>
      <c r="D2707" s="84" t="str">
        <f t="shared" si="48"/>
        <v/>
      </c>
      <c r="H2707" s="84">
        <f>IFERROR(VLOOKUP(B2707,Заказ!B:Q,5,0),0)</f>
        <v>0</v>
      </c>
      <c r="I2707" s="84">
        <f>IFERROR(VLOOKUP(B2707,Заказ!B:Q,16,0),0)</f>
        <v>0</v>
      </c>
    </row>
    <row r="2708" spans="2:9" x14ac:dyDescent="0.25">
      <c r="B2708" s="84">
        <v>16517</v>
      </c>
      <c r="D2708" s="84" t="str">
        <f t="shared" si="48"/>
        <v/>
      </c>
      <c r="H2708" s="84">
        <f>IFERROR(VLOOKUP(B2708,Заказ!B:Q,5,0),0)</f>
        <v>0</v>
      </c>
      <c r="I2708" s="84">
        <f>IFERROR(VLOOKUP(B2708,Заказ!B:Q,16,0),0)</f>
        <v>0</v>
      </c>
    </row>
    <row r="2709" spans="2:9" x14ac:dyDescent="0.25">
      <c r="B2709" s="84">
        <v>14586</v>
      </c>
      <c r="D2709" s="84" t="str">
        <f t="shared" si="48"/>
        <v/>
      </c>
      <c r="H2709" s="84">
        <f>IFERROR(VLOOKUP(B2709,Заказ!B:Q,5,0),0)</f>
        <v>0</v>
      </c>
      <c r="I2709" s="84">
        <f>IFERROR(VLOOKUP(B2709,Заказ!B:Q,16,0),0)</f>
        <v>0</v>
      </c>
    </row>
    <row r="2710" spans="2:9" x14ac:dyDescent="0.25">
      <c r="B2710" s="84">
        <v>14578</v>
      </c>
      <c r="D2710" s="84" t="str">
        <f t="shared" si="48"/>
        <v/>
      </c>
      <c r="H2710" s="84">
        <f>IFERROR(VLOOKUP(B2710,Заказ!B:Q,5,0),0)</f>
        <v>0</v>
      </c>
      <c r="I2710" s="84">
        <f>IFERROR(VLOOKUP(B2710,Заказ!B:Q,16,0),0)</f>
        <v>0</v>
      </c>
    </row>
    <row r="2711" spans="2:9" x14ac:dyDescent="0.25">
      <c r="B2711" s="84">
        <v>17845</v>
      </c>
      <c r="D2711" s="84" t="str">
        <f t="shared" si="48"/>
        <v/>
      </c>
      <c r="H2711" s="84">
        <f>IFERROR(VLOOKUP(B2711,Заказ!B:Q,5,0),0)</f>
        <v>0</v>
      </c>
      <c r="I2711" s="84">
        <f>IFERROR(VLOOKUP(B2711,Заказ!B:Q,16,0),0)</f>
        <v>0</v>
      </c>
    </row>
    <row r="2712" spans="2:9" x14ac:dyDescent="0.25">
      <c r="B2712" s="84">
        <v>19815</v>
      </c>
      <c r="D2712" s="84" t="str">
        <f t="shared" si="48"/>
        <v/>
      </c>
      <c r="H2712" s="84">
        <f>IFERROR(VLOOKUP(B2712,Заказ!B:Q,5,0),0)</f>
        <v>0</v>
      </c>
      <c r="I2712" s="84">
        <f>IFERROR(VLOOKUP(B2712,Заказ!B:Q,16,0),0)</f>
        <v>0</v>
      </c>
    </row>
    <row r="2713" spans="2:9" x14ac:dyDescent="0.25">
      <c r="B2713" s="84">
        <v>19814</v>
      </c>
      <c r="D2713" s="84" t="str">
        <f t="shared" si="48"/>
        <v/>
      </c>
      <c r="H2713" s="84">
        <f>IFERROR(VLOOKUP(B2713,Заказ!B:Q,5,0),0)</f>
        <v>0</v>
      </c>
      <c r="I2713" s="84">
        <f>IFERROR(VLOOKUP(B2713,Заказ!B:Q,16,0),0)</f>
        <v>0</v>
      </c>
    </row>
    <row r="2714" spans="2:9" x14ac:dyDescent="0.25">
      <c r="B2714" s="84">
        <v>20147</v>
      </c>
      <c r="D2714" s="84" t="str">
        <f t="shared" si="48"/>
        <v/>
      </c>
      <c r="H2714" s="84">
        <f>IFERROR(VLOOKUP(B2714,Заказ!B:Q,5,0),0)</f>
        <v>0</v>
      </c>
      <c r="I2714" s="84">
        <f>IFERROR(VLOOKUP(B2714,Заказ!B:Q,16,0),0)</f>
        <v>0</v>
      </c>
    </row>
    <row r="2715" spans="2:9" x14ac:dyDescent="0.25">
      <c r="B2715" s="84">
        <v>16704</v>
      </c>
      <c r="D2715" s="84" t="str">
        <f t="shared" si="48"/>
        <v/>
      </c>
      <c r="H2715" s="84">
        <f>IFERROR(VLOOKUP(B2715,Заказ!B:Q,5,0),0)</f>
        <v>0</v>
      </c>
      <c r="I2715" s="84">
        <f>IFERROR(VLOOKUP(B2715,Заказ!B:Q,16,0),0)</f>
        <v>0</v>
      </c>
    </row>
    <row r="2716" spans="2:9" x14ac:dyDescent="0.25">
      <c r="B2716" s="84">
        <v>18172</v>
      </c>
      <c r="D2716" s="84" t="str">
        <f t="shared" si="48"/>
        <v/>
      </c>
      <c r="H2716" s="84">
        <f>IFERROR(VLOOKUP(B2716,Заказ!B:Q,5,0),0)</f>
        <v>0</v>
      </c>
      <c r="I2716" s="84">
        <f>IFERROR(VLOOKUP(B2716,Заказ!B:Q,16,0),0)</f>
        <v>0</v>
      </c>
    </row>
    <row r="2717" spans="2:9" x14ac:dyDescent="0.25">
      <c r="B2717" s="84">
        <v>16711</v>
      </c>
      <c r="D2717" s="84" t="str">
        <f t="shared" si="48"/>
        <v/>
      </c>
      <c r="H2717" s="84">
        <f>IFERROR(VLOOKUP(B2717,Заказ!B:Q,5,0),0)</f>
        <v>0</v>
      </c>
      <c r="I2717" s="84">
        <f>IFERROR(VLOOKUP(B2717,Заказ!B:Q,16,0),0)</f>
        <v>0</v>
      </c>
    </row>
    <row r="2718" spans="2:9" x14ac:dyDescent="0.25">
      <c r="B2718" s="84">
        <v>19578</v>
      </c>
      <c r="D2718" s="84" t="str">
        <f t="shared" si="48"/>
        <v/>
      </c>
      <c r="H2718" s="84">
        <f>IFERROR(VLOOKUP(B2718,Заказ!B:Q,5,0),0)</f>
        <v>0</v>
      </c>
      <c r="I2718" s="84">
        <f>IFERROR(VLOOKUP(B2718,Заказ!B:Q,16,0),0)</f>
        <v>0</v>
      </c>
    </row>
    <row r="2719" spans="2:9" x14ac:dyDescent="0.25">
      <c r="B2719" s="84">
        <v>19569</v>
      </c>
      <c r="D2719" s="84" t="str">
        <f t="shared" si="48"/>
        <v/>
      </c>
      <c r="H2719" s="84">
        <f>IFERROR(VLOOKUP(B2719,Заказ!B:Q,5,0),0)</f>
        <v>0</v>
      </c>
      <c r="I2719" s="84">
        <f>IFERROR(VLOOKUP(B2719,Заказ!B:Q,16,0),0)</f>
        <v>0</v>
      </c>
    </row>
    <row r="2720" spans="2:9" x14ac:dyDescent="0.25">
      <c r="B2720" s="84">
        <v>19538</v>
      </c>
      <c r="D2720" s="84" t="str">
        <f t="shared" si="48"/>
        <v/>
      </c>
      <c r="H2720" s="84">
        <f>IFERROR(VLOOKUP(B2720,Заказ!B:Q,5,0),0)</f>
        <v>0</v>
      </c>
      <c r="I2720" s="84">
        <f>IFERROR(VLOOKUP(B2720,Заказ!B:Q,16,0),0)</f>
        <v>0</v>
      </c>
    </row>
    <row r="2721" spans="2:9" x14ac:dyDescent="0.25">
      <c r="B2721" s="84">
        <v>19585</v>
      </c>
      <c r="D2721" s="84" t="str">
        <f t="shared" si="48"/>
        <v/>
      </c>
      <c r="H2721" s="84">
        <f>IFERROR(VLOOKUP(B2721,Заказ!B:Q,5,0),0)</f>
        <v>0</v>
      </c>
      <c r="I2721" s="84">
        <f>IFERROR(VLOOKUP(B2721,Заказ!B:Q,16,0),0)</f>
        <v>0</v>
      </c>
    </row>
    <row r="2722" spans="2:9" x14ac:dyDescent="0.25">
      <c r="B2722" s="84">
        <v>20319</v>
      </c>
      <c r="D2722" s="84" t="str">
        <f t="shared" si="48"/>
        <v/>
      </c>
      <c r="H2722" s="84">
        <f>IFERROR(VLOOKUP(B2722,Заказ!B:Q,5,0),0)</f>
        <v>0</v>
      </c>
      <c r="I2722" s="84">
        <f>IFERROR(VLOOKUP(B2722,Заказ!B:Q,16,0),0)</f>
        <v>0</v>
      </c>
    </row>
    <row r="2723" spans="2:9" x14ac:dyDescent="0.25">
      <c r="B2723" s="84">
        <v>20320</v>
      </c>
      <c r="D2723" s="84" t="str">
        <f t="shared" si="48"/>
        <v/>
      </c>
      <c r="H2723" s="84">
        <f>IFERROR(VLOOKUP(B2723,Заказ!B:Q,5,0),0)</f>
        <v>0</v>
      </c>
      <c r="I2723" s="84">
        <f>IFERROR(VLOOKUP(B2723,Заказ!B:Q,16,0),0)</f>
        <v>0</v>
      </c>
    </row>
    <row r="2724" spans="2:9" x14ac:dyDescent="0.25">
      <c r="B2724" s="84">
        <v>19214</v>
      </c>
      <c r="D2724" s="84" t="str">
        <f t="shared" si="48"/>
        <v/>
      </c>
      <c r="H2724" s="84">
        <f>IFERROR(VLOOKUP(B2724,Заказ!B:Q,5,0),0)</f>
        <v>0</v>
      </c>
      <c r="I2724" s="84">
        <f>IFERROR(VLOOKUP(B2724,Заказ!B:Q,16,0),0)</f>
        <v>0</v>
      </c>
    </row>
    <row r="2725" spans="2:9" x14ac:dyDescent="0.25">
      <c r="B2725" s="84">
        <v>20972</v>
      </c>
      <c r="D2725" s="84" t="str">
        <f t="shared" si="48"/>
        <v/>
      </c>
      <c r="H2725" s="84">
        <f>IFERROR(VLOOKUP(B2725,Заказ!B:Q,5,0),0)</f>
        <v>0</v>
      </c>
      <c r="I2725" s="84">
        <f>IFERROR(VLOOKUP(B2725,Заказ!B:Q,16,0),0)</f>
        <v>0</v>
      </c>
    </row>
    <row r="2726" spans="2:9" x14ac:dyDescent="0.25">
      <c r="B2726" s="84">
        <v>19539</v>
      </c>
      <c r="D2726" s="84" t="str">
        <f t="shared" si="48"/>
        <v/>
      </c>
      <c r="H2726" s="84">
        <f>IFERROR(VLOOKUP(B2726,Заказ!B:Q,5,0),0)</f>
        <v>0</v>
      </c>
      <c r="I2726" s="84">
        <f>IFERROR(VLOOKUP(B2726,Заказ!B:Q,16,0),0)</f>
        <v>0</v>
      </c>
    </row>
    <row r="2727" spans="2:9" x14ac:dyDescent="0.25">
      <c r="B2727" s="84">
        <v>19540</v>
      </c>
      <c r="D2727" s="84" t="str">
        <f t="shared" ref="D2727:D2791" si="50">IFERROR(ROUND(I2727/H2727,2),"")</f>
        <v/>
      </c>
      <c r="H2727" s="84">
        <f>IFERROR(VLOOKUP(B2727,Заказ!B:Q,5,0),0)</f>
        <v>0</v>
      </c>
      <c r="I2727" s="84">
        <f>IFERROR(VLOOKUP(B2727,Заказ!B:Q,16,0),0)</f>
        <v>0</v>
      </c>
    </row>
    <row r="2728" spans="2:9" x14ac:dyDescent="0.25">
      <c r="B2728" s="84">
        <v>19541</v>
      </c>
      <c r="D2728" s="84" t="str">
        <f t="shared" si="50"/>
        <v/>
      </c>
      <c r="H2728" s="84">
        <f>IFERROR(VLOOKUP(B2728,Заказ!B:Q,5,0),0)</f>
        <v>0</v>
      </c>
      <c r="I2728" s="84">
        <f>IFERROR(VLOOKUP(B2728,Заказ!B:Q,16,0),0)</f>
        <v>0</v>
      </c>
    </row>
    <row r="2729" spans="2:9" x14ac:dyDescent="0.25">
      <c r="B2729" s="84">
        <v>15685</v>
      </c>
      <c r="D2729" s="84" t="str">
        <f t="shared" si="50"/>
        <v/>
      </c>
      <c r="H2729" s="84">
        <f>IFERROR(VLOOKUP(B2729,Заказ!B:Q,5,0),0)</f>
        <v>0</v>
      </c>
      <c r="I2729" s="84">
        <f>IFERROR(VLOOKUP(B2729,Заказ!B:Q,16,0),0)</f>
        <v>0</v>
      </c>
    </row>
    <row r="2730" spans="2:9" x14ac:dyDescent="0.25">
      <c r="B2730" s="84">
        <v>20947</v>
      </c>
      <c r="D2730" s="84" t="str">
        <f t="shared" si="50"/>
        <v/>
      </c>
      <c r="H2730" s="84">
        <f>IFERROR(VLOOKUP(B2730,Заказ!B:Q,5,0),0)</f>
        <v>0</v>
      </c>
      <c r="I2730" s="84">
        <f>IFERROR(VLOOKUP(B2730,Заказ!B:Q,16,0),0)</f>
        <v>0</v>
      </c>
    </row>
    <row r="2731" spans="2:9" x14ac:dyDescent="0.25">
      <c r="B2731" s="84">
        <v>20321</v>
      </c>
      <c r="D2731" s="84" t="str">
        <f t="shared" si="50"/>
        <v/>
      </c>
      <c r="H2731" s="84">
        <f>IFERROR(VLOOKUP(B2731,Заказ!B:Q,5,0),0)</f>
        <v>0</v>
      </c>
      <c r="I2731" s="84">
        <f>IFERROR(VLOOKUP(B2731,Заказ!B:Q,16,0),0)</f>
        <v>0</v>
      </c>
    </row>
    <row r="2732" spans="2:9" x14ac:dyDescent="0.25">
      <c r="B2732" s="84">
        <v>21237</v>
      </c>
      <c r="D2732" s="84" t="str">
        <f t="shared" si="50"/>
        <v/>
      </c>
      <c r="H2732" s="84">
        <f>IFERROR(VLOOKUP(B2732,Заказ!B:Q,5,0),0)</f>
        <v>0</v>
      </c>
      <c r="I2732" s="84">
        <f>IFERROR(VLOOKUP(B2732,Заказ!B:Q,16,0),0)</f>
        <v>0</v>
      </c>
    </row>
    <row r="2733" spans="2:9" x14ac:dyDescent="0.25">
      <c r="B2733" s="84">
        <v>21541</v>
      </c>
      <c r="D2733" s="84" t="str">
        <f t="shared" ref="D2733:D2734" si="51">IFERROR(ROUND(I2733/H2733,2),"")</f>
        <v/>
      </c>
      <c r="H2733" s="84">
        <f>IFERROR(VLOOKUP(B2733,Заказ!B:Q,5,0),0)</f>
        <v>0</v>
      </c>
      <c r="I2733" s="84">
        <f>IFERROR(VLOOKUP(B2733,Заказ!B:Q,16,0),0)</f>
        <v>0</v>
      </c>
    </row>
    <row r="2734" spans="2:9" x14ac:dyDescent="0.25">
      <c r="B2734" s="84">
        <v>21190</v>
      </c>
      <c r="D2734" s="84" t="str">
        <f t="shared" si="51"/>
        <v/>
      </c>
      <c r="H2734" s="84">
        <f>IFERROR(VLOOKUP(B2734,Заказ!B:Q,5,0),0)</f>
        <v>0</v>
      </c>
      <c r="I2734" s="84">
        <f>IFERROR(VLOOKUP(B2734,Заказ!B:Q,16,0),0)</f>
        <v>0</v>
      </c>
    </row>
    <row r="2735" spans="2:9" x14ac:dyDescent="0.25">
      <c r="B2735" s="84">
        <v>21470</v>
      </c>
      <c r="D2735" s="84" t="str">
        <f t="shared" si="50"/>
        <v/>
      </c>
      <c r="H2735" s="84">
        <f>IFERROR(VLOOKUP(B2735,Заказ!B:Q,5,0),0)</f>
        <v>0</v>
      </c>
      <c r="I2735" s="84">
        <f>IFERROR(VLOOKUP(B2735,Заказ!B:Q,16,0),0)</f>
        <v>0</v>
      </c>
    </row>
    <row r="2736" spans="2:9" x14ac:dyDescent="0.25">
      <c r="B2736" s="84">
        <v>21471</v>
      </c>
      <c r="D2736" s="84" t="str">
        <f t="shared" si="50"/>
        <v/>
      </c>
      <c r="H2736" s="84">
        <f>IFERROR(VLOOKUP(B2736,Заказ!B:Q,5,0),0)</f>
        <v>0</v>
      </c>
      <c r="I2736" s="84">
        <f>IFERROR(VLOOKUP(B2736,Заказ!B:Q,16,0),0)</f>
        <v>0</v>
      </c>
    </row>
    <row r="2737" spans="2:9" x14ac:dyDescent="0.25">
      <c r="B2737" s="84">
        <v>21472</v>
      </c>
      <c r="D2737" s="84" t="str">
        <f t="shared" si="50"/>
        <v/>
      </c>
      <c r="H2737" s="84">
        <f>IFERROR(VLOOKUP(B2737,Заказ!B:Q,5,0),0)</f>
        <v>0</v>
      </c>
      <c r="I2737" s="84">
        <f>IFERROR(VLOOKUP(B2737,Заказ!B:Q,16,0),0)</f>
        <v>0</v>
      </c>
    </row>
    <row r="2738" spans="2:9" x14ac:dyDescent="0.25">
      <c r="B2738" s="84">
        <v>20060</v>
      </c>
      <c r="D2738" s="84" t="str">
        <f t="shared" si="50"/>
        <v/>
      </c>
      <c r="H2738" s="84">
        <f>IFERROR(VLOOKUP(B2738,Заказ!B:Q,5,0),0)</f>
        <v>0</v>
      </c>
      <c r="I2738" s="84">
        <f>IFERROR(VLOOKUP(B2738,Заказ!B:Q,16,0),0)</f>
        <v>0</v>
      </c>
    </row>
    <row r="2739" spans="2:9" x14ac:dyDescent="0.25">
      <c r="B2739" s="84">
        <v>21186</v>
      </c>
      <c r="D2739" s="84" t="str">
        <f t="shared" si="50"/>
        <v/>
      </c>
      <c r="H2739" s="84">
        <f>IFERROR(VLOOKUP(B2739,Заказ!B:Q,5,0),0)</f>
        <v>0</v>
      </c>
      <c r="I2739" s="84">
        <f>IFERROR(VLOOKUP(B2739,Заказ!B:Q,16,0),0)</f>
        <v>0</v>
      </c>
    </row>
    <row r="2740" spans="2:9" x14ac:dyDescent="0.25">
      <c r="B2740" s="84">
        <v>21187</v>
      </c>
      <c r="D2740" s="84" t="str">
        <f t="shared" si="50"/>
        <v/>
      </c>
      <c r="H2740" s="84">
        <f>IFERROR(VLOOKUP(B2740,Заказ!B:Q,5,0),0)</f>
        <v>0</v>
      </c>
      <c r="I2740" s="84">
        <f>IFERROR(VLOOKUP(B2740,Заказ!B:Q,16,0),0)</f>
        <v>0</v>
      </c>
    </row>
    <row r="2741" spans="2:9" x14ac:dyDescent="0.25">
      <c r="B2741" s="84">
        <v>21140</v>
      </c>
      <c r="D2741" s="84" t="str">
        <f t="shared" si="50"/>
        <v/>
      </c>
      <c r="H2741" s="84">
        <f>IFERROR(VLOOKUP(B2741,Заказ!B:Q,5,0),0)</f>
        <v>0</v>
      </c>
      <c r="I2741" s="84">
        <f>IFERROR(VLOOKUP(B2741,Заказ!B:Q,16,0),0)</f>
        <v>0</v>
      </c>
    </row>
    <row r="2742" spans="2:9" x14ac:dyDescent="0.25">
      <c r="B2742" s="84">
        <v>21136</v>
      </c>
      <c r="D2742" s="84" t="str">
        <f t="shared" si="50"/>
        <v/>
      </c>
      <c r="H2742" s="84">
        <f>IFERROR(VLOOKUP(B2742,Заказ!B:Q,5,0),0)</f>
        <v>0</v>
      </c>
      <c r="I2742" s="84">
        <f>IFERROR(VLOOKUP(B2742,Заказ!B:Q,16,0),0)</f>
        <v>0</v>
      </c>
    </row>
    <row r="2743" spans="2:9" x14ac:dyDescent="0.25">
      <c r="B2743" s="84">
        <v>21137</v>
      </c>
      <c r="D2743" s="84" t="str">
        <f t="shared" si="50"/>
        <v/>
      </c>
      <c r="H2743" s="84">
        <f>IFERROR(VLOOKUP(B2743,Заказ!B:Q,5,0),0)</f>
        <v>0</v>
      </c>
      <c r="I2743" s="84">
        <f>IFERROR(VLOOKUP(B2743,Заказ!B:Q,16,0),0)</f>
        <v>0</v>
      </c>
    </row>
    <row r="2744" spans="2:9" x14ac:dyDescent="0.25">
      <c r="B2744" s="84">
        <v>21138</v>
      </c>
      <c r="D2744" s="84" t="str">
        <f t="shared" si="50"/>
        <v/>
      </c>
      <c r="H2744" s="84">
        <f>IFERROR(VLOOKUP(B2744,Заказ!B:Q,5,0),0)</f>
        <v>0</v>
      </c>
      <c r="I2744" s="84">
        <f>IFERROR(VLOOKUP(B2744,Заказ!B:Q,16,0),0)</f>
        <v>0</v>
      </c>
    </row>
    <row r="2745" spans="2:9" x14ac:dyDescent="0.25">
      <c r="B2745" s="84">
        <v>21139</v>
      </c>
      <c r="D2745" s="84" t="str">
        <f t="shared" si="50"/>
        <v/>
      </c>
      <c r="H2745" s="84">
        <f>IFERROR(VLOOKUP(B2745,Заказ!B:Q,5,0),0)</f>
        <v>0</v>
      </c>
      <c r="I2745" s="84">
        <f>IFERROR(VLOOKUP(B2745,Заказ!B:Q,16,0),0)</f>
        <v>0</v>
      </c>
    </row>
    <row r="2746" spans="2:9" x14ac:dyDescent="0.25">
      <c r="B2746" s="84">
        <v>14849</v>
      </c>
      <c r="D2746" s="84" t="str">
        <f t="shared" si="50"/>
        <v/>
      </c>
      <c r="H2746" s="84">
        <f>IFERROR(VLOOKUP(B2746,Заказ!B:Q,5,0),0)</f>
        <v>0</v>
      </c>
      <c r="I2746" s="84">
        <f>IFERROR(VLOOKUP(B2746,Заказ!B:Q,16,0),0)</f>
        <v>0</v>
      </c>
    </row>
    <row r="2747" spans="2:9" x14ac:dyDescent="0.25">
      <c r="B2747" s="84">
        <v>14982</v>
      </c>
      <c r="D2747" s="84" t="str">
        <f t="shared" si="50"/>
        <v/>
      </c>
      <c r="H2747" s="84">
        <f>IFERROR(VLOOKUP(B2747,Заказ!B:Q,5,0),0)</f>
        <v>0</v>
      </c>
      <c r="I2747" s="84">
        <f>IFERROR(VLOOKUP(B2747,Заказ!B:Q,16,0),0)</f>
        <v>0</v>
      </c>
    </row>
    <row r="2748" spans="2:9" x14ac:dyDescent="0.25">
      <c r="B2748" s="84">
        <v>20959</v>
      </c>
      <c r="D2748" s="84" t="str">
        <f t="shared" si="50"/>
        <v/>
      </c>
      <c r="H2748" s="84">
        <f>IFERROR(VLOOKUP(B2748,Заказ!B:Q,5,0),0)</f>
        <v>0</v>
      </c>
      <c r="I2748" s="84">
        <f>IFERROR(VLOOKUP(B2748,Заказ!B:Q,16,0),0)</f>
        <v>0</v>
      </c>
    </row>
    <row r="2749" spans="2:9" x14ac:dyDescent="0.25">
      <c r="B2749" s="84">
        <v>20943</v>
      </c>
      <c r="D2749" s="84" t="str">
        <f t="shared" si="50"/>
        <v/>
      </c>
      <c r="H2749" s="84">
        <f>IFERROR(VLOOKUP(B2749,Заказ!B:Q,5,0),0)</f>
        <v>0</v>
      </c>
      <c r="I2749" s="84">
        <f>IFERROR(VLOOKUP(B2749,Заказ!B:Q,16,0),0)</f>
        <v>0</v>
      </c>
    </row>
    <row r="2750" spans="2:9" x14ac:dyDescent="0.25">
      <c r="B2750" s="84">
        <v>21448</v>
      </c>
      <c r="D2750" s="84" t="str">
        <f t="shared" si="50"/>
        <v/>
      </c>
      <c r="H2750" s="84">
        <f>IFERROR(VLOOKUP(B2750,Заказ!B:Q,5,0),0)</f>
        <v>0</v>
      </c>
      <c r="I2750" s="84">
        <f>IFERROR(VLOOKUP(B2750,Заказ!B:Q,16,0),0)</f>
        <v>0</v>
      </c>
    </row>
    <row r="2751" spans="2:9" x14ac:dyDescent="0.25">
      <c r="B2751" s="84">
        <v>21206</v>
      </c>
      <c r="D2751" s="84" t="str">
        <f t="shared" si="50"/>
        <v/>
      </c>
      <c r="H2751" s="84">
        <f>IFERROR(VLOOKUP(B2751,Заказ!B:Q,5,0),0)</f>
        <v>0</v>
      </c>
      <c r="I2751" s="84">
        <f>IFERROR(VLOOKUP(B2751,Заказ!B:Q,16,0),0)</f>
        <v>0</v>
      </c>
    </row>
    <row r="2752" spans="2:9" x14ac:dyDescent="0.25">
      <c r="B2752" s="84">
        <v>21207</v>
      </c>
      <c r="D2752" s="84" t="str">
        <f t="shared" si="50"/>
        <v/>
      </c>
      <c r="H2752" s="84">
        <f>IFERROR(VLOOKUP(B2752,Заказ!B:Q,5,0),0)</f>
        <v>0</v>
      </c>
      <c r="I2752" s="84">
        <f>IFERROR(VLOOKUP(B2752,Заказ!B:Q,16,0),0)</f>
        <v>0</v>
      </c>
    </row>
    <row r="2753" spans="2:9" x14ac:dyDescent="0.25">
      <c r="B2753" s="84">
        <v>21208</v>
      </c>
      <c r="D2753" s="84" t="str">
        <f t="shared" si="50"/>
        <v/>
      </c>
      <c r="H2753" s="84">
        <f>IFERROR(VLOOKUP(B2753,Заказ!B:Q,5,0),0)</f>
        <v>0</v>
      </c>
      <c r="I2753" s="84">
        <f>IFERROR(VLOOKUP(B2753,Заказ!B:Q,16,0),0)</f>
        <v>0</v>
      </c>
    </row>
    <row r="2754" spans="2:9" x14ac:dyDescent="0.25">
      <c r="B2754" s="84">
        <v>20754</v>
      </c>
      <c r="D2754" s="84" t="str">
        <f t="shared" si="50"/>
        <v/>
      </c>
      <c r="H2754" s="84">
        <f>IFERROR(VLOOKUP(B2754,Заказ!B:Q,5,0),0)</f>
        <v>0</v>
      </c>
      <c r="I2754" s="84">
        <f>IFERROR(VLOOKUP(B2754,Заказ!B:Q,16,0),0)</f>
        <v>0</v>
      </c>
    </row>
    <row r="2755" spans="2:9" x14ac:dyDescent="0.25">
      <c r="B2755" s="84">
        <v>20753</v>
      </c>
      <c r="D2755" s="84" t="str">
        <f t="shared" si="50"/>
        <v/>
      </c>
      <c r="H2755" s="84">
        <f>IFERROR(VLOOKUP(B2755,Заказ!B:Q,5,0),0)</f>
        <v>0</v>
      </c>
      <c r="I2755" s="84">
        <f>IFERROR(VLOOKUP(B2755,Заказ!B:Q,16,0),0)</f>
        <v>0</v>
      </c>
    </row>
    <row r="2756" spans="2:9" x14ac:dyDescent="0.25">
      <c r="B2756" s="84">
        <v>20546</v>
      </c>
      <c r="D2756" s="84" t="str">
        <f t="shared" si="50"/>
        <v/>
      </c>
      <c r="H2756" s="84">
        <f>IFERROR(VLOOKUP(B2756,Заказ!B:Q,5,0),0)</f>
        <v>0</v>
      </c>
      <c r="I2756" s="84">
        <f>IFERROR(VLOOKUP(B2756,Заказ!B:Q,16,0),0)</f>
        <v>0</v>
      </c>
    </row>
    <row r="2757" spans="2:9" x14ac:dyDescent="0.25">
      <c r="B2757" s="84">
        <v>20547</v>
      </c>
      <c r="D2757" s="84" t="str">
        <f t="shared" si="50"/>
        <v/>
      </c>
      <c r="H2757" s="84">
        <f>IFERROR(VLOOKUP(B2757,Заказ!B:Q,5,0),0)</f>
        <v>0</v>
      </c>
      <c r="I2757" s="84">
        <f>IFERROR(VLOOKUP(B2757,Заказ!B:Q,16,0),0)</f>
        <v>0</v>
      </c>
    </row>
    <row r="2758" spans="2:9" x14ac:dyDescent="0.25">
      <c r="B2758" s="84">
        <v>20542</v>
      </c>
      <c r="D2758" s="84" t="str">
        <f t="shared" si="50"/>
        <v/>
      </c>
      <c r="H2758" s="84">
        <f>IFERROR(VLOOKUP(B2758,Заказ!B:Q,5,0),0)</f>
        <v>0</v>
      </c>
      <c r="I2758" s="84">
        <f>IFERROR(VLOOKUP(B2758,Заказ!B:Q,16,0),0)</f>
        <v>0</v>
      </c>
    </row>
    <row r="2759" spans="2:9" x14ac:dyDescent="0.25">
      <c r="B2759" s="84">
        <v>20470</v>
      </c>
      <c r="D2759" s="84" t="str">
        <f t="shared" si="50"/>
        <v/>
      </c>
      <c r="H2759" s="84">
        <f>IFERROR(VLOOKUP(B2759,Заказ!B:Q,5,0),0)</f>
        <v>0</v>
      </c>
      <c r="I2759" s="84">
        <f>IFERROR(VLOOKUP(B2759,Заказ!B:Q,16,0),0)</f>
        <v>0</v>
      </c>
    </row>
    <row r="2760" spans="2:9" x14ac:dyDescent="0.25">
      <c r="B2760" s="84">
        <v>19824</v>
      </c>
      <c r="D2760" s="84" t="str">
        <f t="shared" si="50"/>
        <v/>
      </c>
      <c r="H2760" s="84">
        <f>IFERROR(VLOOKUP(B2760,Заказ!B:Q,5,0),0)</f>
        <v>0</v>
      </c>
      <c r="I2760" s="84">
        <f>IFERROR(VLOOKUP(B2760,Заказ!B:Q,16,0),0)</f>
        <v>0</v>
      </c>
    </row>
    <row r="2761" spans="2:9" x14ac:dyDescent="0.25">
      <c r="B2761" s="84">
        <v>15049</v>
      </c>
      <c r="D2761" s="84" t="str">
        <f t="shared" si="50"/>
        <v/>
      </c>
      <c r="H2761" s="84">
        <f>IFERROR(VLOOKUP(B2761,Заказ!B:Q,5,0),0)</f>
        <v>0</v>
      </c>
      <c r="I2761" s="84">
        <f>IFERROR(VLOOKUP(B2761,Заказ!B:Q,16,0),0)</f>
        <v>0</v>
      </c>
    </row>
    <row r="2762" spans="2:9" x14ac:dyDescent="0.25">
      <c r="B2762" s="84">
        <v>15878</v>
      </c>
      <c r="D2762" s="84" t="str">
        <f t="shared" si="50"/>
        <v/>
      </c>
      <c r="H2762" s="84">
        <f>IFERROR(VLOOKUP(B2762,Заказ!B:Q,5,0),0)</f>
        <v>0</v>
      </c>
      <c r="I2762" s="84">
        <f>IFERROR(VLOOKUP(B2762,Заказ!B:Q,16,0),0)</f>
        <v>0</v>
      </c>
    </row>
    <row r="2763" spans="2:9" x14ac:dyDescent="0.25">
      <c r="B2763" s="84">
        <v>14641</v>
      </c>
      <c r="D2763" s="84" t="str">
        <f t="shared" si="50"/>
        <v/>
      </c>
      <c r="H2763" s="84">
        <f>IFERROR(VLOOKUP(B2763,Заказ!B:Q,5,0),0)</f>
        <v>0</v>
      </c>
      <c r="I2763" s="84">
        <f>IFERROR(VLOOKUP(B2763,Заказ!B:Q,16,0),0)</f>
        <v>0</v>
      </c>
    </row>
    <row r="2764" spans="2:9" x14ac:dyDescent="0.25">
      <c r="B2764" s="84">
        <v>16725</v>
      </c>
      <c r="D2764" s="84" t="str">
        <f t="shared" si="50"/>
        <v/>
      </c>
      <c r="H2764" s="84">
        <f>IFERROR(VLOOKUP(B2764,Заказ!B:Q,5,0),0)</f>
        <v>0</v>
      </c>
      <c r="I2764" s="84">
        <f>IFERROR(VLOOKUP(B2764,Заказ!B:Q,16,0),0)</f>
        <v>0</v>
      </c>
    </row>
    <row r="2765" spans="2:9" x14ac:dyDescent="0.25">
      <c r="B2765" s="84">
        <v>14994</v>
      </c>
      <c r="D2765" s="84" t="str">
        <f t="shared" si="50"/>
        <v/>
      </c>
      <c r="H2765" s="84">
        <f>IFERROR(VLOOKUP(B2765,Заказ!B:Q,5,0),0)</f>
        <v>0</v>
      </c>
      <c r="I2765" s="84">
        <f>IFERROR(VLOOKUP(B2765,Заказ!B:Q,16,0),0)</f>
        <v>0</v>
      </c>
    </row>
    <row r="2766" spans="2:9" x14ac:dyDescent="0.25">
      <c r="B2766" s="84">
        <v>15544</v>
      </c>
      <c r="D2766" s="84" t="str">
        <f t="shared" si="50"/>
        <v/>
      </c>
      <c r="H2766" s="84">
        <f>IFERROR(VLOOKUP(B2766,Заказ!B:Q,5,0),0)</f>
        <v>0</v>
      </c>
      <c r="I2766" s="84">
        <f>IFERROR(VLOOKUP(B2766,Заказ!B:Q,16,0),0)</f>
        <v>0</v>
      </c>
    </row>
    <row r="2767" spans="2:9" x14ac:dyDescent="0.25">
      <c r="B2767" s="84">
        <v>15391</v>
      </c>
      <c r="D2767" s="84" t="str">
        <f t="shared" si="50"/>
        <v/>
      </c>
      <c r="H2767" s="84">
        <f>IFERROR(VLOOKUP(B2767,Заказ!B:Q,5,0),0)</f>
        <v>0</v>
      </c>
      <c r="I2767" s="84">
        <f>IFERROR(VLOOKUP(B2767,Заказ!B:Q,16,0),0)</f>
        <v>0</v>
      </c>
    </row>
    <row r="2768" spans="2:9" x14ac:dyDescent="0.25">
      <c r="B2768" s="84">
        <v>14576</v>
      </c>
      <c r="D2768" s="84" t="str">
        <f t="shared" si="50"/>
        <v/>
      </c>
      <c r="H2768" s="84">
        <f>IFERROR(VLOOKUP(B2768,Заказ!B:Q,5,0),0)</f>
        <v>0</v>
      </c>
      <c r="I2768" s="84">
        <f>IFERROR(VLOOKUP(B2768,Заказ!B:Q,16,0),0)</f>
        <v>0</v>
      </c>
    </row>
    <row r="2769" spans="2:9" x14ac:dyDescent="0.25">
      <c r="B2769" s="84">
        <v>19215</v>
      </c>
      <c r="D2769" s="84" t="str">
        <f t="shared" si="50"/>
        <v/>
      </c>
      <c r="H2769" s="84">
        <f>IFERROR(VLOOKUP(B2769,Заказ!B:Q,5,0),0)</f>
        <v>0</v>
      </c>
      <c r="I2769" s="84">
        <f>IFERROR(VLOOKUP(B2769,Заказ!B:Q,16,0),0)</f>
        <v>0</v>
      </c>
    </row>
    <row r="2770" spans="2:9" x14ac:dyDescent="0.25">
      <c r="B2770" s="84">
        <v>16815</v>
      </c>
      <c r="D2770" s="84" t="str">
        <f t="shared" si="50"/>
        <v/>
      </c>
      <c r="H2770" s="84">
        <f>IFERROR(VLOOKUP(B2770,Заказ!B:Q,5,0),0)</f>
        <v>0</v>
      </c>
      <c r="I2770" s="84">
        <f>IFERROR(VLOOKUP(B2770,Заказ!B:Q,16,0),0)</f>
        <v>0</v>
      </c>
    </row>
    <row r="2771" spans="2:9" x14ac:dyDescent="0.25">
      <c r="B2771" s="84">
        <v>17023</v>
      </c>
      <c r="D2771" s="84" t="str">
        <f t="shared" si="50"/>
        <v/>
      </c>
      <c r="H2771" s="84">
        <f>IFERROR(VLOOKUP(B2771,Заказ!B:Q,5,0),0)</f>
        <v>0</v>
      </c>
      <c r="I2771" s="84">
        <f>IFERROR(VLOOKUP(B2771,Заказ!B:Q,16,0),0)</f>
        <v>0</v>
      </c>
    </row>
    <row r="2772" spans="2:9" x14ac:dyDescent="0.25">
      <c r="B2772" s="84">
        <v>19347</v>
      </c>
      <c r="D2772" s="84" t="str">
        <f t="shared" si="50"/>
        <v/>
      </c>
      <c r="H2772" s="84">
        <f>IFERROR(VLOOKUP(B2772,Заказ!B:Q,5,0),0)</f>
        <v>0</v>
      </c>
      <c r="I2772" s="84">
        <f>IFERROR(VLOOKUP(B2772,Заказ!B:Q,16,0),0)</f>
        <v>0</v>
      </c>
    </row>
    <row r="2773" spans="2:9" x14ac:dyDescent="0.25">
      <c r="B2773" s="84">
        <v>17022</v>
      </c>
      <c r="D2773" s="84" t="str">
        <f t="shared" si="50"/>
        <v/>
      </c>
      <c r="H2773" s="84">
        <f>IFERROR(VLOOKUP(B2773,Заказ!B:Q,5,0),0)</f>
        <v>0</v>
      </c>
      <c r="I2773" s="84">
        <f>IFERROR(VLOOKUP(B2773,Заказ!B:Q,16,0),0)</f>
        <v>0</v>
      </c>
    </row>
    <row r="2774" spans="2:9" x14ac:dyDescent="0.25">
      <c r="B2774" s="84">
        <v>14862</v>
      </c>
      <c r="D2774" s="84" t="str">
        <f t="shared" si="50"/>
        <v/>
      </c>
      <c r="H2774" s="84">
        <f>IFERROR(VLOOKUP(B2774,Заказ!B:Q,5,0),0)</f>
        <v>0</v>
      </c>
      <c r="I2774" s="84">
        <f>IFERROR(VLOOKUP(B2774,Заказ!B:Q,16,0),0)</f>
        <v>0</v>
      </c>
    </row>
    <row r="2775" spans="2:9" x14ac:dyDescent="0.25">
      <c r="B2775" s="84">
        <v>19881</v>
      </c>
      <c r="D2775" s="84" t="str">
        <f t="shared" si="50"/>
        <v/>
      </c>
      <c r="H2775" s="84">
        <f>IFERROR(VLOOKUP(B2775,Заказ!B:Q,5,0),0)</f>
        <v>0</v>
      </c>
      <c r="I2775" s="84">
        <f>IFERROR(VLOOKUP(B2775,Заказ!B:Q,16,0),0)</f>
        <v>0</v>
      </c>
    </row>
    <row r="2776" spans="2:9" x14ac:dyDescent="0.25">
      <c r="B2776" s="84">
        <v>19763</v>
      </c>
      <c r="D2776" s="84" t="str">
        <f t="shared" si="50"/>
        <v/>
      </c>
      <c r="H2776" s="84">
        <f>IFERROR(VLOOKUP(B2776,Заказ!B:Q,5,0),0)</f>
        <v>0</v>
      </c>
      <c r="I2776" s="84">
        <f>IFERROR(VLOOKUP(B2776,Заказ!B:Q,16,0),0)</f>
        <v>0</v>
      </c>
    </row>
    <row r="2777" spans="2:9" x14ac:dyDescent="0.25">
      <c r="B2777" s="84">
        <v>19765</v>
      </c>
      <c r="D2777" s="84" t="str">
        <f t="shared" si="50"/>
        <v/>
      </c>
      <c r="H2777" s="84">
        <f>IFERROR(VLOOKUP(B2777,Заказ!B:Q,5,0),0)</f>
        <v>0</v>
      </c>
      <c r="I2777" s="84">
        <f>IFERROR(VLOOKUP(B2777,Заказ!B:Q,16,0),0)</f>
        <v>0</v>
      </c>
    </row>
    <row r="2778" spans="2:9" x14ac:dyDescent="0.25">
      <c r="B2778" s="84">
        <v>21542</v>
      </c>
      <c r="D2778" s="84" t="str">
        <f t="shared" si="50"/>
        <v/>
      </c>
      <c r="H2778" s="84">
        <f>IFERROR(VLOOKUP(B2778,Заказ!B:Q,5,0),0)</f>
        <v>0</v>
      </c>
      <c r="I2778" s="84">
        <f>IFERROR(VLOOKUP(B2778,Заказ!B:Q,16,0),0)</f>
        <v>0</v>
      </c>
    </row>
    <row r="2779" spans="2:9" x14ac:dyDescent="0.25">
      <c r="B2779" s="84">
        <v>20469</v>
      </c>
      <c r="D2779" s="84" t="str">
        <f t="shared" si="50"/>
        <v/>
      </c>
      <c r="H2779" s="84">
        <f>IFERROR(VLOOKUP(B2779,Заказ!B:Q,5,0),0)</f>
        <v>0</v>
      </c>
      <c r="I2779" s="84">
        <f>IFERROR(VLOOKUP(B2779,Заказ!B:Q,16,0),0)</f>
        <v>0</v>
      </c>
    </row>
    <row r="2780" spans="2:9" x14ac:dyDescent="0.25">
      <c r="B2780" s="84">
        <v>19766</v>
      </c>
      <c r="D2780" s="84" t="str">
        <f t="shared" si="50"/>
        <v/>
      </c>
      <c r="H2780" s="84">
        <f>IFERROR(VLOOKUP(B2780,Заказ!B:Q,5,0),0)</f>
        <v>0</v>
      </c>
      <c r="I2780" s="84">
        <f>IFERROR(VLOOKUP(B2780,Заказ!B:Q,16,0),0)</f>
        <v>0</v>
      </c>
    </row>
    <row r="2781" spans="2:9" x14ac:dyDescent="0.25">
      <c r="B2781" s="84">
        <v>14650</v>
      </c>
      <c r="D2781" s="84" t="str">
        <f t="shared" si="50"/>
        <v/>
      </c>
      <c r="H2781" s="84">
        <f>IFERROR(VLOOKUP(B2781,Заказ!B:Q,5,0),0)</f>
        <v>0</v>
      </c>
      <c r="I2781" s="84">
        <f>IFERROR(VLOOKUP(B2781,Заказ!B:Q,16,0),0)</f>
        <v>0</v>
      </c>
    </row>
    <row r="2782" spans="2:9" x14ac:dyDescent="0.25">
      <c r="B2782" s="84">
        <v>20057</v>
      </c>
      <c r="D2782" s="84" t="str">
        <f t="shared" si="50"/>
        <v/>
      </c>
      <c r="H2782" s="84">
        <f>IFERROR(VLOOKUP(B2782,Заказ!B:Q,5,0),0)</f>
        <v>0</v>
      </c>
      <c r="I2782" s="84">
        <f>IFERROR(VLOOKUP(B2782,Заказ!B:Q,16,0),0)</f>
        <v>0</v>
      </c>
    </row>
    <row r="2783" spans="2:9" x14ac:dyDescent="0.25">
      <c r="B2783" s="84">
        <v>14879</v>
      </c>
      <c r="D2783" s="84" t="str">
        <f t="shared" si="50"/>
        <v/>
      </c>
      <c r="H2783" s="84">
        <f>IFERROR(VLOOKUP(B2783,Заказ!B:Q,5,0),0)</f>
        <v>0</v>
      </c>
      <c r="I2783" s="84">
        <f>IFERROR(VLOOKUP(B2783,Заказ!B:Q,16,0),0)</f>
        <v>0</v>
      </c>
    </row>
    <row r="2784" spans="2:9" x14ac:dyDescent="0.25">
      <c r="B2784" s="84">
        <v>21205</v>
      </c>
      <c r="D2784" s="84" t="str">
        <f t="shared" si="50"/>
        <v/>
      </c>
      <c r="H2784" s="84">
        <f>IFERROR(VLOOKUP(B2784,Заказ!B:Q,5,0),0)</f>
        <v>0</v>
      </c>
      <c r="I2784" s="84">
        <f>IFERROR(VLOOKUP(B2784,Заказ!B:Q,16,0),0)</f>
        <v>0</v>
      </c>
    </row>
    <row r="2785" spans="2:9" x14ac:dyDescent="0.25">
      <c r="B2785" s="84">
        <v>15054</v>
      </c>
      <c r="D2785" s="84" t="str">
        <f t="shared" si="50"/>
        <v/>
      </c>
      <c r="H2785" s="84">
        <f>IFERROR(VLOOKUP(B2785,Заказ!B:Q,5,0),0)</f>
        <v>0</v>
      </c>
      <c r="I2785" s="84">
        <f>IFERROR(VLOOKUP(B2785,Заказ!B:Q,16,0),0)</f>
        <v>0</v>
      </c>
    </row>
    <row r="2786" spans="2:9" x14ac:dyDescent="0.25">
      <c r="B2786" s="84">
        <v>15053</v>
      </c>
      <c r="D2786" s="84" t="str">
        <f t="shared" si="50"/>
        <v/>
      </c>
      <c r="H2786" s="84">
        <f>IFERROR(VLOOKUP(B2786,Заказ!B:Q,5,0),0)</f>
        <v>0</v>
      </c>
      <c r="I2786" s="84">
        <f>IFERROR(VLOOKUP(B2786,Заказ!B:Q,16,0),0)</f>
        <v>0</v>
      </c>
    </row>
    <row r="2787" spans="2:9" x14ac:dyDescent="0.25">
      <c r="B2787" s="84">
        <v>20548</v>
      </c>
      <c r="D2787" s="84" t="str">
        <f t="shared" si="50"/>
        <v/>
      </c>
      <c r="H2787" s="84">
        <f>IFERROR(VLOOKUP(B2787,Заказ!B:Q,5,0),0)</f>
        <v>0</v>
      </c>
      <c r="I2787" s="84">
        <f>IFERROR(VLOOKUP(B2787,Заказ!B:Q,16,0),0)</f>
        <v>0</v>
      </c>
    </row>
    <row r="2788" spans="2:9" x14ac:dyDescent="0.25">
      <c r="B2788" s="84">
        <v>14852</v>
      </c>
      <c r="D2788" s="84" t="str">
        <f t="shared" si="50"/>
        <v/>
      </c>
      <c r="H2788" s="84">
        <f>IFERROR(VLOOKUP(B2788,Заказ!B:Q,5,0),0)</f>
        <v>0</v>
      </c>
      <c r="I2788" s="84">
        <f>IFERROR(VLOOKUP(B2788,Заказ!B:Q,16,0),0)</f>
        <v>0</v>
      </c>
    </row>
    <row r="2789" spans="2:9" x14ac:dyDescent="0.25">
      <c r="B2789" s="84">
        <v>14854</v>
      </c>
      <c r="D2789" s="84" t="str">
        <f t="shared" si="50"/>
        <v/>
      </c>
      <c r="H2789" s="84">
        <f>IFERROR(VLOOKUP(B2789,Заказ!B:Q,5,0),0)</f>
        <v>0</v>
      </c>
      <c r="I2789" s="84">
        <f>IFERROR(VLOOKUP(B2789,Заказ!B:Q,16,0),0)</f>
        <v>0</v>
      </c>
    </row>
    <row r="2790" spans="2:9" x14ac:dyDescent="0.25">
      <c r="B2790" s="84">
        <v>21055</v>
      </c>
      <c r="D2790" s="84" t="str">
        <f t="shared" si="50"/>
        <v/>
      </c>
      <c r="H2790" s="84">
        <f>IFERROR(VLOOKUP(B2790,Заказ!B:Q,5,0),0)</f>
        <v>0</v>
      </c>
      <c r="I2790" s="84">
        <f>IFERROR(VLOOKUP(B2790,Заказ!B:Q,16,0),0)</f>
        <v>0</v>
      </c>
    </row>
    <row r="2791" spans="2:9" x14ac:dyDescent="0.25">
      <c r="B2791" s="84">
        <v>21005</v>
      </c>
      <c r="D2791" s="84" t="str">
        <f t="shared" si="50"/>
        <v/>
      </c>
      <c r="H2791" s="84">
        <f>IFERROR(VLOOKUP(B2791,Заказ!B:Q,5,0),0)</f>
        <v>0</v>
      </c>
      <c r="I2791" s="84">
        <f>IFERROR(VLOOKUP(B2791,Заказ!B:Q,16,0),0)</f>
        <v>0</v>
      </c>
    </row>
    <row r="2792" spans="2:9" x14ac:dyDescent="0.25">
      <c r="B2792" s="84">
        <v>14857</v>
      </c>
      <c r="D2792" s="84" t="str">
        <f t="shared" ref="D2792:D2839" si="52">IFERROR(ROUND(I2792/H2792,2),"")</f>
        <v/>
      </c>
      <c r="H2792" s="84">
        <f>IFERROR(VLOOKUP(B2792,Заказ!B:Q,5,0),0)</f>
        <v>0</v>
      </c>
      <c r="I2792" s="84">
        <f>IFERROR(VLOOKUP(B2792,Заказ!B:Q,16,0),0)</f>
        <v>0</v>
      </c>
    </row>
    <row r="2793" spans="2:9" x14ac:dyDescent="0.25">
      <c r="B2793" s="84">
        <v>21188</v>
      </c>
      <c r="D2793" s="84" t="str">
        <f t="shared" si="52"/>
        <v/>
      </c>
      <c r="H2793" s="84">
        <f>IFERROR(VLOOKUP(B2793,Заказ!B:Q,5,0),0)</f>
        <v>0</v>
      </c>
      <c r="I2793" s="84">
        <f>IFERROR(VLOOKUP(B2793,Заказ!B:Q,16,0),0)</f>
        <v>0</v>
      </c>
    </row>
    <row r="2794" spans="2:9" x14ac:dyDescent="0.25">
      <c r="B2794" s="84">
        <v>21189</v>
      </c>
      <c r="D2794" s="84" t="str">
        <f t="shared" si="52"/>
        <v/>
      </c>
      <c r="H2794" s="84">
        <f>IFERROR(VLOOKUP(B2794,Заказ!B:Q,5,0),0)</f>
        <v>0</v>
      </c>
      <c r="I2794" s="84">
        <f>IFERROR(VLOOKUP(B2794,Заказ!B:Q,16,0),0)</f>
        <v>0</v>
      </c>
    </row>
    <row r="2795" spans="2:9" x14ac:dyDescent="0.25">
      <c r="B2795" s="84">
        <v>14648</v>
      </c>
      <c r="D2795" s="84" t="str">
        <f t="shared" si="52"/>
        <v/>
      </c>
      <c r="H2795" s="84">
        <f>IFERROR(VLOOKUP(B2795,Заказ!B:Q,5,0),0)</f>
        <v>0</v>
      </c>
      <c r="I2795" s="84">
        <f>IFERROR(VLOOKUP(B2795,Заказ!B:Q,16,0),0)</f>
        <v>0</v>
      </c>
    </row>
    <row r="2796" spans="2:9" x14ac:dyDescent="0.25">
      <c r="B2796" s="84">
        <v>14643</v>
      </c>
      <c r="D2796" s="84" t="str">
        <f t="shared" si="52"/>
        <v/>
      </c>
      <c r="H2796" s="84">
        <f>IFERROR(VLOOKUP(B2796,Заказ!B:Q,5,0),0)</f>
        <v>0</v>
      </c>
      <c r="I2796" s="84">
        <f>IFERROR(VLOOKUP(B2796,Заказ!B:Q,16,0),0)</f>
        <v>0</v>
      </c>
    </row>
    <row r="2797" spans="2:9" x14ac:dyDescent="0.25">
      <c r="B2797" s="84">
        <v>20376</v>
      </c>
      <c r="D2797" s="84" t="str">
        <f t="shared" si="52"/>
        <v/>
      </c>
      <c r="H2797" s="84">
        <f>IFERROR(VLOOKUP(B2797,Заказ!B:Q,5,0),0)</f>
        <v>0</v>
      </c>
      <c r="I2797" s="84">
        <f>IFERROR(VLOOKUP(B2797,Заказ!B:Q,16,0),0)</f>
        <v>0</v>
      </c>
    </row>
    <row r="2798" spans="2:9" x14ac:dyDescent="0.25">
      <c r="B2798" s="84">
        <v>20034</v>
      </c>
      <c r="D2798" s="84" t="str">
        <f t="shared" si="52"/>
        <v/>
      </c>
      <c r="H2798" s="84">
        <f>IFERROR(VLOOKUP(B2798,Заказ!B:Q,5,0),0)</f>
        <v>0</v>
      </c>
      <c r="I2798" s="84">
        <f>IFERROR(VLOOKUP(B2798,Заказ!B:Q,16,0),0)</f>
        <v>0</v>
      </c>
    </row>
    <row r="2799" spans="2:9" x14ac:dyDescent="0.25">
      <c r="B2799" s="84">
        <v>19614</v>
      </c>
      <c r="D2799" s="84" t="str">
        <f t="shared" si="52"/>
        <v/>
      </c>
      <c r="H2799" s="84">
        <f>IFERROR(VLOOKUP(B2799,Заказ!B:Q,5,0),0)</f>
        <v>0</v>
      </c>
      <c r="I2799" s="84">
        <f>IFERROR(VLOOKUP(B2799,Заказ!B:Q,16,0),0)</f>
        <v>0</v>
      </c>
    </row>
    <row r="2800" spans="2:9" x14ac:dyDescent="0.25">
      <c r="B2800" s="84">
        <v>18781</v>
      </c>
      <c r="D2800" s="84" t="str">
        <f t="shared" si="52"/>
        <v/>
      </c>
      <c r="H2800" s="84">
        <f>IFERROR(VLOOKUP(B2800,Заказ!B:Q,5,0),0)</f>
        <v>0</v>
      </c>
      <c r="I2800" s="84">
        <f>IFERROR(VLOOKUP(B2800,Заказ!B:Q,16,0),0)</f>
        <v>0</v>
      </c>
    </row>
    <row r="2801" spans="2:9" x14ac:dyDescent="0.25">
      <c r="B2801" s="84">
        <v>20167</v>
      </c>
      <c r="D2801" s="84" t="str">
        <f t="shared" si="52"/>
        <v/>
      </c>
      <c r="H2801" s="84">
        <f>IFERROR(VLOOKUP(B2801,Заказ!B:Q,5,0),0)</f>
        <v>0</v>
      </c>
      <c r="I2801" s="84">
        <f>IFERROR(VLOOKUP(B2801,Заказ!B:Q,16,0),0)</f>
        <v>0</v>
      </c>
    </row>
    <row r="2802" spans="2:9" x14ac:dyDescent="0.25">
      <c r="B2802" s="84">
        <v>19570</v>
      </c>
      <c r="D2802" s="84" t="str">
        <f t="shared" si="52"/>
        <v/>
      </c>
      <c r="H2802" s="84">
        <f>IFERROR(VLOOKUP(B2802,Заказ!B:Q,5,0),0)</f>
        <v>0</v>
      </c>
      <c r="I2802" s="84">
        <f>IFERROR(VLOOKUP(B2802,Заказ!B:Q,16,0),0)</f>
        <v>0</v>
      </c>
    </row>
    <row r="2803" spans="2:9" x14ac:dyDescent="0.25">
      <c r="B2803" s="84">
        <v>20245</v>
      </c>
      <c r="D2803" s="84" t="str">
        <f t="shared" si="52"/>
        <v/>
      </c>
      <c r="H2803" s="84">
        <f>IFERROR(VLOOKUP(B2803,Заказ!B:Q,5,0),0)</f>
        <v>0</v>
      </c>
      <c r="I2803" s="84">
        <f>IFERROR(VLOOKUP(B2803,Заказ!B:Q,16,0),0)</f>
        <v>0</v>
      </c>
    </row>
    <row r="2804" spans="2:9" x14ac:dyDescent="0.25">
      <c r="B2804" s="84">
        <v>19771</v>
      </c>
      <c r="D2804" s="84" t="str">
        <f t="shared" si="52"/>
        <v/>
      </c>
      <c r="H2804" s="84">
        <f>IFERROR(VLOOKUP(B2804,Заказ!B:Q,5,0),0)</f>
        <v>0</v>
      </c>
      <c r="I2804" s="84">
        <f>IFERROR(VLOOKUP(B2804,Заказ!B:Q,16,0),0)</f>
        <v>0</v>
      </c>
    </row>
    <row r="2805" spans="2:9" x14ac:dyDescent="0.25">
      <c r="B2805" s="84">
        <v>14061</v>
      </c>
      <c r="D2805" s="84" t="str">
        <f t="shared" si="52"/>
        <v/>
      </c>
      <c r="H2805" s="84">
        <f>IFERROR(VLOOKUP(B2805,Заказ!B:Q,5,0),0)</f>
        <v>0</v>
      </c>
      <c r="I2805" s="84">
        <f>IFERROR(VLOOKUP(B2805,Заказ!B:Q,16,0),0)</f>
        <v>0</v>
      </c>
    </row>
    <row r="2806" spans="2:9" x14ac:dyDescent="0.25">
      <c r="B2806" s="84">
        <v>14318</v>
      </c>
      <c r="D2806" s="84" t="str">
        <f t="shared" si="52"/>
        <v/>
      </c>
      <c r="H2806" s="84">
        <f>IFERROR(VLOOKUP(B2806,Заказ!B:Q,5,0),0)</f>
        <v>0</v>
      </c>
      <c r="I2806" s="84">
        <f>IFERROR(VLOOKUP(B2806,Заказ!B:Q,16,0),0)</f>
        <v>0</v>
      </c>
    </row>
    <row r="2807" spans="2:9" x14ac:dyDescent="0.25">
      <c r="B2807" s="84">
        <v>14319</v>
      </c>
      <c r="D2807" s="84" t="str">
        <f t="shared" si="52"/>
        <v/>
      </c>
      <c r="H2807" s="84">
        <f>IFERROR(VLOOKUP(B2807,Заказ!B:Q,5,0),0)</f>
        <v>0</v>
      </c>
      <c r="I2807" s="84">
        <f>IFERROR(VLOOKUP(B2807,Заказ!B:Q,16,0),0)</f>
        <v>0</v>
      </c>
    </row>
    <row r="2808" spans="2:9" x14ac:dyDescent="0.25">
      <c r="B2808" s="84">
        <v>14197</v>
      </c>
      <c r="D2808" s="84" t="str">
        <f t="shared" si="52"/>
        <v/>
      </c>
      <c r="H2808" s="84">
        <f>IFERROR(VLOOKUP(B2808,Заказ!B:Q,5,0),0)</f>
        <v>0</v>
      </c>
      <c r="I2808" s="84">
        <f>IFERROR(VLOOKUP(B2808,Заказ!B:Q,16,0),0)</f>
        <v>0</v>
      </c>
    </row>
    <row r="2809" spans="2:9" x14ac:dyDescent="0.25">
      <c r="B2809" s="84">
        <v>14320</v>
      </c>
      <c r="D2809" s="84" t="str">
        <f t="shared" si="52"/>
        <v/>
      </c>
      <c r="H2809" s="84">
        <f>IFERROR(VLOOKUP(B2809,Заказ!B:Q,5,0),0)</f>
        <v>0</v>
      </c>
      <c r="I2809" s="84">
        <f>IFERROR(VLOOKUP(B2809,Заказ!B:Q,16,0),0)</f>
        <v>0</v>
      </c>
    </row>
    <row r="2810" spans="2:9" x14ac:dyDescent="0.25">
      <c r="B2810" s="84">
        <v>14321</v>
      </c>
      <c r="D2810" s="84" t="str">
        <f t="shared" si="52"/>
        <v/>
      </c>
      <c r="H2810" s="84">
        <f>IFERROR(VLOOKUP(B2810,Заказ!B:Q,5,0),0)</f>
        <v>0</v>
      </c>
      <c r="I2810" s="84">
        <f>IFERROR(VLOOKUP(B2810,Заказ!B:Q,16,0),0)</f>
        <v>0</v>
      </c>
    </row>
    <row r="2811" spans="2:9" x14ac:dyDescent="0.25">
      <c r="B2811" s="84">
        <v>14322</v>
      </c>
      <c r="D2811" s="84" t="str">
        <f t="shared" si="52"/>
        <v/>
      </c>
      <c r="H2811" s="84">
        <f>IFERROR(VLOOKUP(B2811,Заказ!B:Q,5,0),0)</f>
        <v>0</v>
      </c>
      <c r="I2811" s="84">
        <f>IFERROR(VLOOKUP(B2811,Заказ!B:Q,16,0),0)</f>
        <v>0</v>
      </c>
    </row>
    <row r="2812" spans="2:9" x14ac:dyDescent="0.25">
      <c r="B2812" s="84">
        <v>14199</v>
      </c>
      <c r="D2812" s="84" t="str">
        <f t="shared" si="52"/>
        <v/>
      </c>
      <c r="H2812" s="84">
        <f>IFERROR(VLOOKUP(B2812,Заказ!B:Q,5,0),0)</f>
        <v>0</v>
      </c>
      <c r="I2812" s="84">
        <f>IFERROR(VLOOKUP(B2812,Заказ!B:Q,16,0),0)</f>
        <v>0</v>
      </c>
    </row>
    <row r="2813" spans="2:9" x14ac:dyDescent="0.25">
      <c r="B2813" s="84">
        <v>14323</v>
      </c>
      <c r="D2813" s="84" t="str">
        <f t="shared" si="52"/>
        <v/>
      </c>
      <c r="H2813" s="84">
        <f>IFERROR(VLOOKUP(B2813,Заказ!B:Q,5,0),0)</f>
        <v>0</v>
      </c>
      <c r="I2813" s="84">
        <f>IFERROR(VLOOKUP(B2813,Заказ!B:Q,16,0),0)</f>
        <v>0</v>
      </c>
    </row>
    <row r="2814" spans="2:9" x14ac:dyDescent="0.25">
      <c r="B2814" s="84">
        <v>15534</v>
      </c>
      <c r="D2814" s="84" t="str">
        <f t="shared" si="52"/>
        <v/>
      </c>
      <c r="H2814" s="84">
        <f>IFERROR(VLOOKUP(B2814,Заказ!B:Q,5,0),0)</f>
        <v>0</v>
      </c>
      <c r="I2814" s="84">
        <f>IFERROR(VLOOKUP(B2814,Заказ!B:Q,16,0),0)</f>
        <v>0</v>
      </c>
    </row>
    <row r="2815" spans="2:9" x14ac:dyDescent="0.25">
      <c r="B2815" s="84">
        <v>15535</v>
      </c>
      <c r="D2815" s="84" t="str">
        <f t="shared" si="52"/>
        <v/>
      </c>
      <c r="H2815" s="84">
        <f>IFERROR(VLOOKUP(B2815,Заказ!B:Q,5,0),0)</f>
        <v>0</v>
      </c>
      <c r="I2815" s="84">
        <f>IFERROR(VLOOKUP(B2815,Заказ!B:Q,16,0),0)</f>
        <v>0</v>
      </c>
    </row>
    <row r="2816" spans="2:9" x14ac:dyDescent="0.25">
      <c r="B2816" s="84">
        <v>15536</v>
      </c>
      <c r="D2816" s="84" t="str">
        <f t="shared" si="52"/>
        <v/>
      </c>
      <c r="H2816" s="84">
        <f>IFERROR(VLOOKUP(B2816,Заказ!B:Q,5,0),0)</f>
        <v>0</v>
      </c>
      <c r="I2816" s="84">
        <f>IFERROR(VLOOKUP(B2816,Заказ!B:Q,16,0),0)</f>
        <v>0</v>
      </c>
    </row>
    <row r="2817" spans="2:9" x14ac:dyDescent="0.25">
      <c r="B2817" s="84">
        <v>15533</v>
      </c>
      <c r="D2817" s="84" t="str">
        <f t="shared" si="52"/>
        <v/>
      </c>
      <c r="H2817" s="84">
        <f>IFERROR(VLOOKUP(B2817,Заказ!B:Q,5,0),0)</f>
        <v>0</v>
      </c>
      <c r="I2817" s="84">
        <f>IFERROR(VLOOKUP(B2817,Заказ!B:Q,16,0),0)</f>
        <v>0</v>
      </c>
    </row>
    <row r="2818" spans="2:9" x14ac:dyDescent="0.25">
      <c r="B2818" s="84">
        <v>21212</v>
      </c>
      <c r="D2818" s="84" t="str">
        <f t="shared" si="52"/>
        <v/>
      </c>
      <c r="H2818" s="84">
        <f>IFERROR(VLOOKUP(B2818,Заказ!B:Q,5,0),0)</f>
        <v>0</v>
      </c>
      <c r="I2818" s="84">
        <f>IFERROR(VLOOKUP(B2818,Заказ!B:Q,16,0),0)</f>
        <v>0</v>
      </c>
    </row>
    <row r="2819" spans="2:9" x14ac:dyDescent="0.25">
      <c r="B2819" s="84">
        <v>21213</v>
      </c>
      <c r="D2819" s="84" t="str">
        <f t="shared" si="52"/>
        <v/>
      </c>
      <c r="H2819" s="84">
        <f>IFERROR(VLOOKUP(B2819,Заказ!B:Q,5,0),0)</f>
        <v>0</v>
      </c>
      <c r="I2819" s="84">
        <f>IFERROR(VLOOKUP(B2819,Заказ!B:Q,16,0),0)</f>
        <v>0</v>
      </c>
    </row>
    <row r="2820" spans="2:9" x14ac:dyDescent="0.25">
      <c r="B2820" s="84">
        <v>21211</v>
      </c>
      <c r="D2820" s="84" t="str">
        <f t="shared" si="52"/>
        <v/>
      </c>
      <c r="H2820" s="84">
        <f>IFERROR(VLOOKUP(B2820,Заказ!B:Q,5,0),0)</f>
        <v>0</v>
      </c>
      <c r="I2820" s="84">
        <f>IFERROR(VLOOKUP(B2820,Заказ!B:Q,16,0),0)</f>
        <v>0</v>
      </c>
    </row>
    <row r="2821" spans="2:9" x14ac:dyDescent="0.25">
      <c r="B2821" s="84">
        <v>21214</v>
      </c>
      <c r="D2821" s="84" t="str">
        <f t="shared" si="52"/>
        <v/>
      </c>
      <c r="H2821" s="84">
        <f>IFERROR(VLOOKUP(B2821,Заказ!B:Q,5,0),0)</f>
        <v>0</v>
      </c>
      <c r="I2821" s="84">
        <f>IFERROR(VLOOKUP(B2821,Заказ!B:Q,16,0),0)</f>
        <v>0</v>
      </c>
    </row>
    <row r="2822" spans="2:9" x14ac:dyDescent="0.25">
      <c r="B2822" s="84">
        <v>21216</v>
      </c>
      <c r="D2822" s="84" t="str">
        <f t="shared" si="52"/>
        <v/>
      </c>
      <c r="H2822" s="84">
        <f>IFERROR(VLOOKUP(B2822,Заказ!B:Q,5,0),0)</f>
        <v>0</v>
      </c>
      <c r="I2822" s="84">
        <f>IFERROR(VLOOKUP(B2822,Заказ!B:Q,16,0),0)</f>
        <v>0</v>
      </c>
    </row>
    <row r="2823" spans="2:9" x14ac:dyDescent="0.25">
      <c r="B2823" s="84">
        <v>21215</v>
      </c>
      <c r="D2823" s="84" t="str">
        <f t="shared" si="52"/>
        <v/>
      </c>
      <c r="H2823" s="84">
        <f>IFERROR(VLOOKUP(B2823,Заказ!B:Q,5,0),0)</f>
        <v>0</v>
      </c>
      <c r="I2823" s="84">
        <f>IFERROR(VLOOKUP(B2823,Заказ!B:Q,16,0),0)</f>
        <v>0</v>
      </c>
    </row>
    <row r="2824" spans="2:9" x14ac:dyDescent="0.25">
      <c r="B2824" s="84">
        <v>19039</v>
      </c>
      <c r="D2824" s="84" t="str">
        <f t="shared" si="52"/>
        <v/>
      </c>
      <c r="H2824" s="84">
        <f>IFERROR(VLOOKUP(B2824,Заказ!B:Q,5,0),0)</f>
        <v>0</v>
      </c>
      <c r="I2824" s="84">
        <f>IFERROR(VLOOKUP(B2824,Заказ!B:Q,16,0),0)</f>
        <v>0</v>
      </c>
    </row>
    <row r="2825" spans="2:9" x14ac:dyDescent="0.25">
      <c r="B2825" s="84">
        <v>19040</v>
      </c>
      <c r="D2825" s="84" t="str">
        <f t="shared" si="52"/>
        <v/>
      </c>
      <c r="H2825" s="84">
        <f>IFERROR(VLOOKUP(B2825,Заказ!B:Q,5,0),0)</f>
        <v>0</v>
      </c>
      <c r="I2825" s="84">
        <f>IFERROR(VLOOKUP(B2825,Заказ!B:Q,16,0),0)</f>
        <v>0</v>
      </c>
    </row>
    <row r="2826" spans="2:9" x14ac:dyDescent="0.25">
      <c r="B2826" s="84">
        <v>19038</v>
      </c>
      <c r="D2826" s="84" t="str">
        <f t="shared" si="52"/>
        <v/>
      </c>
      <c r="H2826" s="84">
        <f>IFERROR(VLOOKUP(B2826,Заказ!B:Q,5,0),0)</f>
        <v>0</v>
      </c>
      <c r="I2826" s="84">
        <f>IFERROR(VLOOKUP(B2826,Заказ!B:Q,16,0),0)</f>
        <v>0</v>
      </c>
    </row>
    <row r="2827" spans="2:9" x14ac:dyDescent="0.25">
      <c r="B2827" s="84">
        <v>19036</v>
      </c>
      <c r="D2827" s="84" t="str">
        <f t="shared" si="52"/>
        <v/>
      </c>
      <c r="H2827" s="84">
        <f>IFERROR(VLOOKUP(B2827,Заказ!B:Q,5,0),0)</f>
        <v>0</v>
      </c>
      <c r="I2827" s="84">
        <f>IFERROR(VLOOKUP(B2827,Заказ!B:Q,16,0),0)</f>
        <v>0</v>
      </c>
    </row>
    <row r="2828" spans="2:9" x14ac:dyDescent="0.25">
      <c r="B2828" s="84">
        <v>19037</v>
      </c>
      <c r="D2828" s="84" t="str">
        <f t="shared" si="52"/>
        <v/>
      </c>
      <c r="H2828" s="84">
        <f>IFERROR(VLOOKUP(B2828,Заказ!B:Q,5,0),0)</f>
        <v>0</v>
      </c>
      <c r="I2828" s="84">
        <f>IFERROR(VLOOKUP(B2828,Заказ!B:Q,16,0),0)</f>
        <v>0</v>
      </c>
    </row>
    <row r="2829" spans="2:9" x14ac:dyDescent="0.25">
      <c r="B2829" s="84">
        <v>19035</v>
      </c>
      <c r="D2829" s="84" t="str">
        <f t="shared" si="52"/>
        <v/>
      </c>
      <c r="H2829" s="84">
        <f>IFERROR(VLOOKUP(B2829,Заказ!B:Q,5,0),0)</f>
        <v>0</v>
      </c>
      <c r="I2829" s="84">
        <f>IFERROR(VLOOKUP(B2829,Заказ!B:Q,16,0),0)</f>
        <v>0</v>
      </c>
    </row>
    <row r="2830" spans="2:9" x14ac:dyDescent="0.25">
      <c r="B2830" s="84">
        <v>20494</v>
      </c>
      <c r="D2830" s="84" t="str">
        <f t="shared" si="52"/>
        <v/>
      </c>
      <c r="H2830" s="84">
        <f>IFERROR(VLOOKUP(B2830,Заказ!B:Q,5,0),0)</f>
        <v>0</v>
      </c>
      <c r="I2830" s="84">
        <f>IFERROR(VLOOKUP(B2830,Заказ!B:Q,16,0),0)</f>
        <v>0</v>
      </c>
    </row>
    <row r="2831" spans="2:9" x14ac:dyDescent="0.25">
      <c r="B2831" s="84">
        <v>19033</v>
      </c>
      <c r="D2831" s="84" t="str">
        <f t="shared" si="52"/>
        <v/>
      </c>
      <c r="H2831" s="84">
        <f>IFERROR(VLOOKUP(B2831,Заказ!B:Q,5,0),0)</f>
        <v>0</v>
      </c>
      <c r="I2831" s="84">
        <f>IFERROR(VLOOKUP(B2831,Заказ!B:Q,16,0),0)</f>
        <v>0</v>
      </c>
    </row>
    <row r="2832" spans="2:9" x14ac:dyDescent="0.25">
      <c r="B2832" s="84">
        <v>19032</v>
      </c>
      <c r="D2832" s="84" t="str">
        <f t="shared" si="52"/>
        <v/>
      </c>
      <c r="H2832" s="84">
        <f>IFERROR(VLOOKUP(B2832,Заказ!B:Q,5,0),0)</f>
        <v>0</v>
      </c>
      <c r="I2832" s="84">
        <f>IFERROR(VLOOKUP(B2832,Заказ!B:Q,16,0),0)</f>
        <v>0</v>
      </c>
    </row>
    <row r="2833" spans="2:9" x14ac:dyDescent="0.25">
      <c r="B2833" s="84">
        <v>19031</v>
      </c>
      <c r="D2833" s="84" t="str">
        <f t="shared" si="52"/>
        <v/>
      </c>
      <c r="H2833" s="84">
        <f>IFERROR(VLOOKUP(B2833,Заказ!B:Q,5,0),0)</f>
        <v>0</v>
      </c>
      <c r="I2833" s="84">
        <f>IFERROR(VLOOKUP(B2833,Заказ!B:Q,16,0),0)</f>
        <v>0</v>
      </c>
    </row>
    <row r="2834" spans="2:9" x14ac:dyDescent="0.25">
      <c r="B2834" s="84">
        <v>19034</v>
      </c>
      <c r="D2834" s="84" t="str">
        <f t="shared" si="52"/>
        <v/>
      </c>
      <c r="H2834" s="84">
        <f>IFERROR(VLOOKUP(B2834,Заказ!B:Q,5,0),0)</f>
        <v>0</v>
      </c>
      <c r="I2834" s="84">
        <f>IFERROR(VLOOKUP(B2834,Заказ!B:Q,16,0),0)</f>
        <v>0</v>
      </c>
    </row>
    <row r="2835" spans="2:9" x14ac:dyDescent="0.25">
      <c r="B2835" s="84">
        <v>19029</v>
      </c>
      <c r="D2835" s="84" t="str">
        <f t="shared" si="52"/>
        <v/>
      </c>
      <c r="H2835" s="84">
        <f>IFERROR(VLOOKUP(B2835,Заказ!B:Q,5,0),0)</f>
        <v>0</v>
      </c>
      <c r="I2835" s="84">
        <f>IFERROR(VLOOKUP(B2835,Заказ!B:Q,16,0),0)</f>
        <v>0</v>
      </c>
    </row>
    <row r="2836" spans="2:9" x14ac:dyDescent="0.25">
      <c r="B2836" s="84">
        <v>8401</v>
      </c>
      <c r="D2836" s="84" t="str">
        <f t="shared" si="52"/>
        <v/>
      </c>
      <c r="H2836" s="84">
        <f>IFERROR(VLOOKUP(B2836,Заказ!B:Q,5,0),0)</f>
        <v>0</v>
      </c>
      <c r="I2836" s="84">
        <f>IFERROR(VLOOKUP(B2836,Заказ!B:Q,16,0),0)</f>
        <v>0</v>
      </c>
    </row>
    <row r="2837" spans="2:9" x14ac:dyDescent="0.25">
      <c r="B2837" s="84">
        <v>8412</v>
      </c>
      <c r="D2837" s="84" t="str">
        <f t="shared" si="52"/>
        <v/>
      </c>
      <c r="H2837" s="84">
        <f>IFERROR(VLOOKUP(B2837,Заказ!B:Q,5,0),0)</f>
        <v>0</v>
      </c>
      <c r="I2837" s="84">
        <f>IFERROR(VLOOKUP(B2837,Заказ!B:Q,16,0),0)</f>
        <v>0</v>
      </c>
    </row>
    <row r="2838" spans="2:9" x14ac:dyDescent="0.25">
      <c r="B2838" s="84">
        <v>8423</v>
      </c>
      <c r="D2838" s="84" t="str">
        <f t="shared" si="52"/>
        <v/>
      </c>
      <c r="H2838" s="84">
        <f>IFERROR(VLOOKUP(B2838,Заказ!B:Q,5,0),0)</f>
        <v>0</v>
      </c>
      <c r="I2838" s="84">
        <f>IFERROR(VLOOKUP(B2838,Заказ!B:Q,16,0),0)</f>
        <v>0</v>
      </c>
    </row>
    <row r="2839" spans="2:9" x14ac:dyDescent="0.25">
      <c r="B2839" s="84">
        <v>8434</v>
      </c>
      <c r="D2839" s="84" t="str">
        <f t="shared" si="52"/>
        <v/>
      </c>
      <c r="H2839" s="84">
        <f>IFERROR(VLOOKUP(B2839,Заказ!B:Q,5,0),0)</f>
        <v>0</v>
      </c>
      <c r="I2839" s="84">
        <f>IFERROR(VLOOKUP(B2839,Заказ!B:Q,16,0),0)</f>
        <v>0</v>
      </c>
    </row>
    <row r="2840" spans="2:9" x14ac:dyDescent="0.25">
      <c r="B2840" s="84">
        <v>8436</v>
      </c>
      <c r="D2840" s="84" t="str">
        <f t="shared" ref="D2840:D2903" si="53">IFERROR(ROUND(I2840/H2840,2),"")</f>
        <v/>
      </c>
      <c r="H2840" s="84">
        <f>IFERROR(VLOOKUP(B2840,Заказ!B:Q,5,0),0)</f>
        <v>0</v>
      </c>
      <c r="I2840" s="84">
        <f>IFERROR(VLOOKUP(B2840,Заказ!B:Q,16,0),0)</f>
        <v>0</v>
      </c>
    </row>
    <row r="2841" spans="2:9" x14ac:dyDescent="0.25">
      <c r="B2841" s="84">
        <v>8437</v>
      </c>
      <c r="D2841" s="84" t="str">
        <f t="shared" si="53"/>
        <v/>
      </c>
      <c r="H2841" s="84">
        <f>IFERROR(VLOOKUP(B2841,Заказ!B:Q,5,0),0)</f>
        <v>0</v>
      </c>
      <c r="I2841" s="84">
        <f>IFERROR(VLOOKUP(B2841,Заказ!B:Q,16,0),0)</f>
        <v>0</v>
      </c>
    </row>
    <row r="2842" spans="2:9" x14ac:dyDescent="0.25">
      <c r="B2842" s="84">
        <v>8438</v>
      </c>
      <c r="D2842" s="84" t="str">
        <f t="shared" si="53"/>
        <v/>
      </c>
      <c r="H2842" s="84">
        <f>IFERROR(VLOOKUP(B2842,Заказ!B:Q,5,0),0)</f>
        <v>0</v>
      </c>
      <c r="I2842" s="84">
        <f>IFERROR(VLOOKUP(B2842,Заказ!B:Q,16,0),0)</f>
        <v>0</v>
      </c>
    </row>
    <row r="2843" spans="2:9" x14ac:dyDescent="0.25">
      <c r="B2843" s="84">
        <v>8439</v>
      </c>
      <c r="D2843" s="84" t="str">
        <f t="shared" si="53"/>
        <v/>
      </c>
      <c r="H2843" s="84">
        <f>IFERROR(VLOOKUP(B2843,Заказ!B:Q,5,0),0)</f>
        <v>0</v>
      </c>
      <c r="I2843" s="84">
        <f>IFERROR(VLOOKUP(B2843,Заказ!B:Q,16,0),0)</f>
        <v>0</v>
      </c>
    </row>
    <row r="2844" spans="2:9" x14ac:dyDescent="0.25">
      <c r="B2844" s="84">
        <v>8440</v>
      </c>
      <c r="D2844" s="84" t="str">
        <f t="shared" si="53"/>
        <v/>
      </c>
      <c r="H2844" s="84">
        <f>IFERROR(VLOOKUP(B2844,Заказ!B:Q,5,0),0)</f>
        <v>0</v>
      </c>
      <c r="I2844" s="84">
        <f>IFERROR(VLOOKUP(B2844,Заказ!B:Q,16,0),0)</f>
        <v>0</v>
      </c>
    </row>
    <row r="2845" spans="2:9" x14ac:dyDescent="0.25">
      <c r="B2845" s="84">
        <v>8402</v>
      </c>
      <c r="D2845" s="84" t="str">
        <f t="shared" si="53"/>
        <v/>
      </c>
      <c r="H2845" s="84">
        <f>IFERROR(VLOOKUP(B2845,Заказ!B:Q,5,0),0)</f>
        <v>0</v>
      </c>
      <c r="I2845" s="84">
        <f>IFERROR(VLOOKUP(B2845,Заказ!B:Q,16,0),0)</f>
        <v>0</v>
      </c>
    </row>
    <row r="2846" spans="2:9" x14ac:dyDescent="0.25">
      <c r="B2846" s="84">
        <v>8403</v>
      </c>
      <c r="D2846" s="84" t="str">
        <f t="shared" si="53"/>
        <v/>
      </c>
      <c r="H2846" s="84">
        <f>IFERROR(VLOOKUP(B2846,Заказ!B:Q,5,0),0)</f>
        <v>0</v>
      </c>
      <c r="I2846" s="84">
        <f>IFERROR(VLOOKUP(B2846,Заказ!B:Q,16,0),0)</f>
        <v>0</v>
      </c>
    </row>
    <row r="2847" spans="2:9" x14ac:dyDescent="0.25">
      <c r="B2847" s="84">
        <v>8404</v>
      </c>
      <c r="D2847" s="84" t="str">
        <f t="shared" si="53"/>
        <v/>
      </c>
      <c r="H2847" s="84">
        <f>IFERROR(VLOOKUP(B2847,Заказ!B:Q,5,0),0)</f>
        <v>0</v>
      </c>
      <c r="I2847" s="84">
        <f>IFERROR(VLOOKUP(B2847,Заказ!B:Q,16,0),0)</f>
        <v>0</v>
      </c>
    </row>
    <row r="2848" spans="2:9" x14ac:dyDescent="0.25">
      <c r="B2848" s="84">
        <v>8405</v>
      </c>
      <c r="D2848" s="84" t="str">
        <f t="shared" si="53"/>
        <v/>
      </c>
      <c r="H2848" s="84">
        <f>IFERROR(VLOOKUP(B2848,Заказ!B:Q,5,0),0)</f>
        <v>0</v>
      </c>
      <c r="I2848" s="84">
        <f>IFERROR(VLOOKUP(B2848,Заказ!B:Q,16,0),0)</f>
        <v>0</v>
      </c>
    </row>
    <row r="2849" spans="2:9" x14ac:dyDescent="0.25">
      <c r="B2849" s="84">
        <v>8406</v>
      </c>
      <c r="D2849" s="84" t="str">
        <f t="shared" si="53"/>
        <v/>
      </c>
      <c r="H2849" s="84">
        <f>IFERROR(VLOOKUP(B2849,Заказ!B:Q,5,0),0)</f>
        <v>0</v>
      </c>
      <c r="I2849" s="84">
        <f>IFERROR(VLOOKUP(B2849,Заказ!B:Q,16,0),0)</f>
        <v>0</v>
      </c>
    </row>
    <row r="2850" spans="2:9" x14ac:dyDescent="0.25">
      <c r="B2850" s="84">
        <v>8407</v>
      </c>
      <c r="D2850" s="84" t="str">
        <f t="shared" si="53"/>
        <v/>
      </c>
      <c r="H2850" s="84">
        <f>IFERROR(VLOOKUP(B2850,Заказ!B:Q,5,0),0)</f>
        <v>0</v>
      </c>
      <c r="I2850" s="84">
        <f>IFERROR(VLOOKUP(B2850,Заказ!B:Q,16,0),0)</f>
        <v>0</v>
      </c>
    </row>
    <row r="2851" spans="2:9" x14ac:dyDescent="0.25">
      <c r="B2851" s="84">
        <v>8408</v>
      </c>
      <c r="D2851" s="84" t="str">
        <f t="shared" si="53"/>
        <v/>
      </c>
      <c r="H2851" s="84">
        <f>IFERROR(VLOOKUP(B2851,Заказ!B:Q,5,0),0)</f>
        <v>0</v>
      </c>
      <c r="I2851" s="84">
        <f>IFERROR(VLOOKUP(B2851,Заказ!B:Q,16,0),0)</f>
        <v>0</v>
      </c>
    </row>
    <row r="2852" spans="2:9" x14ac:dyDescent="0.25">
      <c r="B2852" s="84">
        <v>8409</v>
      </c>
      <c r="D2852" s="84" t="str">
        <f t="shared" si="53"/>
        <v/>
      </c>
      <c r="H2852" s="84">
        <f>IFERROR(VLOOKUP(B2852,Заказ!B:Q,5,0),0)</f>
        <v>0</v>
      </c>
      <c r="I2852" s="84">
        <f>IFERROR(VLOOKUP(B2852,Заказ!B:Q,16,0),0)</f>
        <v>0</v>
      </c>
    </row>
    <row r="2853" spans="2:9" x14ac:dyDescent="0.25">
      <c r="B2853" s="84">
        <v>8410</v>
      </c>
      <c r="D2853" s="84" t="str">
        <f t="shared" si="53"/>
        <v/>
      </c>
      <c r="H2853" s="84">
        <f>IFERROR(VLOOKUP(B2853,Заказ!B:Q,5,0),0)</f>
        <v>0</v>
      </c>
      <c r="I2853" s="84">
        <f>IFERROR(VLOOKUP(B2853,Заказ!B:Q,16,0),0)</f>
        <v>0</v>
      </c>
    </row>
    <row r="2854" spans="2:9" x14ac:dyDescent="0.25">
      <c r="B2854" s="84">
        <v>8411</v>
      </c>
      <c r="D2854" s="84" t="str">
        <f t="shared" si="53"/>
        <v/>
      </c>
      <c r="H2854" s="84">
        <f>IFERROR(VLOOKUP(B2854,Заказ!B:Q,5,0),0)</f>
        <v>0</v>
      </c>
      <c r="I2854" s="84">
        <f>IFERROR(VLOOKUP(B2854,Заказ!B:Q,16,0),0)</f>
        <v>0</v>
      </c>
    </row>
    <row r="2855" spans="2:9" x14ac:dyDescent="0.25">
      <c r="B2855" s="84">
        <v>8413</v>
      </c>
      <c r="D2855" s="84" t="str">
        <f t="shared" si="53"/>
        <v/>
      </c>
      <c r="H2855" s="84">
        <f>IFERROR(VLOOKUP(B2855,Заказ!B:Q,5,0),0)</f>
        <v>0</v>
      </c>
      <c r="I2855" s="84">
        <f>IFERROR(VLOOKUP(B2855,Заказ!B:Q,16,0),0)</f>
        <v>0</v>
      </c>
    </row>
    <row r="2856" spans="2:9" x14ac:dyDescent="0.25">
      <c r="B2856" s="84">
        <v>8414</v>
      </c>
      <c r="D2856" s="84" t="str">
        <f t="shared" si="53"/>
        <v/>
      </c>
      <c r="H2856" s="84">
        <f>IFERROR(VLOOKUP(B2856,Заказ!B:Q,5,0),0)</f>
        <v>0</v>
      </c>
      <c r="I2856" s="84">
        <f>IFERROR(VLOOKUP(B2856,Заказ!B:Q,16,0),0)</f>
        <v>0</v>
      </c>
    </row>
    <row r="2857" spans="2:9" x14ac:dyDescent="0.25">
      <c r="B2857" s="84">
        <v>8415</v>
      </c>
      <c r="D2857" s="84" t="str">
        <f t="shared" si="53"/>
        <v/>
      </c>
      <c r="H2857" s="84">
        <f>IFERROR(VLOOKUP(B2857,Заказ!B:Q,5,0),0)</f>
        <v>0</v>
      </c>
      <c r="I2857" s="84">
        <f>IFERROR(VLOOKUP(B2857,Заказ!B:Q,16,0),0)</f>
        <v>0</v>
      </c>
    </row>
    <row r="2858" spans="2:9" x14ac:dyDescent="0.25">
      <c r="B2858" s="84">
        <v>8416</v>
      </c>
      <c r="D2858" s="84" t="str">
        <f t="shared" si="53"/>
        <v/>
      </c>
      <c r="H2858" s="84">
        <f>IFERROR(VLOOKUP(B2858,Заказ!B:Q,5,0),0)</f>
        <v>0</v>
      </c>
      <c r="I2858" s="84">
        <f>IFERROR(VLOOKUP(B2858,Заказ!B:Q,16,0),0)</f>
        <v>0</v>
      </c>
    </row>
    <row r="2859" spans="2:9" x14ac:dyDescent="0.25">
      <c r="B2859" s="84">
        <v>8417</v>
      </c>
      <c r="D2859" s="84" t="str">
        <f t="shared" si="53"/>
        <v/>
      </c>
      <c r="H2859" s="84">
        <f>IFERROR(VLOOKUP(B2859,Заказ!B:Q,5,0),0)</f>
        <v>0</v>
      </c>
      <c r="I2859" s="84">
        <f>IFERROR(VLOOKUP(B2859,Заказ!B:Q,16,0),0)</f>
        <v>0</v>
      </c>
    </row>
    <row r="2860" spans="2:9" x14ac:dyDescent="0.25">
      <c r="B2860" s="84">
        <v>8418</v>
      </c>
      <c r="D2860" s="84" t="str">
        <f t="shared" si="53"/>
        <v/>
      </c>
      <c r="H2860" s="84">
        <f>IFERROR(VLOOKUP(B2860,Заказ!B:Q,5,0),0)</f>
        <v>0</v>
      </c>
      <c r="I2860" s="84">
        <f>IFERROR(VLOOKUP(B2860,Заказ!B:Q,16,0),0)</f>
        <v>0</v>
      </c>
    </row>
    <row r="2861" spans="2:9" x14ac:dyDescent="0.25">
      <c r="B2861" s="84">
        <v>8419</v>
      </c>
      <c r="D2861" s="84" t="str">
        <f t="shared" si="53"/>
        <v/>
      </c>
      <c r="H2861" s="84">
        <f>IFERROR(VLOOKUP(B2861,Заказ!B:Q,5,0),0)</f>
        <v>0</v>
      </c>
      <c r="I2861" s="84">
        <f>IFERROR(VLOOKUP(B2861,Заказ!B:Q,16,0),0)</f>
        <v>0</v>
      </c>
    </row>
    <row r="2862" spans="2:9" x14ac:dyDescent="0.25">
      <c r="B2862" s="84">
        <v>8420</v>
      </c>
      <c r="D2862" s="84" t="str">
        <f t="shared" si="53"/>
        <v/>
      </c>
      <c r="H2862" s="84">
        <f>IFERROR(VLOOKUP(B2862,Заказ!B:Q,5,0),0)</f>
        <v>0</v>
      </c>
      <c r="I2862" s="84">
        <f>IFERROR(VLOOKUP(B2862,Заказ!B:Q,16,0),0)</f>
        <v>0</v>
      </c>
    </row>
    <row r="2863" spans="2:9" x14ac:dyDescent="0.25">
      <c r="B2863" s="84">
        <v>8421</v>
      </c>
      <c r="D2863" s="84" t="str">
        <f t="shared" si="53"/>
        <v/>
      </c>
      <c r="H2863" s="84">
        <f>IFERROR(VLOOKUP(B2863,Заказ!B:Q,5,0),0)</f>
        <v>0</v>
      </c>
      <c r="I2863" s="84">
        <f>IFERROR(VLOOKUP(B2863,Заказ!B:Q,16,0),0)</f>
        <v>0</v>
      </c>
    </row>
    <row r="2864" spans="2:9" x14ac:dyDescent="0.25">
      <c r="B2864" s="84">
        <v>8422</v>
      </c>
      <c r="D2864" s="84" t="str">
        <f t="shared" si="53"/>
        <v/>
      </c>
      <c r="H2864" s="84">
        <f>IFERROR(VLOOKUP(B2864,Заказ!B:Q,5,0),0)</f>
        <v>0</v>
      </c>
      <c r="I2864" s="84">
        <f>IFERROR(VLOOKUP(B2864,Заказ!B:Q,16,0),0)</f>
        <v>0</v>
      </c>
    </row>
    <row r="2865" spans="2:9" x14ac:dyDescent="0.25">
      <c r="B2865" s="84">
        <v>8424</v>
      </c>
      <c r="D2865" s="84" t="str">
        <f t="shared" si="53"/>
        <v/>
      </c>
      <c r="H2865" s="84">
        <f>IFERROR(VLOOKUP(B2865,Заказ!B:Q,5,0),0)</f>
        <v>0</v>
      </c>
      <c r="I2865" s="84">
        <f>IFERROR(VLOOKUP(B2865,Заказ!B:Q,16,0),0)</f>
        <v>0</v>
      </c>
    </row>
    <row r="2866" spans="2:9" x14ac:dyDescent="0.25">
      <c r="B2866" s="84">
        <v>8425</v>
      </c>
      <c r="D2866" s="84" t="str">
        <f t="shared" si="53"/>
        <v/>
      </c>
      <c r="H2866" s="84">
        <f>IFERROR(VLOOKUP(B2866,Заказ!B:Q,5,0),0)</f>
        <v>0</v>
      </c>
      <c r="I2866" s="84">
        <f>IFERROR(VLOOKUP(B2866,Заказ!B:Q,16,0),0)</f>
        <v>0</v>
      </c>
    </row>
    <row r="2867" spans="2:9" x14ac:dyDescent="0.25">
      <c r="B2867" s="84">
        <v>8426</v>
      </c>
      <c r="D2867" s="84" t="str">
        <f t="shared" si="53"/>
        <v/>
      </c>
      <c r="H2867" s="84">
        <f>IFERROR(VLOOKUP(B2867,Заказ!B:Q,5,0),0)</f>
        <v>0</v>
      </c>
      <c r="I2867" s="84">
        <f>IFERROR(VLOOKUP(B2867,Заказ!B:Q,16,0),0)</f>
        <v>0</v>
      </c>
    </row>
    <row r="2868" spans="2:9" x14ac:dyDescent="0.25">
      <c r="B2868" s="84">
        <v>8427</v>
      </c>
      <c r="D2868" s="84" t="str">
        <f t="shared" si="53"/>
        <v/>
      </c>
      <c r="H2868" s="84">
        <f>IFERROR(VLOOKUP(B2868,Заказ!B:Q,5,0),0)</f>
        <v>0</v>
      </c>
      <c r="I2868" s="84">
        <f>IFERROR(VLOOKUP(B2868,Заказ!B:Q,16,0),0)</f>
        <v>0</v>
      </c>
    </row>
    <row r="2869" spans="2:9" x14ac:dyDescent="0.25">
      <c r="B2869" s="84">
        <v>8428</v>
      </c>
      <c r="D2869" s="84" t="str">
        <f t="shared" si="53"/>
        <v/>
      </c>
      <c r="H2869" s="84">
        <f>IFERROR(VLOOKUP(B2869,Заказ!B:Q,5,0),0)</f>
        <v>0</v>
      </c>
      <c r="I2869" s="84">
        <f>IFERROR(VLOOKUP(B2869,Заказ!B:Q,16,0),0)</f>
        <v>0</v>
      </c>
    </row>
    <row r="2870" spans="2:9" x14ac:dyDescent="0.25">
      <c r="B2870" s="84">
        <v>8429</v>
      </c>
      <c r="D2870" s="84" t="str">
        <f t="shared" si="53"/>
        <v/>
      </c>
      <c r="H2870" s="84">
        <f>IFERROR(VLOOKUP(B2870,Заказ!B:Q,5,0),0)</f>
        <v>0</v>
      </c>
      <c r="I2870" s="84">
        <f>IFERROR(VLOOKUP(B2870,Заказ!B:Q,16,0),0)</f>
        <v>0</v>
      </c>
    </row>
    <row r="2871" spans="2:9" x14ac:dyDescent="0.25">
      <c r="B2871" s="84">
        <v>8430</v>
      </c>
      <c r="D2871" s="84" t="str">
        <f t="shared" si="53"/>
        <v/>
      </c>
      <c r="H2871" s="84">
        <f>IFERROR(VLOOKUP(B2871,Заказ!B:Q,5,0),0)</f>
        <v>0</v>
      </c>
      <c r="I2871" s="84">
        <f>IFERROR(VLOOKUP(B2871,Заказ!B:Q,16,0),0)</f>
        <v>0</v>
      </c>
    </row>
    <row r="2872" spans="2:9" x14ac:dyDescent="0.25">
      <c r="B2872" s="84">
        <v>8431</v>
      </c>
      <c r="D2872" s="84" t="str">
        <f t="shared" si="53"/>
        <v/>
      </c>
      <c r="H2872" s="84">
        <f>IFERROR(VLOOKUP(B2872,Заказ!B:Q,5,0),0)</f>
        <v>0</v>
      </c>
      <c r="I2872" s="84">
        <f>IFERROR(VLOOKUP(B2872,Заказ!B:Q,16,0),0)</f>
        <v>0</v>
      </c>
    </row>
    <row r="2873" spans="2:9" x14ac:dyDescent="0.25">
      <c r="B2873" s="84">
        <v>8432</v>
      </c>
      <c r="D2873" s="84" t="str">
        <f t="shared" si="53"/>
        <v/>
      </c>
      <c r="H2873" s="84">
        <f>IFERROR(VLOOKUP(B2873,Заказ!B:Q,5,0),0)</f>
        <v>0</v>
      </c>
      <c r="I2873" s="84">
        <f>IFERROR(VLOOKUP(B2873,Заказ!B:Q,16,0),0)</f>
        <v>0</v>
      </c>
    </row>
    <row r="2874" spans="2:9" x14ac:dyDescent="0.25">
      <c r="B2874" s="84">
        <v>8433</v>
      </c>
      <c r="D2874" s="84" t="str">
        <f t="shared" si="53"/>
        <v/>
      </c>
      <c r="H2874" s="84">
        <f>IFERROR(VLOOKUP(B2874,Заказ!B:Q,5,0),0)</f>
        <v>0</v>
      </c>
      <c r="I2874" s="84">
        <f>IFERROR(VLOOKUP(B2874,Заказ!B:Q,16,0),0)</f>
        <v>0</v>
      </c>
    </row>
    <row r="2875" spans="2:9" x14ac:dyDescent="0.25">
      <c r="B2875" s="84">
        <v>8435</v>
      </c>
      <c r="D2875" s="84" t="str">
        <f t="shared" si="53"/>
        <v/>
      </c>
      <c r="H2875" s="84">
        <f>IFERROR(VLOOKUP(B2875,Заказ!B:Q,5,0),0)</f>
        <v>0</v>
      </c>
      <c r="I2875" s="84">
        <f>IFERROR(VLOOKUP(B2875,Заказ!B:Q,16,0),0)</f>
        <v>0</v>
      </c>
    </row>
    <row r="2876" spans="2:9" x14ac:dyDescent="0.25">
      <c r="B2876" s="84">
        <v>12202</v>
      </c>
      <c r="D2876" s="84" t="str">
        <f t="shared" si="53"/>
        <v/>
      </c>
      <c r="H2876" s="84">
        <f>IFERROR(VLOOKUP(B2876,Заказ!B:Q,5,0),0)</f>
        <v>0</v>
      </c>
      <c r="I2876" s="84">
        <f>IFERROR(VLOOKUP(B2876,Заказ!B:Q,16,0),0)</f>
        <v>0</v>
      </c>
    </row>
    <row r="2877" spans="2:9" x14ac:dyDescent="0.25">
      <c r="B2877" s="84">
        <v>12733</v>
      </c>
      <c r="D2877" s="84" t="str">
        <f t="shared" si="53"/>
        <v/>
      </c>
      <c r="H2877" s="84">
        <f>IFERROR(VLOOKUP(B2877,Заказ!B:Q,5,0),0)</f>
        <v>0</v>
      </c>
      <c r="I2877" s="84">
        <f>IFERROR(VLOOKUP(B2877,Заказ!B:Q,16,0),0)</f>
        <v>0</v>
      </c>
    </row>
    <row r="2878" spans="2:9" x14ac:dyDescent="0.25">
      <c r="B2878" s="84">
        <v>13122</v>
      </c>
      <c r="D2878" s="84" t="str">
        <f t="shared" si="53"/>
        <v/>
      </c>
      <c r="H2878" s="84">
        <f>IFERROR(VLOOKUP(B2878,Заказ!B:Q,5,0),0)</f>
        <v>0</v>
      </c>
      <c r="I2878" s="84">
        <f>IFERROR(VLOOKUP(B2878,Заказ!B:Q,16,0),0)</f>
        <v>0</v>
      </c>
    </row>
    <row r="2879" spans="2:9" x14ac:dyDescent="0.25">
      <c r="B2879" s="84">
        <v>12204</v>
      </c>
      <c r="D2879" s="84" t="str">
        <f t="shared" si="53"/>
        <v/>
      </c>
      <c r="H2879" s="84">
        <f>IFERROR(VLOOKUP(B2879,Заказ!B:Q,5,0),0)</f>
        <v>0</v>
      </c>
      <c r="I2879" s="84">
        <f>IFERROR(VLOOKUP(B2879,Заказ!B:Q,16,0),0)</f>
        <v>0</v>
      </c>
    </row>
    <row r="2880" spans="2:9" x14ac:dyDescent="0.25">
      <c r="B2880" s="84">
        <v>11594</v>
      </c>
      <c r="D2880" s="84" t="str">
        <f t="shared" si="53"/>
        <v/>
      </c>
      <c r="H2880" s="84">
        <f>IFERROR(VLOOKUP(B2880,Заказ!B:Q,5,0),0)</f>
        <v>0</v>
      </c>
      <c r="I2880" s="84">
        <f>IFERROR(VLOOKUP(B2880,Заказ!B:Q,16,0),0)</f>
        <v>0</v>
      </c>
    </row>
    <row r="2881" spans="2:9" x14ac:dyDescent="0.25">
      <c r="B2881" s="84">
        <v>12732</v>
      </c>
      <c r="D2881" s="84" t="str">
        <f t="shared" si="53"/>
        <v/>
      </c>
      <c r="H2881" s="84">
        <f>IFERROR(VLOOKUP(B2881,Заказ!B:Q,5,0),0)</f>
        <v>0</v>
      </c>
      <c r="I2881" s="84">
        <f>IFERROR(VLOOKUP(B2881,Заказ!B:Q,16,0),0)</f>
        <v>0</v>
      </c>
    </row>
    <row r="2882" spans="2:9" x14ac:dyDescent="0.25">
      <c r="B2882" s="84">
        <v>12205</v>
      </c>
      <c r="D2882" s="84" t="str">
        <f t="shared" si="53"/>
        <v/>
      </c>
      <c r="H2882" s="84">
        <f>IFERROR(VLOOKUP(B2882,Заказ!B:Q,5,0),0)</f>
        <v>0</v>
      </c>
      <c r="I2882" s="84">
        <f>IFERROR(VLOOKUP(B2882,Заказ!B:Q,16,0),0)</f>
        <v>0</v>
      </c>
    </row>
    <row r="2883" spans="2:9" x14ac:dyDescent="0.25">
      <c r="B2883" s="84">
        <v>9512</v>
      </c>
      <c r="D2883" s="84" t="str">
        <f t="shared" si="53"/>
        <v/>
      </c>
      <c r="H2883" s="84">
        <f>IFERROR(VLOOKUP(B2883,Заказ!B:Q,5,0),0)</f>
        <v>0</v>
      </c>
      <c r="I2883" s="84">
        <f>IFERROR(VLOOKUP(B2883,Заказ!B:Q,16,0),0)</f>
        <v>0</v>
      </c>
    </row>
    <row r="2884" spans="2:9" x14ac:dyDescent="0.25">
      <c r="B2884" s="84">
        <v>12731</v>
      </c>
      <c r="D2884" s="84" t="str">
        <f t="shared" si="53"/>
        <v/>
      </c>
      <c r="H2884" s="84">
        <f>IFERROR(VLOOKUP(B2884,Заказ!B:Q,5,0),0)</f>
        <v>0</v>
      </c>
      <c r="I2884" s="84">
        <f>IFERROR(VLOOKUP(B2884,Заказ!B:Q,16,0),0)</f>
        <v>0</v>
      </c>
    </row>
    <row r="2885" spans="2:9" x14ac:dyDescent="0.25">
      <c r="B2885" s="84">
        <v>11595</v>
      </c>
      <c r="D2885" s="84" t="str">
        <f t="shared" si="53"/>
        <v/>
      </c>
      <c r="H2885" s="84">
        <f>IFERROR(VLOOKUP(B2885,Заказ!B:Q,5,0),0)</f>
        <v>0</v>
      </c>
      <c r="I2885" s="84">
        <f>IFERROR(VLOOKUP(B2885,Заказ!B:Q,16,0),0)</f>
        <v>0</v>
      </c>
    </row>
    <row r="2886" spans="2:9" x14ac:dyDescent="0.25">
      <c r="B2886" s="84">
        <v>12206</v>
      </c>
      <c r="D2886" s="84" t="str">
        <f t="shared" si="53"/>
        <v/>
      </c>
      <c r="H2886" s="84">
        <f>IFERROR(VLOOKUP(B2886,Заказ!B:Q,5,0),0)</f>
        <v>0</v>
      </c>
      <c r="I2886" s="84">
        <f>IFERROR(VLOOKUP(B2886,Заказ!B:Q,16,0),0)</f>
        <v>0</v>
      </c>
    </row>
    <row r="2887" spans="2:9" x14ac:dyDescent="0.25">
      <c r="B2887" s="84">
        <v>11596</v>
      </c>
      <c r="D2887" s="84" t="str">
        <f t="shared" si="53"/>
        <v/>
      </c>
      <c r="H2887" s="84">
        <f>IFERROR(VLOOKUP(B2887,Заказ!B:Q,5,0),0)</f>
        <v>0</v>
      </c>
      <c r="I2887" s="84">
        <f>IFERROR(VLOOKUP(B2887,Заказ!B:Q,16,0),0)</f>
        <v>0</v>
      </c>
    </row>
    <row r="2888" spans="2:9" x14ac:dyDescent="0.25">
      <c r="B2888" s="84">
        <v>11598</v>
      </c>
      <c r="D2888" s="84" t="str">
        <f t="shared" si="53"/>
        <v/>
      </c>
      <c r="H2888" s="84">
        <f>IFERROR(VLOOKUP(B2888,Заказ!B:Q,5,0),0)</f>
        <v>0</v>
      </c>
      <c r="I2888" s="84">
        <f>IFERROR(VLOOKUP(B2888,Заказ!B:Q,16,0),0)</f>
        <v>0</v>
      </c>
    </row>
    <row r="2889" spans="2:9" x14ac:dyDescent="0.25">
      <c r="B2889" s="84">
        <v>13125</v>
      </c>
      <c r="D2889" s="84" t="str">
        <f t="shared" si="53"/>
        <v/>
      </c>
      <c r="H2889" s="84">
        <f>IFERROR(VLOOKUP(B2889,Заказ!B:Q,5,0),0)</f>
        <v>0</v>
      </c>
      <c r="I2889" s="84">
        <f>IFERROR(VLOOKUP(B2889,Заказ!B:Q,16,0),0)</f>
        <v>0</v>
      </c>
    </row>
    <row r="2890" spans="2:9" x14ac:dyDescent="0.25">
      <c r="B2890" s="84">
        <v>11597</v>
      </c>
      <c r="D2890" s="84" t="str">
        <f t="shared" si="53"/>
        <v/>
      </c>
      <c r="H2890" s="84">
        <f>IFERROR(VLOOKUP(B2890,Заказ!B:Q,5,0),0)</f>
        <v>0</v>
      </c>
      <c r="I2890" s="84">
        <f>IFERROR(VLOOKUP(B2890,Заказ!B:Q,16,0),0)</f>
        <v>0</v>
      </c>
    </row>
    <row r="2891" spans="2:9" x14ac:dyDescent="0.25">
      <c r="B2891" s="84">
        <v>12207</v>
      </c>
      <c r="D2891" s="84" t="str">
        <f t="shared" si="53"/>
        <v/>
      </c>
      <c r="H2891" s="84">
        <f>IFERROR(VLOOKUP(B2891,Заказ!B:Q,5,0),0)</f>
        <v>0</v>
      </c>
      <c r="I2891" s="84">
        <f>IFERROR(VLOOKUP(B2891,Заказ!B:Q,16,0),0)</f>
        <v>0</v>
      </c>
    </row>
    <row r="2892" spans="2:9" x14ac:dyDescent="0.25">
      <c r="B2892" s="84">
        <v>13126</v>
      </c>
      <c r="D2892" s="84" t="str">
        <f t="shared" si="53"/>
        <v/>
      </c>
      <c r="H2892" s="84">
        <f>IFERROR(VLOOKUP(B2892,Заказ!B:Q,5,0),0)</f>
        <v>0</v>
      </c>
      <c r="I2892" s="84">
        <f>IFERROR(VLOOKUP(B2892,Заказ!B:Q,16,0),0)</f>
        <v>0</v>
      </c>
    </row>
    <row r="2893" spans="2:9" x14ac:dyDescent="0.25">
      <c r="B2893" s="84">
        <v>12411</v>
      </c>
      <c r="D2893" s="84" t="str">
        <f t="shared" si="53"/>
        <v/>
      </c>
      <c r="H2893" s="84">
        <f>IFERROR(VLOOKUP(B2893,Заказ!B:Q,5,0),0)</f>
        <v>0</v>
      </c>
      <c r="I2893" s="84">
        <f>IFERROR(VLOOKUP(B2893,Заказ!B:Q,16,0),0)</f>
        <v>0</v>
      </c>
    </row>
    <row r="2894" spans="2:9" x14ac:dyDescent="0.25">
      <c r="B2894" s="84">
        <v>12412</v>
      </c>
      <c r="D2894" s="84" t="str">
        <f t="shared" si="53"/>
        <v/>
      </c>
      <c r="H2894" s="84">
        <f>IFERROR(VLOOKUP(B2894,Заказ!B:Q,5,0),0)</f>
        <v>0</v>
      </c>
      <c r="I2894" s="84">
        <f>IFERROR(VLOOKUP(B2894,Заказ!B:Q,16,0),0)</f>
        <v>0</v>
      </c>
    </row>
    <row r="2895" spans="2:9" x14ac:dyDescent="0.25">
      <c r="B2895" s="84">
        <v>9369</v>
      </c>
      <c r="D2895" s="84" t="str">
        <f t="shared" si="53"/>
        <v/>
      </c>
      <c r="H2895" s="84">
        <f>IFERROR(VLOOKUP(B2895,Заказ!B:Q,5,0),0)</f>
        <v>0</v>
      </c>
      <c r="I2895" s="84">
        <f>IFERROR(VLOOKUP(B2895,Заказ!B:Q,16,0),0)</f>
        <v>0</v>
      </c>
    </row>
    <row r="2896" spans="2:9" x14ac:dyDescent="0.25">
      <c r="B2896" s="84">
        <v>9370</v>
      </c>
      <c r="D2896" s="84" t="str">
        <f t="shared" si="53"/>
        <v/>
      </c>
      <c r="H2896" s="84">
        <f>IFERROR(VLOOKUP(B2896,Заказ!B:Q,5,0),0)</f>
        <v>0</v>
      </c>
      <c r="I2896" s="84">
        <f>IFERROR(VLOOKUP(B2896,Заказ!B:Q,16,0),0)</f>
        <v>0</v>
      </c>
    </row>
    <row r="2897" spans="2:9" x14ac:dyDescent="0.25">
      <c r="B2897" s="84">
        <v>9371</v>
      </c>
      <c r="D2897" s="84" t="str">
        <f t="shared" si="53"/>
        <v/>
      </c>
      <c r="H2897" s="84">
        <f>IFERROR(VLOOKUP(B2897,Заказ!B:Q,5,0),0)</f>
        <v>0</v>
      </c>
      <c r="I2897" s="84">
        <f>IFERROR(VLOOKUP(B2897,Заказ!B:Q,16,0),0)</f>
        <v>0</v>
      </c>
    </row>
    <row r="2898" spans="2:9" x14ac:dyDescent="0.25">
      <c r="B2898" s="84">
        <v>9372</v>
      </c>
      <c r="D2898" s="84" t="str">
        <f t="shared" si="53"/>
        <v/>
      </c>
      <c r="H2898" s="84">
        <f>IFERROR(VLOOKUP(B2898,Заказ!B:Q,5,0),0)</f>
        <v>0</v>
      </c>
      <c r="I2898" s="84">
        <f>IFERROR(VLOOKUP(B2898,Заказ!B:Q,16,0),0)</f>
        <v>0</v>
      </c>
    </row>
    <row r="2899" spans="2:9" x14ac:dyDescent="0.25">
      <c r="B2899" s="84">
        <v>9375</v>
      </c>
      <c r="D2899" s="84" t="str">
        <f t="shared" si="53"/>
        <v/>
      </c>
      <c r="H2899" s="84">
        <f>IFERROR(VLOOKUP(B2899,Заказ!B:Q,5,0),0)</f>
        <v>0</v>
      </c>
      <c r="I2899" s="84">
        <f>IFERROR(VLOOKUP(B2899,Заказ!B:Q,16,0),0)</f>
        <v>0</v>
      </c>
    </row>
    <row r="2900" spans="2:9" x14ac:dyDescent="0.25">
      <c r="B2900" s="84">
        <v>9376</v>
      </c>
      <c r="D2900" s="84" t="str">
        <f t="shared" si="53"/>
        <v/>
      </c>
      <c r="H2900" s="84">
        <f>IFERROR(VLOOKUP(B2900,Заказ!B:Q,5,0),0)</f>
        <v>0</v>
      </c>
      <c r="I2900" s="84">
        <f>IFERROR(VLOOKUP(B2900,Заказ!B:Q,16,0),0)</f>
        <v>0</v>
      </c>
    </row>
    <row r="2901" spans="2:9" x14ac:dyDescent="0.25">
      <c r="B2901" s="84">
        <v>9377</v>
      </c>
      <c r="D2901" s="84" t="str">
        <f t="shared" si="53"/>
        <v/>
      </c>
      <c r="H2901" s="84">
        <f>IFERROR(VLOOKUP(B2901,Заказ!B:Q,5,0),0)</f>
        <v>0</v>
      </c>
      <c r="I2901" s="84">
        <f>IFERROR(VLOOKUP(B2901,Заказ!B:Q,16,0),0)</f>
        <v>0</v>
      </c>
    </row>
    <row r="2902" spans="2:9" x14ac:dyDescent="0.25">
      <c r="B2902" s="84">
        <v>9731</v>
      </c>
      <c r="D2902" s="84" t="str">
        <f t="shared" si="53"/>
        <v/>
      </c>
      <c r="H2902" s="84">
        <f>IFERROR(VLOOKUP(B2902,Заказ!B:Q,5,0),0)</f>
        <v>0</v>
      </c>
      <c r="I2902" s="84">
        <f>IFERROR(VLOOKUP(B2902,Заказ!B:Q,16,0),0)</f>
        <v>0</v>
      </c>
    </row>
    <row r="2903" spans="2:9" x14ac:dyDescent="0.25">
      <c r="B2903" s="84">
        <v>9732</v>
      </c>
      <c r="D2903" s="84" t="str">
        <f t="shared" si="53"/>
        <v/>
      </c>
      <c r="H2903" s="84">
        <f>IFERROR(VLOOKUP(B2903,Заказ!B:Q,5,0),0)</f>
        <v>0</v>
      </c>
      <c r="I2903" s="84">
        <f>IFERROR(VLOOKUP(B2903,Заказ!B:Q,16,0),0)</f>
        <v>0</v>
      </c>
    </row>
    <row r="2904" spans="2:9" x14ac:dyDescent="0.25">
      <c r="B2904" s="84">
        <v>10723</v>
      </c>
      <c r="D2904" s="84" t="str">
        <f t="shared" ref="D2904:D2967" si="54">IFERROR(ROUND(I2904/H2904,2),"")</f>
        <v/>
      </c>
      <c r="H2904" s="84">
        <f>IFERROR(VLOOKUP(B2904,Заказ!B:Q,5,0),0)</f>
        <v>0</v>
      </c>
      <c r="I2904" s="84">
        <f>IFERROR(VLOOKUP(B2904,Заказ!B:Q,16,0),0)</f>
        <v>0</v>
      </c>
    </row>
    <row r="2905" spans="2:9" x14ac:dyDescent="0.25">
      <c r="B2905" s="84">
        <v>10722</v>
      </c>
      <c r="D2905" s="84" t="str">
        <f t="shared" si="54"/>
        <v/>
      </c>
      <c r="H2905" s="84">
        <f>IFERROR(VLOOKUP(B2905,Заказ!B:Q,5,0),0)</f>
        <v>0</v>
      </c>
      <c r="I2905" s="84">
        <f>IFERROR(VLOOKUP(B2905,Заказ!B:Q,16,0),0)</f>
        <v>0</v>
      </c>
    </row>
    <row r="2906" spans="2:9" x14ac:dyDescent="0.25">
      <c r="B2906" s="84">
        <v>10721</v>
      </c>
      <c r="D2906" s="84" t="str">
        <f t="shared" si="54"/>
        <v/>
      </c>
      <c r="H2906" s="84">
        <f>IFERROR(VLOOKUP(B2906,Заказ!B:Q,5,0),0)</f>
        <v>0</v>
      </c>
      <c r="I2906" s="84">
        <f>IFERROR(VLOOKUP(B2906,Заказ!B:Q,16,0),0)</f>
        <v>0</v>
      </c>
    </row>
    <row r="2907" spans="2:9" x14ac:dyDescent="0.25">
      <c r="B2907" s="84">
        <v>10724</v>
      </c>
      <c r="D2907" s="84" t="str">
        <f t="shared" si="54"/>
        <v/>
      </c>
      <c r="H2907" s="84">
        <f>IFERROR(VLOOKUP(B2907,Заказ!B:Q,5,0),0)</f>
        <v>0</v>
      </c>
      <c r="I2907" s="84">
        <f>IFERROR(VLOOKUP(B2907,Заказ!B:Q,16,0),0)</f>
        <v>0</v>
      </c>
    </row>
    <row r="2908" spans="2:9" x14ac:dyDescent="0.25">
      <c r="B2908" s="84">
        <v>10720</v>
      </c>
      <c r="D2908" s="84" t="str">
        <f t="shared" si="54"/>
        <v/>
      </c>
      <c r="H2908" s="84">
        <f>IFERROR(VLOOKUP(B2908,Заказ!B:Q,5,0),0)</f>
        <v>0</v>
      </c>
      <c r="I2908" s="84">
        <f>IFERROR(VLOOKUP(B2908,Заказ!B:Q,16,0),0)</f>
        <v>0</v>
      </c>
    </row>
    <row r="2909" spans="2:9" x14ac:dyDescent="0.25">
      <c r="B2909" s="84">
        <v>9733</v>
      </c>
      <c r="D2909" s="84" t="str">
        <f t="shared" si="54"/>
        <v/>
      </c>
      <c r="H2909" s="84">
        <f>IFERROR(VLOOKUP(B2909,Заказ!B:Q,5,0),0)</f>
        <v>0</v>
      </c>
      <c r="I2909" s="84">
        <f>IFERROR(VLOOKUP(B2909,Заказ!B:Q,16,0),0)</f>
        <v>0</v>
      </c>
    </row>
    <row r="2910" spans="2:9" x14ac:dyDescent="0.25">
      <c r="B2910" s="84">
        <v>9379</v>
      </c>
      <c r="D2910" s="84" t="str">
        <f t="shared" si="54"/>
        <v/>
      </c>
      <c r="H2910" s="84">
        <f>IFERROR(VLOOKUP(B2910,Заказ!B:Q,5,0),0)</f>
        <v>0</v>
      </c>
      <c r="I2910" s="84">
        <f>IFERROR(VLOOKUP(B2910,Заказ!B:Q,16,0),0)</f>
        <v>0</v>
      </c>
    </row>
    <row r="2911" spans="2:9" x14ac:dyDescent="0.25">
      <c r="B2911" s="84">
        <v>9378</v>
      </c>
      <c r="D2911" s="84" t="str">
        <f t="shared" si="54"/>
        <v/>
      </c>
      <c r="H2911" s="84">
        <f>IFERROR(VLOOKUP(B2911,Заказ!B:Q,5,0),0)</f>
        <v>0</v>
      </c>
      <c r="I2911" s="84">
        <f>IFERROR(VLOOKUP(B2911,Заказ!B:Q,16,0),0)</f>
        <v>0</v>
      </c>
    </row>
    <row r="2912" spans="2:9" x14ac:dyDescent="0.25">
      <c r="B2912" s="84">
        <v>9734</v>
      </c>
      <c r="D2912" s="84" t="str">
        <f t="shared" si="54"/>
        <v/>
      </c>
      <c r="H2912" s="84">
        <f>IFERROR(VLOOKUP(B2912,Заказ!B:Q,5,0),0)</f>
        <v>0</v>
      </c>
      <c r="I2912" s="84">
        <f>IFERROR(VLOOKUP(B2912,Заказ!B:Q,16,0),0)</f>
        <v>0</v>
      </c>
    </row>
    <row r="2913" spans="2:9" x14ac:dyDescent="0.25">
      <c r="B2913" s="84">
        <v>9735</v>
      </c>
      <c r="D2913" s="84" t="str">
        <f t="shared" si="54"/>
        <v/>
      </c>
      <c r="H2913" s="84">
        <f>IFERROR(VLOOKUP(B2913,Заказ!B:Q,5,0),0)</f>
        <v>0</v>
      </c>
      <c r="I2913" s="84">
        <f>IFERROR(VLOOKUP(B2913,Заказ!B:Q,16,0),0)</f>
        <v>0</v>
      </c>
    </row>
    <row r="2914" spans="2:9" x14ac:dyDescent="0.25">
      <c r="B2914" s="84">
        <v>8959</v>
      </c>
      <c r="D2914" s="84" t="str">
        <f t="shared" si="54"/>
        <v/>
      </c>
      <c r="H2914" s="84">
        <f>IFERROR(VLOOKUP(B2914,Заказ!B:Q,5,0),0)</f>
        <v>0</v>
      </c>
      <c r="I2914" s="84">
        <f>IFERROR(VLOOKUP(B2914,Заказ!B:Q,16,0),0)</f>
        <v>0</v>
      </c>
    </row>
    <row r="2915" spans="2:9" x14ac:dyDescent="0.25">
      <c r="B2915" s="84">
        <v>9058</v>
      </c>
      <c r="D2915" s="84" t="str">
        <f t="shared" si="54"/>
        <v/>
      </c>
      <c r="H2915" s="84">
        <f>IFERROR(VLOOKUP(B2915,Заказ!B:Q,5,0),0)</f>
        <v>0</v>
      </c>
      <c r="I2915" s="84">
        <f>IFERROR(VLOOKUP(B2915,Заказ!B:Q,16,0),0)</f>
        <v>0</v>
      </c>
    </row>
    <row r="2916" spans="2:9" x14ac:dyDescent="0.25">
      <c r="B2916" s="84">
        <v>13511</v>
      </c>
      <c r="D2916" s="84" t="str">
        <f t="shared" si="54"/>
        <v/>
      </c>
      <c r="H2916" s="84">
        <f>IFERROR(VLOOKUP(B2916,Заказ!B:Q,5,0),0)</f>
        <v>0</v>
      </c>
      <c r="I2916" s="84">
        <f>IFERROR(VLOOKUP(B2916,Заказ!B:Q,16,0),0)</f>
        <v>0</v>
      </c>
    </row>
    <row r="2917" spans="2:9" x14ac:dyDescent="0.25">
      <c r="B2917" s="84">
        <v>13512</v>
      </c>
      <c r="D2917" s="84" t="str">
        <f t="shared" si="54"/>
        <v/>
      </c>
      <c r="H2917" s="84">
        <f>IFERROR(VLOOKUP(B2917,Заказ!B:Q,5,0),0)</f>
        <v>0</v>
      </c>
      <c r="I2917" s="84">
        <f>IFERROR(VLOOKUP(B2917,Заказ!B:Q,16,0),0)</f>
        <v>0</v>
      </c>
    </row>
    <row r="2918" spans="2:9" x14ac:dyDescent="0.25">
      <c r="B2918" s="84">
        <v>8960</v>
      </c>
      <c r="D2918" s="84" t="str">
        <f t="shared" si="54"/>
        <v/>
      </c>
      <c r="H2918" s="84">
        <f>IFERROR(VLOOKUP(B2918,Заказ!B:Q,5,0),0)</f>
        <v>0</v>
      </c>
      <c r="I2918" s="84">
        <f>IFERROR(VLOOKUP(B2918,Заказ!B:Q,16,0),0)</f>
        <v>0</v>
      </c>
    </row>
    <row r="2919" spans="2:9" x14ac:dyDescent="0.25">
      <c r="B2919" s="84">
        <v>9997</v>
      </c>
      <c r="D2919" s="84" t="str">
        <f t="shared" si="54"/>
        <v/>
      </c>
      <c r="H2919" s="84">
        <f>IFERROR(VLOOKUP(B2919,Заказ!B:Q,5,0),0)</f>
        <v>0</v>
      </c>
      <c r="I2919" s="84">
        <f>IFERROR(VLOOKUP(B2919,Заказ!B:Q,16,0),0)</f>
        <v>0</v>
      </c>
    </row>
    <row r="2920" spans="2:9" x14ac:dyDescent="0.25">
      <c r="B2920" s="84">
        <v>8961</v>
      </c>
      <c r="D2920" s="84" t="str">
        <f t="shared" si="54"/>
        <v/>
      </c>
      <c r="H2920" s="84">
        <f>IFERROR(VLOOKUP(B2920,Заказ!B:Q,5,0),0)</f>
        <v>0</v>
      </c>
      <c r="I2920" s="84">
        <f>IFERROR(VLOOKUP(B2920,Заказ!B:Q,16,0),0)</f>
        <v>0</v>
      </c>
    </row>
    <row r="2921" spans="2:9" x14ac:dyDescent="0.25">
      <c r="B2921" s="84">
        <v>8964</v>
      </c>
      <c r="D2921" s="84" t="str">
        <f t="shared" si="54"/>
        <v/>
      </c>
      <c r="H2921" s="84">
        <f>IFERROR(VLOOKUP(B2921,Заказ!B:Q,5,0),0)</f>
        <v>0</v>
      </c>
      <c r="I2921" s="84">
        <f>IFERROR(VLOOKUP(B2921,Заказ!B:Q,16,0),0)</f>
        <v>0</v>
      </c>
    </row>
    <row r="2922" spans="2:9" x14ac:dyDescent="0.25">
      <c r="B2922" s="84">
        <v>13513</v>
      </c>
      <c r="D2922" s="84" t="str">
        <f t="shared" si="54"/>
        <v/>
      </c>
      <c r="H2922" s="84">
        <f>IFERROR(VLOOKUP(B2922,Заказ!B:Q,5,0),0)</f>
        <v>0</v>
      </c>
      <c r="I2922" s="84">
        <f>IFERROR(VLOOKUP(B2922,Заказ!B:Q,16,0),0)</f>
        <v>0</v>
      </c>
    </row>
    <row r="2923" spans="2:9" x14ac:dyDescent="0.25">
      <c r="B2923" s="84">
        <v>9059</v>
      </c>
      <c r="D2923" s="84" t="str">
        <f t="shared" si="54"/>
        <v/>
      </c>
      <c r="H2923" s="84">
        <f>IFERROR(VLOOKUP(B2923,Заказ!B:Q,5,0),0)</f>
        <v>0</v>
      </c>
      <c r="I2923" s="84">
        <f>IFERROR(VLOOKUP(B2923,Заказ!B:Q,16,0),0)</f>
        <v>0</v>
      </c>
    </row>
    <row r="2924" spans="2:9" x14ac:dyDescent="0.25">
      <c r="B2924" s="84">
        <v>13514</v>
      </c>
      <c r="D2924" s="84" t="str">
        <f t="shared" si="54"/>
        <v/>
      </c>
      <c r="H2924" s="84">
        <f>IFERROR(VLOOKUP(B2924,Заказ!B:Q,5,0),0)</f>
        <v>0</v>
      </c>
      <c r="I2924" s="84">
        <f>IFERROR(VLOOKUP(B2924,Заказ!B:Q,16,0),0)</f>
        <v>0</v>
      </c>
    </row>
    <row r="2925" spans="2:9" x14ac:dyDescent="0.25">
      <c r="B2925" s="84">
        <v>13515</v>
      </c>
      <c r="D2925" s="84" t="str">
        <f t="shared" si="54"/>
        <v/>
      </c>
      <c r="H2925" s="84">
        <f>IFERROR(VLOOKUP(B2925,Заказ!B:Q,5,0),0)</f>
        <v>0</v>
      </c>
      <c r="I2925" s="84">
        <f>IFERROR(VLOOKUP(B2925,Заказ!B:Q,16,0),0)</f>
        <v>0</v>
      </c>
    </row>
    <row r="2926" spans="2:9" x14ac:dyDescent="0.25">
      <c r="B2926" s="84">
        <v>13516</v>
      </c>
      <c r="D2926" s="84" t="str">
        <f t="shared" si="54"/>
        <v/>
      </c>
      <c r="H2926" s="84">
        <f>IFERROR(VLOOKUP(B2926,Заказ!B:Q,5,0),0)</f>
        <v>0</v>
      </c>
      <c r="I2926" s="84">
        <f>IFERROR(VLOOKUP(B2926,Заказ!B:Q,16,0),0)</f>
        <v>0</v>
      </c>
    </row>
    <row r="2927" spans="2:9" x14ac:dyDescent="0.25">
      <c r="B2927" s="84">
        <v>13517</v>
      </c>
      <c r="D2927" s="84" t="str">
        <f t="shared" si="54"/>
        <v/>
      </c>
      <c r="H2927" s="84">
        <f>IFERROR(VLOOKUP(B2927,Заказ!B:Q,5,0),0)</f>
        <v>0</v>
      </c>
      <c r="I2927" s="84">
        <f>IFERROR(VLOOKUP(B2927,Заказ!B:Q,16,0),0)</f>
        <v>0</v>
      </c>
    </row>
    <row r="2928" spans="2:9" x14ac:dyDescent="0.25">
      <c r="B2928" s="84">
        <v>13223</v>
      </c>
      <c r="D2928" s="84" t="str">
        <f t="shared" si="54"/>
        <v/>
      </c>
      <c r="H2928" s="84">
        <f>IFERROR(VLOOKUP(B2928,Заказ!B:Q,5,0),0)</f>
        <v>0</v>
      </c>
      <c r="I2928" s="84">
        <f>IFERROR(VLOOKUP(B2928,Заказ!B:Q,16,0),0)</f>
        <v>0</v>
      </c>
    </row>
    <row r="2929" spans="2:9" x14ac:dyDescent="0.25">
      <c r="B2929" s="84">
        <v>13518</v>
      </c>
      <c r="D2929" s="84" t="str">
        <f t="shared" si="54"/>
        <v/>
      </c>
      <c r="H2929" s="84">
        <f>IFERROR(VLOOKUP(B2929,Заказ!B:Q,5,0),0)</f>
        <v>0</v>
      </c>
      <c r="I2929" s="84">
        <f>IFERROR(VLOOKUP(B2929,Заказ!B:Q,16,0),0)</f>
        <v>0</v>
      </c>
    </row>
    <row r="2930" spans="2:9" x14ac:dyDescent="0.25">
      <c r="B2930" s="84">
        <v>13519</v>
      </c>
      <c r="D2930" s="84" t="str">
        <f t="shared" si="54"/>
        <v/>
      </c>
      <c r="H2930" s="84">
        <f>IFERROR(VLOOKUP(B2930,Заказ!B:Q,5,0),0)</f>
        <v>0</v>
      </c>
      <c r="I2930" s="84">
        <f>IFERROR(VLOOKUP(B2930,Заказ!B:Q,16,0),0)</f>
        <v>0</v>
      </c>
    </row>
    <row r="2931" spans="2:9" x14ac:dyDescent="0.25">
      <c r="B2931" s="84">
        <v>8963</v>
      </c>
      <c r="D2931" s="84" t="str">
        <f t="shared" si="54"/>
        <v/>
      </c>
      <c r="H2931" s="84">
        <f>IFERROR(VLOOKUP(B2931,Заказ!B:Q,5,0),0)</f>
        <v>0</v>
      </c>
      <c r="I2931" s="84">
        <f>IFERROR(VLOOKUP(B2931,Заказ!B:Q,16,0),0)</f>
        <v>0</v>
      </c>
    </row>
    <row r="2932" spans="2:9" x14ac:dyDescent="0.25">
      <c r="B2932" s="84">
        <v>13520</v>
      </c>
      <c r="D2932" s="84" t="str">
        <f t="shared" si="54"/>
        <v/>
      </c>
      <c r="H2932" s="84">
        <f>IFERROR(VLOOKUP(B2932,Заказ!B:Q,5,0),0)</f>
        <v>0</v>
      </c>
      <c r="I2932" s="84">
        <f>IFERROR(VLOOKUP(B2932,Заказ!B:Q,16,0),0)</f>
        <v>0</v>
      </c>
    </row>
    <row r="2933" spans="2:9" x14ac:dyDescent="0.25">
      <c r="B2933" s="84">
        <v>9090</v>
      </c>
      <c r="D2933" s="84" t="str">
        <f t="shared" si="54"/>
        <v/>
      </c>
      <c r="H2933" s="84">
        <f>IFERROR(VLOOKUP(B2933,Заказ!B:Q,5,0),0)</f>
        <v>0</v>
      </c>
      <c r="I2933" s="84">
        <f>IFERROR(VLOOKUP(B2933,Заказ!B:Q,16,0),0)</f>
        <v>0</v>
      </c>
    </row>
    <row r="2934" spans="2:9" x14ac:dyDescent="0.25">
      <c r="B2934" s="84">
        <v>7493</v>
      </c>
      <c r="D2934" s="84" t="str">
        <f t="shared" si="54"/>
        <v/>
      </c>
      <c r="H2934" s="84">
        <f>IFERROR(VLOOKUP(B2934,Заказ!B:Q,5,0),0)</f>
        <v>0</v>
      </c>
      <c r="I2934" s="84">
        <f>IFERROR(VLOOKUP(B2934,Заказ!B:Q,16,0),0)</f>
        <v>0</v>
      </c>
    </row>
    <row r="2935" spans="2:9" x14ac:dyDescent="0.25">
      <c r="B2935" s="84">
        <v>7494</v>
      </c>
      <c r="D2935" s="84" t="str">
        <f t="shared" si="54"/>
        <v/>
      </c>
      <c r="H2935" s="84">
        <f>IFERROR(VLOOKUP(B2935,Заказ!B:Q,5,0),0)</f>
        <v>0</v>
      </c>
      <c r="I2935" s="84">
        <f>IFERROR(VLOOKUP(B2935,Заказ!B:Q,16,0),0)</f>
        <v>0</v>
      </c>
    </row>
    <row r="2936" spans="2:9" x14ac:dyDescent="0.25">
      <c r="B2936" s="84">
        <v>7614</v>
      </c>
      <c r="D2936" s="84" t="str">
        <f t="shared" si="54"/>
        <v/>
      </c>
      <c r="H2936" s="84">
        <f>IFERROR(VLOOKUP(B2936,Заказ!B:Q,5,0),0)</f>
        <v>0</v>
      </c>
      <c r="I2936" s="84">
        <f>IFERROR(VLOOKUP(B2936,Заказ!B:Q,16,0),0)</f>
        <v>0</v>
      </c>
    </row>
    <row r="2937" spans="2:9" x14ac:dyDescent="0.25">
      <c r="B2937" s="84">
        <v>7600</v>
      </c>
      <c r="D2937" s="84" t="str">
        <f t="shared" si="54"/>
        <v/>
      </c>
      <c r="H2937" s="84">
        <f>IFERROR(VLOOKUP(B2937,Заказ!B:Q,5,0),0)</f>
        <v>0</v>
      </c>
      <c r="I2937" s="84">
        <f>IFERROR(VLOOKUP(B2937,Заказ!B:Q,16,0),0)</f>
        <v>0</v>
      </c>
    </row>
    <row r="2938" spans="2:9" x14ac:dyDescent="0.25">
      <c r="B2938" s="84">
        <v>7720</v>
      </c>
      <c r="D2938" s="84" t="str">
        <f t="shared" si="54"/>
        <v/>
      </c>
      <c r="H2938" s="84">
        <f>IFERROR(VLOOKUP(B2938,Заказ!B:Q,5,0),0)</f>
        <v>0</v>
      </c>
      <c r="I2938" s="84">
        <f>IFERROR(VLOOKUP(B2938,Заказ!B:Q,16,0),0)</f>
        <v>0</v>
      </c>
    </row>
    <row r="2939" spans="2:9" x14ac:dyDescent="0.25">
      <c r="B2939" s="84">
        <v>7559</v>
      </c>
      <c r="D2939" s="84" t="str">
        <f t="shared" si="54"/>
        <v/>
      </c>
      <c r="H2939" s="84">
        <f>IFERROR(VLOOKUP(B2939,Заказ!B:Q,5,0),0)</f>
        <v>0</v>
      </c>
      <c r="I2939" s="84">
        <f>IFERROR(VLOOKUP(B2939,Заказ!B:Q,16,0),0)</f>
        <v>0</v>
      </c>
    </row>
    <row r="2940" spans="2:9" x14ac:dyDescent="0.25">
      <c r="B2940" s="84">
        <v>7768</v>
      </c>
      <c r="D2940" s="84" t="str">
        <f t="shared" si="54"/>
        <v/>
      </c>
      <c r="H2940" s="84">
        <f>IFERROR(VLOOKUP(B2940,Заказ!B:Q,5,0),0)</f>
        <v>0</v>
      </c>
      <c r="I2940" s="84">
        <f>IFERROR(VLOOKUP(B2940,Заказ!B:Q,16,0),0)</f>
        <v>0</v>
      </c>
    </row>
    <row r="2941" spans="2:9" x14ac:dyDescent="0.25">
      <c r="B2941" s="84">
        <v>7414</v>
      </c>
      <c r="D2941" s="84" t="str">
        <f t="shared" si="54"/>
        <v/>
      </c>
      <c r="H2941" s="84">
        <f>IFERROR(VLOOKUP(B2941,Заказ!B:Q,5,0),0)</f>
        <v>0</v>
      </c>
      <c r="I2941" s="84">
        <f>IFERROR(VLOOKUP(B2941,Заказ!B:Q,16,0),0)</f>
        <v>0</v>
      </c>
    </row>
    <row r="2942" spans="2:9" x14ac:dyDescent="0.25">
      <c r="B2942" s="84">
        <v>7718</v>
      </c>
      <c r="D2942" s="84" t="str">
        <f t="shared" si="54"/>
        <v/>
      </c>
      <c r="H2942" s="84">
        <f>IFERROR(VLOOKUP(B2942,Заказ!B:Q,5,0),0)</f>
        <v>0</v>
      </c>
      <c r="I2942" s="84">
        <f>IFERROR(VLOOKUP(B2942,Заказ!B:Q,16,0),0)</f>
        <v>0</v>
      </c>
    </row>
    <row r="2943" spans="2:9" x14ac:dyDescent="0.25">
      <c r="B2943" s="84">
        <v>13766</v>
      </c>
      <c r="D2943" s="84" t="str">
        <f t="shared" si="54"/>
        <v/>
      </c>
      <c r="H2943" s="84">
        <f>IFERROR(VLOOKUP(B2943,Заказ!B:Q,5,0),0)</f>
        <v>0</v>
      </c>
      <c r="I2943" s="84">
        <f>IFERROR(VLOOKUP(B2943,Заказ!B:Q,16,0),0)</f>
        <v>0</v>
      </c>
    </row>
    <row r="2944" spans="2:9" x14ac:dyDescent="0.25">
      <c r="B2944" s="84">
        <v>8150</v>
      </c>
      <c r="D2944" s="84" t="str">
        <f t="shared" si="54"/>
        <v/>
      </c>
      <c r="H2944" s="84">
        <f>IFERROR(VLOOKUP(B2944,Заказ!B:Q,5,0),0)</f>
        <v>0</v>
      </c>
      <c r="I2944" s="84">
        <f>IFERROR(VLOOKUP(B2944,Заказ!B:Q,16,0),0)</f>
        <v>0</v>
      </c>
    </row>
    <row r="2945" spans="2:9" x14ac:dyDescent="0.25">
      <c r="B2945" s="84">
        <v>8023</v>
      </c>
      <c r="D2945" s="84" t="str">
        <f t="shared" si="54"/>
        <v/>
      </c>
      <c r="H2945" s="84">
        <f>IFERROR(VLOOKUP(B2945,Заказ!B:Q,5,0),0)</f>
        <v>0</v>
      </c>
      <c r="I2945" s="84">
        <f>IFERROR(VLOOKUP(B2945,Заказ!B:Q,16,0),0)</f>
        <v>0</v>
      </c>
    </row>
    <row r="2946" spans="2:9" x14ac:dyDescent="0.25">
      <c r="B2946" s="84">
        <v>7488</v>
      </c>
      <c r="D2946" s="84" t="str">
        <f t="shared" si="54"/>
        <v/>
      </c>
      <c r="H2946" s="84">
        <f>IFERROR(VLOOKUP(B2946,Заказ!B:Q,5,0),0)</f>
        <v>0</v>
      </c>
      <c r="I2946" s="84">
        <f>IFERROR(VLOOKUP(B2946,Заказ!B:Q,16,0),0)</f>
        <v>0</v>
      </c>
    </row>
    <row r="2947" spans="2:9" x14ac:dyDescent="0.25">
      <c r="B2947" s="84">
        <v>7415</v>
      </c>
      <c r="D2947" s="84" t="str">
        <f t="shared" si="54"/>
        <v/>
      </c>
      <c r="H2947" s="84">
        <f>IFERROR(VLOOKUP(B2947,Заказ!B:Q,5,0),0)</f>
        <v>0</v>
      </c>
      <c r="I2947" s="84">
        <f>IFERROR(VLOOKUP(B2947,Заказ!B:Q,16,0),0)</f>
        <v>0</v>
      </c>
    </row>
    <row r="2948" spans="2:9" x14ac:dyDescent="0.25">
      <c r="B2948" s="84">
        <v>7495</v>
      </c>
      <c r="D2948" s="84" t="str">
        <f t="shared" si="54"/>
        <v/>
      </c>
      <c r="H2948" s="84">
        <f>IFERROR(VLOOKUP(B2948,Заказ!B:Q,5,0),0)</f>
        <v>0</v>
      </c>
      <c r="I2948" s="84">
        <f>IFERROR(VLOOKUP(B2948,Заказ!B:Q,16,0),0)</f>
        <v>0</v>
      </c>
    </row>
    <row r="2949" spans="2:9" x14ac:dyDescent="0.25">
      <c r="B2949" s="84">
        <v>13803</v>
      </c>
      <c r="D2949" s="84" t="str">
        <f t="shared" si="54"/>
        <v/>
      </c>
      <c r="H2949" s="84">
        <f>IFERROR(VLOOKUP(B2949,Заказ!B:Q,5,0),0)</f>
        <v>0</v>
      </c>
      <c r="I2949" s="84">
        <f>IFERROR(VLOOKUP(B2949,Заказ!B:Q,16,0),0)</f>
        <v>0</v>
      </c>
    </row>
    <row r="2950" spans="2:9" x14ac:dyDescent="0.25">
      <c r="B2950" s="84">
        <v>9649</v>
      </c>
      <c r="D2950" s="84" t="str">
        <f t="shared" si="54"/>
        <v/>
      </c>
      <c r="H2950" s="84">
        <f>IFERROR(VLOOKUP(B2950,Заказ!B:Q,5,0),0)</f>
        <v>0</v>
      </c>
      <c r="I2950" s="84">
        <f>IFERROR(VLOOKUP(B2950,Заказ!B:Q,16,0),0)</f>
        <v>0</v>
      </c>
    </row>
    <row r="2951" spans="2:9" x14ac:dyDescent="0.25">
      <c r="B2951" s="84">
        <v>7602</v>
      </c>
      <c r="D2951" s="84" t="str">
        <f t="shared" si="54"/>
        <v/>
      </c>
      <c r="H2951" s="84">
        <f>IFERROR(VLOOKUP(B2951,Заказ!B:Q,5,0),0)</f>
        <v>0</v>
      </c>
      <c r="I2951" s="84">
        <f>IFERROR(VLOOKUP(B2951,Заказ!B:Q,16,0),0)</f>
        <v>0</v>
      </c>
    </row>
    <row r="2952" spans="2:9" x14ac:dyDescent="0.25">
      <c r="B2952" s="84">
        <v>7492</v>
      </c>
      <c r="D2952" s="84" t="str">
        <f t="shared" si="54"/>
        <v/>
      </c>
      <c r="H2952" s="84">
        <f>IFERROR(VLOOKUP(B2952,Заказ!B:Q,5,0),0)</f>
        <v>0</v>
      </c>
      <c r="I2952" s="84">
        <f>IFERROR(VLOOKUP(B2952,Заказ!B:Q,16,0),0)</f>
        <v>0</v>
      </c>
    </row>
    <row r="2953" spans="2:9" x14ac:dyDescent="0.25">
      <c r="B2953" s="84">
        <v>7557</v>
      </c>
      <c r="D2953" s="84" t="str">
        <f t="shared" si="54"/>
        <v/>
      </c>
      <c r="H2953" s="84">
        <f>IFERROR(VLOOKUP(B2953,Заказ!B:Q,5,0),0)</f>
        <v>0</v>
      </c>
      <c r="I2953" s="84">
        <f>IFERROR(VLOOKUP(B2953,Заказ!B:Q,16,0),0)</f>
        <v>0</v>
      </c>
    </row>
    <row r="2954" spans="2:9" x14ac:dyDescent="0.25">
      <c r="B2954" s="84">
        <v>7719</v>
      </c>
      <c r="D2954" s="84" t="str">
        <f t="shared" si="54"/>
        <v/>
      </c>
      <c r="H2954" s="84">
        <f>IFERROR(VLOOKUP(B2954,Заказ!B:Q,5,0),0)</f>
        <v>0</v>
      </c>
      <c r="I2954" s="84">
        <f>IFERROR(VLOOKUP(B2954,Заказ!B:Q,16,0),0)</f>
        <v>0</v>
      </c>
    </row>
    <row r="2955" spans="2:9" x14ac:dyDescent="0.25">
      <c r="B2955" s="84">
        <v>7603</v>
      </c>
      <c r="D2955" s="84" t="str">
        <f t="shared" si="54"/>
        <v/>
      </c>
      <c r="H2955" s="84">
        <f>IFERROR(VLOOKUP(B2955,Заказ!B:Q,5,0),0)</f>
        <v>0</v>
      </c>
      <c r="I2955" s="84">
        <f>IFERROR(VLOOKUP(B2955,Заказ!B:Q,16,0),0)</f>
        <v>0</v>
      </c>
    </row>
    <row r="2956" spans="2:9" x14ac:dyDescent="0.25">
      <c r="B2956" s="84">
        <v>12765</v>
      </c>
      <c r="D2956" s="84" t="str">
        <f t="shared" si="54"/>
        <v/>
      </c>
      <c r="H2956" s="84">
        <f>IFERROR(VLOOKUP(B2956,Заказ!B:Q,5,0),0)</f>
        <v>0</v>
      </c>
      <c r="I2956" s="84">
        <f>IFERROR(VLOOKUP(B2956,Заказ!B:Q,16,0),0)</f>
        <v>0</v>
      </c>
    </row>
    <row r="2957" spans="2:9" x14ac:dyDescent="0.25">
      <c r="B2957" s="84">
        <v>7739</v>
      </c>
      <c r="D2957" s="84" t="str">
        <f t="shared" si="54"/>
        <v/>
      </c>
      <c r="H2957" s="84">
        <f>IFERROR(VLOOKUP(B2957,Заказ!B:Q,5,0),0)</f>
        <v>0</v>
      </c>
      <c r="I2957" s="84">
        <f>IFERROR(VLOOKUP(B2957,Заказ!B:Q,16,0),0)</f>
        <v>0</v>
      </c>
    </row>
    <row r="2958" spans="2:9" x14ac:dyDescent="0.25">
      <c r="B2958" s="84">
        <v>8116</v>
      </c>
      <c r="D2958" s="84" t="str">
        <f t="shared" si="54"/>
        <v/>
      </c>
      <c r="H2958" s="84">
        <f>IFERROR(VLOOKUP(B2958,Заказ!B:Q,5,0),0)</f>
        <v>0</v>
      </c>
      <c r="I2958" s="84">
        <f>IFERROR(VLOOKUP(B2958,Заказ!B:Q,16,0),0)</f>
        <v>0</v>
      </c>
    </row>
    <row r="2959" spans="2:9" x14ac:dyDescent="0.25">
      <c r="B2959" s="84">
        <v>7766</v>
      </c>
      <c r="D2959" s="84" t="str">
        <f t="shared" si="54"/>
        <v/>
      </c>
      <c r="H2959" s="84">
        <f>IFERROR(VLOOKUP(B2959,Заказ!B:Q,5,0),0)</f>
        <v>0</v>
      </c>
      <c r="I2959" s="84">
        <f>IFERROR(VLOOKUP(B2959,Заказ!B:Q,16,0),0)</f>
        <v>0</v>
      </c>
    </row>
    <row r="2960" spans="2:9" x14ac:dyDescent="0.25">
      <c r="B2960" s="84">
        <v>7425</v>
      </c>
      <c r="D2960" s="84" t="str">
        <f t="shared" si="54"/>
        <v/>
      </c>
      <c r="H2960" s="84">
        <f>IFERROR(VLOOKUP(B2960,Заказ!B:Q,5,0),0)</f>
        <v>0</v>
      </c>
      <c r="I2960" s="84">
        <f>IFERROR(VLOOKUP(B2960,Заказ!B:Q,16,0),0)</f>
        <v>0</v>
      </c>
    </row>
    <row r="2961" spans="2:9" x14ac:dyDescent="0.25">
      <c r="B2961" s="84">
        <v>7489</v>
      </c>
      <c r="D2961" s="84" t="str">
        <f t="shared" si="54"/>
        <v/>
      </c>
      <c r="H2961" s="84">
        <f>IFERROR(VLOOKUP(B2961,Заказ!B:Q,5,0),0)</f>
        <v>0</v>
      </c>
      <c r="I2961" s="84">
        <f>IFERROR(VLOOKUP(B2961,Заказ!B:Q,16,0),0)</f>
        <v>0</v>
      </c>
    </row>
    <row r="2962" spans="2:9" x14ac:dyDescent="0.25">
      <c r="B2962" s="84">
        <v>7558</v>
      </c>
      <c r="D2962" s="84" t="str">
        <f t="shared" si="54"/>
        <v/>
      </c>
      <c r="H2962" s="84">
        <f>IFERROR(VLOOKUP(B2962,Заказ!B:Q,5,0),0)</f>
        <v>0</v>
      </c>
      <c r="I2962" s="84">
        <f>IFERROR(VLOOKUP(B2962,Заказ!B:Q,16,0),0)</f>
        <v>0</v>
      </c>
    </row>
    <row r="2963" spans="2:9" x14ac:dyDescent="0.25">
      <c r="B2963" s="84">
        <v>7490</v>
      </c>
      <c r="D2963" s="84" t="str">
        <f t="shared" si="54"/>
        <v/>
      </c>
      <c r="H2963" s="84">
        <f>IFERROR(VLOOKUP(B2963,Заказ!B:Q,5,0),0)</f>
        <v>0</v>
      </c>
      <c r="I2963" s="84">
        <f>IFERROR(VLOOKUP(B2963,Заказ!B:Q,16,0),0)</f>
        <v>0</v>
      </c>
    </row>
    <row r="2964" spans="2:9" x14ac:dyDescent="0.25">
      <c r="B2964" s="84">
        <v>11913</v>
      </c>
      <c r="D2964" s="84" t="str">
        <f t="shared" si="54"/>
        <v/>
      </c>
      <c r="H2964" s="84">
        <f>IFERROR(VLOOKUP(B2964,Заказ!B:Q,5,0),0)</f>
        <v>0</v>
      </c>
      <c r="I2964" s="84">
        <f>IFERROR(VLOOKUP(B2964,Заказ!B:Q,16,0),0)</f>
        <v>0</v>
      </c>
    </row>
    <row r="2965" spans="2:9" x14ac:dyDescent="0.25">
      <c r="B2965" s="84">
        <v>9952</v>
      </c>
      <c r="D2965" s="84" t="str">
        <f t="shared" si="54"/>
        <v/>
      </c>
      <c r="H2965" s="84">
        <f>IFERROR(VLOOKUP(B2965,Заказ!B:Q,5,0),0)</f>
        <v>0</v>
      </c>
      <c r="I2965" s="84">
        <f>IFERROR(VLOOKUP(B2965,Заказ!B:Q,16,0),0)</f>
        <v>0</v>
      </c>
    </row>
    <row r="2966" spans="2:9" x14ac:dyDescent="0.25">
      <c r="B2966" s="84">
        <v>6897</v>
      </c>
      <c r="D2966" s="84" t="str">
        <f t="shared" si="54"/>
        <v/>
      </c>
      <c r="H2966" s="84">
        <f>IFERROR(VLOOKUP(B2966,Заказ!B:Q,5,0),0)</f>
        <v>0</v>
      </c>
      <c r="I2966" s="84">
        <f>IFERROR(VLOOKUP(B2966,Заказ!B:Q,16,0),0)</f>
        <v>0</v>
      </c>
    </row>
    <row r="2967" spans="2:9" x14ac:dyDescent="0.25">
      <c r="B2967" s="84">
        <v>6659</v>
      </c>
      <c r="D2967" s="84" t="str">
        <f t="shared" si="54"/>
        <v/>
      </c>
      <c r="H2967" s="84">
        <f>IFERROR(VLOOKUP(B2967,Заказ!B:Q,5,0),0)</f>
        <v>0</v>
      </c>
      <c r="I2967" s="84">
        <f>IFERROR(VLOOKUP(B2967,Заказ!B:Q,16,0),0)</f>
        <v>0</v>
      </c>
    </row>
    <row r="2968" spans="2:9" x14ac:dyDescent="0.25">
      <c r="B2968" s="84">
        <v>7487</v>
      </c>
      <c r="D2968" s="84" t="str">
        <f t="shared" ref="D2968:D2986" si="55">IFERROR(ROUND(I2968/H2968,2),"")</f>
        <v/>
      </c>
      <c r="H2968" s="84">
        <f>IFERROR(VLOOKUP(B2968,Заказ!B:Q,5,0),0)</f>
        <v>0</v>
      </c>
      <c r="I2968" s="84">
        <f>IFERROR(VLOOKUP(B2968,Заказ!B:Q,16,0),0)</f>
        <v>0</v>
      </c>
    </row>
    <row r="2969" spans="2:9" x14ac:dyDescent="0.25">
      <c r="B2969" s="84">
        <v>7722</v>
      </c>
      <c r="D2969" s="84" t="str">
        <f t="shared" si="55"/>
        <v/>
      </c>
      <c r="H2969" s="84">
        <f>IFERROR(VLOOKUP(B2969,Заказ!B:Q,5,0),0)</f>
        <v>0</v>
      </c>
      <c r="I2969" s="84">
        <f>IFERROR(VLOOKUP(B2969,Заказ!B:Q,16,0),0)</f>
        <v>0</v>
      </c>
    </row>
    <row r="2970" spans="2:9" x14ac:dyDescent="0.25">
      <c r="B2970" s="84">
        <v>11983</v>
      </c>
      <c r="D2970" s="84" t="str">
        <f t="shared" si="55"/>
        <v/>
      </c>
      <c r="H2970" s="84">
        <f>IFERROR(VLOOKUP(B2970,Заказ!B:Q,5,0),0)</f>
        <v>0</v>
      </c>
      <c r="I2970" s="84">
        <f>IFERROR(VLOOKUP(B2970,Заказ!B:Q,16,0),0)</f>
        <v>0</v>
      </c>
    </row>
    <row r="2971" spans="2:9" x14ac:dyDescent="0.25">
      <c r="B2971" s="84">
        <v>10312</v>
      </c>
      <c r="D2971" s="84" t="str">
        <f t="shared" si="55"/>
        <v/>
      </c>
      <c r="H2971" s="84">
        <f>IFERROR(VLOOKUP(B2971,Заказ!B:Q,5,0),0)</f>
        <v>0</v>
      </c>
      <c r="I2971" s="84">
        <f>IFERROR(VLOOKUP(B2971,Заказ!B:Q,16,0),0)</f>
        <v>0</v>
      </c>
    </row>
    <row r="2972" spans="2:9" x14ac:dyDescent="0.25">
      <c r="B2972" s="84">
        <v>6301</v>
      </c>
      <c r="D2972" s="84" t="str">
        <f t="shared" si="55"/>
        <v/>
      </c>
      <c r="H2972" s="84">
        <f>IFERROR(VLOOKUP(B2972,Заказ!B:Q,5,0),0)</f>
        <v>0</v>
      </c>
      <c r="I2972" s="84">
        <f>IFERROR(VLOOKUP(B2972,Заказ!B:Q,16,0),0)</f>
        <v>0</v>
      </c>
    </row>
    <row r="2973" spans="2:9" x14ac:dyDescent="0.25">
      <c r="B2973" s="84">
        <v>15450</v>
      </c>
      <c r="D2973" s="84" t="str">
        <f t="shared" si="55"/>
        <v/>
      </c>
      <c r="H2973" s="84">
        <f>IFERROR(VLOOKUP(B2973,Заказ!B:Q,5,0),0)</f>
        <v>0</v>
      </c>
      <c r="I2973" s="84">
        <f>IFERROR(VLOOKUP(B2973,Заказ!B:Q,16,0),0)</f>
        <v>0</v>
      </c>
    </row>
    <row r="2974" spans="2:9" x14ac:dyDescent="0.25">
      <c r="B2974" s="84">
        <v>15449</v>
      </c>
      <c r="D2974" s="84" t="str">
        <f t="shared" si="55"/>
        <v/>
      </c>
      <c r="H2974" s="84">
        <f>IFERROR(VLOOKUP(B2974,Заказ!B:Q,5,0),0)</f>
        <v>0</v>
      </c>
      <c r="I2974" s="84">
        <f>IFERROR(VLOOKUP(B2974,Заказ!B:Q,16,0),0)</f>
        <v>0</v>
      </c>
    </row>
    <row r="2975" spans="2:9" x14ac:dyDescent="0.25">
      <c r="B2975" s="84">
        <v>16504</v>
      </c>
      <c r="D2975" s="84" t="str">
        <f t="shared" si="55"/>
        <v/>
      </c>
      <c r="H2975" s="84">
        <f>IFERROR(VLOOKUP(B2975,Заказ!B:Q,5,0),0)</f>
        <v>0</v>
      </c>
      <c r="I2975" s="84">
        <f>IFERROR(VLOOKUP(B2975,Заказ!B:Q,16,0),0)</f>
        <v>0</v>
      </c>
    </row>
    <row r="2976" spans="2:9" x14ac:dyDescent="0.25">
      <c r="B2976" s="84">
        <v>15448</v>
      </c>
      <c r="D2976" s="84" t="str">
        <f t="shared" si="55"/>
        <v/>
      </c>
      <c r="H2976" s="84">
        <f>IFERROR(VLOOKUP(B2976,Заказ!B:Q,5,0),0)</f>
        <v>0</v>
      </c>
      <c r="I2976" s="84">
        <f>IFERROR(VLOOKUP(B2976,Заказ!B:Q,16,0),0)</f>
        <v>0</v>
      </c>
    </row>
    <row r="2977" spans="2:9" x14ac:dyDescent="0.25">
      <c r="B2977" s="84">
        <v>15451</v>
      </c>
      <c r="D2977" s="84" t="str">
        <f t="shared" si="55"/>
        <v/>
      </c>
      <c r="H2977" s="84">
        <f>IFERROR(VLOOKUP(B2977,Заказ!B:Q,5,0),0)</f>
        <v>0</v>
      </c>
      <c r="I2977" s="84">
        <f>IFERROR(VLOOKUP(B2977,Заказ!B:Q,16,0),0)</f>
        <v>0</v>
      </c>
    </row>
    <row r="2978" spans="2:9" x14ac:dyDescent="0.25">
      <c r="B2978" s="84">
        <v>5795</v>
      </c>
      <c r="D2978" s="84" t="str">
        <f t="shared" si="55"/>
        <v/>
      </c>
      <c r="H2978" s="84">
        <f>IFERROR(VLOOKUP(B2978,Заказ!B:Q,5,0),0)</f>
        <v>0</v>
      </c>
      <c r="I2978" s="84">
        <f>IFERROR(VLOOKUP(B2978,Заказ!B:Q,16,0),0)</f>
        <v>0</v>
      </c>
    </row>
    <row r="2979" spans="2:9" x14ac:dyDescent="0.25">
      <c r="B2979" s="84">
        <v>6833</v>
      </c>
      <c r="D2979" s="84" t="str">
        <f t="shared" si="55"/>
        <v/>
      </c>
      <c r="H2979" s="84">
        <f>IFERROR(VLOOKUP(B2979,Заказ!B:Q,5,0),0)</f>
        <v>0</v>
      </c>
      <c r="I2979" s="84">
        <f>IFERROR(VLOOKUP(B2979,Заказ!B:Q,16,0),0)</f>
        <v>0</v>
      </c>
    </row>
    <row r="2980" spans="2:9" x14ac:dyDescent="0.25">
      <c r="B2980" s="84">
        <v>6258</v>
      </c>
      <c r="D2980" s="84" t="str">
        <f t="shared" si="55"/>
        <v/>
      </c>
      <c r="H2980" s="84">
        <f>IFERROR(VLOOKUP(B2980,Заказ!B:Q,5,0),0)</f>
        <v>0</v>
      </c>
      <c r="I2980" s="84">
        <f>IFERROR(VLOOKUP(B2980,Заказ!B:Q,16,0),0)</f>
        <v>0</v>
      </c>
    </row>
    <row r="2981" spans="2:9" x14ac:dyDescent="0.25">
      <c r="B2981" s="84">
        <v>15452</v>
      </c>
      <c r="D2981" s="84" t="str">
        <f t="shared" si="55"/>
        <v/>
      </c>
      <c r="H2981" s="84">
        <f>IFERROR(VLOOKUP(B2981,Заказ!B:Q,5,0),0)</f>
        <v>0</v>
      </c>
      <c r="I2981" s="84">
        <f>IFERROR(VLOOKUP(B2981,Заказ!B:Q,16,0),0)</f>
        <v>0</v>
      </c>
    </row>
    <row r="2982" spans="2:9" x14ac:dyDescent="0.25">
      <c r="B2982" s="84">
        <v>5303</v>
      </c>
      <c r="D2982" s="84" t="str">
        <f t="shared" si="55"/>
        <v/>
      </c>
      <c r="H2982" s="84">
        <f>IFERROR(VLOOKUP(B2982,Заказ!B:Q,5,0),0)</f>
        <v>0</v>
      </c>
      <c r="I2982" s="84">
        <f>IFERROR(VLOOKUP(B2982,Заказ!B:Q,16,0),0)</f>
        <v>0</v>
      </c>
    </row>
    <row r="2983" spans="2:9" x14ac:dyDescent="0.25">
      <c r="B2983" s="84">
        <v>5304</v>
      </c>
      <c r="D2983" s="84" t="str">
        <f t="shared" si="55"/>
        <v/>
      </c>
      <c r="H2983" s="84">
        <f>IFERROR(VLOOKUP(B2983,Заказ!B:Q,5,0),0)</f>
        <v>0</v>
      </c>
      <c r="I2983" s="84">
        <f>IFERROR(VLOOKUP(B2983,Заказ!B:Q,16,0),0)</f>
        <v>0</v>
      </c>
    </row>
    <row r="2984" spans="2:9" x14ac:dyDescent="0.25">
      <c r="B2984" s="84">
        <v>7206</v>
      </c>
      <c r="D2984" s="84" t="str">
        <f t="shared" si="55"/>
        <v/>
      </c>
      <c r="H2984" s="84">
        <f>IFERROR(VLOOKUP(B2984,Заказ!B:Q,5,0),0)</f>
        <v>0</v>
      </c>
      <c r="I2984" s="84">
        <f>IFERROR(VLOOKUP(B2984,Заказ!B:Q,16,0),0)</f>
        <v>0</v>
      </c>
    </row>
    <row r="2985" spans="2:9" x14ac:dyDescent="0.25">
      <c r="B2985" s="84">
        <v>12957</v>
      </c>
      <c r="D2985" s="84" t="str">
        <f t="shared" si="55"/>
        <v/>
      </c>
      <c r="H2985" s="1038">
        <f>COUNTIF(H2986:H3051,"&gt;0")</f>
        <v>0</v>
      </c>
      <c r="I2985" s="1038">
        <f>IF(SUM(I2986:I3051)&gt;0,0.1,0)</f>
        <v>0</v>
      </c>
    </row>
    <row r="2986" spans="2:9" x14ac:dyDescent="0.25">
      <c r="B2986" s="84">
        <v>19891</v>
      </c>
      <c r="D2986" s="84" t="str">
        <f t="shared" si="55"/>
        <v/>
      </c>
      <c r="H2986" s="1038">
        <f>IFERROR(VLOOKUP(CONCATENATE("s",B2986),Заказ!B:Q,5,0),0)</f>
        <v>0</v>
      </c>
      <c r="I2986" s="1038">
        <f>IFERROR(VLOOKUP(CONCATENATE("s",B2986),Заказ!B:Q,16,0),0)</f>
        <v>0</v>
      </c>
    </row>
    <row r="2987" spans="2:9" x14ac:dyDescent="0.25">
      <c r="B2987" s="84">
        <v>19657</v>
      </c>
      <c r="D2987" s="84" t="str">
        <f t="shared" ref="D2987:D3041" si="56">IFERROR(ROUND(I2987/H2987,2),"")</f>
        <v/>
      </c>
      <c r="H2987" s="1038">
        <f>IFERROR(VLOOKUP(CONCATENATE("s",B2987),Заказ!B:Q,5,0),0)</f>
        <v>0</v>
      </c>
      <c r="I2987" s="1038">
        <f>IFERROR(VLOOKUP(CONCATENATE("s",B2987),Заказ!B:Q,16,0),0)</f>
        <v>0</v>
      </c>
    </row>
    <row r="2988" spans="2:9" x14ac:dyDescent="0.25">
      <c r="B2988" s="84">
        <v>20281</v>
      </c>
      <c r="D2988" s="84" t="str">
        <f t="shared" si="56"/>
        <v/>
      </c>
      <c r="H2988" s="1038">
        <f>IFERROR(VLOOKUP(CONCATENATE("s",B2988),Заказ!B:Q,5,0),0)</f>
        <v>0</v>
      </c>
      <c r="I2988" s="1038">
        <f>IFERROR(VLOOKUP(CONCATENATE("s",B2988),Заказ!B:Q,16,0),0)</f>
        <v>0</v>
      </c>
    </row>
    <row r="2989" spans="2:9" x14ac:dyDescent="0.25">
      <c r="B2989" s="84">
        <v>20603</v>
      </c>
      <c r="D2989" s="84" t="str">
        <f t="shared" si="56"/>
        <v/>
      </c>
      <c r="H2989" s="1038">
        <f>IFERROR(VLOOKUP(CONCATENATE("s",B2989),Заказ!B:Q,5,0),0)</f>
        <v>0</v>
      </c>
      <c r="I2989" s="1038">
        <f>IFERROR(VLOOKUP(CONCATENATE("s",B2989),Заказ!B:Q,16,0),0)</f>
        <v>0</v>
      </c>
    </row>
    <row r="2990" spans="2:9" x14ac:dyDescent="0.25">
      <c r="B2990" s="84">
        <v>20607</v>
      </c>
      <c r="D2990" s="84" t="str">
        <f t="shared" si="56"/>
        <v/>
      </c>
      <c r="H2990" s="1038">
        <f>IFERROR(VLOOKUP(CONCATENATE("s",B2990),Заказ!B:Q,5,0),0)</f>
        <v>0</v>
      </c>
      <c r="I2990" s="1038">
        <f>IFERROR(VLOOKUP(CONCATENATE("s",B2990),Заказ!B:Q,16,0),0)</f>
        <v>0</v>
      </c>
    </row>
    <row r="2991" spans="2:9" x14ac:dyDescent="0.25">
      <c r="B2991" s="84">
        <v>21026</v>
      </c>
      <c r="D2991" s="84" t="str">
        <f t="shared" si="56"/>
        <v/>
      </c>
      <c r="H2991" s="1038">
        <f>IFERROR(VLOOKUP(CONCATENATE("s",B2991),Заказ!B:Q,5,0),0)</f>
        <v>0</v>
      </c>
      <c r="I2991" s="1038">
        <f>IFERROR(VLOOKUP(CONCATENATE("s",B2991),Заказ!B:Q,16,0),0)</f>
        <v>0</v>
      </c>
    </row>
    <row r="2992" spans="2:9" x14ac:dyDescent="0.25">
      <c r="B2992" s="84">
        <v>21462</v>
      </c>
      <c r="D2992" s="84" t="str">
        <f t="shared" si="56"/>
        <v/>
      </c>
      <c r="H2992" s="1038">
        <f>IFERROR(VLOOKUP(CONCATENATE("s",B2992),Заказ!B:Q,5,0),0)</f>
        <v>0</v>
      </c>
      <c r="I2992" s="1038">
        <f>IFERROR(VLOOKUP(CONCATENATE("s",B2992),Заказ!B:Q,16,0),0)</f>
        <v>0</v>
      </c>
    </row>
    <row r="2993" spans="2:9" x14ac:dyDescent="0.25">
      <c r="B2993" s="84">
        <v>21463</v>
      </c>
      <c r="D2993" s="84" t="str">
        <f t="shared" si="56"/>
        <v/>
      </c>
      <c r="H2993" s="1038">
        <f>IFERROR(VLOOKUP(CONCATENATE("s",B2993),Заказ!B:Q,5,0),0)</f>
        <v>0</v>
      </c>
      <c r="I2993" s="1038">
        <f>IFERROR(VLOOKUP(CONCATENATE("s",B2993),Заказ!B:Q,16,0),0)</f>
        <v>0</v>
      </c>
    </row>
    <row r="2994" spans="2:9" x14ac:dyDescent="0.25">
      <c r="B2994" s="84">
        <v>21464</v>
      </c>
      <c r="D2994" s="84" t="str">
        <f t="shared" si="56"/>
        <v/>
      </c>
      <c r="H2994" s="1038">
        <f>IFERROR(VLOOKUP(CONCATENATE("s",B2994),Заказ!B:Q,5,0),0)</f>
        <v>0</v>
      </c>
      <c r="I2994" s="1038">
        <f>IFERROR(VLOOKUP(CONCATENATE("s",B2994),Заказ!B:Q,16,0),0)</f>
        <v>0</v>
      </c>
    </row>
    <row r="2995" spans="2:9" x14ac:dyDescent="0.25">
      <c r="B2995" s="84">
        <v>21024</v>
      </c>
      <c r="D2995" s="84" t="str">
        <f t="shared" si="56"/>
        <v/>
      </c>
      <c r="H2995" s="1038">
        <f>IFERROR(VLOOKUP(CONCATENATE("s",B2995),Заказ!B:Q,5,0),0)</f>
        <v>0</v>
      </c>
      <c r="I2995" s="1038">
        <f>IFERROR(VLOOKUP(CONCATENATE("s",B2995),Заказ!B:Q,16,0),0)</f>
        <v>0</v>
      </c>
    </row>
    <row r="2996" spans="2:9" x14ac:dyDescent="0.25">
      <c r="B2996" s="84">
        <v>21022</v>
      </c>
      <c r="D2996" s="84" t="str">
        <f t="shared" si="56"/>
        <v/>
      </c>
      <c r="H2996" s="1038">
        <f>IFERROR(VLOOKUP(CONCATENATE("s",B2996),Заказ!B:Q,5,0),0)</f>
        <v>0</v>
      </c>
      <c r="I2996" s="1038">
        <f>IFERROR(VLOOKUP(CONCATENATE("s",B2996),Заказ!B:Q,16,0),0)</f>
        <v>0</v>
      </c>
    </row>
    <row r="2997" spans="2:9" x14ac:dyDescent="0.25">
      <c r="B2997" s="84">
        <v>21065</v>
      </c>
      <c r="D2997" s="84" t="str">
        <f t="shared" si="56"/>
        <v/>
      </c>
      <c r="H2997" s="1038">
        <f>IFERROR(VLOOKUP(CONCATENATE("s",B2997),Заказ!B:Q,5,0),0)</f>
        <v>0</v>
      </c>
      <c r="I2997" s="1038">
        <f>IFERROR(VLOOKUP(CONCATENATE("s",B2997),Заказ!B:Q,16,0),0)</f>
        <v>0</v>
      </c>
    </row>
    <row r="2998" spans="2:9" x14ac:dyDescent="0.25">
      <c r="B2998" s="84">
        <v>21068</v>
      </c>
      <c r="D2998" s="84" t="str">
        <f t="shared" si="56"/>
        <v/>
      </c>
      <c r="H2998" s="1038">
        <f>IFERROR(VLOOKUP(CONCATENATE("s",B2998),Заказ!B:Q,5,0),0)</f>
        <v>0</v>
      </c>
      <c r="I2998" s="1038">
        <f>IFERROR(VLOOKUP(CONCATENATE("s",B2998),Заказ!B:Q,16,0),0)</f>
        <v>0</v>
      </c>
    </row>
    <row r="2999" spans="2:9" x14ac:dyDescent="0.25">
      <c r="B2999" s="84">
        <v>21009</v>
      </c>
      <c r="D2999" s="84" t="str">
        <f t="shared" si="56"/>
        <v/>
      </c>
      <c r="H2999" s="1038">
        <f>IFERROR(VLOOKUP(CONCATENATE("s",B2999),Заказ!B:Q,5,0),0)</f>
        <v>0</v>
      </c>
      <c r="I2999" s="1038">
        <f>IFERROR(VLOOKUP(CONCATENATE("s",B2999),Заказ!B:Q,16,0),0)</f>
        <v>0</v>
      </c>
    </row>
    <row r="3000" spans="2:9" x14ac:dyDescent="0.25">
      <c r="B3000" s="84">
        <v>21007</v>
      </c>
      <c r="D3000" s="84" t="str">
        <f t="shared" si="56"/>
        <v/>
      </c>
      <c r="H3000" s="1038">
        <f>IFERROR(VLOOKUP(CONCATENATE("s",B3000),Заказ!B:Q,5,0),0)</f>
        <v>0</v>
      </c>
      <c r="I3000" s="1038">
        <f>IFERROR(VLOOKUP(CONCATENATE("s",B3000),Заказ!B:Q,16,0),0)</f>
        <v>0</v>
      </c>
    </row>
    <row r="3001" spans="2:9" x14ac:dyDescent="0.25">
      <c r="B3001" s="84">
        <v>21010</v>
      </c>
      <c r="D3001" s="84" t="str">
        <f t="shared" si="56"/>
        <v/>
      </c>
      <c r="H3001" s="1038">
        <f>IFERROR(VLOOKUP(CONCATENATE("s",B3001),Заказ!B:Q,5,0),0)</f>
        <v>0</v>
      </c>
      <c r="I3001" s="1038">
        <f>IFERROR(VLOOKUP(CONCATENATE("s",B3001),Заказ!B:Q,16,0),0)</f>
        <v>0</v>
      </c>
    </row>
    <row r="3002" spans="2:9" x14ac:dyDescent="0.25">
      <c r="B3002" s="84">
        <v>21011</v>
      </c>
      <c r="D3002" s="84" t="str">
        <f t="shared" si="56"/>
        <v/>
      </c>
      <c r="H3002" s="1038">
        <f>IFERROR(VLOOKUP(CONCATENATE("s",B3002),Заказ!B:Q,5,0),0)</f>
        <v>0</v>
      </c>
      <c r="I3002" s="1038">
        <f>IFERROR(VLOOKUP(CONCATENATE("s",B3002),Заказ!B:Q,16,0),0)</f>
        <v>0</v>
      </c>
    </row>
    <row r="3003" spans="2:9" x14ac:dyDescent="0.25">
      <c r="B3003" s="84">
        <v>15544</v>
      </c>
      <c r="D3003" s="84" t="str">
        <f t="shared" si="56"/>
        <v/>
      </c>
      <c r="H3003" s="1038">
        <f>IFERROR(VLOOKUP(CONCATENATE("s",B3003),Заказ!B:Q,5,0),0)</f>
        <v>0</v>
      </c>
      <c r="I3003" s="1038">
        <f>IFERROR(VLOOKUP(CONCATENATE("s",B3003),Заказ!B:Q,16,0),0)</f>
        <v>0</v>
      </c>
    </row>
    <row r="3004" spans="2:9" x14ac:dyDescent="0.25">
      <c r="B3004" s="84">
        <v>19585</v>
      </c>
      <c r="D3004" s="84" t="str">
        <f t="shared" si="56"/>
        <v/>
      </c>
      <c r="H3004" s="1038">
        <f>IFERROR(VLOOKUP(CONCATENATE("s",B3004),Заказ!B:Q,5,0),0)</f>
        <v>0</v>
      </c>
      <c r="I3004" s="1038">
        <f>IFERROR(VLOOKUP(CONCATENATE("s",B3004),Заказ!B:Q,16,0),0)</f>
        <v>0</v>
      </c>
    </row>
    <row r="3005" spans="2:9" x14ac:dyDescent="0.25">
      <c r="B3005" s="84">
        <v>15049</v>
      </c>
      <c r="D3005" s="84" t="str">
        <f t="shared" si="56"/>
        <v/>
      </c>
      <c r="H3005" s="1038">
        <f>IFERROR(VLOOKUP(CONCATENATE("s",B3005),Заказ!B:Q,5,0),0)</f>
        <v>0</v>
      </c>
      <c r="I3005" s="1038">
        <f>IFERROR(VLOOKUP(CONCATENATE("s",B3005),Заказ!B:Q,16,0),0)</f>
        <v>0</v>
      </c>
    </row>
    <row r="3006" spans="2:9" x14ac:dyDescent="0.25">
      <c r="B3006" s="84">
        <v>17023</v>
      </c>
      <c r="D3006" s="84" t="str">
        <f t="shared" si="56"/>
        <v/>
      </c>
      <c r="H3006" s="1038">
        <f>IFERROR(VLOOKUP(CONCATENATE("s",B3006),Заказ!B:Q,5,0),0)</f>
        <v>0</v>
      </c>
      <c r="I3006" s="1038">
        <f>IFERROR(VLOOKUP(CONCATENATE("s",B3006),Заказ!B:Q,16,0),0)</f>
        <v>0</v>
      </c>
    </row>
    <row r="3007" spans="2:9" x14ac:dyDescent="0.25">
      <c r="B3007" s="84">
        <v>15878</v>
      </c>
      <c r="D3007" s="84" t="str">
        <f t="shared" si="56"/>
        <v/>
      </c>
      <c r="H3007" s="1038">
        <f>IFERROR(VLOOKUP(CONCATENATE("s",B3007),Заказ!B:Q,5,0),0)</f>
        <v>0</v>
      </c>
      <c r="I3007" s="1038">
        <f>IFERROR(VLOOKUP(CONCATENATE("s",B3007),Заказ!B:Q,16,0),0)</f>
        <v>0</v>
      </c>
    </row>
    <row r="3008" spans="2:9" x14ac:dyDescent="0.25">
      <c r="B3008" s="84">
        <v>14982</v>
      </c>
      <c r="D3008" s="84" t="str">
        <f t="shared" si="56"/>
        <v/>
      </c>
      <c r="H3008" s="1038">
        <f>IFERROR(VLOOKUP(CONCATENATE("s",B3008),Заказ!B:Q,5,0),0)</f>
        <v>0</v>
      </c>
      <c r="I3008" s="1038">
        <f>IFERROR(VLOOKUP(CONCATENATE("s",B3008),Заказ!B:Q,16,0),0)</f>
        <v>0</v>
      </c>
    </row>
    <row r="3009" spans="2:9" x14ac:dyDescent="0.25">
      <c r="B3009" s="84">
        <v>21187</v>
      </c>
      <c r="D3009" s="84" t="str">
        <f t="shared" si="56"/>
        <v/>
      </c>
      <c r="H3009" s="1038">
        <f>IFERROR(VLOOKUP(CONCATENATE("s",B3009),Заказ!B:Q,5,0),0)</f>
        <v>0</v>
      </c>
      <c r="I3009" s="1038">
        <f>IFERROR(VLOOKUP(CONCATENATE("s",B3009),Заказ!B:Q,16,0),0)</f>
        <v>0</v>
      </c>
    </row>
    <row r="3010" spans="2:9" x14ac:dyDescent="0.25">
      <c r="B3010" s="84">
        <v>21140</v>
      </c>
      <c r="D3010" s="84" t="str">
        <f t="shared" si="56"/>
        <v/>
      </c>
      <c r="H3010" s="1038">
        <f>IFERROR(VLOOKUP(CONCATENATE("s",B3010),Заказ!B:Q,5,0),0)</f>
        <v>0</v>
      </c>
      <c r="I3010" s="1038">
        <f>IFERROR(VLOOKUP(CONCATENATE("s",B3010),Заказ!B:Q,16,0),0)</f>
        <v>0</v>
      </c>
    </row>
    <row r="3011" spans="2:9" x14ac:dyDescent="0.25">
      <c r="B3011" s="84">
        <v>20546</v>
      </c>
      <c r="D3011" s="84" t="str">
        <f t="shared" si="56"/>
        <v/>
      </c>
      <c r="H3011" s="1038">
        <f>IFERROR(VLOOKUP(CONCATENATE("s",B3011),Заказ!B:Q,5,0),0)</f>
        <v>0</v>
      </c>
      <c r="I3011" s="1038">
        <f>IFERROR(VLOOKUP(CONCATENATE("s",B3011),Заказ!B:Q,16,0),0)</f>
        <v>0</v>
      </c>
    </row>
    <row r="3012" spans="2:9" x14ac:dyDescent="0.25">
      <c r="B3012" s="84">
        <v>20547</v>
      </c>
      <c r="D3012" s="84" t="str">
        <f t="shared" si="56"/>
        <v/>
      </c>
      <c r="H3012" s="1038">
        <f>IFERROR(VLOOKUP(CONCATENATE("s",B3012),Заказ!B:Q,5,0),0)</f>
        <v>0</v>
      </c>
      <c r="I3012" s="1038">
        <f>IFERROR(VLOOKUP(CONCATENATE("s",B3012),Заказ!B:Q,16,0),0)</f>
        <v>0</v>
      </c>
    </row>
    <row r="3013" spans="2:9" x14ac:dyDescent="0.25">
      <c r="B3013" s="84">
        <v>20520</v>
      </c>
      <c r="D3013" s="84" t="str">
        <f t="shared" si="56"/>
        <v/>
      </c>
      <c r="H3013" s="1038">
        <f>IFERROR(VLOOKUP(CONCATENATE("s",B3013),Заказ!B:Q,5,0),0)</f>
        <v>0</v>
      </c>
      <c r="I3013" s="1038">
        <f>IFERROR(VLOOKUP(CONCATENATE("s",B3013),Заказ!B:Q,16,0),0)</f>
        <v>0</v>
      </c>
    </row>
    <row r="3014" spans="2:9" x14ac:dyDescent="0.25">
      <c r="B3014" s="84">
        <v>20478</v>
      </c>
      <c r="D3014" s="84" t="str">
        <f t="shared" si="56"/>
        <v/>
      </c>
      <c r="H3014" s="1038">
        <f>IFERROR(VLOOKUP(CONCATENATE("s",B3014),Заказ!B:Q,5,0),0)</f>
        <v>0</v>
      </c>
      <c r="I3014" s="1038">
        <f>IFERROR(VLOOKUP(CONCATENATE("s",B3014),Заказ!B:Q,16,0),0)</f>
        <v>0</v>
      </c>
    </row>
    <row r="3015" spans="2:9" x14ac:dyDescent="0.25">
      <c r="B3015" s="84">
        <v>20477</v>
      </c>
      <c r="D3015" s="84" t="str">
        <f t="shared" si="56"/>
        <v/>
      </c>
      <c r="H3015" s="1038">
        <f>IFERROR(VLOOKUP(CONCATENATE("s",B3015),Заказ!B:Q,5,0),0)</f>
        <v>0</v>
      </c>
      <c r="I3015" s="1038">
        <f>IFERROR(VLOOKUP(CONCATENATE("s",B3015),Заказ!B:Q,16,0),0)</f>
        <v>0</v>
      </c>
    </row>
    <row r="3016" spans="2:9" x14ac:dyDescent="0.25">
      <c r="B3016" s="84">
        <v>20515</v>
      </c>
      <c r="D3016" s="84" t="str">
        <f t="shared" si="56"/>
        <v/>
      </c>
      <c r="H3016" s="1038">
        <f>IFERROR(VLOOKUP(CONCATENATE("s",B3016),Заказ!B:Q,5,0),0)</f>
        <v>0</v>
      </c>
      <c r="I3016" s="1038">
        <f>IFERROR(VLOOKUP(CONCATENATE("s",B3016),Заказ!B:Q,16,0),0)</f>
        <v>0</v>
      </c>
    </row>
    <row r="3017" spans="2:9" x14ac:dyDescent="0.25">
      <c r="B3017" s="84">
        <v>20485</v>
      </c>
      <c r="D3017" s="84" t="str">
        <f t="shared" si="56"/>
        <v/>
      </c>
      <c r="H3017" s="1038">
        <f>IFERROR(VLOOKUP(CONCATENATE("s",B3017),Заказ!B:Q,5,0),0)</f>
        <v>0</v>
      </c>
      <c r="I3017" s="1038">
        <f>IFERROR(VLOOKUP(CONCATENATE("s",B3017),Заказ!B:Q,16,0),0)</f>
        <v>0</v>
      </c>
    </row>
    <row r="3018" spans="2:9" x14ac:dyDescent="0.25">
      <c r="B3018" s="84">
        <v>13538</v>
      </c>
      <c r="D3018" s="84" t="str">
        <f t="shared" si="56"/>
        <v/>
      </c>
      <c r="H3018" s="1038">
        <f>IFERROR(VLOOKUP(CONCATENATE("s",B3018),Заказ!B:Q,5,0),0)</f>
        <v>0</v>
      </c>
      <c r="I3018" s="1038">
        <f>IFERROR(VLOOKUP(CONCATENATE("s",B3018),Заказ!B:Q,16,0),0)</f>
        <v>0</v>
      </c>
    </row>
    <row r="3019" spans="2:9" x14ac:dyDescent="0.25">
      <c r="B3019" s="84">
        <v>19423</v>
      </c>
      <c r="D3019" s="84" t="str">
        <f t="shared" si="56"/>
        <v/>
      </c>
      <c r="H3019" s="1038">
        <f>IFERROR(VLOOKUP(CONCATENATE("s",B3019),Заказ!B:Q,5,0),0)</f>
        <v>0</v>
      </c>
      <c r="I3019" s="1038">
        <f>IFERROR(VLOOKUP(CONCATENATE("s",B3019),Заказ!B:Q,16,0),0)</f>
        <v>0</v>
      </c>
    </row>
    <row r="3020" spans="2:9" x14ac:dyDescent="0.25">
      <c r="B3020" s="84">
        <v>13536</v>
      </c>
      <c r="D3020" s="84" t="str">
        <f t="shared" si="56"/>
        <v/>
      </c>
      <c r="H3020" s="1038">
        <f>IFERROR(VLOOKUP(CONCATENATE("s",B3020),Заказ!B:Q,5,0),0)</f>
        <v>0</v>
      </c>
      <c r="I3020" s="1038">
        <f>IFERROR(VLOOKUP(CONCATENATE("s",B3020),Заказ!B:Q,16,0),0)</f>
        <v>0</v>
      </c>
    </row>
    <row r="3021" spans="2:9" x14ac:dyDescent="0.25">
      <c r="B3021" s="84">
        <v>14670</v>
      </c>
      <c r="D3021" s="84" t="str">
        <f t="shared" si="56"/>
        <v/>
      </c>
      <c r="H3021" s="1038">
        <f>IFERROR(VLOOKUP(CONCATENATE("s",B3021),Заказ!B:Q,5,0),0)</f>
        <v>0</v>
      </c>
      <c r="I3021" s="1038">
        <f>IFERROR(VLOOKUP(CONCATENATE("s",B3021),Заказ!B:Q,16,0),0)</f>
        <v>0</v>
      </c>
    </row>
    <row r="3022" spans="2:9" x14ac:dyDescent="0.25">
      <c r="B3022" s="84">
        <v>11919</v>
      </c>
      <c r="D3022" s="84" t="str">
        <f t="shared" si="56"/>
        <v/>
      </c>
      <c r="H3022" s="1038">
        <f>IFERROR(VLOOKUP(CONCATENATE("s",B3022),Заказ!B:Q,5,0),0)</f>
        <v>0</v>
      </c>
      <c r="I3022" s="1038">
        <f>IFERROR(VLOOKUP(CONCATENATE("s",B3022),Заказ!B:Q,16,0),0)</f>
        <v>0</v>
      </c>
    </row>
    <row r="3023" spans="2:9" x14ac:dyDescent="0.25">
      <c r="B3023" s="84">
        <v>15445</v>
      </c>
      <c r="D3023" s="84" t="str">
        <f t="shared" si="56"/>
        <v/>
      </c>
      <c r="H3023" s="1038">
        <f>IFERROR(VLOOKUP(CONCATENATE("s",B3023),Заказ!B:Q,5,0),0)</f>
        <v>0</v>
      </c>
      <c r="I3023" s="1038">
        <f>IFERROR(VLOOKUP(CONCATENATE("s",B3023),Заказ!B:Q,16,0),0)</f>
        <v>0</v>
      </c>
    </row>
    <row r="3024" spans="2:9" x14ac:dyDescent="0.25">
      <c r="B3024" s="84">
        <v>15669</v>
      </c>
      <c r="D3024" s="84" t="str">
        <f t="shared" si="56"/>
        <v/>
      </c>
      <c r="H3024" s="1038">
        <f>IFERROR(VLOOKUP(CONCATENATE("s",B3024),Заказ!B:Q,5,0),0)</f>
        <v>0</v>
      </c>
      <c r="I3024" s="1038">
        <f>IFERROR(VLOOKUP(CONCATENATE("s",B3024),Заказ!B:Q,16,0),0)</f>
        <v>0</v>
      </c>
    </row>
    <row r="3025" spans="2:9" x14ac:dyDescent="0.25">
      <c r="B3025" s="84">
        <v>20135</v>
      </c>
      <c r="D3025" s="84" t="str">
        <f t="shared" si="56"/>
        <v/>
      </c>
      <c r="H3025" s="1038">
        <f>IFERROR(VLOOKUP(CONCATENATE("s",B3025),Заказ!B:Q,5,0),0)</f>
        <v>0</v>
      </c>
      <c r="I3025" s="1038">
        <f>IFERROR(VLOOKUP(CONCATENATE("s",B3025),Заказ!B:Q,16,0),0)</f>
        <v>0</v>
      </c>
    </row>
    <row r="3026" spans="2:9" x14ac:dyDescent="0.25">
      <c r="B3026" s="84">
        <v>20462</v>
      </c>
      <c r="D3026" s="84" t="str">
        <f t="shared" si="56"/>
        <v/>
      </c>
      <c r="H3026" s="1038">
        <f>IFERROR(VLOOKUP(CONCATENATE("s",B3026),Заказ!B:Q,5,0),0)</f>
        <v>0</v>
      </c>
      <c r="I3026" s="1038">
        <f>IFERROR(VLOOKUP(CONCATENATE("s",B3026),Заказ!B:Q,16,0),0)</f>
        <v>0</v>
      </c>
    </row>
    <row r="3027" spans="2:9" x14ac:dyDescent="0.25">
      <c r="B3027" s="84">
        <v>20133</v>
      </c>
      <c r="D3027" s="84" t="str">
        <f t="shared" si="56"/>
        <v/>
      </c>
      <c r="H3027" s="1038">
        <f>IFERROR(VLOOKUP(CONCATENATE("s",B3027),Заказ!B:Q,5,0),0)</f>
        <v>0</v>
      </c>
      <c r="I3027" s="1038">
        <f>IFERROR(VLOOKUP(CONCATENATE("s",B3027),Заказ!B:Q,16,0),0)</f>
        <v>0</v>
      </c>
    </row>
    <row r="3028" spans="2:9" x14ac:dyDescent="0.25">
      <c r="B3028" s="84">
        <v>20136</v>
      </c>
      <c r="D3028" s="84" t="str">
        <f t="shared" si="56"/>
        <v/>
      </c>
      <c r="H3028" s="1038">
        <f>IFERROR(VLOOKUP(CONCATENATE("s",B3028),Заказ!B:Q,5,0),0)</f>
        <v>0</v>
      </c>
      <c r="I3028" s="1038">
        <f>IFERROR(VLOOKUP(CONCATENATE("s",B3028),Заказ!B:Q,16,0),0)</f>
        <v>0</v>
      </c>
    </row>
    <row r="3029" spans="2:9" x14ac:dyDescent="0.25">
      <c r="B3029" s="84">
        <v>19894</v>
      </c>
      <c r="D3029" s="84" t="str">
        <f t="shared" si="56"/>
        <v/>
      </c>
      <c r="H3029" s="1038">
        <f>IFERROR(VLOOKUP(CONCATENATE("s",B3029),Заказ!B:Q,5,0),0)</f>
        <v>0</v>
      </c>
      <c r="I3029" s="1038">
        <f>IFERROR(VLOOKUP(CONCATENATE("s",B3029),Заказ!B:Q,16,0),0)</f>
        <v>0</v>
      </c>
    </row>
    <row r="3030" spans="2:9" x14ac:dyDescent="0.25">
      <c r="B3030" s="84">
        <v>20500</v>
      </c>
      <c r="D3030" s="84" t="str">
        <f t="shared" ref="D3030:D3033" si="57">IFERROR(ROUND(I3030/H3030,2),"")</f>
        <v/>
      </c>
      <c r="H3030" s="1038">
        <f>IFERROR(VLOOKUP(CONCATENATE("s",B3030),Заказ!B:Q,5,0),0)</f>
        <v>0</v>
      </c>
      <c r="I3030" s="1038">
        <f>IFERROR(VLOOKUP(CONCATENATE("s",B3030),Заказ!B:Q,16,0),0)</f>
        <v>0</v>
      </c>
    </row>
    <row r="3031" spans="2:9" x14ac:dyDescent="0.25">
      <c r="B3031" s="84">
        <v>12094</v>
      </c>
      <c r="D3031" s="84" t="str">
        <f t="shared" si="57"/>
        <v/>
      </c>
      <c r="H3031" s="1038">
        <f>IFERROR(VLOOKUP(CONCATENATE("s",B3031),Заказ!B:Q,5,0),0)</f>
        <v>0</v>
      </c>
      <c r="I3031" s="1038">
        <f>IFERROR(VLOOKUP(CONCATENATE("s",B3031),Заказ!B:Q,16,0),0)</f>
        <v>0</v>
      </c>
    </row>
    <row r="3032" spans="2:9" x14ac:dyDescent="0.25">
      <c r="B3032" s="84">
        <v>17057</v>
      </c>
      <c r="D3032" s="84" t="str">
        <f t="shared" si="57"/>
        <v/>
      </c>
      <c r="H3032" s="1038">
        <f>IFERROR(VLOOKUP(CONCATENATE("s",B3032),Заказ!B:Q,5,0),0)</f>
        <v>0</v>
      </c>
      <c r="I3032" s="1038">
        <f>IFERROR(VLOOKUP(CONCATENATE("s",B3032),Заказ!B:Q,16,0),0)</f>
        <v>0</v>
      </c>
    </row>
    <row r="3033" spans="2:9" x14ac:dyDescent="0.25">
      <c r="B3033" s="84">
        <v>13923</v>
      </c>
      <c r="D3033" s="84" t="str">
        <f t="shared" si="57"/>
        <v/>
      </c>
      <c r="H3033" s="1038">
        <f>IFERROR(VLOOKUP(CONCATENATE("s",B3033),Заказ!B:Q,5,0),0)</f>
        <v>0</v>
      </c>
      <c r="I3033" s="1038">
        <f>IFERROR(VLOOKUP(CONCATENATE("s",B3033),Заказ!B:Q,16,0),0)</f>
        <v>0</v>
      </c>
    </row>
    <row r="3034" spans="2:9" x14ac:dyDescent="0.25">
      <c r="B3034" s="84">
        <v>18694</v>
      </c>
      <c r="D3034" s="84" t="str">
        <f t="shared" ref="D3034:D3037" si="58">IFERROR(ROUND(I3034/H3034,2),"")</f>
        <v/>
      </c>
      <c r="H3034" s="1038">
        <f>IFERROR(VLOOKUP(CONCATENATE("s",B3034),Заказ!B:Q,5,0),0)</f>
        <v>0</v>
      </c>
      <c r="I3034" s="1038">
        <f>IFERROR(VLOOKUP(CONCATENATE("s",B3034),Заказ!B:Q,16,0),0)</f>
        <v>0</v>
      </c>
    </row>
    <row r="3035" spans="2:9" x14ac:dyDescent="0.25">
      <c r="B3035" s="84">
        <v>16839</v>
      </c>
      <c r="D3035" s="84" t="str">
        <f t="shared" si="58"/>
        <v/>
      </c>
      <c r="H3035" s="1038">
        <f>IFERROR(VLOOKUP(CONCATENATE("s",B3035),Заказ!B:Q,5,0),0)</f>
        <v>0</v>
      </c>
      <c r="I3035" s="1038">
        <f>IFERROR(VLOOKUP(CONCATENATE("s",B3035),Заказ!B:Q,16,0),0)</f>
        <v>0</v>
      </c>
    </row>
    <row r="3036" spans="2:9" x14ac:dyDescent="0.25">
      <c r="B3036" s="84">
        <v>18908</v>
      </c>
      <c r="D3036" s="84" t="str">
        <f t="shared" si="58"/>
        <v/>
      </c>
      <c r="H3036" s="1038">
        <f>IFERROR(VLOOKUP(CONCATENATE("s",B3036),Заказ!B:Q,5,0),0)</f>
        <v>0</v>
      </c>
      <c r="I3036" s="1038">
        <f>IFERROR(VLOOKUP(CONCATENATE("s",B3036),Заказ!B:Q,16,0),0)</f>
        <v>0</v>
      </c>
    </row>
    <row r="3037" spans="2:9" x14ac:dyDescent="0.25">
      <c r="B3037" s="84">
        <v>15477</v>
      </c>
      <c r="D3037" s="84" t="str">
        <f t="shared" si="58"/>
        <v/>
      </c>
      <c r="H3037" s="1038">
        <f>IFERROR(VLOOKUP(CONCATENATE("s",B3037),Заказ!B:Q,5,0),0)</f>
        <v>0</v>
      </c>
      <c r="I3037" s="1038">
        <f>IFERROR(VLOOKUP(CONCATENATE("s",B3037),Заказ!B:Q,16,0),0)</f>
        <v>0</v>
      </c>
    </row>
    <row r="3038" spans="2:9" x14ac:dyDescent="0.25">
      <c r="B3038" s="84">
        <v>21435</v>
      </c>
      <c r="D3038" s="84" t="str">
        <f t="shared" si="56"/>
        <v/>
      </c>
      <c r="H3038" s="1038">
        <f>IFERROR(VLOOKUP(CONCATENATE("s",B3038),Заказ!B:Q,5,0),0)</f>
        <v>0</v>
      </c>
      <c r="I3038" s="1038">
        <f>IFERROR(VLOOKUP(CONCATENATE("s",B3038),Заказ!B:Q,16,0),0)</f>
        <v>0</v>
      </c>
    </row>
    <row r="3039" spans="2:9" x14ac:dyDescent="0.25">
      <c r="B3039" s="84">
        <v>20933</v>
      </c>
      <c r="D3039" s="84" t="str">
        <f t="shared" si="56"/>
        <v/>
      </c>
      <c r="H3039" s="1038">
        <f>IFERROR(VLOOKUP(CONCATENATE("s",B3039),Заказ!B:Q,5,0),0)</f>
        <v>0</v>
      </c>
      <c r="I3039" s="1038">
        <f>IFERROR(VLOOKUP(CONCATENATE("s",B3039),Заказ!B:Q,16,0),0)</f>
        <v>0</v>
      </c>
    </row>
    <row r="3040" spans="2:9" x14ac:dyDescent="0.25">
      <c r="B3040" s="84">
        <v>20914</v>
      </c>
      <c r="D3040" s="84" t="str">
        <f t="shared" si="56"/>
        <v/>
      </c>
      <c r="H3040" s="1038">
        <f>IFERROR(VLOOKUP(CONCATENATE("s",B3040),Заказ!B:Q,5,0),0)</f>
        <v>0</v>
      </c>
      <c r="I3040" s="1038">
        <f>IFERROR(VLOOKUP(CONCATENATE("s",B3040),Заказ!B:Q,16,0),0)</f>
        <v>0</v>
      </c>
    </row>
    <row r="3041" spans="2:9" x14ac:dyDescent="0.25">
      <c r="B3041" s="84">
        <v>20916</v>
      </c>
      <c r="D3041" s="84" t="str">
        <f t="shared" si="56"/>
        <v/>
      </c>
      <c r="H3041" s="1038">
        <f>IFERROR(VLOOKUP(CONCATENATE("s",B3041),Заказ!B:Q,5,0),0)</f>
        <v>0</v>
      </c>
      <c r="I3041" s="1038">
        <f>IFERROR(VLOOKUP(CONCATENATE("s",B3041),Заказ!B:Q,16,0),0)</f>
        <v>0</v>
      </c>
    </row>
    <row r="3042" spans="2:9" x14ac:dyDescent="0.25">
      <c r="H3042" s="1038"/>
      <c r="I3042" s="1038"/>
    </row>
    <row r="3043" spans="2:9" x14ac:dyDescent="0.25">
      <c r="H3043" s="1038"/>
      <c r="I3043" s="1038"/>
    </row>
    <row r="3044" spans="2:9" x14ac:dyDescent="0.25">
      <c r="H3044" s="1038"/>
      <c r="I3044" s="1038"/>
    </row>
    <row r="3045" spans="2:9" x14ac:dyDescent="0.25">
      <c r="H3045" s="1038"/>
      <c r="I3045" s="1038"/>
    </row>
    <row r="3046" spans="2:9" x14ac:dyDescent="0.25">
      <c r="H3046" s="1038"/>
      <c r="I3046" s="1038"/>
    </row>
    <row r="3047" spans="2:9" x14ac:dyDescent="0.25">
      <c r="H3047" s="1038"/>
      <c r="I3047" s="1038"/>
    </row>
    <row r="3048" spans="2:9" x14ac:dyDescent="0.25">
      <c r="H3048" s="1038"/>
      <c r="I3048" s="1038"/>
    </row>
    <row r="3049" spans="2:9" x14ac:dyDescent="0.25">
      <c r="H3049" s="1038"/>
      <c r="I3049" s="1038"/>
    </row>
    <row r="3050" spans="2:9" x14ac:dyDescent="0.25">
      <c r="H3050" s="1038"/>
      <c r="I3050" s="1038"/>
    </row>
    <row r="3051" spans="2:9" x14ac:dyDescent="0.25">
      <c r="H3051" s="1038"/>
      <c r="I3051" s="1038"/>
    </row>
  </sheetData>
  <sheetProtection algorithmName="SHA-512" hashValue="uL48QjbqrZ3DlUxd5mtArkrNOInoaPdjR/fW2CaVhz1KAGFji7g094AXL3EeNFgtX5eJrokQbH72s5LSWzPbLA==" saltValue="vy8hp7ih7Q+4NxPzSeYXFA==" spinCount="100000" sheet="1" objects="1" scenarios="1"/>
  <conditionalFormatting sqref="B1:B1048576">
    <cfRule type="duplicateValues" dxfId="5" priority="10"/>
    <cfRule type="duplicateValues" dxfId="4" priority="11"/>
  </conditionalFormatting>
  <conditionalFormatting sqref="B1453:B1470">
    <cfRule type="duplicateValues" dxfId="3" priority="15"/>
  </conditionalFormatting>
  <conditionalFormatting sqref="B2073:B2089">
    <cfRule type="duplicateValues" dxfId="2" priority="26684"/>
  </conditionalFormatting>
  <conditionalFormatting sqref="B2161:B2169">
    <cfRule type="duplicateValues" dxfId="1" priority="26677"/>
  </conditionalFormatting>
  <conditionalFormatting sqref="B2170:B1048576 B2090:B2160 B1:B1452 B1471:B2072">
    <cfRule type="duplicateValues" dxfId="0" priority="13"/>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88</vt:i4>
      </vt:variant>
    </vt:vector>
  </HeadingPairs>
  <TitlesOfParts>
    <vt:vector size="91" baseType="lpstr">
      <vt:lpstr>Заказ</vt:lpstr>
      <vt:lpstr>Предварительный Счет</vt:lpstr>
      <vt:lpstr>!</vt:lpstr>
      <vt:lpstr>_28seeds</vt:lpstr>
      <vt:lpstr>Am_food</vt:lpstr>
      <vt:lpstr>Bezglutini</vt:lpstr>
      <vt:lpstr>GreenVill</vt:lpstr>
      <vt:lpstr>Holy_Corn</vt:lpstr>
      <vt:lpstr>iki</vt:lpstr>
      <vt:lpstr>KICK</vt:lpstr>
      <vt:lpstr>Missis</vt:lpstr>
      <vt:lpstr>Royal_Forest</vt:lpstr>
      <vt:lpstr>Sibereco</vt:lpstr>
      <vt:lpstr>Take_a_Bite</vt:lpstr>
      <vt:lpstr>Vegan_Food</vt:lpstr>
      <vt:lpstr>Vitlen</vt:lpstr>
      <vt:lpstr>Vitro_Naturals</vt:lpstr>
      <vt:lpstr>Zero</vt:lpstr>
      <vt:lpstr>АлтайФитПром</vt:lpstr>
      <vt:lpstr>Алтын_бай</vt:lpstr>
      <vt:lpstr>Арт_ам</vt:lpstr>
      <vt:lpstr>Белое_дерево</vt:lpstr>
      <vt:lpstr>Биолоджик</vt:lpstr>
      <vt:lpstr>Биопродукты</vt:lpstr>
      <vt:lpstr>Ботаника_ароматехнологии</vt:lpstr>
      <vt:lpstr>Быстрый_поиск</vt:lpstr>
      <vt:lpstr>Вастэко</vt:lpstr>
      <vt:lpstr>Грин_Злак</vt:lpstr>
      <vt:lpstr>Гурмайор</vt:lpstr>
      <vt:lpstr>Ди_энд_Ди</vt:lpstr>
      <vt:lpstr>Диал_экспорт</vt:lpstr>
      <vt:lpstr>Дивинка</vt:lpstr>
      <vt:lpstr>Диетика</vt:lpstr>
      <vt:lpstr>Домашний_погребок</vt:lpstr>
      <vt:lpstr>Дон_Шеллдон</vt:lpstr>
      <vt:lpstr>Древо_Жизни</vt:lpstr>
      <vt:lpstr>Емельяновская_биофабрика</vt:lpstr>
      <vt:lpstr>Живая_еда</vt:lpstr>
      <vt:lpstr>Живая_каша</vt:lpstr>
      <vt:lpstr>Живые_соки</vt:lpstr>
      <vt:lpstr>Здороведа_и_Вкусное_дело</vt:lpstr>
      <vt:lpstr>Здоровей</vt:lpstr>
      <vt:lpstr>Здоровые_вкусы</vt:lpstr>
      <vt:lpstr>Иван_да</vt:lpstr>
      <vt:lpstr>Изомальто</vt:lpstr>
      <vt:lpstr>Инфарма</vt:lpstr>
      <vt:lpstr>Компас_Здоровья</vt:lpstr>
      <vt:lpstr>Косметическая_продукция</vt:lpstr>
      <vt:lpstr>Кронидов</vt:lpstr>
      <vt:lpstr>Купецкий_посад</vt:lpstr>
      <vt:lpstr>Лучикс</vt:lpstr>
      <vt:lpstr>Любэль</vt:lpstr>
      <vt:lpstr>Масляный_король</vt:lpstr>
      <vt:lpstr>Молекола</vt:lpstr>
      <vt:lpstr>Нат_Виноград</vt:lpstr>
      <vt:lpstr>Новапродукт</vt:lpstr>
      <vt:lpstr>'Предварительный Счет'!Область_печати</vt:lpstr>
      <vt:lpstr>Образ_жизни</vt:lpstr>
      <vt:lpstr>Оргтиум</vt:lpstr>
      <vt:lpstr>Петербургский_кондитеръ</vt:lpstr>
      <vt:lpstr>Пища_богов</vt:lpstr>
      <vt:lpstr>Предприятие_МС</vt:lpstr>
      <vt:lpstr>Пур_пур</vt:lpstr>
      <vt:lpstr>Радоград</vt:lpstr>
      <vt:lpstr>Реалкапс</vt:lpstr>
      <vt:lpstr>Региональный_центр_фиточаёв</vt:lpstr>
      <vt:lpstr>РусКвас</vt:lpstr>
      <vt:lpstr>Русский_лес</vt:lpstr>
      <vt:lpstr>Сибирио</vt:lpstr>
      <vt:lpstr>Сибирская_клетчатка</vt:lpstr>
      <vt:lpstr>Сибирский_кедр</vt:lpstr>
      <vt:lpstr>Сибтар</vt:lpstr>
      <vt:lpstr>СиЭко_Фудс</vt:lpstr>
      <vt:lpstr>Смоква</vt:lpstr>
      <vt:lpstr>Соймик</vt:lpstr>
      <vt:lpstr>Сокровища_сезам</vt:lpstr>
      <vt:lpstr>Специалист</vt:lpstr>
      <vt:lpstr>Сташевское</vt:lpstr>
      <vt:lpstr>Стевия_групп</vt:lpstr>
      <vt:lpstr>Таёжный_тайник</vt:lpstr>
      <vt:lpstr>Тай_стайл</vt:lpstr>
      <vt:lpstr>ТвердоХлеб</vt:lpstr>
      <vt:lpstr>Твёрдый_мёд</vt:lpstr>
      <vt:lpstr>Тор_Спирулина</vt:lpstr>
      <vt:lpstr>Туррон_Duke_Almond</vt:lpstr>
      <vt:lpstr>Фило</vt:lpstr>
      <vt:lpstr>Фитокод</vt:lpstr>
      <vt:lpstr>Фитосила</vt:lpstr>
      <vt:lpstr>ФитПарад</vt:lpstr>
      <vt:lpstr>Чайные_напитки</vt:lpstr>
      <vt:lpstr>Эко_про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2026-02-17T18:55:16Z</cp:lastPrinted>
  <dcterms:created xsi:type="dcterms:W3CDTF">2021-03-24T19:26:41Z</dcterms:created>
  <dcterms:modified xsi:type="dcterms:W3CDTF">2026-04-30T14:19:16Z</dcterms:modified>
</cp:coreProperties>
</file>